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drawings/drawing3.xml" ContentType="application/vnd.openxmlformats-officedocument.drawing+xml"/>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drawings/drawing4.xml" ContentType="application/vnd.openxmlformats-officedocument.drawing+xml"/>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embeddings/oleObject56.bin" ContentType="application/vnd.openxmlformats-officedocument.oleObject"/>
  <Override PartName="/xl/embeddings/oleObject57.bin" ContentType="application/vnd.openxmlformats-officedocument.oleObject"/>
  <Override PartName="/xl/embeddings/oleObject58.bin" ContentType="application/vnd.openxmlformats-officedocument.oleObject"/>
  <Override PartName="/xl/embeddings/oleObject59.bin" ContentType="application/vnd.openxmlformats-officedocument.oleObject"/>
  <Override PartName="/xl/embeddings/oleObject60.bin" ContentType="application/vnd.openxmlformats-officedocument.oleObject"/>
  <Override PartName="/xl/embeddings/oleObject61.bin" ContentType="application/vnd.openxmlformats-officedocument.oleObject"/>
  <Override PartName="/xl/embeddings/oleObject62.bin" ContentType="application/vnd.openxmlformats-officedocument.oleObject"/>
  <Override PartName="/xl/drawings/drawing5.xml" ContentType="application/vnd.openxmlformats-officedocument.drawing+xml"/>
  <Override PartName="/xl/embeddings/oleObject63.bin" ContentType="application/vnd.openxmlformats-officedocument.oleObject"/>
  <Override PartName="/xl/embeddings/oleObject64.bin" ContentType="application/vnd.openxmlformats-officedocument.oleObject"/>
  <Override PartName="/xl/embeddings/oleObject65.bin" ContentType="application/vnd.openxmlformats-officedocument.oleObject"/>
  <Override PartName="/xl/embeddings/oleObject66.bin" ContentType="application/vnd.openxmlformats-officedocument.oleObject"/>
  <Override PartName="/xl/embeddings/oleObject67.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2190" yWindow="-135" windowWidth="23055" windowHeight="12855" tabRatio="867" activeTab="13"/>
  </bookViews>
  <sheets>
    <sheet name="Shared P&amp;L" sheetId="27" r:id="rId1"/>
    <sheet name="Proj P&amp;L" sheetId="12" r:id="rId2"/>
    <sheet name="Data entry" sheetId="3" r:id="rId3"/>
    <sheet name="&gt;Ordering NVL" sheetId="14" r:id="rId4"/>
    <sheet name="Order sheet #2" sheetId="15" r:id="rId5"/>
    <sheet name="&gt;Pro Detail" sheetId="4" r:id="rId6"/>
    <sheet name="Sticker sheets" sheetId="26" r:id="rId7"/>
    <sheet name="&gt;Trim Materials" sheetId="11" r:id="rId8"/>
    <sheet name="&gt;Ring Pallert" sheetId="9" r:id="rId9"/>
    <sheet name="&gt;Misc Pallet" sheetId="20" r:id="rId10"/>
    <sheet name="&gt;Rafter Pallet Cut out" sheetId="16" r:id="rId11"/>
    <sheet name="&gt;Ceiling" sheetId="17" r:id="rId12"/>
    <sheet name="&gt;Hardware List" sheetId="18" r:id="rId13"/>
    <sheet name="&gt;Wall Plan" sheetId="5" r:id="rId14"/>
    <sheet name="Wall Draw" sheetId="6" r:id="rId15"/>
    <sheet name="Wall #s" sheetId="7" r:id="rId16"/>
    <sheet name="&gt;Roof Kit Materials" sheetId="19" r:id="rId17"/>
    <sheet name="Wall Materials" sheetId="13" r:id="rId18"/>
    <sheet name="PA" sheetId="2" r:id="rId19"/>
    <sheet name="PALLET MATERIALS" sheetId="8" r:id="rId20"/>
    <sheet name="PA prep" sheetId="1" r:id="rId21"/>
    <sheet name="Drop down list" sheetId="21" r:id="rId22"/>
    <sheet name="&gt;Wall Cutout Sheet" sheetId="10" r:id="rId23"/>
    <sheet name="Engineering" sheetId="22" r:id="rId24"/>
    <sheet name="Photos" sheetId="23" r:id="rId25"/>
    <sheet name="Notes" sheetId="24" state="hidden" r:id="rId26"/>
  </sheets>
  <externalReferences>
    <externalReference r:id="rId27"/>
    <externalReference r:id="rId28"/>
    <externalReference r:id="rId29"/>
  </externalReferences>
  <definedNames>
    <definedName name="__xlnm._FilterDatabase" localSheetId="22">'&gt;Wall Cutout Sheet'!$C$13:$U$27</definedName>
    <definedName name="__xlnm._FilterDatabase_1">'&gt;Wall Cutout Sheet'!$C$13:$U$27</definedName>
    <definedName name="__xlnm.Print_Area" localSheetId="19">'PALLET MATERIALS'!$A$1:$AH$58</definedName>
    <definedName name="BottomPlates">'Drop down list'!$F$3:$F$4</definedName>
    <definedName name="doorstyle" localSheetId="6">'[1]Drop down list'!$Q$3:$Q$6</definedName>
    <definedName name="doorstyle">'Drop down list'!$Q$3:$Q$6</definedName>
    <definedName name="Excel_BuiltIn__FilterDatabase" localSheetId="22">'&gt;Wall Cutout Sheet'!$C$13:$U$26</definedName>
    <definedName name="Foundation">NA()</definedName>
    <definedName name="Foundation_2">'Drop down list'!$B$2:$B$5</definedName>
    <definedName name="height" localSheetId="6">'[1]Drop down list'!$H$17:$H$18</definedName>
    <definedName name="height">'Drop down list'!$H$17:$H$18</definedName>
    <definedName name="openhanded" localSheetId="6">'[1]Drop down list'!$B$18:$B$19</definedName>
    <definedName name="openhanded">'Drop down list'!$B$18:$B$19</definedName>
    <definedName name="_xlnm.Print_Area" localSheetId="19">'PALLET MATERIALS'!$A$1:$AH$58</definedName>
    <definedName name="ringsize">'Drop down list'!$M$4:$M$4</definedName>
    <definedName name="roof">'Drop down list'!$D$3:$D$4</definedName>
    <definedName name="skylightcolor">'Drop down list'!$M$3:$M$4</definedName>
    <definedName name="Skylighttype">'Drop down list'!$O$3:$O$4</definedName>
    <definedName name="Swing" localSheetId="6">'[1]Drop down list'!$D$18:$D$19</definedName>
    <definedName name="Swing">'Drop down list'!$D$18:$D$19</definedName>
    <definedName name="width" localSheetId="6">'[1]Drop down list'!$F$17:$F$19</definedName>
    <definedName name="width">'Drop down list'!$F$17:$F$19</definedName>
    <definedName name="windowtype">'Drop down list'!$J$3:$J$10</definedName>
    <definedName name="windowtype2">'Drop down list'!$J$3:$J$12</definedName>
    <definedName name="yesno" localSheetId="6">'[1]Drop down list'!$H$3:$H$4</definedName>
    <definedName name="yesno">'Drop down list'!$H$3:$H$4</definedName>
  </definedNames>
  <calcPr calcId="145621" concurrentCalc="0"/>
</workbook>
</file>

<file path=xl/calcChain.xml><?xml version="1.0" encoding="utf-8"?>
<calcChain xmlns="http://schemas.openxmlformats.org/spreadsheetml/2006/main">
  <c r="E124" i="12" l="1"/>
  <c r="C4" i="12"/>
  <c r="E134" i="12"/>
  <c r="M117" i="12"/>
  <c r="L113" i="12"/>
  <c r="M113" i="12"/>
  <c r="K118" i="12"/>
  <c r="M118" i="12"/>
  <c r="K119" i="12"/>
  <c r="M119" i="12"/>
  <c r="K120" i="12"/>
  <c r="M120" i="12"/>
  <c r="K122" i="12"/>
  <c r="M122" i="12"/>
  <c r="M124" i="12"/>
  <c r="M121" i="12"/>
  <c r="M123" i="12"/>
  <c r="M114" i="12"/>
  <c r="M115" i="12"/>
  <c r="M116" i="12"/>
  <c r="Q46" i="3"/>
  <c r="P51" i="3"/>
  <c r="AP34" i="13"/>
  <c r="L51" i="3"/>
  <c r="AQ34" i="13"/>
  <c r="Q11" i="3"/>
  <c r="AR34" i="13"/>
  <c r="AS34" i="13"/>
  <c r="AT34" i="13"/>
  <c r="P52" i="3"/>
  <c r="AP35" i="13"/>
  <c r="L52" i="3"/>
  <c r="AQ35" i="13"/>
  <c r="AS35" i="13"/>
  <c r="AT35" i="13"/>
  <c r="P53" i="3"/>
  <c r="AP36" i="13"/>
  <c r="L53" i="3"/>
  <c r="AQ36" i="13"/>
  <c r="AS36" i="13"/>
  <c r="AT36" i="13"/>
  <c r="P54" i="3"/>
  <c r="AP37" i="13"/>
  <c r="L54" i="3"/>
  <c r="AQ37" i="13"/>
  <c r="AS37" i="13"/>
  <c r="AT37" i="13"/>
  <c r="P55" i="3"/>
  <c r="AP38" i="13"/>
  <c r="L55" i="3"/>
  <c r="AQ38" i="13"/>
  <c r="AS38" i="13"/>
  <c r="AT38" i="13"/>
  <c r="P56" i="3"/>
  <c r="AP39" i="13"/>
  <c r="L56" i="3"/>
  <c r="AQ39" i="13"/>
  <c r="AS39" i="13"/>
  <c r="AT39" i="13"/>
  <c r="P57" i="3"/>
  <c r="AP40" i="13"/>
  <c r="L57" i="3"/>
  <c r="AQ40" i="13"/>
  <c r="AS40" i="13"/>
  <c r="AT40" i="13"/>
  <c r="P58" i="3"/>
  <c r="AP41" i="13"/>
  <c r="L58" i="3"/>
  <c r="AQ41" i="13"/>
  <c r="AS41" i="13"/>
  <c r="AT41" i="13"/>
  <c r="P59" i="3"/>
  <c r="AP42" i="13"/>
  <c r="L59" i="3"/>
  <c r="AQ42" i="13"/>
  <c r="AS42" i="13"/>
  <c r="AT42" i="13"/>
  <c r="P60" i="3"/>
  <c r="AP43" i="13"/>
  <c r="L60" i="3"/>
  <c r="AQ43" i="13"/>
  <c r="AS43" i="13"/>
  <c r="AT43" i="13"/>
  <c r="P61" i="3"/>
  <c r="AP44" i="13"/>
  <c r="L61" i="3"/>
  <c r="AQ44" i="13"/>
  <c r="AS44" i="13"/>
  <c r="AT44" i="13"/>
  <c r="P62" i="3"/>
  <c r="AP45" i="13"/>
  <c r="L62" i="3"/>
  <c r="AQ45" i="13"/>
  <c r="AS45" i="13"/>
  <c r="AT45" i="13"/>
  <c r="P63" i="3"/>
  <c r="AP46" i="13"/>
  <c r="L63" i="3"/>
  <c r="AQ46" i="13"/>
  <c r="AR46" i="13"/>
  <c r="AS46" i="13"/>
  <c r="AT46" i="13"/>
  <c r="P64" i="3"/>
  <c r="AP47" i="13"/>
  <c r="L64" i="3"/>
  <c r="AQ47" i="13"/>
  <c r="AR47" i="13"/>
  <c r="AS47" i="13"/>
  <c r="AT47" i="13"/>
  <c r="P65" i="3"/>
  <c r="AP48" i="13"/>
  <c r="L65" i="3"/>
  <c r="AQ48" i="13"/>
  <c r="AR48" i="13"/>
  <c r="AS48" i="13"/>
  <c r="AT48" i="13"/>
  <c r="P66" i="3"/>
  <c r="AP49" i="13"/>
  <c r="L66" i="3"/>
  <c r="AQ49" i="13"/>
  <c r="AR49" i="13"/>
  <c r="AS49" i="13"/>
  <c r="AT49" i="13"/>
  <c r="P67" i="3"/>
  <c r="AP50" i="13"/>
  <c r="L67" i="3"/>
  <c r="AQ50" i="13"/>
  <c r="AS50" i="13"/>
  <c r="AT50" i="13"/>
  <c r="P68" i="3"/>
  <c r="AP51" i="13"/>
  <c r="L68" i="3"/>
  <c r="AQ51" i="13"/>
  <c r="AS51" i="13"/>
  <c r="AT51" i="13"/>
  <c r="P69" i="3"/>
  <c r="AP52" i="13"/>
  <c r="L69" i="3"/>
  <c r="AQ52" i="13"/>
  <c r="AS52" i="13"/>
  <c r="AT52" i="13"/>
  <c r="P70" i="3"/>
  <c r="AP53" i="13"/>
  <c r="L70" i="3"/>
  <c r="AQ53" i="13"/>
  <c r="AS53" i="13"/>
  <c r="AT53" i="13"/>
  <c r="P71" i="3"/>
  <c r="AP54" i="13"/>
  <c r="L71" i="3"/>
  <c r="AQ54" i="13"/>
  <c r="AS54" i="13"/>
  <c r="AT54" i="13"/>
  <c r="P72" i="3"/>
  <c r="AP55" i="13"/>
  <c r="L72" i="3"/>
  <c r="AQ55" i="13"/>
  <c r="AS55" i="13"/>
  <c r="AT55" i="13"/>
  <c r="P73" i="3"/>
  <c r="AP56" i="13"/>
  <c r="L73" i="3"/>
  <c r="AQ56" i="13"/>
  <c r="AS56" i="13"/>
  <c r="AT56" i="13"/>
  <c r="J87" i="3"/>
  <c r="AP61" i="13"/>
  <c r="N87" i="3"/>
  <c r="AQ61" i="13"/>
  <c r="AR61" i="13"/>
  <c r="AS61" i="13"/>
  <c r="AT61" i="13"/>
  <c r="J88" i="3"/>
  <c r="AP62" i="13"/>
  <c r="N88" i="3"/>
  <c r="AQ62" i="13"/>
  <c r="AS62" i="13"/>
  <c r="AT62" i="13"/>
  <c r="J89" i="3"/>
  <c r="AP63" i="13"/>
  <c r="N89" i="3"/>
  <c r="AQ63" i="13"/>
  <c r="AS63" i="13"/>
  <c r="AT63" i="13"/>
  <c r="J90" i="3"/>
  <c r="AP64" i="13"/>
  <c r="N90" i="3"/>
  <c r="AQ64" i="13"/>
  <c r="AS64" i="13"/>
  <c r="AT64" i="13"/>
  <c r="J91" i="3"/>
  <c r="AP65" i="13"/>
  <c r="N91" i="3"/>
  <c r="AQ65" i="13"/>
  <c r="AS65" i="13"/>
  <c r="AT65" i="13"/>
  <c r="J92" i="3"/>
  <c r="AP66" i="13"/>
  <c r="N92" i="3"/>
  <c r="AQ66" i="13"/>
  <c r="AS66" i="13"/>
  <c r="AT66" i="13"/>
  <c r="J93" i="3"/>
  <c r="AP67" i="13"/>
  <c r="N93" i="3"/>
  <c r="AQ67" i="13"/>
  <c r="AS67" i="13"/>
  <c r="AT67" i="13"/>
  <c r="N98" i="3"/>
  <c r="V98" i="3"/>
  <c r="AR71" i="13"/>
  <c r="AP71" i="13"/>
  <c r="AT71" i="13"/>
  <c r="AR77" i="13"/>
  <c r="Q31" i="3"/>
  <c r="AP77" i="13"/>
  <c r="AT77" i="13"/>
  <c r="AT79" i="13"/>
  <c r="E31" i="13"/>
  <c r="D54" i="12"/>
  <c r="E54" i="12"/>
  <c r="E51" i="12"/>
  <c r="S35" i="13"/>
  <c r="X35" i="13"/>
  <c r="S36" i="13"/>
  <c r="T36" i="13"/>
  <c r="X36" i="13"/>
  <c r="S37" i="13"/>
  <c r="T37" i="13"/>
  <c r="X37" i="13"/>
  <c r="S38" i="13"/>
  <c r="T38" i="13"/>
  <c r="X38" i="13"/>
  <c r="S39" i="13"/>
  <c r="X39" i="13"/>
  <c r="S40" i="13"/>
  <c r="T40" i="13"/>
  <c r="X40" i="13"/>
  <c r="S41" i="13"/>
  <c r="X41" i="13"/>
  <c r="S42" i="13"/>
  <c r="X42" i="13"/>
  <c r="X43" i="13"/>
  <c r="E28" i="13"/>
  <c r="D50" i="12"/>
  <c r="E50" i="12"/>
  <c r="E49" i="12"/>
  <c r="Y44" i="3"/>
  <c r="Q10" i="3"/>
  <c r="AT43" i="3"/>
  <c r="D59" i="14"/>
  <c r="F14" i="18"/>
  <c r="L2" i="3"/>
  <c r="G2" i="18"/>
  <c r="Q14" i="3"/>
  <c r="C37" i="18"/>
  <c r="D63" i="14"/>
  <c r="C36" i="18"/>
  <c r="E11" i="18"/>
  <c r="Q101" i="3"/>
  <c r="Q9" i="3"/>
  <c r="S66" i="18"/>
  <c r="R66" i="18"/>
  <c r="P66" i="18"/>
  <c r="O66" i="18"/>
  <c r="Q66" i="18"/>
  <c r="G7" i="19"/>
  <c r="L15" i="19"/>
  <c r="L17" i="19"/>
  <c r="D54" i="14"/>
  <c r="AQ41" i="11"/>
  <c r="B41" i="11"/>
  <c r="AF41" i="11"/>
  <c r="AG41" i="11"/>
  <c r="AH41" i="11"/>
  <c r="V17" i="19"/>
  <c r="K54" i="14"/>
  <c r="AI41" i="11"/>
  <c r="G54" i="14"/>
  <c r="AE41" i="11"/>
  <c r="AM41" i="11"/>
  <c r="T54" i="14"/>
  <c r="U41" i="11"/>
  <c r="B3" i="26"/>
  <c r="Q3" i="26"/>
  <c r="Q15" i="26"/>
  <c r="B15" i="26"/>
  <c r="BJ3" i="26"/>
  <c r="AF15" i="26"/>
  <c r="AF3" i="26"/>
  <c r="Q15" i="3"/>
  <c r="AC9" i="11"/>
  <c r="AM25" i="11"/>
  <c r="K15" i="14"/>
  <c r="R7" i="15"/>
  <c r="Q34" i="3"/>
  <c r="Q32" i="3"/>
  <c r="J94" i="3"/>
  <c r="J95" i="3"/>
  <c r="Q33" i="3"/>
  <c r="Q35" i="3"/>
  <c r="AI11" i="3"/>
  <c r="E22" i="13"/>
  <c r="D61" i="12"/>
  <c r="B40" i="11"/>
  <c r="O9" i="11"/>
  <c r="BG40" i="11"/>
  <c r="AQ40" i="11"/>
  <c r="AM40" i="11"/>
  <c r="S37" i="18"/>
  <c r="J63" i="14"/>
  <c r="J62" i="14"/>
  <c r="F63" i="14"/>
  <c r="Z4" i="3"/>
  <c r="Q78" i="3"/>
  <c r="C98" i="12"/>
  <c r="V4" i="3"/>
  <c r="Y40" i="3"/>
  <c r="F3" i="12"/>
  <c r="H56" i="12"/>
  <c r="W13" i="3"/>
  <c r="H55" i="12"/>
  <c r="D55" i="12"/>
  <c r="N51" i="3"/>
  <c r="Q12" i="3"/>
  <c r="Y51" i="3"/>
  <c r="AD51" i="3"/>
  <c r="N52" i="3"/>
  <c r="Y52" i="3"/>
  <c r="AD52" i="3"/>
  <c r="N53" i="3"/>
  <c r="AD53" i="3"/>
  <c r="N54" i="3"/>
  <c r="AD54" i="3"/>
  <c r="N55" i="3"/>
  <c r="AD55" i="3"/>
  <c r="N56" i="3"/>
  <c r="AD56" i="3"/>
  <c r="N57" i="3"/>
  <c r="AD57" i="3"/>
  <c r="N58" i="3"/>
  <c r="AD58" i="3"/>
  <c r="N59" i="3"/>
  <c r="AD59" i="3"/>
  <c r="N60" i="3"/>
  <c r="AD60" i="3"/>
  <c r="N61" i="3"/>
  <c r="AD61" i="3"/>
  <c r="N62" i="3"/>
  <c r="AD62" i="3"/>
  <c r="N63" i="3"/>
  <c r="Y63" i="3"/>
  <c r="AD63" i="3"/>
  <c r="N64" i="3"/>
  <c r="Y64" i="3"/>
  <c r="AD64" i="3"/>
  <c r="N65" i="3"/>
  <c r="Y65" i="3"/>
  <c r="AD65" i="3"/>
  <c r="N66" i="3"/>
  <c r="Y66" i="3"/>
  <c r="AD66" i="3"/>
  <c r="N67" i="3"/>
  <c r="AD67" i="3"/>
  <c r="AD68" i="3"/>
  <c r="E35" i="18"/>
  <c r="D58" i="14"/>
  <c r="T34" i="3"/>
  <c r="V25" i="3"/>
  <c r="W14" i="3"/>
  <c r="G8" i="3"/>
  <c r="D8" i="3"/>
  <c r="I6" i="18"/>
  <c r="B11" i="18"/>
  <c r="BU2" i="26"/>
  <c r="E108" i="12"/>
  <c r="C109" i="12"/>
  <c r="D109" i="12"/>
  <c r="E109" i="12"/>
  <c r="D110" i="12"/>
  <c r="E110" i="12"/>
  <c r="D111" i="12"/>
  <c r="E111" i="12"/>
  <c r="D112" i="12"/>
  <c r="E112" i="12"/>
  <c r="D113" i="12"/>
  <c r="E113" i="12"/>
  <c r="D114" i="12"/>
  <c r="E114" i="12"/>
  <c r="D115" i="12"/>
  <c r="E115" i="12"/>
  <c r="E117" i="12"/>
  <c r="E116" i="12"/>
  <c r="E118" i="12"/>
  <c r="N5" i="16"/>
  <c r="N36" i="16"/>
  <c r="S13" i="3"/>
  <c r="T7" i="19"/>
  <c r="AX9" i="19"/>
  <c r="AB51" i="3"/>
  <c r="AB52" i="3"/>
  <c r="Y53" i="3"/>
  <c r="Y54" i="3"/>
  <c r="AB54" i="3"/>
  <c r="Y55" i="3"/>
  <c r="AB55" i="3"/>
  <c r="Y56" i="3"/>
  <c r="AB56" i="3"/>
  <c r="Y59" i="3"/>
  <c r="AB59" i="3"/>
  <c r="Y60" i="3"/>
  <c r="AB60" i="3"/>
  <c r="Y61" i="3"/>
  <c r="Y62" i="3"/>
  <c r="AB62" i="3"/>
  <c r="AB63" i="3"/>
  <c r="AB64" i="3"/>
  <c r="AB66" i="3"/>
  <c r="Y67" i="3"/>
  <c r="AB67" i="3"/>
  <c r="AD31" i="3"/>
  <c r="AK18" i="11"/>
  <c r="E9" i="12"/>
  <c r="M16" i="8"/>
  <c r="D12" i="12"/>
  <c r="E12" i="12"/>
  <c r="D13" i="12"/>
  <c r="E13" i="12"/>
  <c r="Q27" i="3"/>
  <c r="AI27" i="3"/>
  <c r="D15" i="12"/>
  <c r="E15" i="12"/>
  <c r="D16" i="12"/>
  <c r="E16" i="12"/>
  <c r="T51" i="3"/>
  <c r="T52" i="3"/>
  <c r="T53" i="3"/>
  <c r="T54" i="3"/>
  <c r="T55" i="3"/>
  <c r="T56" i="3"/>
  <c r="T57" i="3"/>
  <c r="T58" i="3"/>
  <c r="T59" i="3"/>
  <c r="T60" i="3"/>
  <c r="T61" i="3"/>
  <c r="T62" i="3"/>
  <c r="F47" i="13"/>
  <c r="T63" i="3"/>
  <c r="T64" i="3"/>
  <c r="T65" i="3"/>
  <c r="T66" i="3"/>
  <c r="T67" i="3"/>
  <c r="T68" i="3"/>
  <c r="T69" i="3"/>
  <c r="T70" i="3"/>
  <c r="T71" i="3"/>
  <c r="T72" i="3"/>
  <c r="T73" i="3"/>
  <c r="V87" i="3"/>
  <c r="V88" i="3"/>
  <c r="V89" i="3"/>
  <c r="V90" i="3"/>
  <c r="V91" i="3"/>
  <c r="V92" i="3"/>
  <c r="V93" i="3"/>
  <c r="V94" i="3"/>
  <c r="AG66" i="3"/>
  <c r="E16" i="13"/>
  <c r="D19" i="12"/>
  <c r="E19" i="12"/>
  <c r="D21" i="12"/>
  <c r="E21" i="12"/>
  <c r="D22" i="12"/>
  <c r="E22" i="12"/>
  <c r="T15" i="19"/>
  <c r="C35" i="12"/>
  <c r="C36" i="12"/>
  <c r="C37" i="12"/>
  <c r="D37" i="12"/>
  <c r="E37" i="12"/>
  <c r="C38" i="12"/>
  <c r="C39" i="12"/>
  <c r="D39" i="12"/>
  <c r="E39" i="12"/>
  <c r="C40" i="12"/>
  <c r="D40" i="12"/>
  <c r="E40" i="12"/>
  <c r="C41" i="12"/>
  <c r="E41" i="12"/>
  <c r="C42" i="12"/>
  <c r="D42" i="12"/>
  <c r="E42" i="12"/>
  <c r="C43" i="12"/>
  <c r="D43" i="12"/>
  <c r="E43" i="12"/>
  <c r="Q45" i="3"/>
  <c r="E46" i="12"/>
  <c r="E35" i="13"/>
  <c r="E36" i="13"/>
  <c r="E37" i="13"/>
  <c r="J37" i="13"/>
  <c r="E39" i="13"/>
  <c r="E40" i="13"/>
  <c r="N40" i="13"/>
  <c r="J40" i="13"/>
  <c r="E41" i="13"/>
  <c r="L41" i="13"/>
  <c r="J41" i="13"/>
  <c r="E42" i="13"/>
  <c r="E43" i="13"/>
  <c r="E44" i="13"/>
  <c r="E45" i="13"/>
  <c r="J45" i="13"/>
  <c r="K72" i="10"/>
  <c r="E48" i="13"/>
  <c r="N48" i="13"/>
  <c r="E49" i="13"/>
  <c r="J49" i="13"/>
  <c r="AH13" i="11"/>
  <c r="Q26" i="3"/>
  <c r="AH14" i="11"/>
  <c r="AQ27" i="11"/>
  <c r="AH15" i="11"/>
  <c r="Q25" i="3"/>
  <c r="AH17" i="11"/>
  <c r="AQ30" i="11"/>
  <c r="L36" i="13"/>
  <c r="L37" i="13"/>
  <c r="L40" i="13"/>
  <c r="L44" i="13"/>
  <c r="L45" i="13"/>
  <c r="L48" i="13"/>
  <c r="L49" i="13"/>
  <c r="N37" i="13"/>
  <c r="N41" i="13"/>
  <c r="N45" i="13"/>
  <c r="AB35" i="13"/>
  <c r="AB37" i="13"/>
  <c r="AB39" i="13"/>
  <c r="AB42" i="13"/>
  <c r="D19" i="11"/>
  <c r="D53" i="12"/>
  <c r="E53" i="12"/>
  <c r="E55" i="12"/>
  <c r="E57" i="12"/>
  <c r="E13" i="13"/>
  <c r="E21" i="15"/>
  <c r="D60" i="12"/>
  <c r="E60" i="12"/>
  <c r="D88" i="12"/>
  <c r="E30" i="15"/>
  <c r="AH34" i="15"/>
  <c r="E34" i="15"/>
  <c r="D62" i="12"/>
  <c r="E62" i="12"/>
  <c r="D63" i="12"/>
  <c r="E63" i="12"/>
  <c r="D42" i="14"/>
  <c r="D64" i="12"/>
  <c r="E64" i="12"/>
  <c r="M19" i="8"/>
  <c r="D43" i="14"/>
  <c r="D44" i="14"/>
  <c r="D66" i="12"/>
  <c r="E66" i="12"/>
  <c r="D68" i="12"/>
  <c r="E68" i="12"/>
  <c r="D69" i="12"/>
  <c r="E69" i="12"/>
  <c r="D70" i="12"/>
  <c r="E70" i="12"/>
  <c r="D71" i="12"/>
  <c r="E71" i="12"/>
  <c r="D72" i="12"/>
  <c r="E72" i="12"/>
  <c r="D73" i="12"/>
  <c r="E73" i="12"/>
  <c r="D74" i="12"/>
  <c r="E74" i="12"/>
  <c r="D75" i="12"/>
  <c r="E75" i="12"/>
  <c r="E76" i="12"/>
  <c r="D77" i="12"/>
  <c r="E77" i="12"/>
  <c r="D78" i="12"/>
  <c r="E78" i="12"/>
  <c r="D79" i="12"/>
  <c r="E79" i="12"/>
  <c r="E80" i="12"/>
  <c r="E81" i="12"/>
  <c r="D82" i="12"/>
  <c r="E82" i="12"/>
  <c r="D83" i="12"/>
  <c r="E83" i="12"/>
  <c r="D84" i="12"/>
  <c r="E84" i="12"/>
  <c r="P87" i="3"/>
  <c r="AK88" i="3"/>
  <c r="P88" i="3"/>
  <c r="AK89" i="3"/>
  <c r="P89" i="3"/>
  <c r="AK90" i="3"/>
  <c r="P90" i="3"/>
  <c r="AK91" i="3"/>
  <c r="P91" i="3"/>
  <c r="AK92" i="3"/>
  <c r="P92" i="3"/>
  <c r="AK93" i="3"/>
  <c r="P93" i="3"/>
  <c r="D86" i="12"/>
  <c r="E86" i="12"/>
  <c r="D87" i="12"/>
  <c r="E87" i="12"/>
  <c r="E88" i="12"/>
  <c r="E89" i="12"/>
  <c r="D90" i="12"/>
  <c r="E90" i="12"/>
  <c r="E91" i="12"/>
  <c r="D92" i="12"/>
  <c r="E92" i="12"/>
  <c r="D93" i="12"/>
  <c r="E93" i="12"/>
  <c r="E94" i="12"/>
  <c r="N97" i="12"/>
  <c r="C95" i="12"/>
  <c r="E95" i="12"/>
  <c r="E96" i="12"/>
  <c r="D97" i="12"/>
  <c r="E97" i="12"/>
  <c r="E98" i="12"/>
  <c r="I7" i="9"/>
  <c r="L14" i="9"/>
  <c r="B99" i="27"/>
  <c r="C99" i="27"/>
  <c r="B99" i="12"/>
  <c r="C99" i="12"/>
  <c r="E99" i="12"/>
  <c r="P47" i="18"/>
  <c r="D100" i="27"/>
  <c r="E100" i="27"/>
  <c r="D100" i="12"/>
  <c r="E100" i="12"/>
  <c r="E101" i="12"/>
  <c r="E102" i="12"/>
  <c r="Z21" i="13"/>
  <c r="C4" i="27"/>
  <c r="C3" i="27"/>
  <c r="D9" i="27"/>
  <c r="E9" i="27"/>
  <c r="D10" i="27"/>
  <c r="E10" i="27"/>
  <c r="D12" i="27"/>
  <c r="E12" i="27"/>
  <c r="D13" i="27"/>
  <c r="E13" i="27"/>
  <c r="D15" i="27"/>
  <c r="E15" i="27"/>
  <c r="D16" i="27"/>
  <c r="E16" i="27"/>
  <c r="D19" i="27"/>
  <c r="E19" i="27"/>
  <c r="D21" i="27"/>
  <c r="E21" i="27"/>
  <c r="D22" i="27"/>
  <c r="E22" i="27"/>
  <c r="C35" i="27"/>
  <c r="C36" i="27"/>
  <c r="D36" i="27"/>
  <c r="E36" i="27"/>
  <c r="C37" i="27"/>
  <c r="C38" i="27"/>
  <c r="C39" i="27"/>
  <c r="D39" i="27"/>
  <c r="E39" i="27"/>
  <c r="C40" i="27"/>
  <c r="D40" i="27"/>
  <c r="E40" i="27"/>
  <c r="C41" i="27"/>
  <c r="D41" i="27"/>
  <c r="E41" i="27"/>
  <c r="C42" i="27"/>
  <c r="D42" i="27"/>
  <c r="E42" i="27"/>
  <c r="C43" i="27"/>
  <c r="D43" i="27"/>
  <c r="E43" i="27"/>
  <c r="D45" i="27"/>
  <c r="E45" i="27"/>
  <c r="D46" i="27"/>
  <c r="E46" i="27"/>
  <c r="D53" i="27"/>
  <c r="E53" i="27"/>
  <c r="D54" i="27"/>
  <c r="E54" i="27"/>
  <c r="E55" i="27"/>
  <c r="E57" i="27"/>
  <c r="D60" i="27"/>
  <c r="E60" i="27"/>
  <c r="D62" i="27"/>
  <c r="E62" i="27"/>
  <c r="D63" i="27"/>
  <c r="E63" i="27"/>
  <c r="D64" i="27"/>
  <c r="E64" i="27"/>
  <c r="D66" i="27"/>
  <c r="E66" i="27"/>
  <c r="D68" i="27"/>
  <c r="E68" i="27"/>
  <c r="D69" i="27"/>
  <c r="E69" i="27"/>
  <c r="D70" i="27"/>
  <c r="E70" i="27"/>
  <c r="D71" i="27"/>
  <c r="E71" i="27"/>
  <c r="D72" i="27"/>
  <c r="E72" i="27"/>
  <c r="D73" i="27"/>
  <c r="E73" i="27"/>
  <c r="D74" i="27"/>
  <c r="E74" i="27"/>
  <c r="D75" i="27"/>
  <c r="E75" i="27"/>
  <c r="D76" i="27"/>
  <c r="E76" i="27"/>
  <c r="D77" i="27"/>
  <c r="E77" i="27"/>
  <c r="D78" i="27"/>
  <c r="E78" i="27"/>
  <c r="D79" i="27"/>
  <c r="E79" i="27"/>
  <c r="D80" i="27"/>
  <c r="E80" i="27"/>
  <c r="D81" i="27"/>
  <c r="E81" i="27"/>
  <c r="D82" i="27"/>
  <c r="E82" i="27"/>
  <c r="D83" i="27"/>
  <c r="E83" i="27"/>
  <c r="D84" i="27"/>
  <c r="E84" i="27"/>
  <c r="D86" i="27"/>
  <c r="E86" i="27"/>
  <c r="D87" i="27"/>
  <c r="E87" i="27"/>
  <c r="E89" i="27"/>
  <c r="D90" i="27"/>
  <c r="E90" i="27"/>
  <c r="D91" i="27"/>
  <c r="E91" i="27"/>
  <c r="D92" i="27"/>
  <c r="E92" i="27"/>
  <c r="D93" i="27"/>
  <c r="E93" i="27"/>
  <c r="E94" i="27"/>
  <c r="F3" i="27"/>
  <c r="L97" i="27"/>
  <c r="C95" i="27"/>
  <c r="E95" i="27"/>
  <c r="E96" i="27"/>
  <c r="D97" i="27"/>
  <c r="E97" i="27"/>
  <c r="E98" i="27"/>
  <c r="E99" i="27"/>
  <c r="E101" i="27"/>
  <c r="E102" i="27"/>
  <c r="E103" i="27"/>
  <c r="J111" i="27"/>
  <c r="L111" i="27"/>
  <c r="M111" i="27"/>
  <c r="J112" i="27"/>
  <c r="L112" i="27"/>
  <c r="M112" i="27"/>
  <c r="J113" i="27"/>
  <c r="L113" i="27"/>
  <c r="M113" i="27"/>
  <c r="J114" i="27"/>
  <c r="L114" i="27"/>
  <c r="M114" i="27"/>
  <c r="J115" i="27"/>
  <c r="K115" i="27"/>
  <c r="M115" i="27"/>
  <c r="J116" i="27"/>
  <c r="K116" i="27"/>
  <c r="M116" i="27"/>
  <c r="J117" i="27"/>
  <c r="K117" i="27"/>
  <c r="M117" i="27"/>
  <c r="J118" i="27"/>
  <c r="K118" i="27"/>
  <c r="M118" i="27"/>
  <c r="J119" i="27"/>
  <c r="K119" i="27"/>
  <c r="M119" i="27"/>
  <c r="M121" i="27"/>
  <c r="E106" i="27"/>
  <c r="C107" i="27"/>
  <c r="D107" i="27"/>
  <c r="E107" i="27"/>
  <c r="D108" i="27"/>
  <c r="E108" i="27"/>
  <c r="E114" i="27"/>
  <c r="E115" i="27"/>
  <c r="E121" i="27"/>
  <c r="J120" i="27"/>
  <c r="K120" i="27"/>
  <c r="M120" i="27"/>
  <c r="D109" i="27"/>
  <c r="L99" i="27"/>
  <c r="L98" i="27"/>
  <c r="Q77" i="3"/>
  <c r="B97" i="27"/>
  <c r="L96" i="27"/>
  <c r="N66" i="27"/>
  <c r="M66" i="27"/>
  <c r="L66" i="27"/>
  <c r="K66" i="27"/>
  <c r="J66" i="27"/>
  <c r="N65" i="27"/>
  <c r="M65" i="27"/>
  <c r="L65" i="27"/>
  <c r="K65" i="27"/>
  <c r="J65" i="27"/>
  <c r="H34" i="27"/>
  <c r="H33" i="27"/>
  <c r="H32" i="27"/>
  <c r="H31" i="27"/>
  <c r="H30" i="27"/>
  <c r="H29" i="27"/>
  <c r="H28" i="27"/>
  <c r="H27" i="27"/>
  <c r="H26" i="27"/>
  <c r="H25" i="27"/>
  <c r="H24" i="27"/>
  <c r="H23" i="27"/>
  <c r="S40" i="3"/>
  <c r="E5" i="18"/>
  <c r="C18" i="18"/>
  <c r="V40" i="3"/>
  <c r="F5" i="18"/>
  <c r="C19" i="18"/>
  <c r="H19" i="18"/>
  <c r="G5" i="18"/>
  <c r="C20" i="18"/>
  <c r="M20" i="20"/>
  <c r="I6" i="20"/>
  <c r="Z13" i="20"/>
  <c r="M19" i="20"/>
  <c r="Z18" i="20"/>
  <c r="N17" i="16"/>
  <c r="H17" i="18"/>
  <c r="AD39" i="11"/>
  <c r="AD38" i="11"/>
  <c r="H36" i="13"/>
  <c r="H37" i="13"/>
  <c r="H40" i="13"/>
  <c r="H41" i="13"/>
  <c r="H44" i="13"/>
  <c r="H45" i="13"/>
  <c r="F48" i="13"/>
  <c r="H48" i="13"/>
  <c r="H49" i="13"/>
  <c r="X87" i="3"/>
  <c r="X88" i="3"/>
  <c r="X89" i="3"/>
  <c r="X90" i="3"/>
  <c r="X91" i="3"/>
  <c r="Y91" i="3"/>
  <c r="U58" i="4"/>
  <c r="X92" i="3"/>
  <c r="X93" i="3"/>
  <c r="X94" i="3"/>
  <c r="H16" i="13"/>
  <c r="H24" i="15"/>
  <c r="H15" i="13"/>
  <c r="T35" i="13"/>
  <c r="V35" i="13"/>
  <c r="V37" i="13"/>
  <c r="V42" i="13"/>
  <c r="T22" i="3"/>
  <c r="S22" i="3"/>
  <c r="S21" i="3"/>
  <c r="S20" i="3"/>
  <c r="Q22" i="3"/>
  <c r="Q21" i="3"/>
  <c r="H29" i="12"/>
  <c r="H30" i="12"/>
  <c r="H31" i="12"/>
  <c r="H32" i="12"/>
  <c r="H33" i="12"/>
  <c r="H34" i="12"/>
  <c r="H23" i="12"/>
  <c r="H24" i="12"/>
  <c r="H25" i="12"/>
  <c r="H26" i="12"/>
  <c r="H27" i="12"/>
  <c r="H28" i="12"/>
  <c r="Q8" i="3"/>
  <c r="AB10" i="13"/>
  <c r="E15" i="13"/>
  <c r="J21" i="13"/>
  <c r="J38" i="11"/>
  <c r="H21" i="13"/>
  <c r="H39" i="11"/>
  <c r="H38" i="11"/>
  <c r="J39" i="11"/>
  <c r="E27" i="4"/>
  <c r="B27" i="4"/>
  <c r="AO9" i="11"/>
  <c r="AQ29" i="11"/>
  <c r="D14" i="11"/>
  <c r="L13" i="15"/>
  <c r="K22" i="20"/>
  <c r="L15" i="15"/>
  <c r="K14" i="20"/>
  <c r="D12" i="4"/>
  <c r="R51" i="3"/>
  <c r="R52" i="3"/>
  <c r="Q30" i="4"/>
  <c r="R53" i="3"/>
  <c r="R54" i="3"/>
  <c r="R55" i="3"/>
  <c r="R56" i="3"/>
  <c r="R57" i="3"/>
  <c r="R58" i="3"/>
  <c r="Q36" i="4"/>
  <c r="R59" i="3"/>
  <c r="R60" i="3"/>
  <c r="Q38" i="4"/>
  <c r="R61" i="3"/>
  <c r="R62" i="3"/>
  <c r="R63" i="3"/>
  <c r="R64" i="3"/>
  <c r="R65" i="3"/>
  <c r="R66" i="3"/>
  <c r="R67" i="3"/>
  <c r="AJ22" i="13"/>
  <c r="AM22" i="13"/>
  <c r="J6" i="11"/>
  <c r="K13" i="11"/>
  <c r="F35" i="13"/>
  <c r="F36" i="13"/>
  <c r="F37" i="13"/>
  <c r="F38" i="13"/>
  <c r="F39" i="13"/>
  <c r="F40" i="13"/>
  <c r="F41" i="13"/>
  <c r="F42" i="13"/>
  <c r="Q24" i="3"/>
  <c r="AH19" i="11"/>
  <c r="AR35" i="13"/>
  <c r="AR36" i="13"/>
  <c r="AR37" i="13"/>
  <c r="AR38" i="13"/>
  <c r="AR39" i="13"/>
  <c r="AR40" i="13"/>
  <c r="AR41" i="13"/>
  <c r="AR50" i="13"/>
  <c r="AR62" i="13"/>
  <c r="AP57" i="13"/>
  <c r="AQ57" i="13"/>
  <c r="AS57" i="13"/>
  <c r="AT57" i="13"/>
  <c r="AT58" i="13"/>
  <c r="AT59" i="13"/>
  <c r="AT60" i="13"/>
  <c r="AP68" i="13"/>
  <c r="AT68" i="13"/>
  <c r="N95" i="12"/>
  <c r="N99" i="12"/>
  <c r="N98" i="12"/>
  <c r="E23" i="15"/>
  <c r="AG52" i="3"/>
  <c r="Q43" i="3"/>
  <c r="Q44" i="3"/>
  <c r="Q42" i="3"/>
  <c r="T42" i="3"/>
  <c r="N16" i="16"/>
  <c r="Q41" i="3"/>
  <c r="N14" i="16"/>
  <c r="N13" i="16"/>
  <c r="N15" i="16"/>
  <c r="J114" i="3"/>
  <c r="J113" i="3"/>
  <c r="G113" i="3"/>
  <c r="J112" i="3"/>
  <c r="J111" i="3"/>
  <c r="L34" i="20"/>
  <c r="J110" i="3"/>
  <c r="J109" i="3"/>
  <c r="J108" i="3"/>
  <c r="J107" i="3"/>
  <c r="D107" i="3"/>
  <c r="E30" i="20"/>
  <c r="J106" i="3"/>
  <c r="J105" i="3"/>
  <c r="G105" i="3"/>
  <c r="Y101" i="3"/>
  <c r="V101" i="3"/>
  <c r="T101" i="3"/>
  <c r="R101" i="3"/>
  <c r="N101" i="3"/>
  <c r="L101" i="3"/>
  <c r="J101" i="3"/>
  <c r="P101" i="3"/>
  <c r="T94" i="3"/>
  <c r="T93" i="3"/>
  <c r="T92" i="3"/>
  <c r="T91" i="3"/>
  <c r="T90" i="3"/>
  <c r="T89" i="3"/>
  <c r="T88" i="3"/>
  <c r="T87" i="3"/>
  <c r="P54" i="4"/>
  <c r="R94" i="3"/>
  <c r="R93" i="3"/>
  <c r="R92" i="3"/>
  <c r="R91" i="3"/>
  <c r="R90" i="3"/>
  <c r="R89" i="3"/>
  <c r="R88" i="3"/>
  <c r="N55" i="4"/>
  <c r="R87" i="3"/>
  <c r="N54" i="4"/>
  <c r="P94" i="3"/>
  <c r="N94" i="3"/>
  <c r="L94" i="3"/>
  <c r="L93" i="3"/>
  <c r="L92" i="3"/>
  <c r="L91" i="3"/>
  <c r="L90" i="3"/>
  <c r="L89" i="3"/>
  <c r="L88" i="3"/>
  <c r="L87" i="3"/>
  <c r="Q23" i="4"/>
  <c r="Q81" i="3"/>
  <c r="W73" i="3"/>
  <c r="W72" i="3"/>
  <c r="W71" i="3"/>
  <c r="S49" i="4"/>
  <c r="W70" i="3"/>
  <c r="S48" i="4"/>
  <c r="W69" i="3"/>
  <c r="W68" i="3"/>
  <c r="W67" i="3"/>
  <c r="W66" i="3"/>
  <c r="W65" i="3"/>
  <c r="W64" i="3"/>
  <c r="W63" i="3"/>
  <c r="W62" i="3"/>
  <c r="S40" i="4"/>
  <c r="W61" i="3"/>
  <c r="W60" i="3"/>
  <c r="W59" i="3"/>
  <c r="W58" i="3"/>
  <c r="W57" i="3"/>
  <c r="W56" i="3"/>
  <c r="W55" i="3"/>
  <c r="W54" i="3"/>
  <c r="W53" i="3"/>
  <c r="W52" i="3"/>
  <c r="W51" i="3"/>
  <c r="Q73" i="3"/>
  <c r="Q72" i="3"/>
  <c r="Q71" i="3"/>
  <c r="Q70" i="3"/>
  <c r="P48" i="4"/>
  <c r="Q69" i="3"/>
  <c r="P47" i="4"/>
  <c r="Q68" i="3"/>
  <c r="Q67" i="3"/>
  <c r="Q66" i="3"/>
  <c r="Q65" i="3"/>
  <c r="Q64" i="3"/>
  <c r="Q63" i="3"/>
  <c r="Q62" i="3"/>
  <c r="Q61" i="3"/>
  <c r="Q60" i="3"/>
  <c r="Q59" i="3"/>
  <c r="Q58" i="3"/>
  <c r="Q57" i="3"/>
  <c r="Q56" i="3"/>
  <c r="Q55" i="3"/>
  <c r="Q54" i="3"/>
  <c r="P32" i="4"/>
  <c r="Q53" i="3"/>
  <c r="P31" i="4"/>
  <c r="Q52" i="3"/>
  <c r="Q51" i="3"/>
  <c r="N73" i="3"/>
  <c r="N72" i="3"/>
  <c r="N71" i="3"/>
  <c r="N70" i="3"/>
  <c r="N69" i="3"/>
  <c r="N68" i="3"/>
  <c r="M46" i="4"/>
  <c r="J73" i="3"/>
  <c r="K51" i="4"/>
  <c r="J72" i="3"/>
  <c r="J71" i="3"/>
  <c r="J70" i="3"/>
  <c r="J69" i="3"/>
  <c r="J68" i="3"/>
  <c r="J67" i="3"/>
  <c r="K45" i="4"/>
  <c r="J66" i="3"/>
  <c r="K44" i="4"/>
  <c r="J65" i="3"/>
  <c r="K43" i="4"/>
  <c r="J64" i="3"/>
  <c r="J63" i="3"/>
  <c r="K41" i="4"/>
  <c r="J62" i="3"/>
  <c r="J61" i="3"/>
  <c r="J60" i="3"/>
  <c r="J59" i="3"/>
  <c r="K37" i="4"/>
  <c r="J58" i="3"/>
  <c r="K36" i="4"/>
  <c r="J57" i="3"/>
  <c r="K35" i="4"/>
  <c r="J56" i="3"/>
  <c r="J55" i="3"/>
  <c r="K33" i="4"/>
  <c r="J54" i="3"/>
  <c r="J53" i="3"/>
  <c r="J51" i="3"/>
  <c r="J52" i="3"/>
  <c r="K30" i="4"/>
  <c r="Z40" i="3"/>
  <c r="Q23" i="3"/>
  <c r="Q20" i="3"/>
  <c r="R19" i="3"/>
  <c r="P19" i="3"/>
  <c r="Q13" i="3"/>
  <c r="M9" i="20"/>
  <c r="M4" i="3"/>
  <c r="D4" i="4"/>
  <c r="Q26" i="4"/>
  <c r="E53" i="18"/>
  <c r="C53" i="18"/>
  <c r="Q47" i="18"/>
  <c r="C51" i="18"/>
  <c r="Z35" i="13"/>
  <c r="Z36" i="13"/>
  <c r="Z37" i="13"/>
  <c r="Z39" i="13"/>
  <c r="Z42" i="13"/>
  <c r="T39" i="13"/>
  <c r="N66" i="12"/>
  <c r="M66" i="12"/>
  <c r="L66" i="12"/>
  <c r="K66" i="12"/>
  <c r="J66" i="12"/>
  <c r="N65" i="12"/>
  <c r="M65" i="12"/>
  <c r="L65" i="12"/>
  <c r="K65" i="12"/>
  <c r="J65" i="12"/>
  <c r="B17" i="8"/>
  <c r="R17" i="8"/>
  <c r="H41" i="14"/>
  <c r="D50" i="14"/>
  <c r="M31" i="13"/>
  <c r="L57" i="14"/>
  <c r="K61" i="8"/>
  <c r="R65" i="8"/>
  <c r="G3" i="17"/>
  <c r="E6" i="17"/>
  <c r="H6" i="17"/>
  <c r="E4" i="18"/>
  <c r="E6" i="18"/>
  <c r="F6" i="18"/>
  <c r="G6" i="18"/>
  <c r="E7" i="18"/>
  <c r="B7" i="18"/>
  <c r="E8" i="18"/>
  <c r="B8" i="18"/>
  <c r="D18" i="18"/>
  <c r="D19" i="18"/>
  <c r="E19" i="18"/>
  <c r="I19" i="18"/>
  <c r="C22" i="18"/>
  <c r="E22" i="18"/>
  <c r="C23" i="18"/>
  <c r="E23" i="18"/>
  <c r="P23" i="18"/>
  <c r="C24" i="18"/>
  <c r="E24" i="18"/>
  <c r="C30" i="18"/>
  <c r="AD98" i="3"/>
  <c r="E10" i="18"/>
  <c r="N26" i="18"/>
  <c r="N27" i="18"/>
  <c r="N28" i="18"/>
  <c r="C38" i="18"/>
  <c r="C34" i="18"/>
  <c r="C41" i="18"/>
  <c r="E41" i="18"/>
  <c r="E26" i="18"/>
  <c r="E25" i="18"/>
  <c r="C28" i="18"/>
  <c r="E27" i="18"/>
  <c r="C49" i="18"/>
  <c r="R13" i="3"/>
  <c r="N9" i="20"/>
  <c r="O9" i="20"/>
  <c r="Z16" i="20"/>
  <c r="E27" i="20"/>
  <c r="I27" i="20"/>
  <c r="I28" i="20"/>
  <c r="L28" i="20"/>
  <c r="L30" i="20"/>
  <c r="D108" i="3"/>
  <c r="E31" i="20"/>
  <c r="G108" i="3"/>
  <c r="I31" i="20"/>
  <c r="L31" i="20"/>
  <c r="D109" i="3"/>
  <c r="E32" i="20"/>
  <c r="G109" i="3"/>
  <c r="I32" i="20"/>
  <c r="L32" i="20"/>
  <c r="D110" i="3"/>
  <c r="E33" i="20"/>
  <c r="G110" i="3"/>
  <c r="I33" i="20"/>
  <c r="L33" i="20"/>
  <c r="D111" i="3"/>
  <c r="E34" i="20"/>
  <c r="D112" i="3"/>
  <c r="E35" i="20"/>
  <c r="G112" i="3"/>
  <c r="I35" i="20"/>
  <c r="L35" i="20"/>
  <c r="D113" i="3"/>
  <c r="E36" i="20"/>
  <c r="I36" i="20"/>
  <c r="I17" i="15"/>
  <c r="J17" i="15"/>
  <c r="K17" i="15"/>
  <c r="M10" i="13"/>
  <c r="H13" i="13"/>
  <c r="H21" i="15"/>
  <c r="H23" i="15"/>
  <c r="K23" i="15"/>
  <c r="R15" i="13"/>
  <c r="R23" i="15"/>
  <c r="R16" i="13"/>
  <c r="R24" i="15"/>
  <c r="H29" i="15"/>
  <c r="J29" i="15"/>
  <c r="H34" i="15"/>
  <c r="M34" i="15"/>
  <c r="L2" i="14"/>
  <c r="D19" i="14"/>
  <c r="G19" i="11"/>
  <c r="G19" i="14"/>
  <c r="H19" i="11"/>
  <c r="H19" i="14"/>
  <c r="I19" i="11"/>
  <c r="I19" i="14"/>
  <c r="J19" i="11"/>
  <c r="J19" i="14"/>
  <c r="K19" i="11"/>
  <c r="K19" i="14"/>
  <c r="G14" i="11"/>
  <c r="J14" i="11"/>
  <c r="K14" i="11"/>
  <c r="AN7" i="8"/>
  <c r="AZ7" i="8"/>
  <c r="AT24" i="8"/>
  <c r="AT7" i="8"/>
  <c r="D39" i="14"/>
  <c r="D40" i="14"/>
  <c r="H31" i="13"/>
  <c r="G57" i="14"/>
  <c r="G59" i="14"/>
  <c r="L59" i="14"/>
  <c r="AJ59" i="14"/>
  <c r="N1" i="4"/>
  <c r="D5" i="4"/>
  <c r="D6" i="4"/>
  <c r="P6" i="4"/>
  <c r="Q6" i="4"/>
  <c r="D7" i="4"/>
  <c r="D8" i="4"/>
  <c r="P7" i="4"/>
  <c r="R7" i="4"/>
  <c r="G8" i="4"/>
  <c r="P8" i="4"/>
  <c r="R8" i="4"/>
  <c r="D9" i="4"/>
  <c r="F9" i="4"/>
  <c r="P9" i="4"/>
  <c r="R9" i="4"/>
  <c r="D10" i="4"/>
  <c r="P10" i="4"/>
  <c r="D11" i="4"/>
  <c r="P11" i="4"/>
  <c r="Q15" i="4"/>
  <c r="S15" i="4"/>
  <c r="V15" i="4"/>
  <c r="E16" i="4"/>
  <c r="P16" i="4"/>
  <c r="P17" i="4"/>
  <c r="P18" i="4"/>
  <c r="P19" i="4"/>
  <c r="P20" i="4"/>
  <c r="Q22" i="4"/>
  <c r="Q79" i="3"/>
  <c r="Q24" i="4"/>
  <c r="O51" i="3"/>
  <c r="K29" i="4"/>
  <c r="L29" i="4"/>
  <c r="M29" i="4"/>
  <c r="O29" i="4"/>
  <c r="P29" i="4"/>
  <c r="Q29" i="4"/>
  <c r="R29" i="4"/>
  <c r="S29" i="4"/>
  <c r="L30" i="4"/>
  <c r="M30" i="4"/>
  <c r="O30" i="4"/>
  <c r="P30" i="4"/>
  <c r="R30" i="4"/>
  <c r="S30" i="4"/>
  <c r="K31" i="4"/>
  <c r="L31" i="4"/>
  <c r="M31" i="4"/>
  <c r="O31" i="4"/>
  <c r="Q31" i="4"/>
  <c r="R31" i="4"/>
  <c r="S31" i="4"/>
  <c r="K32" i="4"/>
  <c r="L32" i="4"/>
  <c r="M32" i="4"/>
  <c r="O32" i="4"/>
  <c r="Q32" i="4"/>
  <c r="R32" i="4"/>
  <c r="L33" i="4"/>
  <c r="M33" i="4"/>
  <c r="O33" i="4"/>
  <c r="P33" i="4"/>
  <c r="Q33" i="4"/>
  <c r="R33" i="4"/>
  <c r="S33" i="4"/>
  <c r="K34" i="4"/>
  <c r="L34" i="4"/>
  <c r="M34" i="4"/>
  <c r="O34" i="4"/>
  <c r="P34" i="4"/>
  <c r="Q34" i="4"/>
  <c r="R34" i="4"/>
  <c r="S34" i="4"/>
  <c r="L35" i="4"/>
  <c r="M35" i="4"/>
  <c r="O35" i="4"/>
  <c r="P35" i="4"/>
  <c r="Q35" i="4"/>
  <c r="R35" i="4"/>
  <c r="S35" i="4"/>
  <c r="L36" i="4"/>
  <c r="M36" i="4"/>
  <c r="O36" i="4"/>
  <c r="P36" i="4"/>
  <c r="R36" i="4"/>
  <c r="S36" i="4"/>
  <c r="L37" i="4"/>
  <c r="M37" i="4"/>
  <c r="O37" i="4"/>
  <c r="P37" i="4"/>
  <c r="Q37" i="4"/>
  <c r="R37" i="4"/>
  <c r="S37" i="4"/>
  <c r="K38" i="4"/>
  <c r="L38" i="4"/>
  <c r="M38" i="4"/>
  <c r="O38" i="4"/>
  <c r="P38" i="4"/>
  <c r="R38" i="4"/>
  <c r="S38" i="4"/>
  <c r="K39" i="4"/>
  <c r="L39" i="4"/>
  <c r="M39" i="4"/>
  <c r="O39" i="4"/>
  <c r="P39" i="4"/>
  <c r="Q39" i="4"/>
  <c r="R39" i="4"/>
  <c r="S39" i="4"/>
  <c r="K40" i="4"/>
  <c r="L40" i="4"/>
  <c r="M40" i="4"/>
  <c r="O40" i="4"/>
  <c r="P40" i="4"/>
  <c r="Q40" i="4"/>
  <c r="R40" i="4"/>
  <c r="L41" i="4"/>
  <c r="M41" i="4"/>
  <c r="O41" i="4"/>
  <c r="P41" i="4"/>
  <c r="Q41" i="4"/>
  <c r="R41" i="4"/>
  <c r="S41" i="4"/>
  <c r="K42" i="4"/>
  <c r="L42" i="4"/>
  <c r="M42" i="4"/>
  <c r="O42" i="4"/>
  <c r="P42" i="4"/>
  <c r="Q42" i="4"/>
  <c r="R42" i="4"/>
  <c r="S42" i="4"/>
  <c r="L43" i="4"/>
  <c r="O43" i="4"/>
  <c r="P43" i="4"/>
  <c r="Q43" i="4"/>
  <c r="R43" i="4"/>
  <c r="S43" i="4"/>
  <c r="L44" i="4"/>
  <c r="M44" i="4"/>
  <c r="O44" i="4"/>
  <c r="P44" i="4"/>
  <c r="Q44" i="4"/>
  <c r="R44" i="4"/>
  <c r="S44" i="4"/>
  <c r="L45" i="4"/>
  <c r="M45" i="4"/>
  <c r="O45" i="4"/>
  <c r="P45" i="4"/>
  <c r="Q45" i="4"/>
  <c r="R45" i="4"/>
  <c r="S45" i="4"/>
  <c r="K46" i="4"/>
  <c r="L46" i="4"/>
  <c r="O46" i="4"/>
  <c r="P46" i="4"/>
  <c r="R46" i="4"/>
  <c r="S46" i="4"/>
  <c r="K47" i="4"/>
  <c r="M47" i="4"/>
  <c r="O47" i="4"/>
  <c r="R47" i="4"/>
  <c r="S47" i="4"/>
  <c r="K48" i="4"/>
  <c r="L48" i="4"/>
  <c r="M48" i="4"/>
  <c r="O48" i="4"/>
  <c r="R48" i="4"/>
  <c r="K49" i="4"/>
  <c r="M49" i="4"/>
  <c r="O49" i="4"/>
  <c r="P49" i="4"/>
  <c r="R49" i="4"/>
  <c r="K50" i="4"/>
  <c r="L50" i="4"/>
  <c r="M50" i="4"/>
  <c r="O50" i="4"/>
  <c r="P50" i="4"/>
  <c r="R50" i="4"/>
  <c r="S50" i="4"/>
  <c r="L51" i="4"/>
  <c r="M51" i="4"/>
  <c r="O51" i="4"/>
  <c r="P51" i="4"/>
  <c r="R51" i="4"/>
  <c r="S51" i="4"/>
  <c r="G54" i="4"/>
  <c r="H54" i="4"/>
  <c r="J54" i="4"/>
  <c r="L54" i="4"/>
  <c r="R54" i="4"/>
  <c r="W87" i="3"/>
  <c r="S54" i="4"/>
  <c r="T54" i="4"/>
  <c r="Y87" i="3"/>
  <c r="U54" i="4"/>
  <c r="G55" i="4"/>
  <c r="H55" i="4"/>
  <c r="J55" i="4"/>
  <c r="L55" i="4"/>
  <c r="P55" i="4"/>
  <c r="R55" i="4"/>
  <c r="W88" i="3"/>
  <c r="S55" i="4"/>
  <c r="T55" i="4"/>
  <c r="Y88" i="3"/>
  <c r="U55" i="4"/>
  <c r="G56" i="4"/>
  <c r="H56" i="4"/>
  <c r="J56" i="4"/>
  <c r="L56" i="4"/>
  <c r="N56" i="4"/>
  <c r="P56" i="4"/>
  <c r="R56" i="4"/>
  <c r="W89" i="3"/>
  <c r="S56" i="4"/>
  <c r="T56" i="4"/>
  <c r="Y89" i="3"/>
  <c r="U56" i="4"/>
  <c r="G57" i="4"/>
  <c r="H57" i="4"/>
  <c r="J57" i="4"/>
  <c r="L57" i="4"/>
  <c r="N57" i="4"/>
  <c r="P57" i="4"/>
  <c r="R57" i="4"/>
  <c r="W90" i="3"/>
  <c r="S57" i="4"/>
  <c r="T57" i="4"/>
  <c r="Y90" i="3"/>
  <c r="U57" i="4"/>
  <c r="G58" i="4"/>
  <c r="H58" i="4"/>
  <c r="J58" i="4"/>
  <c r="L58" i="4"/>
  <c r="N58" i="4"/>
  <c r="P58" i="4"/>
  <c r="R58" i="4"/>
  <c r="W91" i="3"/>
  <c r="S58" i="4"/>
  <c r="T58" i="4"/>
  <c r="G59" i="4"/>
  <c r="H59" i="4"/>
  <c r="J59" i="4"/>
  <c r="L59" i="4"/>
  <c r="N59" i="4"/>
  <c r="P59" i="4"/>
  <c r="R59" i="4"/>
  <c r="W92" i="3"/>
  <c r="S59" i="4"/>
  <c r="T59" i="4"/>
  <c r="Y92" i="3"/>
  <c r="U59" i="4"/>
  <c r="G60" i="4"/>
  <c r="H60" i="4"/>
  <c r="J60" i="4"/>
  <c r="L60" i="4"/>
  <c r="N60" i="4"/>
  <c r="P60" i="4"/>
  <c r="R60" i="4"/>
  <c r="W93" i="3"/>
  <c r="S60" i="4"/>
  <c r="T60" i="4"/>
  <c r="Y93" i="3"/>
  <c r="U60" i="4"/>
  <c r="G61" i="4"/>
  <c r="H61" i="4"/>
  <c r="J61" i="4"/>
  <c r="L61" i="4"/>
  <c r="N61" i="4"/>
  <c r="P61" i="4"/>
  <c r="R61" i="4"/>
  <c r="W94" i="3"/>
  <c r="S61" i="4"/>
  <c r="T61" i="4"/>
  <c r="Y94" i="3"/>
  <c r="U61" i="4"/>
  <c r="K66" i="4"/>
  <c r="O66" i="4"/>
  <c r="X101" i="3"/>
  <c r="C72" i="4"/>
  <c r="C73" i="4"/>
  <c r="C74" i="4"/>
  <c r="C75" i="4"/>
  <c r="C76" i="4"/>
  <c r="V2" i="16"/>
  <c r="O7" i="16"/>
  <c r="P7" i="16"/>
  <c r="Q7" i="16"/>
  <c r="N10" i="16"/>
  <c r="Q10" i="16"/>
  <c r="AU10" i="16"/>
  <c r="T10" i="16"/>
  <c r="AV10" i="16"/>
  <c r="W10" i="16"/>
  <c r="AW10" i="16"/>
  <c r="N22" i="16"/>
  <c r="AT10" i="16"/>
  <c r="N21" i="16"/>
  <c r="N23" i="16"/>
  <c r="G23" i="16"/>
  <c r="N33" i="16"/>
  <c r="Q82" i="3"/>
  <c r="N34" i="16"/>
  <c r="N35" i="16"/>
  <c r="J5" i="9"/>
  <c r="I8" i="9"/>
  <c r="K8" i="9"/>
  <c r="L15" i="9"/>
  <c r="L18" i="9"/>
  <c r="L19" i="9"/>
  <c r="L20" i="9"/>
  <c r="L21" i="9"/>
  <c r="O5" i="19"/>
  <c r="AB3" i="11"/>
  <c r="AH12" i="11"/>
  <c r="AK14" i="11"/>
  <c r="AK17" i="11"/>
  <c r="AK19" i="11"/>
  <c r="BL26" i="11"/>
  <c r="AQ28" i="11"/>
  <c r="B28" i="11"/>
  <c r="B29" i="11"/>
  <c r="AM29" i="11"/>
  <c r="B30" i="11"/>
  <c r="AM30" i="11"/>
  <c r="AQ31" i="11"/>
  <c r="AQ32" i="11"/>
  <c r="B32" i="11"/>
  <c r="AM32" i="11"/>
  <c r="B34" i="11"/>
  <c r="AM34" i="11"/>
  <c r="AH18" i="11"/>
  <c r="AQ35" i="11"/>
  <c r="AQ36" i="11"/>
  <c r="S38" i="11"/>
  <c r="AC38" i="11"/>
  <c r="S39" i="11"/>
  <c r="AC39" i="11"/>
  <c r="AQ39" i="11"/>
  <c r="M4" i="10"/>
  <c r="R8" i="10"/>
  <c r="Q9" i="10"/>
  <c r="AY13" i="10"/>
  <c r="P16" i="10"/>
  <c r="C16" i="10"/>
  <c r="T16" i="10"/>
  <c r="AH16" i="10"/>
  <c r="K6" i="10"/>
  <c r="R6" i="10"/>
  <c r="Q6" i="10"/>
  <c r="P17" i="10"/>
  <c r="P21" i="10"/>
  <c r="T21" i="10"/>
  <c r="P22" i="10"/>
  <c r="C22" i="10"/>
  <c r="L22" i="10"/>
  <c r="AL22" i="10"/>
  <c r="AR22" i="10"/>
  <c r="AG51" i="3"/>
  <c r="AG53" i="3"/>
  <c r="AG54" i="3"/>
  <c r="P23" i="10"/>
  <c r="AR23" i="10"/>
  <c r="P24" i="10"/>
  <c r="U24" i="10"/>
  <c r="AL24" i="10"/>
  <c r="AR24" i="10"/>
  <c r="AL25" i="10"/>
  <c r="AR25" i="10"/>
  <c r="C26" i="10"/>
  <c r="L26" i="10"/>
  <c r="P26" i="10"/>
  <c r="T26" i="10"/>
  <c r="U26" i="10"/>
  <c r="L27" i="10"/>
  <c r="M27" i="10"/>
  <c r="N27" i="10"/>
  <c r="S27" i="10"/>
  <c r="T27" i="10"/>
  <c r="U27" i="10"/>
  <c r="K31" i="10"/>
  <c r="C31" i="10"/>
  <c r="L31" i="10"/>
  <c r="O49" i="10"/>
  <c r="T31" i="10"/>
  <c r="W31" i="10"/>
  <c r="K32" i="10"/>
  <c r="C32" i="10"/>
  <c r="G32" i="10"/>
  <c r="L32" i="10"/>
  <c r="O50" i="10"/>
  <c r="T32" i="10"/>
  <c r="W32" i="10"/>
  <c r="X32" i="10"/>
  <c r="K33" i="10"/>
  <c r="G33" i="10"/>
  <c r="C33" i="10"/>
  <c r="T33" i="10"/>
  <c r="W33" i="10"/>
  <c r="X33" i="10"/>
  <c r="K34" i="10"/>
  <c r="C34" i="10"/>
  <c r="L34" i="10"/>
  <c r="O52" i="10"/>
  <c r="T34" i="10"/>
  <c r="W34" i="10"/>
  <c r="K35" i="10"/>
  <c r="C35" i="10"/>
  <c r="G35" i="10"/>
  <c r="L35" i="10"/>
  <c r="O53" i="10"/>
  <c r="T35" i="10"/>
  <c r="W35" i="10"/>
  <c r="X35" i="10"/>
  <c r="K36" i="10"/>
  <c r="C36" i="10"/>
  <c r="G36" i="10"/>
  <c r="L36" i="10"/>
  <c r="O54" i="10"/>
  <c r="T36" i="10"/>
  <c r="W36" i="10"/>
  <c r="X36" i="10"/>
  <c r="K37" i="10"/>
  <c r="G37" i="10"/>
  <c r="C37" i="10"/>
  <c r="T37" i="10"/>
  <c r="W37" i="10"/>
  <c r="X37" i="10"/>
  <c r="K38" i="10"/>
  <c r="P38" i="10"/>
  <c r="C38" i="10"/>
  <c r="L38" i="10"/>
  <c r="T38" i="10"/>
  <c r="W38" i="10"/>
  <c r="K39" i="10"/>
  <c r="P39" i="10"/>
  <c r="P57" i="10"/>
  <c r="C39" i="10"/>
  <c r="G39" i="10"/>
  <c r="L39" i="10"/>
  <c r="T39" i="10"/>
  <c r="W39" i="10"/>
  <c r="X39" i="10"/>
  <c r="K40" i="10"/>
  <c r="P40" i="10"/>
  <c r="P58" i="10"/>
  <c r="G40" i="10"/>
  <c r="L40" i="10"/>
  <c r="T40" i="10"/>
  <c r="W40" i="10"/>
  <c r="X40" i="10"/>
  <c r="K41" i="10"/>
  <c r="G41" i="10"/>
  <c r="C41" i="10"/>
  <c r="T41" i="10"/>
  <c r="W41" i="10"/>
  <c r="X41" i="10"/>
  <c r="K42" i="10"/>
  <c r="C42" i="10"/>
  <c r="T42" i="10"/>
  <c r="W42" i="10"/>
  <c r="K43" i="10"/>
  <c r="X43" i="10"/>
  <c r="C43" i="10"/>
  <c r="P43" i="10"/>
  <c r="P61" i="10"/>
  <c r="T43" i="10"/>
  <c r="W43" i="10"/>
  <c r="K44" i="10"/>
  <c r="X44" i="10"/>
  <c r="C44" i="10"/>
  <c r="L44" i="10"/>
  <c r="P44" i="10"/>
  <c r="P62" i="10"/>
  <c r="T44" i="10"/>
  <c r="W44" i="10"/>
  <c r="K45" i="10"/>
  <c r="C45" i="10"/>
  <c r="L45" i="10"/>
  <c r="P45" i="10"/>
  <c r="P63" i="10"/>
  <c r="T45" i="10"/>
  <c r="W45" i="10"/>
  <c r="X45" i="10"/>
  <c r="T49" i="10"/>
  <c r="W49" i="10"/>
  <c r="X49" i="10"/>
  <c r="T50" i="10"/>
  <c r="W50" i="10"/>
  <c r="X50" i="10"/>
  <c r="T51" i="10"/>
  <c r="W51" i="10"/>
  <c r="X51" i="10"/>
  <c r="T52" i="10"/>
  <c r="W52" i="10"/>
  <c r="X52" i="10"/>
  <c r="T53" i="10"/>
  <c r="W53" i="10"/>
  <c r="X53" i="10"/>
  <c r="T54" i="10"/>
  <c r="W54" i="10"/>
  <c r="X54" i="10"/>
  <c r="T55" i="10"/>
  <c r="W55" i="10"/>
  <c r="X55" i="10"/>
  <c r="P56" i="10"/>
  <c r="T56" i="10"/>
  <c r="W56" i="10"/>
  <c r="X56" i="10"/>
  <c r="K57" i="10"/>
  <c r="L57" i="10"/>
  <c r="T57" i="10"/>
  <c r="W57" i="10"/>
  <c r="X57" i="10"/>
  <c r="K58" i="10"/>
  <c r="C58" i="10"/>
  <c r="T58" i="10"/>
  <c r="W58" i="10"/>
  <c r="X58" i="10"/>
  <c r="K59" i="10"/>
  <c r="C59" i="10"/>
  <c r="L59" i="10"/>
  <c r="T59" i="10"/>
  <c r="W59" i="10"/>
  <c r="X59" i="10"/>
  <c r="T60" i="10"/>
  <c r="W60" i="10"/>
  <c r="X60" i="10"/>
  <c r="T61" i="10"/>
  <c r="W61" i="10"/>
  <c r="T62" i="10"/>
  <c r="W62" i="10"/>
  <c r="K63" i="10"/>
  <c r="X63" i="10"/>
  <c r="C63" i="10"/>
  <c r="T63" i="10"/>
  <c r="W63" i="10"/>
  <c r="K67" i="10"/>
  <c r="L67" i="10"/>
  <c r="C67" i="10"/>
  <c r="P67" i="10"/>
  <c r="K68" i="10"/>
  <c r="C68" i="10"/>
  <c r="L68" i="10"/>
  <c r="P68" i="10"/>
  <c r="T68" i="10"/>
  <c r="W68" i="10"/>
  <c r="X68" i="10"/>
  <c r="K69" i="10"/>
  <c r="C69" i="10"/>
  <c r="L69" i="10"/>
  <c r="P69" i="10"/>
  <c r="T69" i="10"/>
  <c r="W69" i="10"/>
  <c r="X69" i="10"/>
  <c r="K70" i="10"/>
  <c r="L70" i="10"/>
  <c r="P70" i="10"/>
  <c r="T70" i="10"/>
  <c r="W70" i="10"/>
  <c r="X70" i="10"/>
  <c r="K71" i="10"/>
  <c r="P71" i="10"/>
  <c r="C71" i="10"/>
  <c r="W71" i="10"/>
  <c r="X71" i="10"/>
  <c r="K73" i="10"/>
  <c r="P73" i="10"/>
  <c r="L73" i="10"/>
  <c r="K74" i="10"/>
  <c r="T74" i="10"/>
  <c r="C74" i="10"/>
  <c r="L74" i="10"/>
  <c r="P74" i="10"/>
  <c r="W74" i="10"/>
  <c r="K78" i="10"/>
  <c r="W78" i="10"/>
  <c r="L78" i="10"/>
  <c r="P78" i="10"/>
  <c r="T78" i="10"/>
  <c r="T107" i="10"/>
  <c r="X78" i="10"/>
  <c r="C79" i="10"/>
  <c r="K79" i="10"/>
  <c r="L79" i="10"/>
  <c r="P79" i="10"/>
  <c r="T79" i="10"/>
  <c r="W79" i="10"/>
  <c r="X79" i="10"/>
  <c r="C80" i="10"/>
  <c r="K80" i="10"/>
  <c r="L80" i="10"/>
  <c r="P80" i="10"/>
  <c r="T80" i="10"/>
  <c r="T109" i="10"/>
  <c r="W80" i="10"/>
  <c r="X80" i="10"/>
  <c r="C81" i="10"/>
  <c r="K81" i="10"/>
  <c r="L81" i="10"/>
  <c r="W81" i="10"/>
  <c r="C82" i="10"/>
  <c r="K82" i="10"/>
  <c r="P82" i="10"/>
  <c r="L82" i="10"/>
  <c r="W82" i="10"/>
  <c r="X82" i="10"/>
  <c r="K83" i="10"/>
  <c r="L83" i="10"/>
  <c r="C84" i="10"/>
  <c r="K84" i="10"/>
  <c r="P84" i="10"/>
  <c r="L84" i="10"/>
  <c r="T84" i="10"/>
  <c r="T113" i="10"/>
  <c r="C85" i="10"/>
  <c r="K85" i="10"/>
  <c r="T85" i="10"/>
  <c r="T114" i="10"/>
  <c r="P85" i="10"/>
  <c r="T89" i="10"/>
  <c r="K90" i="10"/>
  <c r="C90" i="10"/>
  <c r="L90" i="10"/>
  <c r="P90" i="10"/>
  <c r="T90" i="10"/>
  <c r="W90" i="10"/>
  <c r="X90" i="10"/>
  <c r="K91" i="10"/>
  <c r="C91" i="10"/>
  <c r="T91" i="10"/>
  <c r="X91" i="10"/>
  <c r="K92" i="10"/>
  <c r="L92" i="10"/>
  <c r="C92" i="10"/>
  <c r="T92" i="10"/>
  <c r="W92" i="10"/>
  <c r="X92" i="10"/>
  <c r="K93" i="10"/>
  <c r="C93" i="10"/>
  <c r="T93" i="10"/>
  <c r="K94" i="10"/>
  <c r="L94" i="10"/>
  <c r="C94" i="10"/>
  <c r="P94" i="10"/>
  <c r="T94" i="10"/>
  <c r="K95" i="10"/>
  <c r="P95" i="10"/>
  <c r="L95" i="10"/>
  <c r="T95" i="10"/>
  <c r="K96" i="10"/>
  <c r="X96" i="10"/>
  <c r="C96" i="10"/>
  <c r="L96" i="10"/>
  <c r="P96" i="10"/>
  <c r="T96" i="10"/>
  <c r="W96" i="10"/>
  <c r="T97" i="10"/>
  <c r="K98" i="10"/>
  <c r="C98" i="10"/>
  <c r="L98" i="10"/>
  <c r="P98" i="10"/>
  <c r="T98" i="10"/>
  <c r="W98" i="10"/>
  <c r="X98" i="10"/>
  <c r="K99" i="10"/>
  <c r="C99" i="10"/>
  <c r="T99" i="10"/>
  <c r="X99" i="10"/>
  <c r="T100" i="10"/>
  <c r="K101" i="10"/>
  <c r="C101" i="10"/>
  <c r="T101" i="10"/>
  <c r="K102" i="10"/>
  <c r="L102" i="10"/>
  <c r="C102" i="10"/>
  <c r="P102" i="10"/>
  <c r="T102" i="10"/>
  <c r="K103" i="10"/>
  <c r="P103" i="10"/>
  <c r="L103" i="10"/>
  <c r="K108" i="10"/>
  <c r="C108" i="10"/>
  <c r="L108" i="10"/>
  <c r="P108" i="10"/>
  <c r="T108" i="10"/>
  <c r="W108" i="10"/>
  <c r="X108" i="10"/>
  <c r="K110" i="10"/>
  <c r="C110" i="10"/>
  <c r="X110" i="10"/>
  <c r="K111" i="10"/>
  <c r="L111" i="10"/>
  <c r="C111" i="10"/>
  <c r="W111" i="10"/>
  <c r="X111" i="10"/>
  <c r="K114" i="10"/>
  <c r="P114" i="10"/>
  <c r="L114" i="10"/>
  <c r="F118" i="10"/>
  <c r="C118" i="10"/>
  <c r="H118" i="10"/>
  <c r="I118" i="10"/>
  <c r="N118" i="10"/>
  <c r="P118" i="10"/>
  <c r="L118" i="10"/>
  <c r="U118" i="10"/>
  <c r="S118" i="10"/>
  <c r="W118" i="10"/>
  <c r="X118" i="10"/>
  <c r="F119" i="10"/>
  <c r="H119" i="10"/>
  <c r="C119" i="10"/>
  <c r="N119" i="10"/>
  <c r="L119" i="10"/>
  <c r="P119" i="10"/>
  <c r="Q119" i="10"/>
  <c r="U119" i="10"/>
  <c r="W119" i="10"/>
  <c r="S119" i="10"/>
  <c r="F120" i="10"/>
  <c r="C120" i="10"/>
  <c r="H120" i="10"/>
  <c r="I120" i="10"/>
  <c r="N120" i="10"/>
  <c r="P120" i="10"/>
  <c r="L120" i="10"/>
  <c r="U120" i="10"/>
  <c r="S120" i="10"/>
  <c r="W120" i="10"/>
  <c r="X120" i="10"/>
  <c r="F121" i="10"/>
  <c r="H121" i="10"/>
  <c r="C121" i="10"/>
  <c r="N121" i="10"/>
  <c r="L121" i="10"/>
  <c r="P121" i="10"/>
  <c r="Q121" i="10"/>
  <c r="U121" i="10"/>
  <c r="W121" i="10"/>
  <c r="S121" i="10"/>
  <c r="F122" i="10"/>
  <c r="C122" i="10"/>
  <c r="H122" i="10"/>
  <c r="I122" i="10"/>
  <c r="N122" i="10"/>
  <c r="P122" i="10"/>
  <c r="L122" i="10"/>
  <c r="U122" i="10"/>
  <c r="S122" i="10"/>
  <c r="W122" i="10"/>
  <c r="X122" i="10"/>
  <c r="F123" i="10"/>
  <c r="H123" i="10"/>
  <c r="C123" i="10"/>
  <c r="N123" i="10"/>
  <c r="L123" i="10"/>
  <c r="P123" i="10"/>
  <c r="Q123" i="10"/>
  <c r="U123" i="10"/>
  <c r="W123" i="10"/>
  <c r="S123" i="10"/>
  <c r="F124" i="10"/>
  <c r="C124" i="10"/>
  <c r="H124" i="10"/>
  <c r="I124" i="10"/>
  <c r="N124" i="10"/>
  <c r="P124" i="10"/>
  <c r="L124" i="10"/>
  <c r="U124" i="10"/>
  <c r="S124" i="10"/>
  <c r="W124" i="10"/>
  <c r="X124" i="10"/>
  <c r="F125" i="10"/>
  <c r="H125" i="10"/>
  <c r="C125" i="10"/>
  <c r="N125" i="10"/>
  <c r="L125" i="10"/>
  <c r="P125" i="10"/>
  <c r="Q125" i="10"/>
  <c r="U125" i="10"/>
  <c r="W125" i="10"/>
  <c r="S125" i="10"/>
  <c r="O128" i="10"/>
  <c r="C131" i="10"/>
  <c r="K131" i="10"/>
  <c r="P131" i="10"/>
  <c r="T131" i="10"/>
  <c r="W131" i="10"/>
  <c r="X131" i="10"/>
  <c r="K135" i="10"/>
  <c r="C135" i="10"/>
  <c r="L135" i="10"/>
  <c r="N135" i="10"/>
  <c r="R135" i="10"/>
  <c r="T135" i="10"/>
  <c r="U135" i="10"/>
  <c r="W135" i="10"/>
  <c r="X135" i="10"/>
  <c r="K136" i="10"/>
  <c r="C136" i="10"/>
  <c r="L136" i="10"/>
  <c r="N136" i="10"/>
  <c r="R136" i="10"/>
  <c r="T136" i="10"/>
  <c r="U136" i="10"/>
  <c r="W136" i="10"/>
  <c r="X136" i="10"/>
  <c r="K137" i="10"/>
  <c r="R137" i="10"/>
  <c r="T137" i="10"/>
  <c r="C137" i="10"/>
  <c r="L137" i="10"/>
  <c r="N137" i="10"/>
  <c r="W137" i="10"/>
  <c r="X137" i="10"/>
  <c r="K138" i="10"/>
  <c r="N138" i="10"/>
  <c r="L138" i="10"/>
  <c r="W138" i="10"/>
  <c r="X138" i="10"/>
  <c r="K139" i="10"/>
  <c r="L139" i="10"/>
  <c r="C139" i="10"/>
  <c r="N139" i="10"/>
  <c r="W139" i="10"/>
  <c r="X139" i="10"/>
  <c r="K140" i="10"/>
  <c r="C140" i="10"/>
  <c r="W140" i="10"/>
  <c r="X140" i="10"/>
  <c r="K141" i="10"/>
  <c r="L141" i="10"/>
  <c r="C141" i="10"/>
  <c r="R141" i="10"/>
  <c r="T141" i="10"/>
  <c r="U141" i="10"/>
  <c r="W141" i="10"/>
  <c r="X141" i="10"/>
  <c r="K142" i="10"/>
  <c r="C142" i="10"/>
  <c r="R142" i="10"/>
  <c r="T142" i="10"/>
  <c r="U142" i="10"/>
  <c r="W142" i="10"/>
  <c r="X142" i="10"/>
  <c r="K143" i="10"/>
  <c r="C143" i="10"/>
  <c r="L143" i="10"/>
  <c r="N143" i="10"/>
  <c r="R143" i="10"/>
  <c r="T143" i="10"/>
  <c r="U143" i="10"/>
  <c r="W143" i="10"/>
  <c r="X143" i="10"/>
  <c r="K144" i="10"/>
  <c r="C144" i="10"/>
  <c r="L144" i="10"/>
  <c r="N144" i="10"/>
  <c r="R144" i="10"/>
  <c r="T144" i="10"/>
  <c r="U144" i="10"/>
  <c r="W144" i="10"/>
  <c r="X144" i="10"/>
  <c r="K145" i="10"/>
  <c r="R145" i="10"/>
  <c r="T145" i="10"/>
  <c r="C145" i="10"/>
  <c r="L145" i="10"/>
  <c r="N145" i="10"/>
  <c r="W145" i="10"/>
  <c r="X145" i="10"/>
  <c r="K146" i="10"/>
  <c r="N146" i="10"/>
  <c r="L146" i="10"/>
  <c r="W146" i="10"/>
  <c r="X146" i="10"/>
  <c r="K147" i="10"/>
  <c r="L147" i="10"/>
  <c r="C147" i="10"/>
  <c r="N147" i="10"/>
  <c r="W147" i="10"/>
  <c r="X147" i="10"/>
  <c r="K148" i="10"/>
  <c r="C148" i="10"/>
  <c r="W148" i="10"/>
  <c r="X148" i="10"/>
  <c r="K149" i="10"/>
  <c r="L149" i="10"/>
  <c r="C149" i="10"/>
  <c r="R149" i="10"/>
  <c r="T149" i="10"/>
  <c r="U149" i="10"/>
  <c r="W149" i="10"/>
  <c r="X149" i="10"/>
  <c r="K150" i="10"/>
  <c r="C150" i="10"/>
  <c r="R150" i="10"/>
  <c r="T150" i="10"/>
  <c r="U150" i="10"/>
  <c r="W150" i="10"/>
  <c r="X150" i="10"/>
  <c r="K151" i="10"/>
  <c r="C151" i="10"/>
  <c r="L151" i="10"/>
  <c r="N151" i="10"/>
  <c r="R151" i="10"/>
  <c r="T151" i="10"/>
  <c r="U151" i="10"/>
  <c r="W151" i="10"/>
  <c r="X151" i="10"/>
  <c r="C155" i="10"/>
  <c r="K155" i="10"/>
  <c r="S155" i="10"/>
  <c r="T155" i="10"/>
  <c r="P156" i="10"/>
  <c r="K156" i="10"/>
  <c r="S156" i="10"/>
  <c r="C156" i="10"/>
  <c r="P160" i="10"/>
  <c r="T160" i="10"/>
  <c r="K160" i="10"/>
  <c r="S160" i="10"/>
  <c r="V160" i="10"/>
  <c r="T162" i="10"/>
  <c r="T163" i="10"/>
  <c r="T165" i="10"/>
  <c r="P166" i="10"/>
  <c r="C166" i="10"/>
  <c r="P174" i="10"/>
  <c r="S174" i="10"/>
  <c r="K174" i="10"/>
  <c r="P175" i="10"/>
  <c r="C175" i="10"/>
  <c r="K175" i="10"/>
  <c r="S175" i="10"/>
  <c r="T175" i="10"/>
  <c r="P176" i="10"/>
  <c r="C176" i="10"/>
  <c r="P177" i="10"/>
  <c r="C177" i="10"/>
  <c r="K177" i="10"/>
  <c r="S177" i="10"/>
  <c r="T177" i="10"/>
  <c r="D9" i="3"/>
  <c r="G9" i="3"/>
  <c r="D10" i="3"/>
  <c r="G10" i="3"/>
  <c r="AT10" i="3"/>
  <c r="D11" i="3"/>
  <c r="G11" i="3"/>
  <c r="T11" i="3"/>
  <c r="D12" i="3"/>
  <c r="G12" i="3"/>
  <c r="T12" i="3"/>
  <c r="D13" i="3"/>
  <c r="G13" i="3"/>
  <c r="D14" i="3"/>
  <c r="G14" i="3"/>
  <c r="D15" i="3"/>
  <c r="G15" i="3"/>
  <c r="D18" i="3"/>
  <c r="G18" i="3"/>
  <c r="D20" i="3"/>
  <c r="G20" i="3"/>
  <c r="D21" i="3"/>
  <c r="G21" i="3"/>
  <c r="D22" i="3"/>
  <c r="G22" i="3"/>
  <c r="D23" i="3"/>
  <c r="G23" i="3"/>
  <c r="D24" i="3"/>
  <c r="G24" i="3"/>
  <c r="D25" i="3"/>
  <c r="G25" i="3"/>
  <c r="D26" i="3"/>
  <c r="G26" i="3"/>
  <c r="D27" i="3"/>
  <c r="G27" i="3"/>
  <c r="D31" i="3"/>
  <c r="G31" i="3"/>
  <c r="D32" i="3"/>
  <c r="G32" i="3"/>
  <c r="T32" i="3"/>
  <c r="D33" i="3"/>
  <c r="G33" i="3"/>
  <c r="D34" i="3"/>
  <c r="G34" i="3"/>
  <c r="D40" i="3"/>
  <c r="G40" i="3"/>
  <c r="D41" i="3"/>
  <c r="G41" i="3"/>
  <c r="D42" i="3"/>
  <c r="G42" i="3"/>
  <c r="D43" i="3"/>
  <c r="G43" i="3"/>
  <c r="D44" i="3"/>
  <c r="G44" i="3"/>
  <c r="D45" i="3"/>
  <c r="G45" i="3"/>
  <c r="D46" i="3"/>
  <c r="G46" i="3"/>
  <c r="D51" i="3"/>
  <c r="G51" i="3"/>
  <c r="D52" i="3"/>
  <c r="G52" i="3"/>
  <c r="D53" i="3"/>
  <c r="G53" i="3"/>
  <c r="D54" i="3"/>
  <c r="G54" i="3"/>
  <c r="D55" i="3"/>
  <c r="G55" i="3"/>
  <c r="D56" i="3"/>
  <c r="G56" i="3"/>
  <c r="D57" i="3"/>
  <c r="G57" i="3"/>
  <c r="D58" i="3"/>
  <c r="G58" i="3"/>
  <c r="D59" i="3"/>
  <c r="G59" i="3"/>
  <c r="D60" i="3"/>
  <c r="G60" i="3"/>
  <c r="D61" i="3"/>
  <c r="G61" i="3"/>
  <c r="D62" i="3"/>
  <c r="G62" i="3"/>
  <c r="D63" i="3"/>
  <c r="G63" i="3"/>
  <c r="D64" i="3"/>
  <c r="G64" i="3"/>
  <c r="D65" i="3"/>
  <c r="G65" i="3"/>
  <c r="D66" i="3"/>
  <c r="G66" i="3"/>
  <c r="D67" i="3"/>
  <c r="G67" i="3"/>
  <c r="D68" i="3"/>
  <c r="G68" i="3"/>
  <c r="D69" i="3"/>
  <c r="G69" i="3"/>
  <c r="D70" i="3"/>
  <c r="G70" i="3"/>
  <c r="D71" i="3"/>
  <c r="G71" i="3"/>
  <c r="D72" i="3"/>
  <c r="G72" i="3"/>
  <c r="D73" i="3"/>
  <c r="G73" i="3"/>
  <c r="D77" i="3"/>
  <c r="G77" i="3"/>
  <c r="D78" i="3"/>
  <c r="G78" i="3"/>
  <c r="D79" i="3"/>
  <c r="G79" i="3"/>
  <c r="D80" i="3"/>
  <c r="G80" i="3"/>
  <c r="D81" i="3"/>
  <c r="G81" i="3"/>
  <c r="D82" i="3"/>
  <c r="G82" i="3"/>
  <c r="D87" i="3"/>
  <c r="G87" i="3"/>
  <c r="D88" i="3"/>
  <c r="G88" i="3"/>
  <c r="D89" i="3"/>
  <c r="G89" i="3"/>
  <c r="D90" i="3"/>
  <c r="G90" i="3"/>
  <c r="D91" i="3"/>
  <c r="G91" i="3"/>
  <c r="D92" i="3"/>
  <c r="G92" i="3"/>
  <c r="D93" i="3"/>
  <c r="G93" i="3"/>
  <c r="D94" i="3"/>
  <c r="G94" i="3"/>
  <c r="D98" i="3"/>
  <c r="G98" i="3"/>
  <c r="D101" i="3"/>
  <c r="G101" i="3"/>
  <c r="D2" i="1"/>
  <c r="C4" i="1"/>
  <c r="D5" i="1"/>
  <c r="D17" i="1"/>
  <c r="D6" i="1"/>
  <c r="D9" i="1"/>
  <c r="F9" i="1"/>
  <c r="D10" i="1"/>
  <c r="F10" i="1"/>
  <c r="D11" i="1"/>
  <c r="F11" i="1"/>
  <c r="D14" i="1"/>
  <c r="D15" i="1"/>
  <c r="D18" i="1"/>
  <c r="F18" i="1"/>
  <c r="D19" i="1"/>
  <c r="F19" i="1"/>
  <c r="D20" i="1"/>
  <c r="F20" i="1"/>
  <c r="D23" i="1"/>
  <c r="D24" i="1"/>
  <c r="D25" i="1"/>
  <c r="D26" i="1"/>
  <c r="D27" i="1"/>
  <c r="D30" i="1"/>
  <c r="F30" i="1"/>
  <c r="I30" i="1"/>
  <c r="J30" i="1"/>
  <c r="K30" i="1"/>
  <c r="L30" i="1"/>
  <c r="D31" i="1"/>
  <c r="F31" i="1"/>
  <c r="I31" i="1"/>
  <c r="J31" i="1"/>
  <c r="K31" i="1"/>
  <c r="L31" i="1"/>
  <c r="D32" i="1"/>
  <c r="F32" i="1"/>
  <c r="I32" i="1"/>
  <c r="J32" i="1"/>
  <c r="K32" i="1"/>
  <c r="L32" i="1"/>
  <c r="D33" i="1"/>
  <c r="F33" i="1"/>
  <c r="I33" i="1"/>
  <c r="J33" i="1"/>
  <c r="K33" i="1"/>
  <c r="L33" i="1"/>
  <c r="D34" i="1"/>
  <c r="F34" i="1"/>
  <c r="I34" i="1"/>
  <c r="J34" i="1"/>
  <c r="K34" i="1"/>
  <c r="L34" i="1"/>
  <c r="D35" i="1"/>
  <c r="F35" i="1"/>
  <c r="I35" i="1"/>
  <c r="J35" i="1"/>
  <c r="K35" i="1"/>
  <c r="L35" i="1"/>
  <c r="D36" i="1"/>
  <c r="F36" i="1"/>
  <c r="I36" i="1"/>
  <c r="J36" i="1"/>
  <c r="K36" i="1"/>
  <c r="L36" i="1"/>
  <c r="D37" i="1"/>
  <c r="F37" i="1"/>
  <c r="I37" i="1"/>
  <c r="J37" i="1"/>
  <c r="K37" i="1"/>
  <c r="L37" i="1"/>
  <c r="D38" i="1"/>
  <c r="F38" i="1"/>
  <c r="I38" i="1"/>
  <c r="J38" i="1"/>
  <c r="K38" i="1"/>
  <c r="L38" i="1"/>
  <c r="D39" i="1"/>
  <c r="F39" i="1"/>
  <c r="I39" i="1"/>
  <c r="J39" i="1"/>
  <c r="K39" i="1"/>
  <c r="L39" i="1"/>
  <c r="D40" i="1"/>
  <c r="F40" i="1"/>
  <c r="I40" i="1"/>
  <c r="J40" i="1"/>
  <c r="K40" i="1"/>
  <c r="L40" i="1"/>
  <c r="D41" i="1"/>
  <c r="F41" i="1"/>
  <c r="I41" i="1"/>
  <c r="J41" i="1"/>
  <c r="K41" i="1"/>
  <c r="L41" i="1"/>
  <c r="D42" i="1"/>
  <c r="F42" i="1"/>
  <c r="I42" i="1"/>
  <c r="J42" i="1"/>
  <c r="K42" i="1"/>
  <c r="L42" i="1"/>
  <c r="D43" i="1"/>
  <c r="F43" i="1"/>
  <c r="I43" i="1"/>
  <c r="J43" i="1"/>
  <c r="K43" i="1"/>
  <c r="L43" i="1"/>
  <c r="D44" i="1"/>
  <c r="F44" i="1"/>
  <c r="I44" i="1"/>
  <c r="J44" i="1"/>
  <c r="K44" i="1"/>
  <c r="L44" i="1"/>
  <c r="D45" i="1"/>
  <c r="F45" i="1"/>
  <c r="I45" i="1"/>
  <c r="J45" i="1"/>
  <c r="K45" i="1"/>
  <c r="L45" i="1"/>
  <c r="D46" i="1"/>
  <c r="F46" i="1"/>
  <c r="I46" i="1"/>
  <c r="J46" i="1"/>
  <c r="K46" i="1"/>
  <c r="L46" i="1"/>
  <c r="D47" i="1"/>
  <c r="F47" i="1"/>
  <c r="I47" i="1"/>
  <c r="J47" i="1"/>
  <c r="K47" i="1"/>
  <c r="L47" i="1"/>
  <c r="D48" i="1"/>
  <c r="F48" i="1"/>
  <c r="I48" i="1"/>
  <c r="J48" i="1"/>
  <c r="K48" i="1"/>
  <c r="L48" i="1"/>
  <c r="D49" i="1"/>
  <c r="F49" i="1"/>
  <c r="I49" i="1"/>
  <c r="J49" i="1"/>
  <c r="K49" i="1"/>
  <c r="L49" i="1"/>
  <c r="D50" i="1"/>
  <c r="F50" i="1"/>
  <c r="I50" i="1"/>
  <c r="J50" i="1"/>
  <c r="K50" i="1"/>
  <c r="L50" i="1"/>
  <c r="D51" i="1"/>
  <c r="F51" i="1"/>
  <c r="I51" i="1"/>
  <c r="J51" i="1"/>
  <c r="K51" i="1"/>
  <c r="L51" i="1"/>
  <c r="D52" i="1"/>
  <c r="F52" i="1"/>
  <c r="I52" i="1"/>
  <c r="J52" i="1"/>
  <c r="K52" i="1"/>
  <c r="L52" i="1"/>
  <c r="D56" i="1"/>
  <c r="F56" i="1"/>
  <c r="H56" i="1"/>
  <c r="J56" i="1"/>
  <c r="K56" i="1"/>
  <c r="L56" i="1"/>
  <c r="M56" i="1"/>
  <c r="D57" i="1"/>
  <c r="F57" i="1"/>
  <c r="H57" i="1"/>
  <c r="J57" i="1"/>
  <c r="K57" i="1"/>
  <c r="L57" i="1"/>
  <c r="M57" i="1"/>
  <c r="D58" i="1"/>
  <c r="F58" i="1"/>
  <c r="H58" i="1"/>
  <c r="J58" i="1"/>
  <c r="K58" i="1"/>
  <c r="L58" i="1"/>
  <c r="M58" i="1"/>
  <c r="D59" i="1"/>
  <c r="F59" i="1"/>
  <c r="H59" i="1"/>
  <c r="J59" i="1"/>
  <c r="K59" i="1"/>
  <c r="L59" i="1"/>
  <c r="M59" i="1"/>
  <c r="D60" i="1"/>
  <c r="F60" i="1"/>
  <c r="H60" i="1"/>
  <c r="J60" i="1"/>
  <c r="K60" i="1"/>
  <c r="L60" i="1"/>
  <c r="M60" i="1"/>
  <c r="D63" i="1"/>
  <c r="F63" i="1"/>
  <c r="D64" i="1"/>
  <c r="F64" i="1"/>
  <c r="D67" i="1"/>
  <c r="F67" i="1"/>
  <c r="I67" i="1"/>
  <c r="J67" i="1"/>
  <c r="K67" i="1"/>
  <c r="L67" i="1"/>
  <c r="D68" i="1"/>
  <c r="F68" i="1"/>
  <c r="I68" i="1"/>
  <c r="J68" i="1"/>
  <c r="K68" i="1"/>
  <c r="L68" i="1"/>
  <c r="D77" i="1"/>
  <c r="F77" i="1"/>
  <c r="D78" i="1"/>
  <c r="D79" i="1"/>
  <c r="D80" i="1"/>
  <c r="D81" i="1"/>
  <c r="D85" i="1"/>
  <c r="D86" i="1"/>
  <c r="B89" i="1"/>
  <c r="B90" i="1"/>
  <c r="B91" i="1"/>
  <c r="B92" i="1"/>
  <c r="B93" i="1"/>
  <c r="B94" i="1"/>
  <c r="B95" i="1"/>
  <c r="B96" i="1"/>
  <c r="B97" i="1"/>
  <c r="B98" i="1"/>
  <c r="L4" i="8"/>
  <c r="AN24" i="8"/>
  <c r="Z27" i="8"/>
  <c r="AJ33" i="8"/>
  <c r="U37" i="8"/>
  <c r="O35" i="8"/>
  <c r="U35" i="8"/>
  <c r="U36" i="8"/>
  <c r="R44" i="8"/>
  <c r="R50" i="8"/>
  <c r="U50" i="8"/>
  <c r="R52" i="8"/>
  <c r="S58" i="8"/>
  <c r="B2" i="12"/>
  <c r="B97" i="12"/>
  <c r="M5" i="13"/>
  <c r="K7" i="13"/>
  <c r="S7" i="13"/>
  <c r="B13" i="13"/>
  <c r="K15" i="13"/>
  <c r="AK18" i="13"/>
  <c r="B22" i="13"/>
  <c r="AX23" i="13"/>
  <c r="B31" i="13"/>
  <c r="T41" i="13"/>
  <c r="T42" i="13"/>
  <c r="AR42" i="13"/>
  <c r="F43" i="13"/>
  <c r="AR43" i="13"/>
  <c r="F44" i="13"/>
  <c r="AR44" i="13"/>
  <c r="F45" i="13"/>
  <c r="AR45" i="13"/>
  <c r="F46" i="13"/>
  <c r="F49" i="13"/>
  <c r="I50" i="13"/>
  <c r="K50" i="13"/>
  <c r="M50" i="13"/>
  <c r="O50" i="13"/>
  <c r="AW52" i="13"/>
  <c r="AW56" i="13"/>
  <c r="AR63" i="13"/>
  <c r="AR64" i="13"/>
  <c r="AR65" i="13"/>
  <c r="AR66" i="13"/>
  <c r="AR67" i="13"/>
  <c r="AR72" i="13"/>
  <c r="AR73" i="13"/>
  <c r="AR74" i="13"/>
  <c r="L72" i="10"/>
  <c r="P72" i="10"/>
  <c r="T72" i="10"/>
  <c r="W72" i="10"/>
  <c r="X72" i="10"/>
  <c r="C83" i="10"/>
  <c r="C72" i="10"/>
  <c r="K112" i="10"/>
  <c r="C174" i="10"/>
  <c r="C160" i="10"/>
  <c r="C146" i="10"/>
  <c r="C138" i="10"/>
  <c r="C114" i="10"/>
  <c r="K113" i="10"/>
  <c r="W110" i="10"/>
  <c r="C103" i="10"/>
  <c r="W99" i="10"/>
  <c r="C95" i="10"/>
  <c r="W91" i="10"/>
  <c r="L85" i="10"/>
  <c r="X81" i="10"/>
  <c r="C73" i="10"/>
  <c r="P34" i="10"/>
  <c r="P52" i="10"/>
  <c r="K52" i="10"/>
  <c r="N9" i="16"/>
  <c r="N20" i="16"/>
  <c r="L47" i="4"/>
  <c r="P31" i="10"/>
  <c r="P49" i="10"/>
  <c r="K49" i="10"/>
  <c r="U147" i="10"/>
  <c r="P110" i="10"/>
  <c r="K107" i="10"/>
  <c r="X102" i="10"/>
  <c r="W101" i="10"/>
  <c r="P99" i="10"/>
  <c r="X94" i="10"/>
  <c r="W93" i="10"/>
  <c r="P91" i="10"/>
  <c r="X83" i="10"/>
  <c r="T81" i="10"/>
  <c r="T110" i="10"/>
  <c r="X67" i="10"/>
  <c r="K60" i="10"/>
  <c r="P41" i="10"/>
  <c r="P59" i="10"/>
  <c r="P35" i="10"/>
  <c r="P53" i="10"/>
  <c r="K53" i="10"/>
  <c r="H20" i="18"/>
  <c r="E20" i="18"/>
  <c r="C32" i="18"/>
  <c r="E32" i="18"/>
  <c r="P24" i="18"/>
  <c r="D20" i="18"/>
  <c r="I20" i="18"/>
  <c r="V41" i="13"/>
  <c r="AB41" i="13"/>
  <c r="Z41" i="13"/>
  <c r="E47" i="13"/>
  <c r="X93" i="10"/>
  <c r="L23" i="10"/>
  <c r="T23" i="10"/>
  <c r="T156" i="10"/>
  <c r="U139" i="10"/>
  <c r="T176" i="10"/>
  <c r="T166" i="10"/>
  <c r="L150" i="10"/>
  <c r="N149" i="10"/>
  <c r="R148" i="10"/>
  <c r="T148" i="10"/>
  <c r="U146" i="10"/>
  <c r="L142" i="10"/>
  <c r="N141" i="10"/>
  <c r="R140" i="10"/>
  <c r="T140" i="10"/>
  <c r="U138" i="10"/>
  <c r="X125" i="10"/>
  <c r="I125" i="10"/>
  <c r="Q124" i="10"/>
  <c r="X123" i="10"/>
  <c r="I123" i="10"/>
  <c r="Q122" i="10"/>
  <c r="X121" i="10"/>
  <c r="I121" i="10"/>
  <c r="Q120" i="10"/>
  <c r="X119" i="10"/>
  <c r="I119" i="10"/>
  <c r="Q118" i="10"/>
  <c r="X114" i="10"/>
  <c r="P111" i="10"/>
  <c r="L110" i="10"/>
  <c r="X103" i="10"/>
  <c r="W102" i="10"/>
  <c r="L99" i="10"/>
  <c r="K97" i="10"/>
  <c r="X95" i="10"/>
  <c r="W94" i="10"/>
  <c r="P92" i="10"/>
  <c r="L91" i="10"/>
  <c r="K89" i="10"/>
  <c r="X84" i="10"/>
  <c r="W83" i="10"/>
  <c r="T82" i="10"/>
  <c r="T111" i="10"/>
  <c r="P81" i="10"/>
  <c r="C78" i="10"/>
  <c r="X73" i="10"/>
  <c r="T71" i="10"/>
  <c r="C70" i="10"/>
  <c r="W67" i="10"/>
  <c r="K61" i="10"/>
  <c r="K56" i="10"/>
  <c r="P42" i="10"/>
  <c r="P60" i="10"/>
  <c r="L41" i="10"/>
  <c r="O59" i="10"/>
  <c r="C40" i="10"/>
  <c r="X38" i="10"/>
  <c r="L37" i="10"/>
  <c r="X34" i="10"/>
  <c r="L33" i="10"/>
  <c r="O51" i="10"/>
  <c r="C40" i="18"/>
  <c r="E40" i="18"/>
  <c r="D59" i="27"/>
  <c r="E59" i="27"/>
  <c r="D59" i="12"/>
  <c r="E59" i="12"/>
  <c r="J27" i="8"/>
  <c r="R37" i="8"/>
  <c r="U148" i="10"/>
  <c r="U140" i="10"/>
  <c r="X101" i="10"/>
  <c r="X42" i="10"/>
  <c r="T22" i="10"/>
  <c r="U22" i="10"/>
  <c r="M21" i="13"/>
  <c r="AI34" i="3"/>
  <c r="N21" i="13"/>
  <c r="N29" i="15"/>
  <c r="P171" i="10"/>
  <c r="N150" i="10"/>
  <c r="N142" i="10"/>
  <c r="P172" i="10"/>
  <c r="P165" i="10"/>
  <c r="N148" i="10"/>
  <c r="R147" i="10"/>
  <c r="T147" i="10"/>
  <c r="U145" i="10"/>
  <c r="N140" i="10"/>
  <c r="R139" i="10"/>
  <c r="T139" i="10"/>
  <c r="U137" i="10"/>
  <c r="W114" i="10"/>
  <c r="K109" i="10"/>
  <c r="W103" i="10"/>
  <c r="P101" i="10"/>
  <c r="W95" i="10"/>
  <c r="P93" i="10"/>
  <c r="X85" i="10"/>
  <c r="W84" i="10"/>
  <c r="T83" i="10"/>
  <c r="T112" i="10"/>
  <c r="X74" i="10"/>
  <c r="W73" i="10"/>
  <c r="L71" i="10"/>
  <c r="T67" i="10"/>
  <c r="L63" i="10"/>
  <c r="K62" i="10"/>
  <c r="C57" i="10"/>
  <c r="AF45" i="10"/>
  <c r="L42" i="10"/>
  <c r="O60" i="10"/>
  <c r="P36" i="10"/>
  <c r="P54" i="10"/>
  <c r="K54" i="10"/>
  <c r="P32" i="10"/>
  <c r="P50" i="10"/>
  <c r="K50" i="10"/>
  <c r="T24" i="10"/>
  <c r="C39" i="18"/>
  <c r="E39" i="18"/>
  <c r="U38" i="8"/>
  <c r="K176" i="10"/>
  <c r="S176" i="10"/>
  <c r="T174" i="10"/>
  <c r="R146" i="10"/>
  <c r="T146" i="10"/>
  <c r="L140" i="10"/>
  <c r="T103" i="10"/>
  <c r="L101" i="10"/>
  <c r="L93" i="10"/>
  <c r="W85" i="10"/>
  <c r="P83" i="10"/>
  <c r="T73" i="10"/>
  <c r="L58" i="10"/>
  <c r="G42" i="10"/>
  <c r="X31" i="10"/>
  <c r="L24" i="10"/>
  <c r="AL23" i="10"/>
  <c r="S32" i="4"/>
  <c r="G106" i="3"/>
  <c r="I29" i="20"/>
  <c r="L29" i="20"/>
  <c r="D106" i="3"/>
  <c r="E29" i="20"/>
  <c r="G114" i="3"/>
  <c r="I37" i="20"/>
  <c r="L37" i="20"/>
  <c r="D114" i="3"/>
  <c r="E37" i="20"/>
  <c r="L42" i="13"/>
  <c r="H42" i="13"/>
  <c r="J42" i="13"/>
  <c r="N42" i="13"/>
  <c r="K166" i="10"/>
  <c r="S166" i="10"/>
  <c r="L148" i="10"/>
  <c r="R138" i="10"/>
  <c r="T138" i="10"/>
  <c r="P173" i="10"/>
  <c r="K100" i="10"/>
  <c r="L43" i="10"/>
  <c r="G38" i="10"/>
  <c r="P37" i="10"/>
  <c r="P55" i="10"/>
  <c r="K55" i="10"/>
  <c r="G34" i="10"/>
  <c r="P33" i="10"/>
  <c r="P51" i="10"/>
  <c r="K51" i="10"/>
  <c r="C24" i="10"/>
  <c r="L49" i="4"/>
  <c r="E19" i="4"/>
  <c r="P14" i="10"/>
  <c r="D61" i="27"/>
  <c r="E61" i="27"/>
  <c r="E61" i="12"/>
  <c r="AB36" i="13"/>
  <c r="V36" i="13"/>
  <c r="E46" i="13"/>
  <c r="AB65" i="3"/>
  <c r="M43" i="4"/>
  <c r="AG59" i="3"/>
  <c r="Z17" i="20"/>
  <c r="Z15" i="20"/>
  <c r="Z21" i="20"/>
  <c r="H18" i="18"/>
  <c r="E18" i="18"/>
  <c r="I18" i="18"/>
  <c r="AK94" i="3"/>
  <c r="AK95" i="3"/>
  <c r="AM28" i="11"/>
  <c r="D105" i="3"/>
  <c r="E28" i="20"/>
  <c r="M17" i="8"/>
  <c r="D41" i="14"/>
  <c r="H14" i="11"/>
  <c r="I14" i="11"/>
  <c r="L36" i="20"/>
  <c r="G111" i="3"/>
  <c r="I34" i="20"/>
  <c r="G107" i="3"/>
  <c r="I30" i="20"/>
  <c r="P7" i="19"/>
  <c r="R15" i="19"/>
  <c r="H17" i="15"/>
  <c r="B2" i="27"/>
  <c r="Z3" i="20"/>
  <c r="P2" i="15"/>
  <c r="AI22" i="13"/>
  <c r="AL22" i="13"/>
  <c r="E11" i="13"/>
  <c r="AI21" i="13"/>
  <c r="AL21" i="13"/>
  <c r="E10" i="13"/>
  <c r="AJ21" i="13"/>
  <c r="AM21" i="13"/>
  <c r="L43" i="13"/>
  <c r="H43" i="13"/>
  <c r="J43" i="13"/>
  <c r="N43" i="13"/>
  <c r="E38" i="13"/>
  <c r="AQ25" i="11"/>
  <c r="D13" i="11"/>
  <c r="AQ33" i="11"/>
  <c r="AQ34" i="11"/>
  <c r="D15" i="11"/>
  <c r="D36" i="12"/>
  <c r="E36" i="12"/>
  <c r="D35" i="12"/>
  <c r="E35" i="12"/>
  <c r="D35" i="27"/>
  <c r="E35" i="27"/>
  <c r="D15" i="14"/>
  <c r="E38" i="12"/>
  <c r="D38" i="27"/>
  <c r="E38" i="27"/>
  <c r="AG58" i="3"/>
  <c r="V39" i="13"/>
  <c r="D37" i="27"/>
  <c r="E37" i="27"/>
  <c r="J36" i="13"/>
  <c r="N36" i="13"/>
  <c r="D88" i="27"/>
  <c r="E88" i="27"/>
  <c r="J48" i="13"/>
  <c r="J44" i="13"/>
  <c r="N44" i="13"/>
  <c r="E10" i="12"/>
  <c r="D11" i="27"/>
  <c r="E11" i="27"/>
  <c r="E11" i="12"/>
  <c r="Y58" i="3"/>
  <c r="AB58" i="3"/>
  <c r="L35" i="13"/>
  <c r="H35" i="13"/>
  <c r="J35" i="13"/>
  <c r="N35" i="13"/>
  <c r="Y57" i="3"/>
  <c r="AB57" i="3"/>
  <c r="AQ38" i="11"/>
  <c r="D65" i="27"/>
  <c r="E65" i="27"/>
  <c r="D65" i="12"/>
  <c r="E65" i="12"/>
  <c r="J39" i="13"/>
  <c r="N39" i="13"/>
  <c r="L39" i="13"/>
  <c r="H39" i="13"/>
  <c r="AG57" i="3"/>
  <c r="AB53" i="3"/>
  <c r="AB61" i="3"/>
  <c r="AB68" i="3"/>
  <c r="AK9" i="3"/>
  <c r="N96" i="12"/>
  <c r="L95" i="27"/>
  <c r="J11" i="13"/>
  <c r="B11" i="13"/>
  <c r="K11" i="13"/>
  <c r="L11" i="13"/>
  <c r="I11" i="13"/>
  <c r="H11" i="13"/>
  <c r="AB38" i="13"/>
  <c r="AB40" i="13"/>
  <c r="AB43" i="13"/>
  <c r="G15" i="11"/>
  <c r="G17" i="14"/>
  <c r="K15" i="11"/>
  <c r="K17" i="14"/>
  <c r="H15" i="11"/>
  <c r="H17" i="14"/>
  <c r="I15" i="11"/>
  <c r="I17" i="14"/>
  <c r="J15" i="11"/>
  <c r="J17" i="14"/>
  <c r="D17" i="14"/>
  <c r="E12" i="13"/>
  <c r="P155" i="10"/>
  <c r="L10" i="13"/>
  <c r="B10" i="13"/>
  <c r="H10" i="13"/>
  <c r="I10" i="13"/>
  <c r="J10" i="13"/>
  <c r="K10" i="13"/>
  <c r="V161" i="10"/>
  <c r="V163" i="10"/>
  <c r="V162" i="10"/>
  <c r="D17" i="27"/>
  <c r="E17" i="27"/>
  <c r="D17" i="12"/>
  <c r="E17" i="12"/>
  <c r="P19" i="10"/>
  <c r="V38" i="13"/>
  <c r="Z38" i="13"/>
  <c r="AI32" i="3"/>
  <c r="E17" i="4"/>
  <c r="D75" i="3"/>
  <c r="D85" i="27"/>
  <c r="E85" i="27"/>
  <c r="D85" i="12"/>
  <c r="E85" i="12"/>
  <c r="C172" i="10"/>
  <c r="K172" i="10"/>
  <c r="T172" i="10"/>
  <c r="Q172" i="10"/>
  <c r="R172" i="10"/>
  <c r="W89" i="10"/>
  <c r="X89" i="10"/>
  <c r="L89" i="10"/>
  <c r="C89" i="10"/>
  <c r="P89" i="10"/>
  <c r="C60" i="10"/>
  <c r="L60" i="10"/>
  <c r="C49" i="10"/>
  <c r="L49" i="10"/>
  <c r="X109" i="10"/>
  <c r="W109" i="10"/>
  <c r="C109" i="10"/>
  <c r="L109" i="10"/>
  <c r="P109" i="10"/>
  <c r="C165" i="10"/>
  <c r="K165" i="10"/>
  <c r="S165" i="10"/>
  <c r="AG65" i="3"/>
  <c r="N26" i="10"/>
  <c r="R26" i="10"/>
  <c r="J13" i="11"/>
  <c r="J15" i="14"/>
  <c r="G13" i="11"/>
  <c r="G15" i="14"/>
  <c r="H13" i="11"/>
  <c r="H15" i="14"/>
  <c r="D45" i="12"/>
  <c r="E45" i="12"/>
  <c r="I13" i="11"/>
  <c r="I15" i="14"/>
  <c r="AU3" i="26"/>
  <c r="AU15" i="26"/>
  <c r="B29" i="26"/>
  <c r="B41" i="26"/>
  <c r="C100" i="10"/>
  <c r="L100" i="10"/>
  <c r="W100" i="10"/>
  <c r="P100" i="10"/>
  <c r="X100" i="10"/>
  <c r="M39" i="11"/>
  <c r="M38" i="11"/>
  <c r="M29" i="15"/>
  <c r="V40" i="13"/>
  <c r="V43" i="13"/>
  <c r="Z40" i="13"/>
  <c r="L46" i="13"/>
  <c r="H46" i="13"/>
  <c r="J46" i="13"/>
  <c r="N46" i="13"/>
  <c r="X61" i="10"/>
  <c r="L61" i="10"/>
  <c r="C61" i="10"/>
  <c r="C112" i="10"/>
  <c r="L112" i="10"/>
  <c r="P112" i="10"/>
  <c r="W112" i="10"/>
  <c r="X112" i="10"/>
  <c r="L113" i="10"/>
  <c r="P113" i="10"/>
  <c r="C113" i="10"/>
  <c r="W113" i="10"/>
  <c r="X113" i="10"/>
  <c r="AC4" i="8"/>
  <c r="O65" i="8"/>
  <c r="R38" i="8"/>
  <c r="U66" i="8"/>
  <c r="U65" i="8"/>
  <c r="L38" i="13"/>
  <c r="H38" i="13"/>
  <c r="J38" i="13"/>
  <c r="N38" i="13"/>
  <c r="C51" i="10"/>
  <c r="L51" i="10"/>
  <c r="C173" i="10"/>
  <c r="K173" i="10"/>
  <c r="T173" i="10"/>
  <c r="S173" i="10"/>
  <c r="C62" i="10"/>
  <c r="X62" i="10"/>
  <c r="L62" i="10"/>
  <c r="AQ37" i="11"/>
  <c r="D16" i="11"/>
  <c r="AM37" i="11"/>
  <c r="B35" i="11"/>
  <c r="AM35" i="11"/>
  <c r="B33" i="11"/>
  <c r="B37" i="11"/>
  <c r="AM33" i="11"/>
  <c r="AM36" i="11"/>
  <c r="B36" i="11"/>
  <c r="J47" i="13"/>
  <c r="J50" i="13"/>
  <c r="N47" i="13"/>
  <c r="N50" i="13"/>
  <c r="L47" i="13"/>
  <c r="H47" i="13"/>
  <c r="W107" i="10"/>
  <c r="X107" i="10"/>
  <c r="C107" i="10"/>
  <c r="L107" i="10"/>
  <c r="P107" i="10"/>
  <c r="L13" i="10"/>
  <c r="U13" i="10"/>
  <c r="U16" i="10"/>
  <c r="L16" i="10"/>
  <c r="C50" i="10"/>
  <c r="L50" i="10"/>
  <c r="R171" i="10"/>
  <c r="T171" i="10"/>
  <c r="Q171" i="10"/>
  <c r="C171" i="10"/>
  <c r="K171" i="10"/>
  <c r="AI31" i="3"/>
  <c r="B54" i="4"/>
  <c r="E9" i="18"/>
  <c r="AE130" i="10"/>
  <c r="T130" i="10"/>
  <c r="AH15" i="10"/>
  <c r="T13" i="19"/>
  <c r="J15" i="15"/>
  <c r="I14" i="20"/>
  <c r="V15" i="19"/>
  <c r="L12" i="19"/>
  <c r="L10" i="19"/>
  <c r="L13" i="19"/>
  <c r="L11" i="19"/>
  <c r="L19" i="19"/>
  <c r="AG64" i="3"/>
  <c r="T21" i="3"/>
  <c r="Z19" i="13"/>
  <c r="R25" i="10"/>
  <c r="H50" i="13"/>
  <c r="T14" i="10"/>
  <c r="U14" i="10"/>
  <c r="P13" i="10"/>
  <c r="AF14" i="10"/>
  <c r="C14" i="10"/>
  <c r="L14" i="10"/>
  <c r="L38" i="11"/>
  <c r="L39" i="11"/>
  <c r="L29" i="15"/>
  <c r="L50" i="13"/>
  <c r="C55" i="10"/>
  <c r="L55" i="10"/>
  <c r="L54" i="10"/>
  <c r="C54" i="10"/>
  <c r="I21" i="13"/>
  <c r="K21" i="13"/>
  <c r="E29" i="15"/>
  <c r="B21" i="13"/>
  <c r="C56" i="10"/>
  <c r="L56" i="10"/>
  <c r="W97" i="10"/>
  <c r="X97" i="10"/>
  <c r="L97" i="10"/>
  <c r="C97" i="10"/>
  <c r="P97" i="10"/>
  <c r="L53" i="10"/>
  <c r="C53" i="10"/>
  <c r="C52" i="10"/>
  <c r="L52" i="10"/>
  <c r="C17" i="10"/>
  <c r="L17" i="10"/>
  <c r="T17" i="10"/>
  <c r="U17" i="10"/>
  <c r="D48" i="14"/>
  <c r="E24" i="13"/>
  <c r="M24" i="13"/>
  <c r="L25" i="14"/>
  <c r="H24" i="13"/>
  <c r="G25" i="14"/>
  <c r="M27" i="13"/>
  <c r="L29" i="14"/>
  <c r="H27" i="13"/>
  <c r="G29" i="14"/>
  <c r="E27" i="13"/>
  <c r="H26" i="13"/>
  <c r="G27" i="14"/>
  <c r="E26" i="13"/>
  <c r="M26" i="13"/>
  <c r="L27" i="14"/>
  <c r="Z17" i="13"/>
  <c r="N25" i="10"/>
  <c r="T25" i="10"/>
  <c r="D33" i="27"/>
  <c r="E33" i="27"/>
  <c r="D33" i="12"/>
  <c r="E33" i="12"/>
  <c r="D27" i="27"/>
  <c r="E27" i="27"/>
  <c r="L17" i="15"/>
  <c r="D26" i="27"/>
  <c r="E26" i="27"/>
  <c r="D26" i="12"/>
  <c r="E26" i="12"/>
  <c r="D31" i="27"/>
  <c r="E31" i="27"/>
  <c r="D24" i="12"/>
  <c r="E24" i="12"/>
  <c r="E30" i="12"/>
  <c r="D25" i="27"/>
  <c r="E25" i="27"/>
  <c r="D27" i="12"/>
  <c r="E27" i="12"/>
  <c r="D28" i="27"/>
  <c r="E28" i="27"/>
  <c r="D28" i="12"/>
  <c r="E28" i="12"/>
  <c r="D34" i="12"/>
  <c r="E34" i="12"/>
  <c r="D23" i="27"/>
  <c r="E23" i="27"/>
  <c r="D32" i="12"/>
  <c r="E32" i="12"/>
  <c r="D32" i="27"/>
  <c r="E32" i="27"/>
  <c r="D34" i="27"/>
  <c r="E34" i="27"/>
  <c r="E25" i="12"/>
  <c r="D24" i="27"/>
  <c r="E24" i="27"/>
  <c r="D23" i="12"/>
  <c r="E23" i="12"/>
  <c r="D29" i="27"/>
  <c r="E29" i="27"/>
  <c r="D30" i="27"/>
  <c r="E30" i="27"/>
  <c r="D31" i="12"/>
  <c r="E31" i="12"/>
  <c r="D29" i="12"/>
  <c r="E29" i="12"/>
  <c r="B15" i="13"/>
  <c r="AI33" i="3"/>
  <c r="E18" i="4"/>
  <c r="AK15" i="11"/>
  <c r="AI13" i="3"/>
  <c r="P163" i="10"/>
  <c r="AI14" i="3"/>
  <c r="P164" i="10"/>
  <c r="D58" i="12"/>
  <c r="E58" i="12"/>
  <c r="D58" i="27"/>
  <c r="E58" i="27"/>
  <c r="J16" i="11"/>
  <c r="J16" i="14"/>
  <c r="H16" i="11"/>
  <c r="H16" i="14"/>
  <c r="I16" i="11"/>
  <c r="I16" i="14"/>
  <c r="K16" i="11"/>
  <c r="K16" i="14"/>
  <c r="D16" i="14"/>
  <c r="G16" i="11"/>
  <c r="G16" i="14"/>
  <c r="C19" i="10"/>
  <c r="U19" i="10"/>
  <c r="P20" i="10"/>
  <c r="T19" i="10"/>
  <c r="L19" i="10"/>
  <c r="I38" i="11"/>
  <c r="I39" i="11"/>
  <c r="I29" i="15"/>
  <c r="K38" i="11"/>
  <c r="K39" i="11"/>
  <c r="K29" i="15"/>
  <c r="E13" i="15"/>
  <c r="R11" i="19"/>
  <c r="H13" i="15"/>
  <c r="T11" i="19"/>
  <c r="J13" i="15"/>
  <c r="I22" i="20"/>
  <c r="W11" i="19"/>
  <c r="S11" i="19"/>
  <c r="I13" i="15"/>
  <c r="U11" i="19"/>
  <c r="K13" i="15"/>
  <c r="AF15" i="10"/>
  <c r="P15" i="10"/>
  <c r="J57" i="8"/>
  <c r="V19" i="8"/>
  <c r="L43" i="14"/>
  <c r="I35" i="8"/>
  <c r="M11" i="8"/>
  <c r="D35" i="14"/>
  <c r="V13" i="8"/>
  <c r="L37" i="14"/>
  <c r="V21" i="8"/>
  <c r="L45" i="14"/>
  <c r="O34" i="8"/>
  <c r="M13" i="8"/>
  <c r="D37" i="14"/>
  <c r="V16" i="8"/>
  <c r="L40" i="14"/>
  <c r="I34" i="8"/>
  <c r="R34" i="8"/>
  <c r="U34" i="8"/>
  <c r="O43" i="8"/>
  <c r="R35" i="8"/>
  <c r="R36" i="8"/>
  <c r="U43" i="8"/>
  <c r="O44" i="8"/>
  <c r="M21" i="8"/>
  <c r="D45" i="14"/>
  <c r="U44" i="8"/>
  <c r="V10" i="19"/>
  <c r="L12" i="15"/>
  <c r="K21" i="20"/>
  <c r="T10" i="19"/>
  <c r="J12" i="15"/>
  <c r="I21" i="20"/>
  <c r="U10" i="19"/>
  <c r="K12" i="15"/>
  <c r="E12" i="15"/>
  <c r="S10" i="19"/>
  <c r="I12" i="15"/>
  <c r="C10" i="19"/>
  <c r="W10" i="19"/>
  <c r="R10" i="19"/>
  <c r="H12" i="15"/>
  <c r="P130" i="10"/>
  <c r="W130" i="10"/>
  <c r="K130" i="10"/>
  <c r="X130" i="10"/>
  <c r="C130" i="10"/>
  <c r="Z43" i="13"/>
  <c r="E30" i="13"/>
  <c r="M30" i="13"/>
  <c r="L31" i="14"/>
  <c r="H30" i="13"/>
  <c r="G31" i="14"/>
  <c r="AI20" i="13"/>
  <c r="AL20" i="13"/>
  <c r="E20" i="13"/>
  <c r="AJ19" i="13"/>
  <c r="AM19" i="13"/>
  <c r="AI19" i="13"/>
  <c r="AL19" i="13"/>
  <c r="E19" i="13"/>
  <c r="M19" i="13"/>
  <c r="AJ20" i="13"/>
  <c r="AM20" i="13"/>
  <c r="E14" i="15"/>
  <c r="V12" i="19"/>
  <c r="L14" i="15"/>
  <c r="K13" i="20"/>
  <c r="R12" i="19"/>
  <c r="H14" i="15"/>
  <c r="S12" i="19"/>
  <c r="I14" i="15"/>
  <c r="T12" i="19"/>
  <c r="J14" i="15"/>
  <c r="I13" i="20"/>
  <c r="U12" i="19"/>
  <c r="K14" i="15"/>
  <c r="W12" i="19"/>
  <c r="C12" i="19"/>
  <c r="E25" i="13"/>
  <c r="H25" i="13"/>
  <c r="G26" i="14"/>
  <c r="M25" i="13"/>
  <c r="L26" i="14"/>
  <c r="E17" i="15"/>
  <c r="E20" i="15"/>
  <c r="H20" i="15"/>
  <c r="B12" i="13"/>
  <c r="H12" i="13"/>
  <c r="AI35" i="3"/>
  <c r="E14" i="13"/>
  <c r="B10" i="18"/>
  <c r="C31" i="18"/>
  <c r="E31" i="18"/>
  <c r="E23" i="13"/>
  <c r="H23" i="13"/>
  <c r="G24" i="14"/>
  <c r="M23" i="13"/>
  <c r="L24" i="14"/>
  <c r="S13" i="19"/>
  <c r="I15" i="15"/>
  <c r="E15" i="15"/>
  <c r="R13" i="19"/>
  <c r="H15" i="15"/>
  <c r="U13" i="19"/>
  <c r="K15" i="15"/>
  <c r="W13" i="19"/>
  <c r="AI20" i="3"/>
  <c r="L20" i="13"/>
  <c r="L28" i="15"/>
  <c r="H20" i="13"/>
  <c r="H28" i="15"/>
  <c r="J20" i="13"/>
  <c r="J28" i="15"/>
  <c r="K20" i="13"/>
  <c r="K28" i="15"/>
  <c r="E28" i="15"/>
  <c r="I20" i="13"/>
  <c r="I28" i="15"/>
  <c r="B20" i="13"/>
  <c r="L18" i="19"/>
  <c r="D67" i="27"/>
  <c r="E67" i="27"/>
  <c r="D67" i="12"/>
  <c r="E67" i="12"/>
  <c r="D8" i="12"/>
  <c r="E8" i="12"/>
  <c r="D8" i="27"/>
  <c r="E8" i="27"/>
  <c r="M13" i="15"/>
  <c r="E22" i="20"/>
  <c r="AI17" i="13"/>
  <c r="AL17" i="13"/>
  <c r="AJ17" i="13"/>
  <c r="AM17" i="13"/>
  <c r="AJ18" i="13"/>
  <c r="AM18" i="13"/>
  <c r="AI18" i="13"/>
  <c r="AL18" i="13"/>
  <c r="J19" i="13"/>
  <c r="J27" i="15"/>
  <c r="K19" i="13"/>
  <c r="K27" i="15"/>
  <c r="E27" i="15"/>
  <c r="I19" i="13"/>
  <c r="I27" i="15"/>
  <c r="L19" i="13"/>
  <c r="L27" i="15"/>
  <c r="B19" i="13"/>
  <c r="H19" i="13"/>
  <c r="H27" i="15"/>
  <c r="D25" i="14"/>
  <c r="B24" i="13"/>
  <c r="D14" i="12"/>
  <c r="E14" i="12"/>
  <c r="D14" i="27"/>
  <c r="E14" i="27"/>
  <c r="E22" i="15"/>
  <c r="B14" i="13"/>
  <c r="D48" i="12"/>
  <c r="E48" i="12"/>
  <c r="D48" i="27"/>
  <c r="E48" i="27"/>
  <c r="D26" i="14"/>
  <c r="B25" i="13"/>
  <c r="M14" i="15"/>
  <c r="E13" i="20"/>
  <c r="D49" i="27"/>
  <c r="E49" i="27"/>
  <c r="D27" i="14"/>
  <c r="B26" i="13"/>
  <c r="D7" i="27"/>
  <c r="E7" i="27"/>
  <c r="D7" i="12"/>
  <c r="E7" i="12"/>
  <c r="M15" i="15"/>
  <c r="E14" i="20"/>
  <c r="E21" i="20"/>
  <c r="M12" i="15"/>
  <c r="D17" i="11"/>
  <c r="D18" i="11"/>
  <c r="AM31" i="11"/>
  <c r="B31" i="11"/>
  <c r="C163" i="10"/>
  <c r="K163" i="10"/>
  <c r="S163" i="10"/>
  <c r="E29" i="13"/>
  <c r="H29" i="13"/>
  <c r="G30" i="14"/>
  <c r="M29" i="13"/>
  <c r="L30" i="14"/>
  <c r="L15" i="10"/>
  <c r="AJ18" i="10"/>
  <c r="T15" i="10"/>
  <c r="U15" i="10"/>
  <c r="P18" i="10"/>
  <c r="C15" i="10"/>
  <c r="D31" i="14"/>
  <c r="D51" i="27"/>
  <c r="E51" i="27"/>
  <c r="B30" i="13"/>
  <c r="AL22" i="3"/>
  <c r="P162" i="10"/>
  <c r="P161" i="10"/>
  <c r="M36" i="3"/>
  <c r="AE22" i="11"/>
  <c r="D29" i="14"/>
  <c r="B28" i="13"/>
  <c r="L20" i="10"/>
  <c r="T20" i="10"/>
  <c r="U20" i="10"/>
  <c r="C20" i="10"/>
  <c r="T164" i="10"/>
  <c r="K164" i="10"/>
  <c r="S164" i="10"/>
  <c r="C164" i="10"/>
  <c r="D24" i="14"/>
  <c r="B23" i="13"/>
  <c r="H28" i="13"/>
  <c r="G28" i="14"/>
  <c r="M28" i="13"/>
  <c r="L28" i="14"/>
  <c r="E18" i="12"/>
  <c r="E25" i="15"/>
  <c r="I17" i="13"/>
  <c r="I25" i="15"/>
  <c r="J17" i="13"/>
  <c r="J25" i="15"/>
  <c r="D18" i="27"/>
  <c r="E18" i="27"/>
  <c r="K17" i="13"/>
  <c r="K25" i="15"/>
  <c r="L17" i="13"/>
  <c r="L25" i="15"/>
  <c r="B17" i="13"/>
  <c r="H17" i="13"/>
  <c r="H25" i="15"/>
  <c r="J18" i="13"/>
  <c r="J26" i="15"/>
  <c r="E20" i="12"/>
  <c r="D20" i="27"/>
  <c r="E20" i="27"/>
  <c r="K18" i="13"/>
  <c r="K26" i="15"/>
  <c r="E26" i="15"/>
  <c r="L18" i="13"/>
  <c r="L26" i="15"/>
  <c r="I18" i="13"/>
  <c r="I26" i="15"/>
  <c r="B18" i="13"/>
  <c r="H18" i="13"/>
  <c r="H26" i="15"/>
  <c r="F22" i="20"/>
  <c r="J22" i="20"/>
  <c r="G22" i="20"/>
  <c r="H22" i="20"/>
  <c r="E24" i="15"/>
  <c r="B16" i="13"/>
  <c r="C162" i="10"/>
  <c r="K162" i="10"/>
  <c r="S162" i="10"/>
  <c r="E104" i="27"/>
  <c r="E124" i="27"/>
  <c r="F126" i="27"/>
  <c r="F127" i="27"/>
  <c r="D47" i="12"/>
  <c r="E47" i="12"/>
  <c r="D47" i="27"/>
  <c r="E47" i="27"/>
  <c r="D52" i="12"/>
  <c r="E52" i="12"/>
  <c r="D52" i="27"/>
  <c r="E52" i="27"/>
  <c r="D18" i="14"/>
  <c r="G18" i="11"/>
  <c r="G18" i="14"/>
  <c r="K18" i="11"/>
  <c r="K18" i="14"/>
  <c r="I18" i="11"/>
  <c r="I18" i="14"/>
  <c r="J18" i="11"/>
  <c r="J18" i="14"/>
  <c r="H18" i="11"/>
  <c r="H18" i="14"/>
  <c r="C18" i="10"/>
  <c r="T18" i="10"/>
  <c r="L18" i="10"/>
  <c r="E44" i="12"/>
  <c r="E104" i="12"/>
  <c r="I17" i="11"/>
  <c r="I20" i="14"/>
  <c r="D44" i="27"/>
  <c r="E44" i="27"/>
  <c r="J17" i="11"/>
  <c r="J20" i="14"/>
  <c r="K17" i="11"/>
  <c r="K20" i="14"/>
  <c r="D20" i="14"/>
  <c r="H17" i="11"/>
  <c r="H20" i="14"/>
  <c r="G17" i="11"/>
  <c r="G20" i="14"/>
  <c r="D50" i="27"/>
  <c r="E50" i="27"/>
  <c r="D28" i="14"/>
  <c r="B27" i="13"/>
  <c r="T161" i="10"/>
  <c r="K161" i="10"/>
  <c r="S161" i="10"/>
  <c r="C161" i="10"/>
  <c r="D30" i="14"/>
  <c r="B29" i="13"/>
  <c r="E105" i="12"/>
  <c r="E106" i="12"/>
  <c r="E127" i="12"/>
  <c r="F128" i="12"/>
  <c r="F129" i="12"/>
</calcChain>
</file>

<file path=xl/sharedStrings.xml><?xml version="1.0" encoding="utf-8"?>
<sst xmlns="http://schemas.openxmlformats.org/spreadsheetml/2006/main" count="1757" uniqueCount="831">
  <si>
    <t>LOCATION</t>
  </si>
  <si>
    <t>SNOW LOAD</t>
  </si>
  <si>
    <t>YURT SIZE</t>
  </si>
  <si>
    <t xml:space="preserve">HEADER SIZE </t>
  </si>
  <si>
    <t>WINDOW/DOOR  H1</t>
  </si>
  <si>
    <t>x</t>
  </si>
  <si>
    <t>H2  special header</t>
  </si>
  <si>
    <t>FRENCH DOOR</t>
  </si>
  <si>
    <t>NAILING PATTERN</t>
  </si>
  <si>
    <t>EDGE</t>
  </si>
  <si>
    <t>"</t>
  </si>
  <si>
    <t>FIELD</t>
  </si>
  <si>
    <t>BLOCKING LAYOUT</t>
  </si>
  <si>
    <t>CABLES</t>
  </si>
  <si>
    <t>@</t>
  </si>
  <si>
    <t>WALL INFO</t>
  </si>
  <si>
    <t>WALL HEIGHT:</t>
  </si>
  <si>
    <t>ft.</t>
  </si>
  <si>
    <t>BOTTOM PLATES - Type:</t>
  </si>
  <si>
    <t>STANDARD WALLS - No Openings:</t>
  </si>
  <si>
    <t>STANDARD WALLS w/ Addtition Blocking:</t>
  </si>
  <si>
    <t>ADDITION BLOCKING HEIGHT:</t>
  </si>
  <si>
    <t>WINDOW WALLS:</t>
  </si>
  <si>
    <t>-</t>
  </si>
  <si>
    <t>DOOR WALLS:</t>
  </si>
  <si>
    <t>FRENCH DOORS - 3 Walls:</t>
  </si>
  <si>
    <t>F. D. SIDE WINDOWS:</t>
  </si>
  <si>
    <t>WALLS w/Double Openings:</t>
  </si>
  <si>
    <t>TBD</t>
  </si>
  <si>
    <t>WALLS w/Double Openings w/ Addition Blocking:</t>
  </si>
  <si>
    <t>ROOF SPECS</t>
  </si>
  <si>
    <t>RAFTER SIZE:</t>
  </si>
  <si>
    <t>RAFTER TRIM INSTALLED:</t>
  </si>
  <si>
    <t>NUMBER of ADDITION TAIL CUTS:</t>
  </si>
  <si>
    <t>METAL ROOF:</t>
  </si>
  <si>
    <t>ROOF COLOR:</t>
  </si>
  <si>
    <t>SKYLIGHT SPECS</t>
  </si>
  <si>
    <t>TINTING:</t>
  </si>
  <si>
    <t>OPENER:</t>
  </si>
  <si>
    <t>ADDITIONAL PACKAGES:</t>
  </si>
  <si>
    <t>CUSTOMER NAME</t>
  </si>
  <si>
    <t xml:space="preserve">   PROJECT LOCATED IN</t>
  </si>
  <si>
    <t>GENERAL OVERVIEW</t>
  </si>
  <si>
    <t>ENTERED BY</t>
  </si>
  <si>
    <t>DATE</t>
  </si>
  <si>
    <t xml:space="preserve">   YURT SIZE in feet</t>
  </si>
  <si>
    <t>BASEMENT WALLS</t>
  </si>
  <si>
    <r>
      <t xml:space="preserve">Full WALL HT.  </t>
    </r>
    <r>
      <rPr>
        <u/>
        <sz val="10"/>
        <rFont val="Arial"/>
        <family val="2"/>
        <charset val="1"/>
      </rPr>
      <t># of InchesFull WALL HT.  # of Inches</t>
    </r>
  </si>
  <si>
    <t>Plywood needed</t>
  </si>
  <si>
    <t xml:space="preserve">   STUD LENGTH </t>
  </si>
  <si>
    <t>14'w/door</t>
  </si>
  <si>
    <t xml:space="preserve">   RAFTER SIZE</t>
  </si>
  <si>
    <t>12'w/door</t>
  </si>
  <si>
    <t xml:space="preserve">   ROOF COLOR</t>
  </si>
  <si>
    <r>
      <t>Galv.</t>
    </r>
    <r>
      <rPr>
        <sz val="10"/>
        <rFont val="Arial"/>
        <family val="2"/>
        <charset val="1"/>
      </rPr>
      <t>, or colorGalv., or color</t>
    </r>
  </si>
  <si>
    <t>Extension roofing?</t>
  </si>
  <si>
    <t>10' w/door</t>
  </si>
  <si>
    <t xml:space="preserve">   TYPE OF FOUNDATION</t>
  </si>
  <si>
    <t>←</t>
  </si>
  <si>
    <r>
      <t>STEM WALL</t>
    </r>
    <r>
      <rPr>
        <sz val="10"/>
        <rFont val="Arial"/>
        <family val="2"/>
        <charset val="1"/>
      </rPr>
      <t xml:space="preserve"> OR BASEMENT OR SLABSTEM WALL OR BASEMENT OR SLAB</t>
    </r>
  </si>
  <si>
    <t>9'w/door</t>
  </si>
  <si>
    <t>8' w/door</t>
  </si>
  <si>
    <t xml:space="preserve">   CUSTOM DETAILS</t>
  </si>
  <si>
    <t>Nailing Pattern</t>
  </si>
  <si>
    <t xml:space="preserve"> Edges</t>
  </si>
  <si>
    <t>Field</t>
  </si>
  <si>
    <t>SPECIAL HEADER NOTES HERE:</t>
  </si>
  <si>
    <t>#?</t>
  </si>
  <si>
    <t xml:space="preserve">   Header size  H1</t>
  </si>
  <si>
    <t>H1</t>
  </si>
  <si>
    <t xml:space="preserve">   Header size  H2</t>
  </si>
  <si>
    <t>H2</t>
  </si>
  <si>
    <t xml:space="preserve">   French Door header size</t>
  </si>
  <si>
    <t>French Door Opening Ht.</t>
  </si>
  <si>
    <t>French Dr side windows</t>
  </si>
  <si>
    <t>Transom Door wall</t>
  </si>
  <si>
    <r>
      <t>2</t>
    </r>
    <r>
      <rPr>
        <vertAlign val="superscript"/>
        <sz val="10"/>
        <rFont val="Arial"/>
        <family val="2"/>
        <charset val="1"/>
      </rPr>
      <t>nd</t>
    </r>
    <r>
      <rPr>
        <sz val="10"/>
        <rFont val="Arial"/>
        <family val="2"/>
        <charset val="1"/>
      </rPr>
      <t xml:space="preserve"> story/transom windows</t>
    </r>
  </si>
  <si>
    <t>Type of Bottom Plates</t>
  </si>
  <si>
    <r>
      <t>cedar</t>
    </r>
    <r>
      <rPr>
        <sz val="10"/>
        <rFont val="Arial"/>
        <family val="2"/>
        <charset val="1"/>
      </rPr>
      <t xml:space="preserve"> or fir</t>
    </r>
  </si>
  <si>
    <t>BASIC WALL SPECS</t>
  </si>
  <si>
    <t>ENTERED BY          DATE</t>
  </si>
  <si>
    <t>WALL TYPE</t>
  </si>
  <si>
    <t>QUANTITY</t>
  </si>
  <si>
    <t>2x6x16</t>
  </si>
  <si>
    <t>STANDARD WALLS</t>
  </si>
  <si>
    <t>WINDOW WALLS</t>
  </si>
  <si>
    <t xml:space="preserve">Transom windows </t>
  </si>
  <si>
    <t xml:space="preserve">DOOR WALLS </t>
  </si>
  <si>
    <t>FRENCH DOORS</t>
  </si>
  <si>
    <r>
      <t xml:space="preserve">Enter header size </t>
    </r>
    <r>
      <rPr>
        <b/>
        <sz val="10"/>
        <rFont val="Arial"/>
        <family val="2"/>
        <charset val="1"/>
      </rPr>
      <t>H1</t>
    </r>
    <r>
      <rPr>
        <sz val="10"/>
        <rFont val="Arial"/>
        <family val="2"/>
        <charset val="1"/>
      </rPr>
      <t xml:space="preserve"> or </t>
    </r>
    <r>
      <rPr>
        <b/>
        <sz val="10"/>
        <rFont val="Arial"/>
        <family val="2"/>
        <charset val="1"/>
      </rPr>
      <t>H2</t>
    </r>
  </si>
  <si>
    <t>Total  # of 2x6x16 boards</t>
  </si>
  <si>
    <t>ENTERED BY        DATE</t>
  </si>
  <si>
    <t>size</t>
  </si>
  <si>
    <t>#</t>
  </si>
  <si>
    <t>CABLE SPECS</t>
  </si>
  <si>
    <t>1/4”</t>
  </si>
  <si>
    <t>5/16”</t>
  </si>
  <si>
    <t>3/8”</t>
  </si>
  <si>
    <t>ADDITION TAIL CUTS</t>
  </si>
  <si>
    <t>*Should show up on the rafter sheet</t>
  </si>
  <si>
    <t>y?</t>
  </si>
  <si>
    <t>FIRE-BLOCKING EAVE CUT</t>
  </si>
  <si>
    <t>How many?</t>
  </si>
  <si>
    <t>RAFTER TRIM INSTALLED</t>
  </si>
  <si>
    <t>METAL ROOF?</t>
  </si>
  <si>
    <t>CEILING</t>
  </si>
  <si>
    <t>TRIM KIT ?</t>
  </si>
  <si>
    <t>Cedar Siding?</t>
  </si>
  <si>
    <t>Deepest Addition Sections</t>
  </si>
  <si>
    <t>WINDOW &amp; SKYLIGHT SPECS</t>
  </si>
  <si>
    <t xml:space="preserve">width </t>
  </si>
  <si>
    <t>Window height size (inch)</t>
  </si>
  <si>
    <t>ht from floor</t>
  </si>
  <si>
    <t>Quantity of each window opening size</t>
  </si>
  <si>
    <t>style</t>
  </si>
  <si>
    <t>Addition Blocking (quantity ea)</t>
  </si>
  <si>
    <r>
      <t xml:space="preserve"># of Windows needing </t>
    </r>
    <r>
      <rPr>
        <b/>
        <sz val="10"/>
        <color indexed="10"/>
        <rFont val="Arial"/>
        <family val="2"/>
        <charset val="1"/>
      </rPr>
      <t>H2</t>
    </r>
    <r>
      <rPr>
        <sz val="10"/>
        <rFont val="Arial"/>
        <family val="2"/>
        <charset val="1"/>
      </rPr>
      <t xml:space="preserve"> Header# of Windows needing </t>
    </r>
    <r>
      <rPr>
        <b/>
        <sz val="10"/>
        <color indexed="10"/>
        <rFont val="Arial"/>
        <family val="2"/>
        <charset val="1"/>
      </rPr>
      <t>H2</t>
    </r>
    <r>
      <rPr>
        <sz val="10"/>
        <rFont val="Arial"/>
        <family val="2"/>
        <charset val="1"/>
      </rPr>
      <t xml:space="preserve"> Header</t>
    </r>
  </si>
  <si>
    <t>Second Window?</t>
  </si>
  <si>
    <t>header top ht.</t>
  </si>
  <si>
    <t>blocking</t>
  </si>
  <si>
    <t>Ft of 2x6x16</t>
  </si>
  <si>
    <t>Std windows – These are any single window at any height that are not casement</t>
  </si>
  <si>
    <t>Total Standard window walls</t>
  </si>
  <si>
    <t>total narrow windows walls.</t>
  </si>
  <si>
    <t>Total transom std window</t>
  </si>
  <si>
    <t>total Transom casement window</t>
  </si>
  <si>
    <t># of std windows w/H2 headers</t>
  </si>
  <si>
    <t># of narrow windows w/H2 header</t>
  </si>
  <si>
    <t># of narrow doors w/H2 header</t>
  </si>
  <si>
    <t>Narrow Win.</t>
  </si>
  <si>
    <t># of std windows w/H1 headers</t>
  </si>
  <si>
    <t># of narrow windows w/H1 header</t>
  </si>
  <si>
    <t># of narrow doors w/H1 header</t>
  </si>
  <si>
    <t>Transom Win. - Second window in a wall placed higher than the other.</t>
  </si>
  <si>
    <t>std</t>
  </si>
  <si>
    <t>------------&gt;</t>
  </si>
  <si>
    <t>Nar.Win.</t>
  </si>
  <si>
    <t xml:space="preserve">SKYLIGHT SIZE </t>
  </si>
  <si>
    <t>SKYLIGHT COLOR</t>
  </si>
  <si>
    <t>CLEAR or BRONZE TINT</t>
  </si>
  <si>
    <t>SKYLIGHT type</t>
  </si>
  <si>
    <t>SKYLIGHT SCREEN</t>
  </si>
  <si>
    <t>yes</t>
  </si>
  <si>
    <t>YES</t>
  </si>
  <si>
    <t xml:space="preserve">or </t>
  </si>
  <si>
    <t>NO</t>
  </si>
  <si>
    <t>ELECTRIC SKYLIGHT OPENER</t>
  </si>
  <si>
    <t>CRANK EXTENSION</t>
  </si>
  <si>
    <t>DOOR SPECS</t>
  </si>
  <si>
    <t># - number of type of door</t>
  </si>
  <si>
    <t>quantity</t>
  </si>
  <si>
    <t>Width</t>
  </si>
  <si>
    <t>Height</t>
  </si>
  <si>
    <t>Style</t>
  </si>
  <si>
    <t>Right/ Left</t>
  </si>
  <si>
    <t>Swing</t>
  </si>
  <si>
    <t>H1  Quant?</t>
  </si>
  <si>
    <t>Length</t>
  </si>
  <si>
    <t>H2  Quant?</t>
  </si>
  <si>
    <r>
      <t>type -</t>
    </r>
    <r>
      <rPr>
        <b/>
        <sz val="10"/>
        <rFont val="Arial"/>
        <family val="2"/>
        <charset val="1"/>
      </rPr>
      <t>HL</t>
    </r>
    <r>
      <rPr>
        <sz val="10"/>
        <rFont val="Arial"/>
        <family val="2"/>
        <charset val="1"/>
      </rPr>
      <t xml:space="preserve"> (half light) </t>
    </r>
    <r>
      <rPr>
        <b/>
        <sz val="10"/>
        <rFont val="Arial"/>
        <family val="2"/>
        <charset val="1"/>
      </rPr>
      <t>FL</t>
    </r>
    <r>
      <rPr>
        <sz val="10"/>
        <rFont val="Arial"/>
        <family val="2"/>
        <charset val="1"/>
      </rPr>
      <t xml:space="preserve"> (full light) </t>
    </r>
    <r>
      <rPr>
        <b/>
        <sz val="10"/>
        <rFont val="Arial"/>
        <family val="2"/>
        <charset val="1"/>
      </rPr>
      <t>SP</t>
    </r>
    <r>
      <rPr>
        <sz val="10"/>
        <rFont val="Arial"/>
        <family val="2"/>
        <charset val="1"/>
      </rPr>
      <t xml:space="preserve"> - (special)</t>
    </r>
  </si>
  <si>
    <r>
      <t>Swing –</t>
    </r>
    <r>
      <rPr>
        <b/>
        <sz val="10"/>
        <rFont val="Arial"/>
        <family val="2"/>
        <charset val="1"/>
      </rPr>
      <t xml:space="preserve"> RH</t>
    </r>
    <r>
      <rPr>
        <sz val="10"/>
        <rFont val="Arial"/>
        <family val="2"/>
        <charset val="1"/>
      </rPr>
      <t xml:space="preserve"> (right hand inswing)</t>
    </r>
  </si>
  <si>
    <r>
      <t xml:space="preserve">     -</t>
    </r>
    <r>
      <rPr>
        <b/>
        <sz val="10"/>
        <rFont val="Arial"/>
        <family val="2"/>
        <charset val="1"/>
      </rPr>
      <t>LH</t>
    </r>
    <r>
      <rPr>
        <sz val="10"/>
        <rFont val="Arial"/>
        <family val="2"/>
        <charset val="1"/>
      </rPr>
      <t xml:space="preserve"> (left hand inswing)</t>
    </r>
  </si>
  <si>
    <t>Total # of doors</t>
  </si>
  <si>
    <t>NUMBER of FRENCH DOORS</t>
  </si>
  <si>
    <t>5'0</t>
  </si>
  <si>
    <t>6'0</t>
  </si>
  <si>
    <t>side windows</t>
  </si>
  <si>
    <t>width</t>
  </si>
  <si>
    <t>height</t>
  </si>
  <si>
    <t>From floor</t>
  </si>
  <si>
    <t>Qant.</t>
  </si>
  <si>
    <t>ADDITIONAL PACKAGED WINDOWS &amp; DOORS</t>
  </si>
  <si>
    <t>Project detail sheet'.Q35</t>
  </si>
  <si>
    <t xml:space="preserve">PROJECT DETAILS </t>
  </si>
  <si>
    <t xml:space="preserve">   Nailing Pattern</t>
  </si>
  <si>
    <t xml:space="preserve">   YURT SIZE</t>
  </si>
  <si>
    <r>
      <t xml:space="preserve">   WALL HEIGHT -in</t>
    </r>
    <r>
      <rPr>
        <u/>
        <sz val="11"/>
        <rFont val="Calibri"/>
        <family val="2"/>
        <charset val="1"/>
      </rPr>
      <t xml:space="preserve"> Inches</t>
    </r>
  </si>
  <si>
    <t xml:space="preserve">   Header size  -    H1</t>
  </si>
  <si>
    <t xml:space="preserve">   STUD LENGTH</t>
  </si>
  <si>
    <t xml:space="preserve">   Fr. D. header size</t>
  </si>
  <si>
    <t>Fr. D. Opening Height</t>
  </si>
  <si>
    <t xml:space="preserve"> Bottom Plates</t>
  </si>
  <si>
    <t>SPECS</t>
  </si>
  <si>
    <t>1/4”--&gt;</t>
  </si>
  <si>
    <t>5/16”--&gt;</t>
  </si>
  <si>
    <t>3/8”--&gt;</t>
  </si>
  <si>
    <t>DOOR WALLS</t>
  </si>
  <si>
    <t>Cedar Ciding?</t>
  </si>
  <si>
    <t>SKYLIGHTS</t>
  </si>
  <si>
    <t>WINDOWS</t>
  </si>
  <si>
    <t>WIDTH</t>
  </si>
  <si>
    <t>NOTES</t>
  </si>
  <si>
    <t>Check scale in drawing when copying</t>
  </si>
  <si>
    <t>1'</t>
  </si>
  <si>
    <t>=</t>
  </si>
  <si>
    <t>62'</t>
  </si>
  <si>
    <t>Scale on Wall Drawings is 1"=12.5"</t>
  </si>
  <si>
    <t>Scale of Doors is 1"=12.5"</t>
  </si>
  <si>
    <t>14'</t>
  </si>
  <si>
    <t>12'</t>
  </si>
  <si>
    <t>11'</t>
  </si>
  <si>
    <t>10'</t>
  </si>
  <si>
    <t>9'</t>
  </si>
  <si>
    <t>8'</t>
  </si>
  <si>
    <t>PALLET ORDERING</t>
  </si>
  <si>
    <t>Project Name</t>
  </si>
  <si>
    <t>SHOPPING LIST</t>
  </si>
  <si>
    <t xml:space="preserve">  20 WALL PALLETS</t>
  </si>
  <si>
    <t>2x4x8'</t>
  </si>
  <si>
    <t xml:space="preserve"> 30  WALL PALLETS</t>
  </si>
  <si>
    <t xml:space="preserve">  41 WALL PALLETS</t>
  </si>
  <si>
    <t>Qty</t>
  </si>
  <si>
    <t>Size</t>
  </si>
  <si>
    <t>ORD.</t>
  </si>
  <si>
    <t>REC.</t>
  </si>
  <si>
    <t>P</t>
  </si>
  <si>
    <t xml:space="preserve">   RAFTER PALLET choose 1</t>
  </si>
  <si>
    <t>2x8</t>
  </si>
  <si>
    <t>WALL PALLETS</t>
  </si>
  <si>
    <t>Choose 1</t>
  </si>
  <si>
    <t>2x10</t>
  </si>
  <si>
    <t>2x12</t>
  </si>
  <si>
    <t>RAFTER PALLETS</t>
  </si>
  <si>
    <t>MISC. PALLET</t>
  </si>
  <si>
    <t>2x4x10'</t>
  </si>
  <si>
    <t>MISC PALLET</t>
  </si>
  <si>
    <t>RING PALLET</t>
  </si>
  <si>
    <t>2x4x12</t>
  </si>
  <si>
    <t>2x4x16</t>
  </si>
  <si>
    <t>1x6x8'</t>
  </si>
  <si>
    <t>1x6x10'</t>
  </si>
  <si>
    <t>1x6x12'</t>
  </si>
  <si>
    <t>RAFTER PALLET</t>
  </si>
  <si>
    <t>1x6x14'</t>
  </si>
  <si>
    <t>1x6x16'</t>
  </si>
  <si>
    <t>1x4x8'</t>
  </si>
  <si>
    <t>25   WALL PALLETS</t>
  </si>
  <si>
    <t xml:space="preserve"> 35  WALL PALLETS</t>
  </si>
  <si>
    <t>CUT OUT</t>
  </si>
  <si>
    <t>Rafter Pallet</t>
  </si>
  <si>
    <t xml:space="preserve">Note: If Raters are for a 41' Yurts w/12” rafters, make two pallets.                              Layout: 6” spacers at 5 1/2” from each end of Stringers.        10 Spacers are centered on middle of stringers.     </t>
  </si>
  <si>
    <t>CUT FROM</t>
  </si>
  <si>
    <t># OF PIECES</t>
  </si>
  <si>
    <t>Deck – Mark Center</t>
  </si>
  <si>
    <t>Stringers</t>
  </si>
  <si>
    <t>Stringer Trim</t>
  </si>
  <si>
    <t>1x1</t>
  </si>
  <si>
    <t>Spacers</t>
  </si>
  <si>
    <t>scrap 1x3 cedar</t>
  </si>
  <si>
    <t>2x8 rafters  no middle spacer.  There should be 6) 2 1/2" spacers</t>
  </si>
  <si>
    <t>Ring Pallet</t>
  </si>
  <si>
    <t>Deck and Base</t>
  </si>
  <si>
    <t>Misc. Pallet</t>
  </si>
  <si>
    <t xml:space="preserve">  If 41' w/2x12 rafters- 2 pallets</t>
  </si>
  <si>
    <t>Deck</t>
  </si>
  <si>
    <t>4'</t>
  </si>
  <si>
    <t>3'</t>
  </si>
  <si>
    <t>Wall Pallets</t>
  </si>
  <si>
    <t>RING &amp; SKYLIGHT PALLET &amp; MISC. ITEMS</t>
  </si>
  <si>
    <t>Customer Name:</t>
  </si>
  <si>
    <t>Yurt Size:</t>
  </si>
  <si>
    <t>Rafter Size:</t>
  </si>
  <si>
    <t>ON PALLET</t>
  </si>
  <si>
    <t>HARDWARE PKG.</t>
  </si>
  <si>
    <t>TAKE PHOTO</t>
  </si>
  <si>
    <t>RING  SIZE</t>
  </si>
  <si>
    <t>RING LAYERS</t>
  </si>
  <si>
    <t>WRAP RING</t>
  </si>
  <si>
    <t>SARAN WRAP</t>
  </si>
  <si>
    <t>SKYLIGHT      SIZE</t>
  </si>
  <si>
    <t>TINT</t>
  </si>
  <si>
    <t>TYPE</t>
  </si>
  <si>
    <t>OPENER</t>
  </si>
  <si>
    <t>PALLET PHOTO</t>
  </si>
  <si>
    <t>NOTES:</t>
  </si>
  <si>
    <t>WALL CUT OUT SHEET</t>
  </si>
  <si>
    <t>Yurt size:</t>
  </si>
  <si>
    <t>Wall Height</t>
  </si>
  <si>
    <t xml:space="preserve">DOOR &amp; WINDOW HEADER </t>
  </si>
  <si>
    <t>MATERIAL BOTTOM PLATES</t>
  </si>
  <si>
    <t>Part</t>
  </si>
  <si>
    <t>Cut From</t>
  </si>
  <si>
    <t>Count</t>
  </si>
  <si>
    <t>Length in Inches</t>
  </si>
  <si>
    <t xml:space="preserve">    2x6 Studs</t>
  </si>
  <si>
    <r>
      <t xml:space="preserve">2 x 6 Plates         </t>
    </r>
    <r>
      <rPr>
        <sz val="14"/>
        <color indexed="8"/>
        <rFont val="Calibri"/>
        <family val="2"/>
        <charset val="1"/>
      </rPr>
      <t xml:space="preserve">(Master angle – use         template + 1/4" </t>
    </r>
    <r>
      <rPr>
        <b/>
        <u/>
        <sz val="14"/>
        <color indexed="8"/>
        <rFont val="Calibri"/>
        <family val="2"/>
        <charset val="1"/>
      </rPr>
      <t>JOINT long edge</t>
    </r>
  </si>
  <si>
    <t>48 ¼ (cut to rough angle for 41')</t>
  </si>
  <si>
    <t>Total Standard   windows</t>
  </si>
  <si>
    <t>Total casement windows</t>
  </si>
  <si>
    <r>
      <t xml:space="preserve">   2 x 6 Lintels &amp; Sills</t>
    </r>
    <r>
      <rPr>
        <sz val="14"/>
        <color indexed="8"/>
        <rFont val="Calibri"/>
        <family val="2"/>
        <charset val="1"/>
      </rPr>
      <t xml:space="preserve"> (Master angled cut - use template + 1/4"</t>
    </r>
  </si>
  <si>
    <t>45 (cut to rough angle for 41')</t>
  </si>
  <si>
    <r>
      <t>Total Standard with 2</t>
    </r>
    <r>
      <rPr>
        <vertAlign val="superscript"/>
        <sz val="14"/>
        <rFont val="Arial"/>
        <family val="2"/>
        <charset val="1"/>
      </rPr>
      <t>nd</t>
    </r>
    <r>
      <rPr>
        <sz val="14"/>
        <rFont val="Arial"/>
        <family val="2"/>
        <charset val="1"/>
      </rPr>
      <t xml:space="preserve"> upper windows</t>
    </r>
  </si>
  <si>
    <r>
      <t>Total casement with 2</t>
    </r>
    <r>
      <rPr>
        <vertAlign val="superscript"/>
        <sz val="14"/>
        <rFont val="Arial"/>
        <family val="2"/>
        <charset val="1"/>
      </rPr>
      <t>nd</t>
    </r>
    <r>
      <rPr>
        <sz val="14"/>
        <rFont val="Arial"/>
        <family val="2"/>
        <charset val="1"/>
      </rPr>
      <t xml:space="preserve"> upper windows</t>
    </r>
  </si>
  <si>
    <t>Total Standard upper windows</t>
  </si>
  <si>
    <t>Total casement upper windows</t>
  </si>
  <si>
    <r>
      <t>Headers</t>
    </r>
    <r>
      <rPr>
        <sz val="14"/>
        <color indexed="8"/>
        <rFont val="Calibri"/>
        <family val="2"/>
        <charset val="1"/>
      </rPr>
      <t xml:space="preserve"> – Veiw Engineering docs for accurate totals  </t>
    </r>
    <r>
      <rPr>
        <u/>
        <sz val="14"/>
        <color indexed="8"/>
        <rFont val="Calibri"/>
        <family val="2"/>
        <charset val="1"/>
      </rPr>
      <t>boards of lengths divisible by 4'</t>
    </r>
  </si>
  <si>
    <r>
      <t>45"</t>
    </r>
    <r>
      <rPr>
        <b/>
        <sz val="14"/>
        <color indexed="60"/>
        <rFont val="Calibri"/>
        <family val="2"/>
        <charset val="1"/>
      </rPr>
      <t xml:space="preserve"> - </t>
    </r>
    <r>
      <rPr>
        <u/>
        <sz val="14"/>
        <color indexed="8"/>
        <rFont val="Calibri"/>
        <family val="2"/>
        <charset val="1"/>
      </rPr>
      <t>rough cut</t>
    </r>
  </si>
  <si>
    <t>Total second Standard upper windows</t>
  </si>
  <si>
    <t>Total second casement upper windows</t>
  </si>
  <si>
    <t>Trimmers</t>
  </si>
  <si>
    <t>*</t>
  </si>
  <si>
    <t>Jack Studs</t>
  </si>
  <si>
    <t>Casement Jack Studs</t>
  </si>
  <si>
    <t>Casement King Studs</t>
  </si>
  <si>
    <r>
      <t xml:space="preserve">CEDAR    -    1 x 2 </t>
    </r>
    <r>
      <rPr>
        <b/>
        <sz val="18"/>
        <rFont val="Arial"/>
        <family val="2"/>
        <charset val="1"/>
      </rPr>
      <t>7/8</t>
    </r>
    <r>
      <rPr>
        <b/>
        <sz val="22"/>
        <rFont val="Arial"/>
        <family val="2"/>
        <charset val="1"/>
      </rPr>
      <t>" Window edge siding</t>
    </r>
  </si>
  <si>
    <t>CEDAR    -   1x6 Window Edge Siding</t>
  </si>
  <si>
    <t>Door Framing Materials - 2 x 6  &amp; 2 x 8</t>
  </si>
  <si>
    <t xml:space="preserve"> Cripples – Doors  &gt;   Check drawings for correct Header cut and to confirm correct cripple length                </t>
  </si>
  <si>
    <t xml:space="preserve"> Equals Addtion blocking height from top of bottom plate to top of block</t>
  </si>
  <si>
    <r>
      <t xml:space="preserve">               Cripples – Window Walls</t>
    </r>
    <r>
      <rPr>
        <b/>
        <sz val="14"/>
        <rFont val="Arial"/>
        <family val="2"/>
        <charset val="1"/>
      </rPr>
      <t xml:space="preserve">                                           Check drawings for correct Header cut                   </t>
    </r>
  </si>
  <si>
    <t xml:space="preserve">Blocking </t>
  </si>
  <si>
    <t xml:space="preserve">Plywood </t>
  </si>
  <si>
    <t xml:space="preserve">  x 47 3/4"</t>
  </si>
  <si>
    <t>* Note - These measuements are oversize, for the first cut. Finish cut to shop note specs or use template.</t>
  </si>
  <si>
    <t>French Door Materials</t>
  </si>
  <si>
    <t>'</t>
  </si>
  <si>
    <t>TRIM PACKAGE</t>
  </si>
  <si>
    <t>NAME</t>
  </si>
  <si>
    <t>WALL HEIGHT</t>
  </si>
  <si>
    <t>“</t>
  </si>
  <si>
    <t># of Walls</t>
  </si>
  <si>
    <t># of Pieces</t>
  </si>
  <si>
    <t>Ord</t>
  </si>
  <si>
    <t>Rec</t>
  </si>
  <si>
    <t>Standard walls</t>
  </si>
  <si>
    <t>Window walls</t>
  </si>
  <si>
    <t>Cut</t>
  </si>
  <si>
    <t>Pallet</t>
  </si>
  <si>
    <t>Description</t>
  </si>
  <si>
    <t>Quantity</t>
  </si>
  <si>
    <t>X</t>
  </si>
  <si>
    <t>66"</t>
  </si>
  <si>
    <t>78"</t>
  </si>
  <si>
    <t>problems with sheet-1 skylight formula</t>
  </si>
  <si>
    <t>Total Revenue</t>
  </si>
  <si>
    <t>Yurt size</t>
  </si>
  <si>
    <t>Item</t>
  </si>
  <si>
    <t>price each</t>
  </si>
  <si>
    <t>amount</t>
  </si>
  <si>
    <t>total cost ea</t>
  </si>
  <si>
    <t>fir/hem</t>
  </si>
  <si>
    <t>1x2 stripping                                            8</t>
  </si>
  <si>
    <t>Select Fir</t>
  </si>
  <si>
    <t>2x4                                                         8</t>
  </si>
  <si>
    <t>2x6                                                        12</t>
  </si>
  <si>
    <t>2x8                                                         8</t>
  </si>
  <si>
    <t>2x10                                                      12</t>
  </si>
  <si>
    <t>2x12                                                      12</t>
  </si>
  <si>
    <t>Cedar</t>
  </si>
  <si>
    <r>
      <t xml:space="preserve">1x2 clear                  </t>
    </r>
    <r>
      <rPr>
        <b/>
        <sz val="10"/>
        <rFont val="Arial"/>
        <family val="2"/>
      </rPr>
      <t xml:space="preserve">per LF </t>
    </r>
    <r>
      <rPr>
        <sz val="10"/>
        <rFont val="Arial"/>
        <family val="2"/>
      </rPr>
      <t xml:space="preserve">                     8</t>
    </r>
  </si>
  <si>
    <t>1x3TK                                                      8</t>
  </si>
  <si>
    <t>1x4 TK                                                    8</t>
  </si>
  <si>
    <t xml:space="preserve">1x6 TK                            8                  </t>
  </si>
  <si>
    <t>1x8 TK                                                      16</t>
  </si>
  <si>
    <t>1x6 T&amp;G                                                  4</t>
  </si>
  <si>
    <t>2x4x8                   (10' is $5.83)</t>
  </si>
  <si>
    <t xml:space="preserve">special </t>
  </si>
  <si>
    <t>1x6 brushed for eaves                              14</t>
  </si>
  <si>
    <t>Plywood</t>
  </si>
  <si>
    <t>1/2 CDX/sheet</t>
  </si>
  <si>
    <t>1/2” Siberian Birch/sheet</t>
  </si>
  <si>
    <t>Pine /ft</t>
  </si>
  <si>
    <t>1x6 T&amp;G                                                    8</t>
  </si>
  <si>
    <t>3 or better   1x6x                                     8</t>
  </si>
  <si>
    <t>fasteners</t>
  </si>
  <si>
    <t>2 3/8 x .113 8D coil nails/box</t>
  </si>
  <si>
    <t>12d gun nails / 1 Box</t>
  </si>
  <si>
    <t>2"x7/16" Staples/Box</t>
  </si>
  <si>
    <t>2" finish nails/Box</t>
  </si>
  <si>
    <t>3/8" staples/Boxes</t>
  </si>
  <si>
    <t>1 5/8" compdex trim screws/10 #s</t>
  </si>
  <si>
    <t>3" compdex trim screws/ 5 #s</t>
  </si>
  <si>
    <t>3" square drive screws /25#</t>
  </si>
  <si>
    <t>3/4" Roofing Screw/Box</t>
  </si>
  <si>
    <t>1" Roofing Screw/ Box        each</t>
  </si>
  <si>
    <t>1 5/8" Sq. Drive Deck Trim Compdeck Screws /Box</t>
  </si>
  <si>
    <t>Timber lok 4”/ 250</t>
  </si>
  <si>
    <t>Timber lok 6”/250</t>
  </si>
  <si>
    <t>Timber lok 8”/ 250                bucket of 250</t>
  </si>
  <si>
    <t>Timber lok 10”/250               bucket of 250</t>
  </si>
  <si>
    <t>Timber lok 12”/250               sold individually</t>
  </si>
  <si>
    <t>Vent Screen/ Roll</t>
  </si>
  <si>
    <t>Door handles/ea</t>
  </si>
  <si>
    <t>Insulation</t>
  </si>
  <si>
    <t>Garage Door Seal/ea</t>
  </si>
  <si>
    <t>Vinyl Foam  weatherseal 3/8"x3/16"x17'  /roll</t>
  </si>
  <si>
    <t>Typar DW</t>
  </si>
  <si>
    <t>20' foam weather seal /roll</t>
  </si>
  <si>
    <t>sealant,bonding</t>
  </si>
  <si>
    <t>5 Gallons Linseed Oil/5gal</t>
  </si>
  <si>
    <t>Titebond 3/Gallon                each</t>
  </si>
  <si>
    <t>Window Caulk /case of 12       each</t>
  </si>
  <si>
    <t>TITEBOND GREEN CHOICE 29 OZ./CASE</t>
  </si>
  <si>
    <t>Roofing</t>
  </si>
  <si>
    <t>Metal roof, 20'</t>
  </si>
  <si>
    <t>cmplt, kit</t>
  </si>
  <si>
    <t>Roofing Ext (addition)</t>
  </si>
  <si>
    <t>addition special</t>
  </si>
  <si>
    <t>Metal roof, 25'</t>
  </si>
  <si>
    <t>Ring</t>
  </si>
  <si>
    <t>Metal roof, 30'</t>
  </si>
  <si>
    <t>Skylight</t>
  </si>
  <si>
    <t>with shipping</t>
  </si>
  <si>
    <t>Metal roof, 35'</t>
  </si>
  <si>
    <t>Screen</t>
  </si>
  <si>
    <t>Metal roof, 41''</t>
  </si>
  <si>
    <t>Rafter Strapping</t>
  </si>
  <si>
    <t>300' roll</t>
  </si>
  <si>
    <t>Windows</t>
  </si>
  <si>
    <t>Picture</t>
  </si>
  <si>
    <t>Casement</t>
  </si>
  <si>
    <t>Casement Tempered</t>
  </si>
  <si>
    <t>Awning</t>
  </si>
  <si>
    <t>Slider</t>
  </si>
  <si>
    <t>Slider Tempered</t>
  </si>
  <si>
    <t>Doors ext.</t>
  </si>
  <si>
    <t>Days to completion</t>
  </si>
  <si>
    <t># hrs for proj</t>
  </si>
  <si>
    <t>wage</t>
  </si>
  <si>
    <t>taxes</t>
  </si>
  <si>
    <t>direct</t>
  </si>
  <si>
    <t>indirect</t>
  </si>
  <si>
    <t>Hanz</t>
  </si>
  <si>
    <t>Total COG +10%</t>
  </si>
  <si>
    <t>Chris</t>
  </si>
  <si>
    <t>Barbara</t>
  </si>
  <si>
    <t>Lobor costs</t>
  </si>
  <si>
    <t>average cost per hour day</t>
  </si>
  <si>
    <t>Jesse</t>
  </si>
  <si>
    <t>Overhead</t>
  </si>
  <si>
    <t>rent per day</t>
  </si>
  <si>
    <t>Tony</t>
  </si>
  <si>
    <t>electricity per day</t>
  </si>
  <si>
    <t>Eric</t>
  </si>
  <si>
    <t>Insurance per day</t>
  </si>
  <si>
    <t>Sam</t>
  </si>
  <si>
    <t>propane per day</t>
  </si>
  <si>
    <t>consumables</t>
  </si>
  <si>
    <t>maintainence</t>
  </si>
  <si>
    <t>improvements</t>
  </si>
  <si>
    <t>Misc estimate</t>
  </si>
  <si>
    <t>Total Overhead</t>
  </si>
  <si>
    <t>Tax</t>
  </si>
  <si>
    <t>Design</t>
  </si>
  <si>
    <t>Engineering</t>
  </si>
  <si>
    <t>Shipping</t>
  </si>
  <si>
    <t>total outside costs</t>
  </si>
  <si>
    <t>Total costs plus overhead+ 10%</t>
  </si>
  <si>
    <t>Net profit</t>
  </si>
  <si>
    <t>TOTAL  WALL MATERIALS</t>
  </si>
  <si>
    <t>Customer Name</t>
  </si>
  <si>
    <t>Yurt Size</t>
  </si>
  <si>
    <t>ft</t>
  </si>
  <si>
    <t>Walls</t>
  </si>
  <si>
    <t>Possible combinations of lumber size for headers</t>
  </si>
  <si>
    <t>2x</t>
  </si>
  <si>
    <r>
      <t>2x6x16' -</t>
    </r>
    <r>
      <rPr>
        <sz val="14"/>
        <color indexed="8"/>
        <rFont val="Arial"/>
        <family val="2"/>
        <charset val="1"/>
      </rPr>
      <t>Plates, Trimmers, Jacks, Sills, Lintels etc.</t>
    </r>
  </si>
  <si>
    <t>Corner Studs</t>
  </si>
  <si>
    <r>
      <t>Header Material per engineer</t>
    </r>
    <r>
      <rPr>
        <sz val="15"/>
        <color indexed="12"/>
        <rFont val="Arial"/>
        <family val="2"/>
        <charset val="1"/>
      </rPr>
      <t xml:space="preserve"> </t>
    </r>
    <r>
      <rPr>
        <sz val="15"/>
        <color indexed="10"/>
        <rFont val="Arial"/>
        <family val="2"/>
        <charset val="1"/>
      </rPr>
      <t>H1</t>
    </r>
  </si>
  <si>
    <t>`</t>
  </si>
  <si>
    <t>½”</t>
  </si>
  <si>
    <t>Siding Ht</t>
  </si>
  <si>
    <t>% OVERAGE</t>
  </si>
  <si>
    <t>Qt</t>
  </si>
  <si>
    <t>Win Ht</t>
  </si>
  <si>
    <t>Wall Ht</t>
  </si>
  <si>
    <t># of boards</t>
  </si>
  <si>
    <t>Standard win</t>
  </si>
  <si>
    <t>1x4x6'</t>
  </si>
  <si>
    <t>1x4x10'</t>
  </si>
  <si>
    <t>1x4x12'</t>
  </si>
  <si>
    <t>Casement win</t>
  </si>
  <si>
    <t>1x6x6'</t>
  </si>
  <si>
    <t>Door Ht</t>
  </si>
  <si>
    <t>FR DOOR</t>
  </si>
  <si>
    <t>STANDARD WALL</t>
  </si>
  <si>
    <t>NVL MAIN MATERIALS ORDER</t>
  </si>
  <si>
    <t>Ordered</t>
  </si>
  <si>
    <t>nickatnvl@gmail.com</t>
  </si>
  <si>
    <t>Ph.</t>
  </si>
  <si>
    <t>996-2264</t>
  </si>
  <si>
    <t>nvljeff86@gmail.com</t>
  </si>
  <si>
    <t>Trim</t>
  </si>
  <si>
    <t>NVL can only get on Tuesdays.  Let NVL know one week in advance!!!!!</t>
  </si>
  <si>
    <t>2 or better Cedar Trim</t>
  </si>
  <si>
    <t>Wall materials</t>
  </si>
  <si>
    <t>UTILITY GRADE LUMBER FOR PALLETS</t>
  </si>
  <si>
    <t>ROOFING SPACERS</t>
  </si>
  <si>
    <t>FULL 3/4"  HIM/FIR</t>
  </si>
  <si>
    <t>DOOR DELIVERY  !!!!!  -  Send with lumber delivery</t>
  </si>
  <si>
    <t>Rafter Trim</t>
  </si>
  <si>
    <t>Quant.</t>
  </si>
  <si>
    <t>2 3/8 x .113 8D coil nails   - 4 boxes # FANC 238113</t>
  </si>
  <si>
    <t>Timber lok Screws - BOX of 4”   -  bucket of 250</t>
  </si>
  <si>
    <t>Timber lok Screws - BOX of 8”     -  bucket of 250</t>
  </si>
  <si>
    <t>Timber lok Screws - BOX of 10”    -   bucket of 250</t>
  </si>
  <si>
    <t>Timber lok Screws - BOX of 12”    -  bucket of 250</t>
  </si>
  <si>
    <t>Vent Screen - SS6A   -            4 Rolls</t>
  </si>
  <si>
    <t>Garage Door Seal -5436704   -      7</t>
  </si>
  <si>
    <t>Vinyl Foam ( Frost King) Self stick weatherseal 3/8"x3/16"x17'  - Grey V443 - 5 rolls</t>
  </si>
  <si>
    <t>Rec.</t>
  </si>
  <si>
    <t>Number</t>
  </si>
  <si>
    <t>Material</t>
  </si>
  <si>
    <t>PLEASE SEPARATE ABOVE MATERIALS FROM RAFTERS</t>
  </si>
  <si>
    <t xml:space="preserve"> NOTE GRADE STAMP END</t>
  </si>
  <si>
    <t>MVL needs two weeks to source 24" rafters for 41' yurts.</t>
  </si>
  <si>
    <r>
      <t xml:space="preserve"> Cedar (</t>
    </r>
    <r>
      <rPr>
        <sz val="15"/>
        <rFont val="Calibri"/>
        <family val="2"/>
        <charset val="1"/>
      </rPr>
      <t>special order brushed texture</t>
    </r>
    <r>
      <rPr>
        <sz val="20"/>
        <rFont val="Calibri"/>
        <family val="2"/>
        <charset val="1"/>
      </rPr>
      <t>)</t>
    </r>
  </si>
  <si>
    <t>GUARD WRAP - 1 ROLL</t>
  </si>
  <si>
    <t>TITEBOND GREEN CHOICE 29 OZ. -  CASE of 12</t>
  </si>
  <si>
    <t>TIMBER LOK DRIVER  5/16'  #3547323B- EACH</t>
  </si>
  <si>
    <t>#10 LOCK WASHERS  Hilman 300015- 1 BOX</t>
  </si>
  <si>
    <t>20' FOAM WEATHER SEAL- 7 ROLLS</t>
  </si>
  <si>
    <t>Rafter size</t>
  </si>
  <si>
    <t>Cables</t>
  </si>
  <si>
    <t>ENTER 1 FOR EACH CABLE</t>
  </si>
  <si>
    <t># of RAFTERS</t>
  </si>
  <si>
    <t>ADDITION RAFTERS</t>
  </si>
  <si>
    <t>REGULAR RAFTERS</t>
  </si>
  <si>
    <t>FIRE BLOCKING EAVE CUTS</t>
  </si>
  <si>
    <t>BUSHING HOLE DATA</t>
  </si>
  <si>
    <t>BUSHINGS per RAFTER</t>
  </si>
  <si>
    <t>½'</t>
  </si>
  <si>
    <t>Large</t>
  </si>
  <si>
    <t>NOTES -</t>
  </si>
  <si>
    <r>
      <t>1/4" cables</t>
    </r>
    <r>
      <rPr>
        <sz val="14"/>
        <color indexed="8"/>
        <rFont val="Calibri"/>
        <family val="2"/>
        <charset val="1"/>
      </rPr>
      <t xml:space="preserve"> have 1/2" bushings only. No large bushings or plates.</t>
    </r>
  </si>
  <si>
    <r>
      <t>5/16" cables</t>
    </r>
    <r>
      <rPr>
        <sz val="14"/>
        <color indexed="8"/>
        <rFont val="Calibri"/>
        <family val="2"/>
        <charset val="1"/>
      </rPr>
      <t xml:space="preserve"> have 1/2" bushings and 2 rafters with large bushings in themfor each cable </t>
    </r>
  </si>
  <si>
    <r>
      <t>3/8" cables</t>
    </r>
    <r>
      <rPr>
        <sz val="14"/>
        <color indexed="8"/>
        <rFont val="Calibri"/>
        <family val="2"/>
        <charset val="1"/>
      </rPr>
      <t xml:space="preserve"> have  1/2" bushings, one rafter with large bushing(s) and one rafter with the plate in it.               </t>
    </r>
  </si>
  <si>
    <t>With 2- 3/8" cables there will be 2 rafters with  plates and 2 with large bushings -  1 in the upper cable position, the other in the lower cable position.</t>
  </si>
  <si>
    <t>YES/NO</t>
  </si>
  <si>
    <t>Crank</t>
  </si>
  <si>
    <t>Crank Ext.</t>
  </si>
  <si>
    <t>Trim Kit</t>
  </si>
  <si>
    <t xml:space="preserve">See trim kit cut-out paperwork </t>
  </si>
  <si>
    <t>Number of 1 x 2's</t>
  </si>
  <si>
    <t>ALL HOLES DRILLED</t>
  </si>
  <si>
    <t>RAFTER TIPS OILED</t>
  </si>
  <si>
    <t>CARDBOARD COVERING RAFTER TIPS</t>
  </si>
  <si>
    <t>PLYWOOD COVERING PALLET TOP</t>
  </si>
  <si>
    <t>PHOTO TAKEN?</t>
  </si>
  <si>
    <t>If ceiling is ordered, find cut list at &gt; Drop box&gt;Research and Development&gt;Project -  ideas&gt;Ceiling&gt;Choose correct drawing for size and type of ceiling</t>
  </si>
  <si>
    <t>Number of Cables</t>
  </si>
  <si>
    <r>
      <t xml:space="preserve">Cable size - </t>
    </r>
    <r>
      <rPr>
        <sz val="12"/>
        <color indexed="37"/>
        <rFont val="Calibri"/>
        <family val="2"/>
        <charset val="1"/>
      </rPr>
      <t>Don't alter cells</t>
    </r>
  </si>
  <si>
    <t>Number of Doors</t>
  </si>
  <si>
    <t xml:space="preserve">  YURT HARDWARE PACKAGE</t>
  </si>
  <si>
    <t>√</t>
  </si>
  <si>
    <t>ITEM</t>
  </si>
  <si>
    <t>1/4in</t>
  </si>
  <si>
    <r>
      <t xml:space="preserve">      </t>
    </r>
    <r>
      <rPr>
        <sz val="12"/>
        <color indexed="8"/>
        <rFont val="Calibri"/>
        <family val="2"/>
        <charset val="1"/>
      </rPr>
      <t xml:space="preserve">Wall cable   </t>
    </r>
    <r>
      <rPr>
        <b/>
        <sz val="12"/>
        <color indexed="8"/>
        <rFont val="Calibri"/>
        <family val="2"/>
        <charset val="1"/>
      </rPr>
      <t xml:space="preserve">1/4” x      </t>
    </r>
    <r>
      <rPr>
        <sz val="12"/>
        <color indexed="8"/>
        <rFont val="Calibri"/>
        <family val="2"/>
        <charset val="1"/>
      </rPr>
      <t xml:space="preserve">Wall cable   </t>
    </r>
    <r>
      <rPr>
        <b/>
        <sz val="12"/>
        <color indexed="8"/>
        <rFont val="Calibri"/>
        <family val="2"/>
        <charset val="1"/>
      </rPr>
      <t>1/4” x</t>
    </r>
  </si>
  <si>
    <t>&lt;----set up to calculate the cable length</t>
  </si>
  <si>
    <t>1/4"</t>
  </si>
  <si>
    <t xml:space="preserve">      Wall Cable Clamps  (imported)</t>
  </si>
  <si>
    <t>6"</t>
  </si>
  <si>
    <t xml:space="preserve"> </t>
  </si>
  <si>
    <r>
      <t xml:space="preserve">      Rib Clips (eave seal pieces for metal roof)</t>
    </r>
    <r>
      <rPr>
        <sz val="12"/>
        <color indexed="60"/>
        <rFont val="Calibri"/>
        <family val="2"/>
        <charset val="1"/>
      </rPr>
      <t xml:space="preserve"> </t>
    </r>
    <r>
      <rPr>
        <u/>
        <sz val="12"/>
        <color indexed="60"/>
        <rFont val="Calibri"/>
        <family val="2"/>
        <charset val="1"/>
      </rPr>
      <t>Addition</t>
    </r>
    <r>
      <rPr>
        <sz val="12"/>
        <color indexed="60"/>
        <rFont val="Calibri"/>
        <family val="2"/>
        <charset val="1"/>
      </rPr>
      <t xml:space="preserve"> - 3 for each wall section</t>
    </r>
  </si>
  <si>
    <t xml:space="preserve">of weather-stripping  </t>
  </si>
  <si>
    <t xml:space="preserve"> x 4 5/8” Reflectex and foil tape</t>
  </si>
  <si>
    <t xml:space="preserve">  Feet of   6” eave vent screen</t>
  </si>
  <si>
    <r>
      <t xml:space="preserve">      Skylight opener screws 10x24 x 1 ¼” machine screws </t>
    </r>
    <r>
      <rPr>
        <b/>
        <sz val="12"/>
        <color indexed="8"/>
        <rFont val="Calibri"/>
        <family val="2"/>
        <charset val="1"/>
      </rPr>
      <t>with nuts and washers</t>
    </r>
    <r>
      <rPr>
        <sz val="12"/>
        <color indexed="8"/>
        <rFont val="Calibri"/>
        <family val="2"/>
        <charset val="1"/>
      </rPr>
      <t xml:space="preserve"> </t>
    </r>
  </si>
  <si>
    <t xml:space="preserve">      Skylight mounting screws – 12x14 x 1” self drilling screws</t>
  </si>
  <si>
    <t xml:space="preserve">      1/8” drill bit for pilot holes in weather skirting</t>
  </si>
  <si>
    <t>20'</t>
  </si>
  <si>
    <t>25'</t>
  </si>
  <si>
    <t>30'</t>
  </si>
  <si>
    <t>35'</t>
  </si>
  <si>
    <t>41'</t>
  </si>
  <si>
    <t xml:space="preserve">      5/16” driver for Timber-Locs</t>
  </si>
  <si>
    <t># of Rafters per Section</t>
  </si>
  <si>
    <t>Metal Ring to Wood Ring Seal</t>
  </si>
  <si>
    <t>LSL</t>
  </si>
  <si>
    <t xml:space="preserve">      3/4" pan head screws w/ washers for ring seal</t>
  </si>
  <si>
    <t>Total strapping needed</t>
  </si>
  <si>
    <t>71 1/2”</t>
  </si>
  <si>
    <t>83”</t>
  </si>
  <si>
    <t>106 ½</t>
  </si>
  <si>
    <t>104 1/2”</t>
  </si>
  <si>
    <t>102 3/4”</t>
  </si>
  <si>
    <t>112 ½</t>
  </si>
  <si>
    <t>141”</t>
  </si>
  <si>
    <t>136”</t>
  </si>
  <si>
    <t xml:space="preserve">      Copy of Shipping List</t>
  </si>
  <si>
    <t>168”</t>
  </si>
  <si>
    <t>182 ¼”</t>
  </si>
  <si>
    <t>211 ½”</t>
  </si>
  <si>
    <t>HSL</t>
  </si>
  <si>
    <t>60”</t>
  </si>
  <si>
    <t>70”</t>
  </si>
  <si>
    <t>99”</t>
  </si>
  <si>
    <t>59”</t>
  </si>
  <si>
    <t>66”</t>
  </si>
  <si>
    <t>83 ½</t>
  </si>
  <si>
    <t>94 1/4”</t>
  </si>
  <si>
    <t>129 ¾</t>
  </si>
  <si>
    <t>189 1/4”</t>
  </si>
  <si>
    <t>154”</t>
  </si>
  <si>
    <t>ROOF KIT MATERIALS</t>
  </si>
  <si>
    <t>Name</t>
  </si>
  <si>
    <t xml:space="preserve"> Rafters</t>
  </si>
  <si>
    <t>Bird Block Calculation cell</t>
  </si>
  <si>
    <t>Bird Blocks</t>
  </si>
  <si>
    <t>Top Plates</t>
  </si>
  <si>
    <t>Rafters</t>
  </si>
  <si>
    <t>PLEASE SEPARATE THESE OUT WITH STICKERS</t>
  </si>
  <si>
    <t xml:space="preserve">Eaves, 1x6  </t>
  </si>
  <si>
    <r>
      <t>1x2x8' Vent Boards (</t>
    </r>
    <r>
      <rPr>
        <b/>
        <sz val="16"/>
        <color indexed="10"/>
        <rFont val="Calibri"/>
        <family val="2"/>
        <charset val="1"/>
      </rPr>
      <t>metal roof only</t>
    </r>
    <r>
      <rPr>
        <b/>
        <sz val="16"/>
        <color indexed="8"/>
        <rFont val="Calibri"/>
        <family val="2"/>
        <charset val="1"/>
      </rPr>
      <t>)</t>
    </r>
  </si>
  <si>
    <t>* Corner Stud scraps / 1x2x8'</t>
  </si>
  <si>
    <t xml:space="preserve">*Cut half of the 1x2's from corner stud excess. Remainder from pre-cut 1x2's  </t>
  </si>
  <si>
    <t>Rafter Size</t>
  </si>
  <si>
    <t>On Pallet</t>
  </si>
  <si>
    <r>
      <t xml:space="preserve">               </t>
    </r>
    <r>
      <rPr>
        <b/>
        <sz val="16"/>
        <rFont val="Calibri"/>
        <family val="2"/>
        <charset val="1"/>
      </rPr>
      <t>Top Plates</t>
    </r>
    <r>
      <rPr>
        <sz val="16"/>
        <rFont val="Calibri"/>
        <family val="2"/>
        <charset val="1"/>
      </rPr>
      <t xml:space="preserve">                 </t>
    </r>
    <r>
      <rPr>
        <sz val="14"/>
        <rFont val="Calibri"/>
        <family val="2"/>
        <charset val="1"/>
      </rPr>
      <t xml:space="preserve"> Joint short edge</t>
    </r>
  </si>
  <si>
    <t>Inner Eaves</t>
  </si>
  <si>
    <t>Plain outer face</t>
  </si>
  <si>
    <t>foundation_2</t>
  </si>
  <si>
    <t>roof</t>
  </si>
  <si>
    <t>bottomplates</t>
  </si>
  <si>
    <t>yesno</t>
  </si>
  <si>
    <t>WindowType</t>
  </si>
  <si>
    <t>Skylightcolor</t>
  </si>
  <si>
    <t>Skylighttype</t>
  </si>
  <si>
    <t>doorstyle</t>
  </si>
  <si>
    <t>Slab</t>
  </si>
  <si>
    <t>Galv.</t>
  </si>
  <si>
    <t>Clear</t>
  </si>
  <si>
    <t>Double Pane</t>
  </si>
  <si>
    <t>Half-Light</t>
  </si>
  <si>
    <t>Stem Wall</t>
  </si>
  <si>
    <t>Dark Brown </t>
  </si>
  <si>
    <t>Fir</t>
  </si>
  <si>
    <t>no</t>
  </si>
  <si>
    <t>SH</t>
  </si>
  <si>
    <t>Single Hung</t>
  </si>
  <si>
    <t>Bronze</t>
  </si>
  <si>
    <t>Triple Pane</t>
  </si>
  <si>
    <t>Full-Light</t>
  </si>
  <si>
    <t>Basement</t>
  </si>
  <si>
    <t>Hartford Green</t>
  </si>
  <si>
    <t>SL</t>
  </si>
  <si>
    <t>6 PANEL</t>
  </si>
  <si>
    <t>AW</t>
  </si>
  <si>
    <t>NONE</t>
  </si>
  <si>
    <t>Cs</t>
  </si>
  <si>
    <t>P-T</t>
  </si>
  <si>
    <t>P Tempered</t>
  </si>
  <si>
    <t>SH-T</t>
  </si>
  <si>
    <t>SH tempered</t>
  </si>
  <si>
    <t>Aw-T</t>
  </si>
  <si>
    <t>Aw Tempered</t>
  </si>
  <si>
    <t>SL-T</t>
  </si>
  <si>
    <t>Cs-T</t>
  </si>
  <si>
    <t>P -SL</t>
  </si>
  <si>
    <t>Picture Slider</t>
  </si>
  <si>
    <t>P-AW</t>
  </si>
  <si>
    <t>handedopening</t>
  </si>
  <si>
    <t>3'0</t>
  </si>
  <si>
    <t>6'8</t>
  </si>
  <si>
    <t>High</t>
  </si>
  <si>
    <t>Right</t>
  </si>
  <si>
    <t>In</t>
  </si>
  <si>
    <t>2'8</t>
  </si>
  <si>
    <t>8'0</t>
  </si>
  <si>
    <t>Low</t>
  </si>
  <si>
    <t>Left</t>
  </si>
  <si>
    <t>Out</t>
  </si>
  <si>
    <t>2'6</t>
  </si>
  <si>
    <t xml:space="preserve">Trim Materials -    1x8x8' Door Edge Siding - For 2'6 doors - Cut from 1x6x16 - leave long         </t>
  </si>
  <si>
    <t>What is used for door siding?  3'0?  2'6?</t>
  </si>
  <si>
    <t>This needs to be added to wall materials</t>
  </si>
  <si>
    <t>done</t>
  </si>
  <si>
    <t>Supplies list is no longer on the wall materials page.  It should be added to the MVL and NVL pages</t>
  </si>
  <si>
    <t>On the Ring Pallet page, the number of layers for smaller rafters are probably not correct</t>
  </si>
  <si>
    <t>Only two windows of the same size but different heights can be put into one line on the project detail sheet.  If more windows of the same size are called for, use another line.</t>
  </si>
  <si>
    <t>French door side windows?</t>
  </si>
  <si>
    <t>Trim Materials – have shifted reference and need to be corrected</t>
  </si>
  <si>
    <t>% margin</t>
  </si>
  <si>
    <t>Design Revenue</t>
  </si>
  <si>
    <t>door handles</t>
  </si>
  <si>
    <t>5'</t>
  </si>
  <si>
    <t>16"</t>
  </si>
  <si>
    <t>Simpson Strapping</t>
  </si>
  <si>
    <t>1/4" Magnetic roofing screw drivers.   # 94214       40 ea.</t>
  </si>
  <si>
    <t>1/8" Drill Bits   #731081R      Order 10</t>
  </si>
  <si>
    <t>#10 Machine nuts  # H140021</t>
  </si>
  <si>
    <t>Hex Washers 12/14  #0132042  Order Box of 100</t>
  </si>
  <si>
    <t>Flat Head Screw  #10x24x1 1/2  Hilman  #101081  order 100</t>
  </si>
  <si>
    <t>AST Metal surface tape  1/4x3/4    ASH 25-20-06  order 5 rolls</t>
  </si>
  <si>
    <t>12x14x1" Self Tapping/hex head  Hilman #560358  1 box</t>
  </si>
  <si>
    <t>300 ft roll</t>
  </si>
  <si>
    <t>CEILING PRICE for PINE T&amp;G</t>
  </si>
  <si>
    <t># of segs</t>
  </si>
  <si>
    <t># of pieces per segment</t>
  </si>
  <si>
    <t>Total # of pieces</t>
  </si>
  <si>
    <t>Linear board feet + 10%</t>
  </si>
  <si>
    <t xml:space="preserve"># of 8' boards </t>
  </si>
  <si>
    <t>Extra Lumber inventory</t>
  </si>
  <si>
    <t>Put on Hanz's desk after kit completion.</t>
  </si>
  <si>
    <t>How many</t>
  </si>
  <si>
    <t>dimesions</t>
  </si>
  <si>
    <t>12d gun nails - KD28 AABSN -               1 Box</t>
  </si>
  <si>
    <t>2"x7/16" Staples - N21 BAB  -      1 Box</t>
  </si>
  <si>
    <t>3/8" staples - R1138 -         2 Boxes</t>
  </si>
  <si>
    <t>5 Gallons Linseed Oil - 19080   -     1 bucket</t>
  </si>
  <si>
    <t>Titebond 3 wood glue -       1 Gallon</t>
  </si>
  <si>
    <t>Window Caulk - 18188   -   case of 12</t>
  </si>
  <si>
    <t>Vicor - WW675   -    6 Rolls</t>
  </si>
  <si>
    <t>3/4" Roofing Screw - 34GS  -      1 Box</t>
  </si>
  <si>
    <t>2" finish nails - DA21 EABN -         1 Box</t>
  </si>
  <si>
    <t>Vicor - 4"x 100'   -    6 Rolls</t>
  </si>
  <si>
    <t>yards</t>
  </si>
  <si>
    <t>Pete</t>
  </si>
  <si>
    <t>Yards of coiled  Rafter strapping</t>
  </si>
  <si>
    <t xml:space="preserve"> Skylight Opener</t>
  </si>
  <si>
    <t>1/2" Plywood</t>
  </si>
  <si>
    <t>x    5'</t>
  </si>
  <si>
    <t xml:space="preserve">Scrap </t>
  </si>
  <si>
    <t>Stud spacing</t>
  </si>
  <si>
    <t>Snow load</t>
  </si>
  <si>
    <t>STUD SPACING</t>
  </si>
  <si>
    <t>Home Guard Titan Wall Wrap - 3 Rolls</t>
  </si>
  <si>
    <t>Cedar 1x4 TK for corner trim</t>
  </si>
  <si>
    <r>
      <t>1X4 Window Top &amp; Bottom</t>
    </r>
    <r>
      <rPr>
        <sz val="14"/>
        <color indexed="8"/>
        <rFont val="Arial"/>
        <family val="2"/>
        <charset val="1"/>
      </rPr>
      <t xml:space="preserve"> -     Leave at rough length to be cut on site</t>
    </r>
  </si>
  <si>
    <t>?</t>
  </si>
  <si>
    <t>Date:</t>
  </si>
  <si>
    <t>1 1/4" Galvanized w/phillips head screw            DWG114       25# box</t>
  </si>
  <si>
    <t>6 ft  FD header</t>
  </si>
  <si>
    <t>5 ft FD Header</t>
  </si>
  <si>
    <t>Clear Hemlock</t>
  </si>
  <si>
    <t>11'' w/door</t>
  </si>
  <si>
    <t>Hemlock 1x3 clear</t>
  </si>
  <si>
    <t>Header Material per engineer H2</t>
  </si>
  <si>
    <t xml:space="preserve">Wall Stack # 1      </t>
  </si>
  <si>
    <t># of rafter plates _____</t>
  </si>
  <si>
    <t xml:space="preserve">Wall Stack # 3     </t>
  </si>
  <si>
    <t xml:space="preserve">Rafter Stack # 1      </t>
  </si>
  <si>
    <t xml:space="preserve">Ring Pallet      </t>
  </si>
  <si>
    <t>Ceiling Pallet</t>
  </si>
  <si>
    <t>Missing Item ____________________</t>
  </si>
  <si>
    <t>Wall #______</t>
  </si>
  <si>
    <t>Notes:____________________________________</t>
  </si>
  <si>
    <t xml:space="preserve">Wall Stack # 2    </t>
  </si>
  <si>
    <t xml:space="preserve">Wall Stack # 4  </t>
  </si>
  <si>
    <t xml:space="preserve">Misc Pallet    </t>
  </si>
  <si>
    <t xml:space="preserve">Hardware box    </t>
  </si>
  <si>
    <t xml:space="preserve">Rafter Stack # 2      </t>
  </si>
  <si>
    <t>Special</t>
  </si>
  <si>
    <t>Eaves Length</t>
  </si>
  <si>
    <t>EAVES LENGTH</t>
  </si>
  <si>
    <r>
      <t xml:space="preserve"> 1 x 4" TK- Cedar Corner Trim</t>
    </r>
    <r>
      <rPr>
        <sz val="14"/>
        <color indexed="8"/>
        <rFont val="Arial"/>
        <family val="2"/>
        <charset val="1"/>
      </rPr>
      <t xml:space="preserve"> -       Leave full length but Rip minimum off to match wall angle. </t>
    </r>
  </si>
  <si>
    <t>Md Atlas gloves</t>
  </si>
  <si>
    <t>Sm Atlas gloves</t>
  </si>
  <si>
    <t>Lg Atlas gloves</t>
  </si>
  <si>
    <t xml:space="preserve">     3" x #10 torx screws -</t>
  </si>
  <si>
    <t xml:space="preserve">      T25   Torx drive bit for 3” screws</t>
  </si>
  <si>
    <t xml:space="preserve">      ¼” Roofing screw driver socket bits</t>
  </si>
  <si>
    <t>1 3/4" Torx                  PP134        Bulk bucket</t>
  </si>
  <si>
    <t>3" Torx                          PP3     Bulk bucket</t>
  </si>
  <si>
    <t>Date and time</t>
  </si>
  <si>
    <t xml:space="preserve">      T20  Torx drive bit for 1 3/4" eave screws</t>
  </si>
  <si>
    <t>T20 Torx bit   20ea</t>
  </si>
  <si>
    <t>T25 Torx bit   20 ea</t>
  </si>
  <si>
    <t>#2 Eave</t>
  </si>
  <si>
    <t>#3 Eave</t>
  </si>
  <si>
    <t>#4 Eave</t>
  </si>
  <si>
    <t>Scott</t>
  </si>
  <si>
    <t>Jeff</t>
  </si>
  <si>
    <t>Galv 24"</t>
  </si>
  <si>
    <t>Painted 24"</t>
  </si>
  <si>
    <t>Galv 16</t>
  </si>
  <si>
    <t>Painted 16</t>
  </si>
  <si>
    <t>Jesse %</t>
  </si>
  <si>
    <t>Total COGS</t>
  </si>
  <si>
    <t>Plus 10% contengency</t>
  </si>
  <si>
    <t>10 % contengency</t>
  </si>
  <si>
    <t>Total w/o outside costs</t>
  </si>
  <si>
    <t># of Pcs in stack</t>
  </si>
  <si>
    <t>Ceiling Stack</t>
  </si>
  <si>
    <t xml:space="preserve">    2"  Roofing screws 2 for the ends of each rafter</t>
  </si>
  <si>
    <r>
      <t xml:space="preserve">      Roofing screws (for metal - ribs and for T&amp;G wood eaves) </t>
    </r>
    <r>
      <rPr>
        <u/>
        <sz val="12"/>
        <color indexed="60"/>
        <rFont val="Calibri"/>
        <family val="2"/>
        <charset val="1"/>
      </rPr>
      <t>Addition</t>
    </r>
    <r>
      <rPr>
        <sz val="12"/>
        <color indexed="60"/>
        <rFont val="Calibri"/>
        <family val="2"/>
        <charset val="1"/>
      </rPr>
      <t xml:space="preserve"> - 2+ addition length x 3 for each wall section     </t>
    </r>
  </si>
  <si>
    <t>Wall Builder - Fill out discrepancies before giving to Yard</t>
  </si>
  <si>
    <t>Rafter Builder - Fill out discrepancies before giving to Yard</t>
  </si>
  <si>
    <t>Parts Cutter - Fill out discrepancies before giving to Yard</t>
  </si>
  <si>
    <t>Ring Finisher - Fill out discrepancies before giving to Yard</t>
  </si>
  <si>
    <t>Ceiling Cutter - Fill out discrepancies before giving to Yard</t>
  </si>
  <si>
    <t>Roof Color</t>
  </si>
  <si>
    <t>1x6x7</t>
  </si>
  <si>
    <t>T+G Cedar</t>
  </si>
  <si>
    <t>This is the color screws for metal roofing</t>
  </si>
  <si>
    <t>eave size</t>
  </si>
  <si>
    <t># of walls</t>
  </si>
  <si>
    <t>5' Clear Low E</t>
  </si>
  <si>
    <t>6' clear Low E</t>
  </si>
  <si>
    <t xml:space="preserve">Crating </t>
  </si>
  <si>
    <t>Hi Altitude</t>
  </si>
  <si>
    <t>Hi Altitude 6'</t>
  </si>
  <si>
    <t xml:space="preserve">base Low E </t>
  </si>
  <si>
    <t>Altitude</t>
  </si>
  <si>
    <t>Color</t>
  </si>
  <si>
    <t>crating</t>
  </si>
  <si>
    <t>COLORED 3/4 SCREWS FOR 41 FOOT</t>
  </si>
  <si>
    <t>GALVANIZED 3/4 SCREWS FOR 41 FOOT</t>
  </si>
  <si>
    <t>Screws</t>
  </si>
  <si>
    <t>STRUCTURAL LUMBER</t>
  </si>
  <si>
    <t>T15 Torx bit   20 ea</t>
  </si>
  <si>
    <t>T25Torx bit   20ea</t>
  </si>
  <si>
    <t>phillips #2 driver bit</t>
  </si>
  <si>
    <t>1 5/8"  trim screws - PP48635 -        10 #s</t>
  </si>
  <si>
    <t>2" roofing screws  1 bulk box</t>
  </si>
  <si>
    <t>3"  trim screws - PP48638 -        5 #s</t>
  </si>
  <si>
    <t>T10 Torx bit   20ea</t>
  </si>
  <si>
    <t>Enter the number of addition sections</t>
  </si>
  <si>
    <t>Enter number of side eaves side eaves</t>
  </si>
  <si>
    <t>Headloc - BOX of 6”     -   5 boxes of 50</t>
  </si>
  <si>
    <t>Headloc screws /ring</t>
  </si>
  <si>
    <t>#12x2" Lag screw</t>
  </si>
  <si>
    <t>#12x2" screw Hillman 70325 box of 100</t>
  </si>
  <si>
    <t>#8x3/4" Lath self piecing screw  - Hillman 82203</t>
  </si>
  <si>
    <t>Spider Bits for Headlock screws</t>
  </si>
  <si>
    <t>Pine T&amp;G</t>
  </si>
  <si>
    <t>3 gal</t>
  </si>
  <si>
    <t>2 boxes</t>
  </si>
  <si>
    <t>1 unit</t>
  </si>
  <si>
    <t>2x4x8 Fir</t>
  </si>
  <si>
    <t>4 boxes</t>
  </si>
  <si>
    <t>1 box</t>
  </si>
  <si>
    <t>5 boxes</t>
  </si>
  <si>
    <t>Tuesday April 17.  1pm</t>
  </si>
  <si>
    <t>Headlok 6”/250</t>
  </si>
  <si>
    <t>Mar</t>
  </si>
  <si>
    <t>Jason</t>
  </si>
  <si>
    <t>Joel</t>
  </si>
  <si>
    <t>Mollie</t>
  </si>
  <si>
    <t>Grant</t>
  </si>
  <si>
    <t>window package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</si>
</sst>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8" formatCode="&quot;$&quot;#,##0.00_);[Red]\(&quot;$&quot;#,##0.00\)"/>
    <numFmt numFmtId="164" formatCode="mm/dd/yy"/>
    <numFmt numFmtId="165" formatCode="0.00;[Red]0.00"/>
    <numFmt numFmtId="166" formatCode="0.000"/>
    <numFmt numFmtId="167" formatCode="[$$-409]#,##0.00;[Red]\-[$$-409]#,##0.00"/>
    <numFmt numFmtId="168" formatCode="\$#,##0.00"/>
    <numFmt numFmtId="169" formatCode="&quot;$&quot;#,##0.00"/>
    <numFmt numFmtId="170" formatCode="&quot;$&quot;#,##0.00;[Red]&quot;$&quot;#,##0.00"/>
    <numFmt numFmtId="171" formatCode="[$-409]m/d/yy\ h:mm\ AM/PM;@"/>
    <numFmt numFmtId="172" formatCode=";;;"/>
    <numFmt numFmtId="173" formatCode="[$$-409]#,##0.00;[Red][$$-409]#,##0.00"/>
    <numFmt numFmtId="174" formatCode="0.0"/>
  </numFmts>
  <fonts count="165" x14ac:knownFonts="1">
    <font>
      <sz val="10"/>
      <name val="Arial"/>
      <family val="2"/>
    </font>
    <font>
      <sz val="10"/>
      <name val="Arial"/>
      <family val="2"/>
      <charset val="1"/>
    </font>
    <font>
      <sz val="18"/>
      <color indexed="16"/>
      <name val="Calibri"/>
      <family val="2"/>
      <charset val="1"/>
    </font>
    <font>
      <sz val="14"/>
      <color indexed="8"/>
      <name val="Calibri"/>
      <family val="2"/>
      <charset val="1"/>
    </font>
    <font>
      <sz val="14"/>
      <color indexed="24"/>
      <name val="Calibri"/>
      <family val="2"/>
      <charset val="1"/>
    </font>
    <font>
      <b/>
      <u/>
      <sz val="14"/>
      <color indexed="24"/>
      <name val="Calibri"/>
      <family val="2"/>
      <charset val="1"/>
    </font>
    <font>
      <b/>
      <u/>
      <sz val="14"/>
      <color indexed="8"/>
      <name val="Calibri"/>
      <family val="2"/>
      <charset val="1"/>
    </font>
    <font>
      <sz val="14"/>
      <color indexed="10"/>
      <name val="Calibri"/>
      <family val="2"/>
      <charset val="1"/>
    </font>
    <font>
      <sz val="11"/>
      <color indexed="8"/>
      <name val="Calibri"/>
      <family val="2"/>
      <charset val="1"/>
    </font>
    <font>
      <sz val="11"/>
      <name val="Calibri"/>
      <family val="2"/>
      <charset val="1"/>
    </font>
    <font>
      <b/>
      <sz val="15"/>
      <name val="Calibri"/>
      <family val="2"/>
      <charset val="1"/>
    </font>
    <font>
      <sz val="16"/>
      <name val="Calibri"/>
      <family val="2"/>
      <charset val="1"/>
    </font>
    <font>
      <b/>
      <sz val="18"/>
      <name val="Calibri"/>
      <family val="2"/>
      <charset val="1"/>
    </font>
    <font>
      <sz val="14"/>
      <name val="Calibri"/>
      <family val="2"/>
      <charset val="1"/>
    </font>
    <font>
      <b/>
      <sz val="14"/>
      <name val="Calibri"/>
      <family val="2"/>
      <charset val="1"/>
    </font>
    <font>
      <b/>
      <sz val="11"/>
      <name val="Calibri"/>
      <family val="2"/>
      <charset val="1"/>
    </font>
    <font>
      <u/>
      <sz val="10"/>
      <name val="Arial"/>
      <family val="2"/>
      <charset val="1"/>
    </font>
    <font>
      <vertAlign val="superscript"/>
      <sz val="10"/>
      <name val="Arial"/>
      <family val="2"/>
      <charset val="1"/>
    </font>
    <font>
      <sz val="11"/>
      <name val="Arial"/>
      <family val="2"/>
      <charset val="1"/>
    </font>
    <font>
      <b/>
      <sz val="10"/>
      <name val="Arial"/>
      <family val="2"/>
      <charset val="1"/>
    </font>
    <font>
      <b/>
      <sz val="16"/>
      <color indexed="10"/>
      <name val="Calibri"/>
      <family val="2"/>
      <charset val="1"/>
    </font>
    <font>
      <sz val="12"/>
      <color indexed="8"/>
      <name val="Calibri"/>
      <family val="2"/>
      <charset val="1"/>
    </font>
    <font>
      <b/>
      <sz val="16"/>
      <name val="Calibri"/>
      <family val="2"/>
      <charset val="1"/>
    </font>
    <font>
      <b/>
      <sz val="10"/>
      <color indexed="10"/>
      <name val="Arial"/>
      <family val="2"/>
      <charset val="1"/>
    </font>
    <font>
      <sz val="18"/>
      <name val="Calibri"/>
      <family val="2"/>
      <charset val="1"/>
    </font>
    <font>
      <b/>
      <sz val="12"/>
      <name val="Calibri"/>
      <family val="2"/>
      <charset val="1"/>
    </font>
    <font>
      <b/>
      <u/>
      <sz val="26"/>
      <name val="Calibri"/>
      <family val="2"/>
      <charset val="1"/>
    </font>
    <font>
      <b/>
      <sz val="26"/>
      <color indexed="16"/>
      <name val="Calibri"/>
      <family val="2"/>
      <charset val="1"/>
    </font>
    <font>
      <u/>
      <sz val="11"/>
      <name val="Calibri"/>
      <family val="2"/>
      <charset val="1"/>
    </font>
    <font>
      <sz val="22"/>
      <name val="Arial"/>
      <family val="2"/>
      <charset val="1"/>
    </font>
    <font>
      <sz val="28"/>
      <name val="Arial"/>
      <family val="2"/>
      <charset val="1"/>
    </font>
    <font>
      <sz val="26"/>
      <name val="Arial"/>
      <family val="2"/>
      <charset val="1"/>
    </font>
    <font>
      <sz val="22"/>
      <name val="Arial"/>
      <family val="2"/>
    </font>
    <font>
      <sz val="36"/>
      <name val="Arial"/>
      <family val="2"/>
    </font>
    <font>
      <sz val="18"/>
      <color indexed="10"/>
      <name val="Arial"/>
      <family val="2"/>
      <charset val="1"/>
    </font>
    <font>
      <sz val="20"/>
      <name val="Arial"/>
      <family val="2"/>
      <charset val="1"/>
    </font>
    <font>
      <sz val="20"/>
      <color indexed="10"/>
      <name val="Arial"/>
      <family val="2"/>
      <charset val="1"/>
    </font>
    <font>
      <sz val="18"/>
      <name val="Arial"/>
      <family val="2"/>
      <charset val="1"/>
    </font>
    <font>
      <u/>
      <sz val="20"/>
      <name val="Arial"/>
      <family val="2"/>
      <charset val="1"/>
    </font>
    <font>
      <sz val="15"/>
      <name val="Arial"/>
      <family val="2"/>
      <charset val="1"/>
    </font>
    <font>
      <b/>
      <u/>
      <sz val="18"/>
      <name val="Calibri"/>
      <family val="2"/>
      <charset val="1"/>
    </font>
    <font>
      <u/>
      <sz val="15"/>
      <name val="Arial"/>
      <family val="2"/>
      <charset val="1"/>
    </font>
    <font>
      <sz val="14"/>
      <name val="Arial"/>
      <family val="2"/>
      <charset val="1"/>
    </font>
    <font>
      <b/>
      <sz val="16"/>
      <name val="Wingdings 2"/>
      <family val="1"/>
      <charset val="2"/>
    </font>
    <font>
      <b/>
      <u/>
      <sz val="12"/>
      <name val="Calibri"/>
      <family val="2"/>
      <charset val="1"/>
    </font>
    <font>
      <sz val="12"/>
      <color indexed="37"/>
      <name val="Calibri"/>
      <family val="2"/>
      <charset val="1"/>
    </font>
    <font>
      <b/>
      <sz val="15"/>
      <name val="Arial"/>
      <family val="2"/>
      <charset val="1"/>
    </font>
    <font>
      <sz val="18"/>
      <color indexed="9"/>
      <name val="Arial"/>
      <family val="2"/>
      <charset val="1"/>
    </font>
    <font>
      <sz val="24"/>
      <name val="Arial"/>
      <family val="2"/>
      <charset val="1"/>
    </font>
    <font>
      <sz val="13"/>
      <name val="Arial"/>
      <family val="2"/>
      <charset val="1"/>
    </font>
    <font>
      <b/>
      <sz val="15"/>
      <name val="Wingdings 2"/>
      <family val="1"/>
      <charset val="2"/>
    </font>
    <font>
      <sz val="12"/>
      <name val="Arial"/>
      <family val="2"/>
      <charset val="1"/>
    </font>
    <font>
      <b/>
      <u/>
      <sz val="14"/>
      <name val="Calibri"/>
      <family val="2"/>
      <charset val="1"/>
    </font>
    <font>
      <sz val="13"/>
      <color indexed="8"/>
      <name val="Calibri"/>
      <family val="2"/>
      <charset val="1"/>
    </font>
    <font>
      <b/>
      <sz val="16"/>
      <name val="Arial"/>
      <family val="2"/>
      <charset val="1"/>
    </font>
    <font>
      <sz val="16"/>
      <name val="Arial"/>
      <family val="2"/>
      <charset val="1"/>
    </font>
    <font>
      <b/>
      <sz val="20"/>
      <name val="Wingdings 2"/>
      <family val="1"/>
      <charset val="1"/>
    </font>
    <font>
      <sz val="22"/>
      <color indexed="10"/>
      <name val="Arial"/>
      <family val="2"/>
      <charset val="1"/>
    </font>
    <font>
      <sz val="22"/>
      <color indexed="9"/>
      <name val="Arial"/>
      <family val="2"/>
      <charset val="1"/>
    </font>
    <font>
      <b/>
      <sz val="14"/>
      <name val="Arial"/>
      <family val="2"/>
      <charset val="1"/>
    </font>
    <font>
      <b/>
      <sz val="14"/>
      <color indexed="37"/>
      <name val="Calibri"/>
      <family val="2"/>
      <charset val="1"/>
    </font>
    <font>
      <b/>
      <sz val="26"/>
      <name val="Arial"/>
      <family val="2"/>
      <charset val="1"/>
    </font>
    <font>
      <vertAlign val="superscript"/>
      <sz val="14"/>
      <name val="Arial"/>
      <family val="2"/>
      <charset val="1"/>
    </font>
    <font>
      <u/>
      <sz val="14"/>
      <color indexed="8"/>
      <name val="Calibri"/>
      <family val="2"/>
      <charset val="1"/>
    </font>
    <font>
      <b/>
      <sz val="14"/>
      <color indexed="8"/>
      <name val="Calibri"/>
      <family val="2"/>
      <charset val="1"/>
    </font>
    <font>
      <b/>
      <sz val="14"/>
      <color indexed="60"/>
      <name val="Calibri"/>
      <family val="2"/>
      <charset val="1"/>
    </font>
    <font>
      <u/>
      <sz val="14"/>
      <name val="Arial"/>
      <family val="2"/>
      <charset val="1"/>
    </font>
    <font>
      <b/>
      <sz val="18"/>
      <color indexed="37"/>
      <name val="Calibri"/>
      <family val="2"/>
      <charset val="1"/>
    </font>
    <font>
      <b/>
      <sz val="22"/>
      <name val="Arial"/>
      <family val="2"/>
      <charset val="1"/>
    </font>
    <font>
      <sz val="18"/>
      <color indexed="37"/>
      <name val="Calibri"/>
      <family val="2"/>
      <charset val="1"/>
    </font>
    <font>
      <sz val="14"/>
      <color indexed="37"/>
      <name val="Calibri"/>
      <family val="2"/>
      <charset val="1"/>
    </font>
    <font>
      <b/>
      <sz val="18"/>
      <name val="Arial"/>
      <family val="2"/>
      <charset val="1"/>
    </font>
    <font>
      <b/>
      <sz val="20"/>
      <name val="Arial"/>
      <family val="2"/>
      <charset val="1"/>
    </font>
    <font>
      <b/>
      <sz val="20"/>
      <name val="Calibri"/>
      <family val="2"/>
      <charset val="1"/>
    </font>
    <font>
      <u/>
      <sz val="14"/>
      <name val="Calibri"/>
      <family val="2"/>
      <charset val="1"/>
    </font>
    <font>
      <sz val="14"/>
      <color indexed="10"/>
      <name val="Arial"/>
      <family val="2"/>
      <charset val="1"/>
    </font>
    <font>
      <b/>
      <sz val="28"/>
      <name val="Arial"/>
      <family val="2"/>
      <charset val="1"/>
    </font>
    <font>
      <sz val="24"/>
      <color indexed="10"/>
      <name val="Arial"/>
      <family val="2"/>
      <charset val="1"/>
    </font>
    <font>
      <b/>
      <sz val="15"/>
      <color indexed="10"/>
      <name val="Arial"/>
      <family val="2"/>
      <charset val="1"/>
    </font>
    <font>
      <b/>
      <sz val="20"/>
      <color indexed="8"/>
      <name val="Wingdings 2"/>
      <family val="1"/>
      <charset val="2"/>
    </font>
    <font>
      <b/>
      <u/>
      <sz val="14"/>
      <color indexed="8"/>
      <name val="Arial"/>
      <family val="2"/>
      <charset val="1"/>
    </font>
    <font>
      <sz val="14"/>
      <color indexed="8"/>
      <name val="Arial"/>
      <family val="2"/>
      <charset val="1"/>
    </font>
    <font>
      <b/>
      <u/>
      <sz val="14"/>
      <color indexed="10"/>
      <name val="Arial"/>
      <family val="2"/>
      <charset val="1"/>
    </font>
    <font>
      <b/>
      <sz val="14"/>
      <color indexed="8"/>
      <name val="Arial"/>
      <family val="2"/>
      <charset val="1"/>
    </font>
    <font>
      <b/>
      <sz val="14"/>
      <name val="Arial"/>
      <family val="2"/>
    </font>
    <font>
      <sz val="16"/>
      <name val="Arial"/>
      <family val="2"/>
    </font>
    <font>
      <sz val="14"/>
      <name val="Arial"/>
      <family val="2"/>
    </font>
    <font>
      <b/>
      <sz val="10"/>
      <name val="Arial"/>
      <family val="2"/>
    </font>
    <font>
      <i/>
      <sz val="10"/>
      <name val="Arial"/>
      <family val="2"/>
    </font>
    <font>
      <b/>
      <sz val="10"/>
      <name val="Calibri"/>
      <family val="2"/>
    </font>
    <font>
      <sz val="9"/>
      <name val="Calibri"/>
      <family val="2"/>
    </font>
    <font>
      <b/>
      <sz val="10"/>
      <color indexed="28"/>
      <name val="Calibri"/>
      <family val="2"/>
    </font>
    <font>
      <sz val="10"/>
      <color indexed="28"/>
      <name val="Calibri"/>
      <family val="2"/>
    </font>
    <font>
      <sz val="24"/>
      <name val="Calibri"/>
      <family val="2"/>
      <charset val="1"/>
    </font>
    <font>
      <sz val="22"/>
      <name val="Calibri"/>
      <family val="2"/>
      <charset val="1"/>
    </font>
    <font>
      <sz val="18"/>
      <color indexed="10"/>
      <name val="Calibri"/>
      <family val="2"/>
      <charset val="1"/>
    </font>
    <font>
      <sz val="15"/>
      <color indexed="12"/>
      <name val="Arial"/>
      <family val="2"/>
      <charset val="1"/>
    </font>
    <font>
      <sz val="15"/>
      <color indexed="10"/>
      <name val="Arial"/>
      <family val="2"/>
      <charset val="1"/>
    </font>
    <font>
      <sz val="22"/>
      <color indexed="12"/>
      <name val="Arial"/>
      <family val="2"/>
      <charset val="1"/>
    </font>
    <font>
      <sz val="16"/>
      <color indexed="8"/>
      <name val="Calibri"/>
      <family val="2"/>
      <charset val="1"/>
    </font>
    <font>
      <sz val="22"/>
      <color indexed="8"/>
      <name val="Calibri"/>
      <family val="2"/>
      <charset val="1"/>
    </font>
    <font>
      <b/>
      <sz val="18"/>
      <color indexed="16"/>
      <name val="Calibri"/>
      <family val="2"/>
      <charset val="1"/>
    </font>
    <font>
      <b/>
      <sz val="20"/>
      <color indexed="8"/>
      <name val="Calibri"/>
      <family val="2"/>
      <charset val="1"/>
    </font>
    <font>
      <sz val="22"/>
      <color indexed="10"/>
      <name val="Calibri"/>
      <family val="2"/>
      <charset val="1"/>
    </font>
    <font>
      <b/>
      <sz val="22"/>
      <color indexed="37"/>
      <name val="Calibri"/>
      <family val="2"/>
      <charset val="1"/>
    </font>
    <font>
      <b/>
      <sz val="16"/>
      <color indexed="16"/>
      <name val="Calibri"/>
      <family val="2"/>
      <charset val="1"/>
    </font>
    <font>
      <sz val="20"/>
      <color indexed="8"/>
      <name val="Calibri"/>
      <family val="2"/>
      <charset val="1"/>
    </font>
    <font>
      <b/>
      <sz val="16"/>
      <color indexed="8"/>
      <name val="Calibri"/>
      <family val="2"/>
      <charset val="1"/>
    </font>
    <font>
      <b/>
      <sz val="11"/>
      <color indexed="8"/>
      <name val="Calibri"/>
      <family val="2"/>
      <charset val="1"/>
    </font>
    <font>
      <b/>
      <sz val="22"/>
      <color indexed="8"/>
      <name val="Calibri"/>
      <family val="2"/>
      <charset val="1"/>
    </font>
    <font>
      <sz val="20"/>
      <color indexed="10"/>
      <name val="Calibri"/>
      <family val="2"/>
      <charset val="1"/>
    </font>
    <font>
      <u/>
      <sz val="11"/>
      <color indexed="12"/>
      <name val="Calibri"/>
      <family val="2"/>
      <charset val="1"/>
    </font>
    <font>
      <u/>
      <sz val="14"/>
      <color indexed="54"/>
      <name val="Calibri"/>
      <family val="2"/>
      <charset val="1"/>
    </font>
    <font>
      <b/>
      <u/>
      <sz val="14"/>
      <color indexed="16"/>
      <name val="Calibri"/>
      <family val="2"/>
      <charset val="1"/>
    </font>
    <font>
      <sz val="16"/>
      <color indexed="10"/>
      <name val="Calibri"/>
      <family val="2"/>
      <charset val="1"/>
    </font>
    <font>
      <sz val="20"/>
      <name val="Calibri"/>
      <family val="2"/>
      <charset val="1"/>
    </font>
    <font>
      <b/>
      <sz val="16"/>
      <color indexed="37"/>
      <name val="Calibri"/>
      <family val="2"/>
      <charset val="1"/>
    </font>
    <font>
      <u/>
      <sz val="20"/>
      <color indexed="10"/>
      <name val="Calibri"/>
      <family val="2"/>
      <charset val="1"/>
    </font>
    <font>
      <sz val="15"/>
      <name val="Calibri"/>
      <family val="2"/>
      <charset val="1"/>
    </font>
    <font>
      <sz val="10"/>
      <color indexed="10"/>
      <name val="Arial"/>
      <family val="2"/>
      <charset val="1"/>
    </font>
    <font>
      <sz val="16"/>
      <color indexed="10"/>
      <name val="Arial"/>
      <family val="2"/>
      <charset val="1"/>
    </font>
    <font>
      <b/>
      <sz val="13"/>
      <name val="Arial"/>
      <family val="2"/>
      <charset val="1"/>
    </font>
    <font>
      <b/>
      <sz val="16"/>
      <color indexed="8"/>
      <name val="Wingdings 2"/>
      <family val="1"/>
      <charset val="2"/>
    </font>
    <font>
      <b/>
      <u/>
      <sz val="16"/>
      <name val="Arial"/>
      <family val="2"/>
      <charset val="1"/>
    </font>
    <font>
      <b/>
      <u/>
      <sz val="16"/>
      <color indexed="8"/>
      <name val="Calibri"/>
      <family val="2"/>
      <charset val="1"/>
    </font>
    <font>
      <sz val="13"/>
      <color indexed="60"/>
      <name val="Calibri"/>
      <family val="2"/>
      <charset val="1"/>
    </font>
    <font>
      <b/>
      <u/>
      <sz val="13"/>
      <color indexed="60"/>
      <name val="Calibri"/>
      <family val="2"/>
      <charset val="1"/>
    </font>
    <font>
      <u/>
      <sz val="11"/>
      <color indexed="60"/>
      <name val="Calibri"/>
      <family val="2"/>
      <charset val="1"/>
    </font>
    <font>
      <u/>
      <sz val="13"/>
      <color indexed="8"/>
      <name val="Calibri"/>
      <family val="2"/>
      <charset val="1"/>
    </font>
    <font>
      <b/>
      <sz val="12"/>
      <name val="Arial"/>
      <family val="2"/>
      <charset val="1"/>
    </font>
    <font>
      <sz val="12"/>
      <color indexed="9"/>
      <name val="Calibri"/>
      <family val="2"/>
      <charset val="1"/>
    </font>
    <font>
      <b/>
      <sz val="9"/>
      <color indexed="37"/>
      <name val="Comic Sans MS"/>
      <family val="4"/>
      <charset val="1"/>
    </font>
    <font>
      <sz val="12"/>
      <color indexed="8"/>
      <name val="Comic Sans MS"/>
      <family val="4"/>
      <charset val="1"/>
    </font>
    <font>
      <b/>
      <sz val="12"/>
      <color indexed="8"/>
      <name val="Calibri"/>
      <family val="2"/>
      <charset val="1"/>
    </font>
    <font>
      <sz val="12"/>
      <name val="Calibri"/>
      <family val="2"/>
      <charset val="1"/>
    </font>
    <font>
      <u/>
      <sz val="12"/>
      <color indexed="60"/>
      <name val="Calibri"/>
      <family val="2"/>
      <charset val="1"/>
    </font>
    <font>
      <sz val="12"/>
      <color indexed="60"/>
      <name val="Calibri"/>
      <family val="2"/>
      <charset val="1"/>
    </font>
    <font>
      <sz val="11"/>
      <name val="Arial"/>
      <family val="2"/>
    </font>
    <font>
      <b/>
      <sz val="36"/>
      <color indexed="62"/>
      <name val="Calibri"/>
      <family val="2"/>
      <charset val="1"/>
    </font>
    <font>
      <b/>
      <u/>
      <sz val="36"/>
      <color indexed="37"/>
      <name val="Calibri"/>
      <family val="2"/>
      <charset val="1"/>
    </font>
    <font>
      <sz val="28"/>
      <color indexed="8"/>
      <name val="Calibri"/>
      <family val="2"/>
      <charset val="1"/>
    </font>
    <font>
      <b/>
      <u/>
      <sz val="28"/>
      <color indexed="37"/>
      <name val="Calibri"/>
      <family val="2"/>
      <charset val="1"/>
    </font>
    <font>
      <b/>
      <sz val="28"/>
      <color indexed="8"/>
      <name val="Calibri"/>
      <family val="2"/>
      <charset val="1"/>
    </font>
    <font>
      <sz val="40"/>
      <color indexed="8"/>
      <name val="Calibri"/>
      <family val="2"/>
      <charset val="1"/>
    </font>
    <font>
      <sz val="22"/>
      <color indexed="9"/>
      <name val="Calibri"/>
      <family val="2"/>
      <charset val="1"/>
    </font>
    <font>
      <b/>
      <u/>
      <sz val="22"/>
      <color indexed="10"/>
      <name val="Calibri"/>
      <family val="2"/>
      <charset val="1"/>
    </font>
    <font>
      <sz val="13"/>
      <name val="Calibri"/>
      <family val="2"/>
      <charset val="1"/>
    </font>
    <font>
      <sz val="10"/>
      <color indexed="63"/>
      <name val="Arial"/>
      <family val="2"/>
      <charset val="1"/>
    </font>
    <font>
      <sz val="10"/>
      <name val="Arial"/>
      <family val="2"/>
    </font>
    <font>
      <b/>
      <sz val="14"/>
      <color indexed="60"/>
      <name val="Arial"/>
      <family val="2"/>
    </font>
    <font>
      <b/>
      <sz val="11"/>
      <color indexed="62"/>
      <name val="Arial"/>
      <family val="2"/>
    </font>
    <font>
      <sz val="24"/>
      <name val="Arial"/>
      <family val="2"/>
    </font>
    <font>
      <sz val="18"/>
      <name val="Arial"/>
      <family val="2"/>
    </font>
    <font>
      <sz val="12"/>
      <color theme="1"/>
      <name val="Calibri"/>
      <family val="2"/>
    </font>
    <font>
      <sz val="12"/>
      <color theme="1"/>
      <name val="Arial"/>
      <family val="2"/>
      <charset val="1"/>
    </font>
    <font>
      <sz val="12"/>
      <color rgb="FFFF0000"/>
      <name val="Calibri"/>
      <family val="2"/>
      <charset val="1"/>
    </font>
    <font>
      <sz val="12"/>
      <color indexed="10"/>
      <name val="Arial"/>
      <family val="2"/>
      <charset val="1"/>
    </font>
    <font>
      <b/>
      <sz val="22"/>
      <color indexed="10"/>
      <name val="Calibri"/>
      <family val="2"/>
      <charset val="1"/>
    </font>
    <font>
      <b/>
      <sz val="16"/>
      <name val="Calibri"/>
      <family val="2"/>
    </font>
    <font>
      <sz val="48"/>
      <name val="Times New Roman"/>
      <family val="1"/>
    </font>
    <font>
      <sz val="28"/>
      <name val="Times New Roman"/>
      <family val="1"/>
    </font>
    <font>
      <sz val="72"/>
      <name val="Times New Roman"/>
      <family val="1"/>
    </font>
    <font>
      <sz val="22"/>
      <name val="Times New Roman"/>
      <family val="1"/>
    </font>
    <font>
      <sz val="28"/>
      <name val="Arial"/>
      <family val="2"/>
    </font>
    <font>
      <b/>
      <sz val="16"/>
      <color rgb="FFFF0000"/>
      <name val="Arial"/>
      <family val="2"/>
    </font>
  </fonts>
  <fills count="28">
    <fill>
      <patternFill patternType="none"/>
    </fill>
    <fill>
      <patternFill patternType="gray125"/>
    </fill>
    <fill>
      <patternFill patternType="solid">
        <fgColor indexed="26"/>
        <bgColor indexed="9"/>
      </patternFill>
    </fill>
    <fill>
      <patternFill patternType="solid">
        <fgColor indexed="13"/>
        <bgColor indexed="34"/>
      </patternFill>
    </fill>
    <fill>
      <patternFill patternType="solid">
        <fgColor indexed="10"/>
        <bgColor indexed="37"/>
      </patternFill>
    </fill>
    <fill>
      <patternFill patternType="solid">
        <fgColor indexed="41"/>
        <bgColor indexed="27"/>
      </patternFill>
    </fill>
    <fill>
      <patternFill patternType="solid">
        <fgColor indexed="43"/>
        <bgColor indexed="26"/>
      </patternFill>
    </fill>
    <fill>
      <patternFill patternType="solid">
        <fgColor indexed="11"/>
        <bgColor indexed="49"/>
      </patternFill>
    </fill>
    <fill>
      <patternFill patternType="solid">
        <fgColor indexed="50"/>
        <bgColor indexed="34"/>
      </patternFill>
    </fill>
    <fill>
      <patternFill patternType="solid">
        <fgColor indexed="27"/>
        <bgColor indexed="41"/>
      </patternFill>
    </fill>
    <fill>
      <patternFill patternType="solid">
        <fgColor indexed="42"/>
        <bgColor indexed="27"/>
      </patternFill>
    </fill>
    <fill>
      <patternFill patternType="solid">
        <fgColor indexed="9"/>
        <bgColor indexed="26"/>
      </patternFill>
    </fill>
    <fill>
      <patternFill patternType="solid">
        <fgColor indexed="29"/>
        <bgColor indexed="45"/>
      </patternFill>
    </fill>
    <fill>
      <patternFill patternType="solid">
        <fgColor indexed="53"/>
        <bgColor indexed="37"/>
      </patternFill>
    </fill>
    <fill>
      <patternFill patternType="solid">
        <fgColor indexed="34"/>
        <bgColor indexed="51"/>
      </patternFill>
    </fill>
    <fill>
      <patternFill patternType="solid">
        <fgColor indexed="51"/>
        <bgColor indexed="34"/>
      </patternFill>
    </fill>
    <fill>
      <patternFill patternType="solid">
        <fgColor rgb="FFFFFF00"/>
        <bgColor indexed="27"/>
      </patternFill>
    </fill>
    <fill>
      <patternFill patternType="solid">
        <fgColor rgb="FFFF0000"/>
        <bgColor indexed="27"/>
      </patternFill>
    </fill>
    <fill>
      <patternFill patternType="solid">
        <fgColor theme="0"/>
        <bgColor indexed="37"/>
      </patternFill>
    </fill>
    <fill>
      <patternFill patternType="solid">
        <fgColor rgb="FFFF0000"/>
        <bgColor indexed="64"/>
      </patternFill>
    </fill>
    <fill>
      <patternFill patternType="solid">
        <fgColor rgb="FFFFFF00"/>
        <bgColor indexed="64"/>
      </patternFill>
    </fill>
    <fill>
      <patternFill patternType="solid">
        <fgColor theme="5"/>
        <bgColor indexed="64"/>
      </patternFill>
    </fill>
    <fill>
      <patternFill patternType="solid">
        <fgColor theme="0"/>
        <bgColor indexed="34"/>
      </patternFill>
    </fill>
    <fill>
      <patternFill patternType="solid">
        <fgColor rgb="FFFFFF00"/>
        <bgColor indexed="37"/>
      </patternFill>
    </fill>
    <fill>
      <patternFill patternType="solid">
        <fgColor theme="6" tint="0.39997558519241921"/>
        <bgColor indexed="64"/>
      </patternFill>
    </fill>
    <fill>
      <patternFill patternType="solid">
        <fgColor theme="3" tint="0.79998168889431442"/>
        <bgColor indexed="27"/>
      </patternFill>
    </fill>
    <fill>
      <patternFill patternType="solid">
        <fgColor theme="3" tint="0.79998168889431442"/>
        <bgColor indexed="64"/>
      </patternFill>
    </fill>
    <fill>
      <patternFill patternType="solid">
        <fgColor theme="3" tint="0.79998168889431442"/>
        <bgColor indexed="34"/>
      </patternFill>
    </fill>
  </fills>
  <borders count="135">
    <border>
      <left/>
      <right/>
      <top/>
      <bottom/>
      <diagonal/>
    </border>
    <border>
      <left style="thin">
        <color indexed="22"/>
      </left>
      <right style="thin">
        <color indexed="22"/>
      </right>
      <top style="thin">
        <color indexed="22"/>
      </top>
      <bottom style="thin">
        <color indexed="22"/>
      </bottom>
      <diagonal/>
    </border>
    <border>
      <left style="medium">
        <color indexed="8"/>
      </left>
      <right style="medium">
        <color indexed="8"/>
      </right>
      <top/>
      <bottom style="medium">
        <color indexed="8"/>
      </bottom>
      <diagonal/>
    </border>
    <border>
      <left/>
      <right/>
      <top/>
      <bottom style="hair">
        <color indexed="8"/>
      </bottom>
      <diagonal/>
    </border>
    <border>
      <left style="hair">
        <color indexed="8"/>
      </left>
      <right style="hair">
        <color indexed="8"/>
      </right>
      <top style="hair">
        <color indexed="8"/>
      </top>
      <bottom style="hair">
        <color indexed="8"/>
      </bottom>
      <diagonal/>
    </border>
    <border>
      <left style="thin">
        <color indexed="8"/>
      </left>
      <right style="thin">
        <color indexed="8"/>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right/>
      <top style="medium">
        <color indexed="8"/>
      </top>
      <bottom/>
      <diagonal/>
    </border>
    <border>
      <left/>
      <right/>
      <top style="thin">
        <color indexed="8"/>
      </top>
      <bottom/>
      <diagonal/>
    </border>
    <border>
      <left style="hair">
        <color indexed="8"/>
      </left>
      <right/>
      <top style="hair">
        <color indexed="8"/>
      </top>
      <bottom style="hair">
        <color indexed="8"/>
      </bottom>
      <diagonal/>
    </border>
    <border>
      <left style="medium">
        <color indexed="8"/>
      </left>
      <right/>
      <top/>
      <bottom/>
      <diagonal/>
    </border>
    <border>
      <left style="hair">
        <color indexed="8"/>
      </left>
      <right style="hair">
        <color indexed="8"/>
      </right>
      <top style="hair">
        <color indexed="8"/>
      </top>
      <bottom/>
      <diagonal/>
    </border>
    <border>
      <left style="hair">
        <color indexed="8"/>
      </left>
      <right style="medium">
        <color indexed="8"/>
      </right>
      <top style="hair">
        <color indexed="8"/>
      </top>
      <bottom/>
      <diagonal/>
    </border>
    <border>
      <left style="hair">
        <color indexed="8"/>
      </left>
      <right style="hair">
        <color indexed="8"/>
      </right>
      <top/>
      <bottom style="medium">
        <color indexed="8"/>
      </bottom>
      <diagonal/>
    </border>
    <border>
      <left style="hair">
        <color indexed="8"/>
      </left>
      <right style="medium">
        <color indexed="8"/>
      </right>
      <top/>
      <bottom style="medium">
        <color indexed="8"/>
      </bottom>
      <diagonal/>
    </border>
    <border>
      <left/>
      <right/>
      <top/>
      <bottom style="medium">
        <color indexed="8"/>
      </bottom>
      <diagonal/>
    </border>
    <border>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bottom style="medium">
        <color indexed="8"/>
      </bottom>
      <diagonal/>
    </border>
    <border>
      <left/>
      <right style="thin">
        <color indexed="8"/>
      </right>
      <top/>
      <bottom/>
      <diagonal/>
    </border>
    <border>
      <left style="thin">
        <color indexed="8"/>
      </left>
      <right style="medium">
        <color indexed="8"/>
      </right>
      <top/>
      <bottom/>
      <diagonal/>
    </border>
    <border>
      <left/>
      <right style="medium">
        <color indexed="8"/>
      </right>
      <top style="medium">
        <color indexed="8"/>
      </top>
      <bottom style="thin">
        <color indexed="8"/>
      </bottom>
      <diagonal/>
    </border>
    <border>
      <left/>
      <right style="medium">
        <color indexed="8"/>
      </right>
      <top style="medium">
        <color indexed="8"/>
      </top>
      <bottom/>
      <diagonal/>
    </border>
    <border>
      <left/>
      <right style="medium">
        <color indexed="8"/>
      </right>
      <top style="thin">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right style="medium">
        <color indexed="8"/>
      </right>
      <top/>
      <bottom style="medium">
        <color indexed="8"/>
      </bottom>
      <diagonal/>
    </border>
    <border>
      <left style="medium">
        <color indexed="8"/>
      </left>
      <right/>
      <top style="medium">
        <color indexed="8"/>
      </top>
      <bottom/>
      <diagonal/>
    </border>
    <border>
      <left style="medium">
        <color indexed="8"/>
      </left>
      <right/>
      <top style="medium">
        <color indexed="8"/>
      </top>
      <bottom style="medium">
        <color indexed="8"/>
      </bottom>
      <diagonal/>
    </border>
    <border>
      <left/>
      <right style="hair">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8"/>
      </left>
      <right style="hair">
        <color indexed="8"/>
      </right>
      <top style="medium">
        <color indexed="8"/>
      </top>
      <bottom style="medium">
        <color indexed="8"/>
      </bottom>
      <diagonal/>
    </border>
    <border>
      <left style="hair">
        <color indexed="8"/>
      </left>
      <right/>
      <top style="medium">
        <color indexed="8"/>
      </top>
      <bottom style="medium">
        <color indexed="8"/>
      </bottom>
      <diagonal/>
    </border>
    <border>
      <left style="medium">
        <color indexed="8"/>
      </left>
      <right/>
      <top style="thin">
        <color indexed="8"/>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style="thin">
        <color indexed="8"/>
      </left>
      <right style="thin">
        <color indexed="8"/>
      </right>
      <top/>
      <bottom style="thin">
        <color indexed="8"/>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right style="hair">
        <color indexed="8"/>
      </right>
      <top/>
      <bottom/>
      <diagonal/>
    </border>
    <border>
      <left style="hair">
        <color indexed="8"/>
      </left>
      <right style="medium">
        <color indexed="8"/>
      </right>
      <top/>
      <bottom/>
      <diagonal/>
    </border>
    <border>
      <left/>
      <right style="hair">
        <color indexed="8"/>
      </right>
      <top/>
      <bottom style="medium">
        <color indexed="8"/>
      </bottom>
      <diagonal/>
    </border>
    <border>
      <left style="thick">
        <color indexed="8"/>
      </left>
      <right style="thick">
        <color indexed="8"/>
      </right>
      <top style="thick">
        <color indexed="8"/>
      </top>
      <bottom style="thick">
        <color indexed="8"/>
      </bottom>
      <diagonal/>
    </border>
    <border>
      <left/>
      <right style="medium">
        <color indexed="8"/>
      </right>
      <top/>
      <bottom/>
      <diagonal/>
    </border>
    <border>
      <left style="medium">
        <color indexed="8"/>
      </left>
      <right/>
      <top style="medium">
        <color indexed="8"/>
      </top>
      <bottom style="thin">
        <color indexed="8"/>
      </bottom>
      <diagonal/>
    </border>
    <border>
      <left style="medium">
        <color indexed="8"/>
      </left>
      <right/>
      <top style="thin">
        <color indexed="8"/>
      </top>
      <bottom style="medium">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thin">
        <color indexed="8"/>
      </top>
      <bottom style="medium">
        <color indexed="8"/>
      </bottom>
      <diagonal/>
    </border>
    <border>
      <left style="medium">
        <color indexed="8"/>
      </left>
      <right style="medium">
        <color indexed="8"/>
      </right>
      <top style="thin">
        <color indexed="8"/>
      </top>
      <bottom style="thin">
        <color indexed="8"/>
      </bottom>
      <diagonal/>
    </border>
    <border>
      <left style="medium">
        <color indexed="8"/>
      </left>
      <right/>
      <top style="thin">
        <color indexed="8"/>
      </top>
      <bottom/>
      <diagonal/>
    </border>
    <border>
      <left/>
      <right/>
      <top style="medium">
        <color indexed="8"/>
      </top>
      <bottom style="thin">
        <color indexed="8"/>
      </bottom>
      <diagonal/>
    </border>
    <border>
      <left style="medium">
        <color indexed="8"/>
      </left>
      <right/>
      <top/>
      <bottom style="thin">
        <color indexed="8"/>
      </bottom>
      <diagonal/>
    </border>
    <border>
      <left/>
      <right/>
      <top style="thin">
        <color indexed="8"/>
      </top>
      <bottom style="thin">
        <color indexed="8"/>
      </bottom>
      <diagonal/>
    </border>
    <border>
      <left/>
      <right/>
      <top style="thin">
        <color indexed="8"/>
      </top>
      <bottom style="medium">
        <color indexed="8"/>
      </bottom>
      <diagonal/>
    </border>
    <border>
      <left/>
      <right/>
      <top/>
      <bottom style="thin">
        <color indexed="8"/>
      </bottom>
      <diagonal/>
    </border>
    <border>
      <left style="thin">
        <color indexed="8"/>
      </left>
      <right/>
      <top style="medium">
        <color indexed="8"/>
      </top>
      <bottom style="thin">
        <color indexed="8"/>
      </bottom>
      <diagonal/>
    </border>
    <border>
      <left style="thin">
        <color indexed="8"/>
      </left>
      <right/>
      <top style="thin">
        <color indexed="8"/>
      </top>
      <bottom style="thin">
        <color indexed="8"/>
      </bottom>
      <diagonal/>
    </border>
    <border>
      <left style="thin">
        <color indexed="8"/>
      </left>
      <right/>
      <top style="thin">
        <color indexed="8"/>
      </top>
      <bottom style="medium">
        <color indexed="8"/>
      </bottom>
      <diagonal/>
    </border>
    <border>
      <left/>
      <right/>
      <top style="hair">
        <color indexed="8"/>
      </top>
      <bottom/>
      <diagonal/>
    </border>
    <border>
      <left/>
      <right style="medium">
        <color indexed="8"/>
      </right>
      <top style="thin">
        <color indexed="8"/>
      </top>
      <bottom style="thin">
        <color indexed="8"/>
      </bottom>
      <diagonal/>
    </border>
    <border>
      <left/>
      <right style="medium">
        <color indexed="8"/>
      </right>
      <top/>
      <bottom style="thin">
        <color indexed="8"/>
      </bottom>
      <diagonal/>
    </border>
    <border>
      <left style="medium">
        <color indexed="8"/>
      </left>
      <right style="medium">
        <color indexed="8"/>
      </right>
      <top style="thin">
        <color indexed="8"/>
      </top>
      <bottom/>
      <diagonal/>
    </border>
    <border>
      <left style="medium">
        <color indexed="8"/>
      </left>
      <right style="medium">
        <color indexed="8"/>
      </right>
      <top style="thin">
        <color indexed="8"/>
      </top>
      <bottom style="thick">
        <color indexed="8"/>
      </bottom>
      <diagonal/>
    </border>
    <border>
      <left style="medium">
        <color indexed="8"/>
      </left>
      <right/>
      <top style="thin">
        <color indexed="8"/>
      </top>
      <bottom style="thick">
        <color indexed="8"/>
      </bottom>
      <diagonal/>
    </border>
    <border>
      <left style="medium">
        <color indexed="8"/>
      </left>
      <right style="medium">
        <color indexed="8"/>
      </right>
      <top/>
      <bottom style="thin">
        <color indexed="8"/>
      </bottom>
      <diagonal/>
    </border>
    <border>
      <left/>
      <right style="medium">
        <color indexed="8"/>
      </right>
      <top style="thin">
        <color indexed="8"/>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style="medium">
        <color indexed="8"/>
      </right>
      <top/>
      <bottom/>
      <diagonal/>
    </border>
    <border>
      <left style="medium">
        <color indexed="8"/>
      </left>
      <right style="medium">
        <color indexed="8"/>
      </right>
      <top style="medium">
        <color indexed="8"/>
      </top>
      <bottom/>
      <diagonal/>
    </border>
    <border>
      <left style="medium">
        <color indexed="8"/>
      </left>
      <right style="hair">
        <color indexed="8"/>
      </right>
      <top/>
      <bottom style="medium">
        <color indexed="8"/>
      </bottom>
      <diagonal/>
    </border>
    <border>
      <left/>
      <right style="hair">
        <color indexed="8"/>
      </right>
      <top style="hair">
        <color indexed="8"/>
      </top>
      <bottom/>
      <diagonal/>
    </border>
    <border>
      <left style="medium">
        <color indexed="8"/>
      </left>
      <right style="hair">
        <color indexed="8"/>
      </right>
      <top style="medium">
        <color indexed="8"/>
      </top>
      <bottom style="hair">
        <color indexed="8"/>
      </bottom>
      <diagonal/>
    </border>
    <border>
      <left style="hair">
        <color indexed="8"/>
      </left>
      <right style="medium">
        <color indexed="8"/>
      </right>
      <top style="medium">
        <color indexed="8"/>
      </top>
      <bottom style="hair">
        <color indexed="8"/>
      </bottom>
      <diagonal/>
    </border>
    <border>
      <left style="hair">
        <color indexed="8"/>
      </left>
      <right style="hair">
        <color indexed="8"/>
      </right>
      <top/>
      <bottom/>
      <diagonal/>
    </border>
    <border>
      <left style="hair">
        <color indexed="8"/>
      </left>
      <right style="hair">
        <color indexed="8"/>
      </right>
      <top/>
      <bottom style="hair">
        <color indexed="8"/>
      </bottom>
      <diagonal/>
    </border>
    <border>
      <left/>
      <right/>
      <top style="hair">
        <color indexed="8"/>
      </top>
      <bottom style="hair">
        <color indexed="8"/>
      </bottom>
      <diagonal/>
    </border>
    <border>
      <left style="hair">
        <color indexed="8"/>
      </left>
      <right/>
      <top/>
      <bottom style="hair">
        <color indexed="8"/>
      </bottom>
      <diagonal/>
    </border>
    <border>
      <left style="thin">
        <color indexed="8"/>
      </left>
      <right style="medium">
        <color indexed="8"/>
      </right>
      <top/>
      <bottom style="thin">
        <color indexed="8"/>
      </bottom>
      <diagonal/>
    </border>
    <border>
      <left/>
      <right/>
      <top style="medium">
        <color indexed="64"/>
      </top>
      <bottom style="medium">
        <color indexed="64"/>
      </bottom>
      <diagonal/>
    </border>
    <border>
      <left/>
      <right style="thin">
        <color indexed="8"/>
      </right>
      <top style="medium">
        <color indexed="8"/>
      </top>
      <bottom style="medium">
        <color indexed="8"/>
      </bottom>
      <diagonal/>
    </border>
    <border>
      <left style="thin">
        <color indexed="8"/>
      </left>
      <right style="medium">
        <color indexed="8"/>
      </right>
      <top style="medium">
        <color indexed="8"/>
      </top>
      <bottom/>
      <diagonal/>
    </border>
    <border>
      <left style="medium">
        <color indexed="8"/>
      </left>
      <right style="thin">
        <color indexed="8"/>
      </right>
      <top style="medium">
        <color indexed="8"/>
      </top>
      <bottom/>
      <diagonal/>
    </border>
    <border>
      <left style="hair">
        <color indexed="8"/>
      </left>
      <right style="hair">
        <color indexed="8"/>
      </right>
      <top style="hair">
        <color indexed="8"/>
      </top>
      <bottom style="medium">
        <color indexed="8"/>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8"/>
      </right>
      <top style="medium">
        <color indexed="64"/>
      </top>
      <bottom style="medium">
        <color indexed="64"/>
      </bottom>
      <diagonal/>
    </border>
    <border>
      <left style="medium">
        <color indexed="8"/>
      </left>
      <right style="medium">
        <color indexed="8"/>
      </right>
      <top style="medium">
        <color indexed="64"/>
      </top>
      <bottom style="medium">
        <color indexed="64"/>
      </bottom>
      <diagonal/>
    </border>
    <border>
      <left/>
      <right/>
      <top style="thick">
        <color indexed="8"/>
      </top>
      <bottom style="thick">
        <color indexed="8"/>
      </bottom>
      <diagonal/>
    </border>
    <border>
      <left/>
      <right style="medium">
        <color indexed="8"/>
      </right>
      <top style="thick">
        <color indexed="8"/>
      </top>
      <bottom style="thick">
        <color indexed="8"/>
      </bottom>
      <diagonal/>
    </border>
    <border>
      <left style="medium">
        <color indexed="8"/>
      </left>
      <right style="medium">
        <color indexed="8"/>
      </right>
      <top style="thick">
        <color indexed="8"/>
      </top>
      <bottom style="medium">
        <color indexed="8"/>
      </bottom>
      <diagonal/>
    </border>
    <border>
      <left/>
      <right style="thin">
        <color indexed="8"/>
      </right>
      <top style="thin">
        <color indexed="8"/>
      </top>
      <bottom style="thin">
        <color indexed="8"/>
      </bottom>
      <diagonal/>
    </border>
    <border>
      <left style="medium">
        <color indexed="8"/>
      </left>
      <right style="medium">
        <color indexed="8"/>
      </right>
      <top style="thin">
        <color indexed="64"/>
      </top>
      <bottom style="medium">
        <color indexed="64"/>
      </bottom>
      <diagonal/>
    </border>
    <border>
      <left style="medium">
        <color indexed="8"/>
      </left>
      <right/>
      <top style="thin">
        <color indexed="64"/>
      </top>
      <bottom style="medium">
        <color indexed="64"/>
      </bottom>
      <diagonal/>
    </border>
    <border>
      <left style="medium">
        <color indexed="8"/>
      </left>
      <right/>
      <top style="medium">
        <color indexed="64"/>
      </top>
      <bottom style="medium">
        <color indexed="64"/>
      </bottom>
      <diagonal/>
    </border>
    <border>
      <left/>
      <right style="hair">
        <color indexed="8"/>
      </right>
      <top style="hair">
        <color indexed="8"/>
      </top>
      <bottom style="hair">
        <color indexed="8"/>
      </bottom>
      <diagonal/>
    </border>
    <border>
      <left/>
      <right style="medium">
        <color indexed="64"/>
      </right>
      <top style="medium">
        <color indexed="8"/>
      </top>
      <bottom style="medium">
        <color indexed="8"/>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8"/>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hair">
        <color indexed="8"/>
      </left>
      <right style="hair">
        <color indexed="8"/>
      </right>
      <top style="hair">
        <color indexed="8"/>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hair">
        <color indexed="8"/>
      </left>
      <right/>
      <top/>
      <bottom/>
      <diagonal/>
    </border>
    <border>
      <left style="medium">
        <color indexed="8"/>
      </left>
      <right style="hair">
        <color indexed="8"/>
      </right>
      <top style="hair">
        <color indexed="8"/>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diagonal/>
    </border>
    <border>
      <left style="medium">
        <color indexed="8"/>
      </left>
      <right/>
      <top style="medium">
        <color indexed="64"/>
      </top>
      <bottom/>
      <diagonal/>
    </border>
    <border>
      <left/>
      <right style="thin">
        <color indexed="64"/>
      </right>
      <top style="medium">
        <color indexed="64"/>
      </top>
      <bottom/>
      <diagonal/>
    </border>
    <border>
      <left style="medium">
        <color indexed="8"/>
      </left>
      <right style="medium">
        <color indexed="64"/>
      </right>
      <top style="medium">
        <color indexed="64"/>
      </top>
      <bottom style="medium">
        <color indexed="64"/>
      </bottom>
      <diagonal/>
    </border>
    <border>
      <left style="medium">
        <color indexed="64"/>
      </left>
      <right style="thin">
        <color indexed="8"/>
      </right>
      <top style="medium">
        <color indexed="64"/>
      </top>
      <bottom style="medium">
        <color indexed="64"/>
      </bottom>
      <diagonal/>
    </border>
    <border>
      <left style="medium">
        <color indexed="8"/>
      </left>
      <right style="thin">
        <color indexed="8"/>
      </right>
      <top style="medium">
        <color indexed="64"/>
      </top>
      <bottom style="medium">
        <color indexed="64"/>
      </bottom>
      <diagonal/>
    </border>
    <border>
      <left style="hair">
        <color indexed="8"/>
      </left>
      <right/>
      <top style="hair">
        <color indexed="8"/>
      </top>
      <bottom/>
      <diagonal/>
    </border>
  </borders>
  <cellStyleXfs count="6">
    <xf numFmtId="0" fontId="0" fillId="0" borderId="0"/>
    <xf numFmtId="0" fontId="1" fillId="0" borderId="0"/>
    <xf numFmtId="0" fontId="8" fillId="0" borderId="0"/>
    <xf numFmtId="0" fontId="148" fillId="2" borderId="1" applyNumberFormat="0" applyAlignment="0" applyProtection="0"/>
    <xf numFmtId="0" fontId="111" fillId="0" borderId="0"/>
    <xf numFmtId="0" fontId="148" fillId="0" borderId="0"/>
  </cellStyleXfs>
  <cellXfs count="1385">
    <xf numFmtId="0" fontId="0" fillId="0" borderId="0" xfId="0"/>
    <xf numFmtId="0" fontId="1" fillId="0" borderId="0" xfId="1" applyAlignment="1">
      <alignment vertical="center"/>
    </xf>
    <xf numFmtId="0" fontId="3" fillId="0" borderId="0" xfId="1" applyFont="1" applyAlignment="1">
      <alignment vertical="center"/>
    </xf>
    <xf numFmtId="0" fontId="4" fillId="0" borderId="0" xfId="1" applyFont="1" applyAlignment="1">
      <alignment horizontal="left" vertical="center"/>
    </xf>
    <xf numFmtId="0" fontId="4" fillId="0" borderId="0" xfId="1" applyFont="1" applyAlignment="1">
      <alignment vertical="center"/>
    </xf>
    <xf numFmtId="0" fontId="4" fillId="0" borderId="0" xfId="1" applyFont="1" applyAlignment="1">
      <alignment horizontal="right" vertical="center"/>
    </xf>
    <xf numFmtId="0" fontId="5" fillId="0" borderId="0" xfId="1" applyFont="1" applyAlignment="1">
      <alignment horizontal="left" vertical="center"/>
    </xf>
    <xf numFmtId="0" fontId="4" fillId="0" borderId="0" xfId="1" applyFont="1" applyAlignment="1">
      <alignment horizontal="center" vertical="center"/>
    </xf>
    <xf numFmtId="0" fontId="3" fillId="0" borderId="0" xfId="1" applyFont="1" applyAlignment="1">
      <alignment horizontal="left" vertical="center"/>
    </xf>
    <xf numFmtId="0" fontId="3" fillId="0" borderId="0" xfId="1" applyFont="1" applyBorder="1" applyAlignment="1">
      <alignment horizontal="center" vertical="center"/>
    </xf>
    <xf numFmtId="0" fontId="3" fillId="0" borderId="0" xfId="1" applyFont="1" applyAlignment="1">
      <alignment horizontal="center" vertical="center"/>
    </xf>
    <xf numFmtId="0" fontId="6" fillId="0" borderId="0" xfId="1" applyFont="1" applyBorder="1" applyAlignment="1">
      <alignment horizontal="left" vertical="center"/>
    </xf>
    <xf numFmtId="0" fontId="3" fillId="0" borderId="0" xfId="1" applyFont="1" applyBorder="1" applyAlignment="1">
      <alignment vertical="center"/>
    </xf>
    <xf numFmtId="0" fontId="3" fillId="0" borderId="0" xfId="1" applyFont="1" applyBorder="1" applyAlignment="1">
      <alignment horizontal="left" vertical="center"/>
    </xf>
    <xf numFmtId="0" fontId="3" fillId="0" borderId="0" xfId="1" applyFont="1" applyBorder="1" applyAlignment="1">
      <alignment horizontal="right" vertical="center"/>
    </xf>
    <xf numFmtId="0" fontId="7" fillId="0" borderId="0" xfId="1" applyFont="1" applyAlignment="1">
      <alignment vertical="center"/>
    </xf>
    <xf numFmtId="12" fontId="3" fillId="0" borderId="0" xfId="1" applyNumberFormat="1" applyFont="1" applyBorder="1" applyAlignment="1">
      <alignment horizontal="center" vertical="center"/>
    </xf>
    <xf numFmtId="0" fontId="1" fillId="0" borderId="2" xfId="1" applyBorder="1" applyAlignment="1">
      <alignment horizontal="center" vertical="center"/>
    </xf>
    <xf numFmtId="0" fontId="1" fillId="0" borderId="0" xfId="1"/>
    <xf numFmtId="0" fontId="1" fillId="0" borderId="0" xfId="1" applyFont="1"/>
    <xf numFmtId="0" fontId="9" fillId="0" borderId="0" xfId="2" applyFont="1" applyAlignment="1">
      <alignment vertical="center"/>
    </xf>
    <xf numFmtId="0" fontId="10" fillId="0" borderId="0" xfId="2" applyFont="1" applyBorder="1" applyAlignment="1">
      <alignment vertical="center"/>
    </xf>
    <xf numFmtId="0" fontId="10" fillId="0" borderId="3" xfId="2" applyFont="1" applyFill="1" applyBorder="1" applyAlignment="1">
      <alignment vertical="center"/>
    </xf>
    <xf numFmtId="0" fontId="9" fillId="0" borderId="0" xfId="2" applyFont="1" applyAlignment="1" applyProtection="1">
      <alignment vertical="center"/>
    </xf>
    <xf numFmtId="0" fontId="9" fillId="0" borderId="4" xfId="2" applyFont="1" applyBorder="1" applyAlignment="1">
      <alignment vertical="center"/>
    </xf>
    <xf numFmtId="0" fontId="9" fillId="0" borderId="0" xfId="2" applyFont="1" applyFill="1" applyAlignment="1">
      <alignment vertical="center"/>
    </xf>
    <xf numFmtId="164" fontId="9" fillId="0" borderId="0" xfId="2" applyNumberFormat="1" applyFont="1" applyAlignment="1" applyProtection="1">
      <alignment vertical="center"/>
    </xf>
    <xf numFmtId="0" fontId="14" fillId="0" borderId="0" xfId="2" applyFont="1" applyBorder="1" applyAlignment="1">
      <alignment vertical="center"/>
    </xf>
    <xf numFmtId="0" fontId="9" fillId="3" borderId="4" xfId="2" applyFont="1" applyFill="1" applyBorder="1" applyAlignment="1">
      <alignment horizontal="center" vertical="center"/>
    </xf>
    <xf numFmtId="0" fontId="9" fillId="0" borderId="0" xfId="2" applyFont="1" applyBorder="1" applyAlignment="1">
      <alignment vertical="center"/>
    </xf>
    <xf numFmtId="165" fontId="9" fillId="4" borderId="0" xfId="2" applyNumberFormat="1" applyFont="1" applyFill="1" applyAlignment="1" applyProtection="1">
      <alignment vertical="center"/>
    </xf>
    <xf numFmtId="0" fontId="9" fillId="0" borderId="0" xfId="2" applyFont="1" applyFill="1" applyAlignment="1" applyProtection="1">
      <alignment vertical="center"/>
    </xf>
    <xf numFmtId="165" fontId="9" fillId="4" borderId="5" xfId="2" applyNumberFormat="1" applyFont="1" applyFill="1" applyBorder="1" applyAlignment="1" applyProtection="1">
      <alignment vertical="center"/>
    </xf>
    <xf numFmtId="0" fontId="9" fillId="3" borderId="4" xfId="2" applyFont="1" applyFill="1" applyBorder="1" applyAlignment="1">
      <alignment vertical="center"/>
    </xf>
    <xf numFmtId="0" fontId="9" fillId="0" borderId="4" xfId="2" applyFont="1" applyFill="1" applyBorder="1" applyAlignment="1">
      <alignment horizontal="center" vertical="center"/>
    </xf>
    <xf numFmtId="1" fontId="9" fillId="3" borderId="4" xfId="2" applyNumberFormat="1" applyFont="1" applyFill="1" applyBorder="1" applyAlignment="1">
      <alignment vertical="center"/>
    </xf>
    <xf numFmtId="166" fontId="9" fillId="0" borderId="0" xfId="2" applyNumberFormat="1" applyFont="1" applyAlignment="1" applyProtection="1">
      <alignment vertical="center"/>
    </xf>
    <xf numFmtId="12" fontId="9" fillId="0" borderId="0" xfId="2" applyNumberFormat="1" applyFont="1" applyAlignment="1" applyProtection="1">
      <alignment vertical="center"/>
    </xf>
    <xf numFmtId="0" fontId="9" fillId="0" borderId="0" xfId="2" applyFont="1" applyAlignment="1">
      <alignment horizontal="center" vertical="center"/>
    </xf>
    <xf numFmtId="14" fontId="9" fillId="0" borderId="0" xfId="2" applyNumberFormat="1" applyFont="1" applyAlignment="1">
      <alignment horizontal="center" vertical="center"/>
    </xf>
    <xf numFmtId="0" fontId="9" fillId="0" borderId="0" xfId="2" applyFont="1" applyBorder="1" applyAlignment="1">
      <alignment horizontal="center" vertical="center"/>
    </xf>
    <xf numFmtId="0" fontId="1" fillId="0" borderId="0" xfId="1" applyFont="1" applyProtection="1"/>
    <xf numFmtId="164" fontId="1" fillId="0" borderId="0" xfId="1" applyNumberFormat="1" applyFont="1" applyProtection="1"/>
    <xf numFmtId="0" fontId="1" fillId="3" borderId="4" xfId="1" applyFont="1" applyFill="1" applyBorder="1" applyAlignment="1">
      <alignment horizontal="center"/>
    </xf>
    <xf numFmtId="0" fontId="1" fillId="4" borderId="4" xfId="1" applyFont="1" applyFill="1" applyBorder="1" applyAlignment="1">
      <alignment horizontal="center"/>
    </xf>
    <xf numFmtId="0" fontId="1" fillId="4" borderId="6" xfId="1" applyFont="1" applyFill="1" applyBorder="1" applyAlignment="1">
      <alignment horizontal="center"/>
    </xf>
    <xf numFmtId="0" fontId="9" fillId="4" borderId="0" xfId="2" applyFont="1" applyFill="1" applyAlignment="1">
      <alignment horizontal="center" vertical="center"/>
    </xf>
    <xf numFmtId="0" fontId="1" fillId="3" borderId="6" xfId="1" applyFont="1" applyFill="1" applyBorder="1" applyAlignment="1">
      <alignment horizontal="center"/>
    </xf>
    <xf numFmtId="0" fontId="1" fillId="0" borderId="0" xfId="1" applyNumberFormat="1" applyFont="1" applyProtection="1"/>
    <xf numFmtId="0" fontId="9" fillId="3" borderId="0" xfId="2" applyFont="1" applyFill="1" applyAlignment="1">
      <alignment vertical="center"/>
    </xf>
    <xf numFmtId="0" fontId="18" fillId="0" borderId="0" xfId="1" applyFont="1"/>
    <xf numFmtId="0" fontId="9" fillId="4" borderId="0" xfId="2" applyFont="1" applyFill="1" applyAlignment="1" applyProtection="1">
      <alignment vertical="center"/>
    </xf>
    <xf numFmtId="0" fontId="9" fillId="0" borderId="0" xfId="2" applyFont="1" applyAlignment="1">
      <alignment horizontal="left" vertical="center"/>
    </xf>
    <xf numFmtId="0" fontId="9" fillId="4" borderId="0" xfId="2" applyFont="1" applyFill="1" applyAlignment="1">
      <alignment vertical="center"/>
    </xf>
    <xf numFmtId="2" fontId="9" fillId="4" borderId="0" xfId="2" applyNumberFormat="1" applyFont="1" applyFill="1" applyAlignment="1" applyProtection="1">
      <alignment vertical="center"/>
    </xf>
    <xf numFmtId="16" fontId="1" fillId="0" borderId="0" xfId="1" applyNumberFormat="1" applyFont="1" applyProtection="1"/>
    <xf numFmtId="2" fontId="1" fillId="4" borderId="0" xfId="1" applyNumberFormat="1" applyFont="1" applyFill="1" applyProtection="1"/>
    <xf numFmtId="1" fontId="9" fillId="4" borderId="7" xfId="2" applyNumberFormat="1" applyFont="1" applyFill="1" applyBorder="1" applyAlignment="1" applyProtection="1">
      <alignment vertical="center"/>
    </xf>
    <xf numFmtId="0" fontId="9" fillId="0" borderId="0" xfId="2" applyFont="1" applyBorder="1" applyAlignment="1" applyProtection="1">
      <alignment vertical="center"/>
    </xf>
    <xf numFmtId="1" fontId="9" fillId="0" borderId="0" xfId="2" applyNumberFormat="1" applyFont="1" applyFill="1" applyBorder="1" applyAlignment="1" applyProtection="1">
      <alignment vertical="center"/>
    </xf>
    <xf numFmtId="0" fontId="9" fillId="0" borderId="0" xfId="2" applyFont="1" applyFill="1" applyBorder="1" applyAlignment="1">
      <alignment horizontal="center" vertical="center"/>
    </xf>
    <xf numFmtId="0" fontId="19" fillId="3" borderId="4" xfId="1" applyFont="1" applyFill="1" applyBorder="1" applyAlignment="1">
      <alignment horizontal="center"/>
    </xf>
    <xf numFmtId="0" fontId="15" fillId="3" borderId="4" xfId="2" applyFont="1" applyFill="1" applyBorder="1" applyAlignment="1">
      <alignment horizontal="center" vertical="center"/>
    </xf>
    <xf numFmtId="0" fontId="9" fillId="3" borderId="6" xfId="2" applyFont="1" applyFill="1" applyBorder="1" applyAlignment="1">
      <alignment vertical="center"/>
    </xf>
    <xf numFmtId="0" fontId="22" fillId="0" borderId="0" xfId="2" applyFont="1" applyBorder="1" applyAlignment="1">
      <alignment horizontal="center" vertical="center"/>
    </xf>
    <xf numFmtId="0" fontId="9" fillId="0" borderId="0" xfId="2" applyFont="1" applyBorder="1" applyAlignment="1">
      <alignment vertical="center" wrapText="1"/>
    </xf>
    <xf numFmtId="2" fontId="8" fillId="4" borderId="0" xfId="2" applyNumberFormat="1" applyFont="1" applyFill="1" applyBorder="1" applyAlignment="1">
      <alignment horizontal="center" vertical="center" wrapText="1"/>
    </xf>
    <xf numFmtId="0" fontId="9" fillId="4" borderId="8" xfId="2" applyFont="1" applyFill="1" applyBorder="1" applyAlignment="1">
      <alignment vertical="center"/>
    </xf>
    <xf numFmtId="2" fontId="9" fillId="4" borderId="0" xfId="2" applyNumberFormat="1" applyFont="1" applyFill="1" applyAlignment="1">
      <alignment horizontal="center" vertical="center"/>
    </xf>
    <xf numFmtId="0" fontId="9" fillId="0" borderId="0" xfId="2" applyFont="1" applyFill="1" applyBorder="1" applyAlignment="1">
      <alignment vertical="center"/>
    </xf>
    <xf numFmtId="0" fontId="1" fillId="0" borderId="0" xfId="1" applyFont="1" applyFill="1" applyBorder="1" applyAlignment="1">
      <alignment horizontal="center" vertical="center"/>
    </xf>
    <xf numFmtId="0" fontId="9" fillId="2" borderId="0" xfId="2" applyFont="1" applyFill="1" applyBorder="1" applyAlignment="1">
      <alignment horizontal="center" vertical="center"/>
    </xf>
    <xf numFmtId="0" fontId="24" fillId="0" borderId="0" xfId="2" applyFont="1" applyFill="1" applyBorder="1" applyAlignment="1">
      <alignment vertical="center"/>
    </xf>
    <xf numFmtId="14" fontId="9" fillId="0" borderId="9" xfId="2" applyNumberFormat="1" applyFont="1" applyBorder="1" applyAlignment="1">
      <alignment horizontal="center" vertical="center"/>
    </xf>
    <xf numFmtId="0" fontId="9" fillId="0" borderId="0" xfId="2" applyFont="1" applyFill="1" applyBorder="1" applyAlignment="1">
      <alignment horizontal="center" vertical="center" wrapText="1"/>
    </xf>
    <xf numFmtId="0" fontId="9" fillId="0" borderId="0" xfId="2" applyFont="1" applyFill="1" applyBorder="1" applyAlignment="1">
      <alignment vertical="center" wrapText="1"/>
    </xf>
    <xf numFmtId="0" fontId="1" fillId="4" borderId="5" xfId="1" applyFont="1" applyFill="1" applyBorder="1" applyAlignment="1">
      <alignment horizontal="center"/>
    </xf>
    <xf numFmtId="14" fontId="9" fillId="0" borderId="0" xfId="2" applyNumberFormat="1" applyFont="1" applyBorder="1" applyAlignment="1">
      <alignment horizontal="center" vertical="center"/>
    </xf>
    <xf numFmtId="0" fontId="15" fillId="0" borderId="0" xfId="2" applyFont="1" applyBorder="1" applyAlignment="1">
      <alignment horizontal="center" vertical="center"/>
    </xf>
    <xf numFmtId="0" fontId="1" fillId="4" borderId="0" xfId="1" applyFont="1" applyFill="1" applyBorder="1" applyAlignment="1"/>
    <xf numFmtId="0" fontId="15" fillId="0" borderId="0" xfId="2" applyFont="1" applyFill="1" applyBorder="1" applyAlignment="1">
      <alignment horizontal="center" vertical="center"/>
    </xf>
    <xf numFmtId="0" fontId="25" fillId="0" borderId="0" xfId="2" applyFont="1" applyBorder="1" applyAlignment="1">
      <alignment horizontal="center" vertical="center" wrapText="1"/>
    </xf>
    <xf numFmtId="0" fontId="1" fillId="0" borderId="0" xfId="1" applyFont="1" applyFill="1"/>
    <xf numFmtId="164" fontId="9" fillId="0" borderId="0" xfId="2" applyNumberFormat="1" applyFont="1" applyFill="1" applyBorder="1" applyAlignment="1">
      <alignment horizontal="center" vertical="center"/>
    </xf>
    <xf numFmtId="14" fontId="9" fillId="0" borderId="10" xfId="2" applyNumberFormat="1" applyFont="1" applyFill="1" applyBorder="1" applyAlignment="1">
      <alignment horizontal="center" vertical="center"/>
    </xf>
    <xf numFmtId="14" fontId="9" fillId="0" borderId="0" xfId="2" applyNumberFormat="1" applyFont="1" applyFill="1" applyBorder="1" applyAlignment="1">
      <alignment horizontal="center" vertical="center"/>
    </xf>
    <xf numFmtId="0" fontId="9" fillId="0" borderId="11" xfId="2" applyFont="1" applyFill="1" applyBorder="1" applyAlignment="1">
      <alignment horizontal="center" vertical="center" wrapText="1"/>
    </xf>
    <xf numFmtId="0" fontId="9" fillId="0" borderId="12" xfId="2" applyFont="1" applyFill="1" applyBorder="1" applyAlignment="1">
      <alignment horizontal="center" vertical="center" wrapText="1"/>
    </xf>
    <xf numFmtId="0" fontId="9" fillId="0" borderId="10" xfId="2" applyFont="1" applyFill="1" applyBorder="1" applyAlignment="1">
      <alignment horizontal="center" vertical="center" wrapText="1"/>
    </xf>
    <xf numFmtId="0" fontId="9" fillId="0" borderId="11" xfId="2" applyFont="1" applyFill="1" applyBorder="1" applyAlignment="1">
      <alignment horizontal="center" vertical="center"/>
    </xf>
    <xf numFmtId="0" fontId="9" fillId="0" borderId="12" xfId="2" applyFont="1" applyFill="1" applyBorder="1" applyAlignment="1">
      <alignment horizontal="center" vertical="center"/>
    </xf>
    <xf numFmtId="0" fontId="9" fillId="0" borderId="0" xfId="2" applyFont="1" applyFill="1" applyAlignment="1">
      <alignment horizontal="center" vertical="center"/>
    </xf>
    <xf numFmtId="164" fontId="9" fillId="0" borderId="0" xfId="2" applyNumberFormat="1" applyFont="1" applyBorder="1" applyAlignment="1">
      <alignment horizontal="center" vertical="center"/>
    </xf>
    <xf numFmtId="0" fontId="9" fillId="0" borderId="5" xfId="2" applyFont="1" applyFill="1" applyBorder="1" applyAlignment="1">
      <alignment horizontal="center" vertical="center" wrapText="1"/>
    </xf>
    <xf numFmtId="0" fontId="9" fillId="4" borderId="13" xfId="2" applyFont="1" applyFill="1" applyBorder="1" applyAlignment="1">
      <alignment horizontal="center" vertical="center"/>
    </xf>
    <xf numFmtId="0" fontId="9" fillId="3" borderId="14" xfId="2" applyFont="1" applyFill="1" applyBorder="1" applyAlignment="1">
      <alignment horizontal="center" vertical="center"/>
    </xf>
    <xf numFmtId="0" fontId="14" fillId="0" borderId="0" xfId="2" applyFont="1" applyBorder="1" applyAlignment="1">
      <alignment horizontal="center" vertical="center"/>
    </xf>
    <xf numFmtId="14" fontId="9" fillId="0" borderId="4" xfId="2" applyNumberFormat="1" applyFont="1" applyBorder="1" applyAlignment="1">
      <alignment horizontal="center" vertical="center"/>
    </xf>
    <xf numFmtId="0" fontId="9" fillId="0" borderId="0" xfId="1" applyFont="1" applyAlignment="1">
      <alignment vertical="center"/>
    </xf>
    <xf numFmtId="14" fontId="9" fillId="0" borderId="0" xfId="1" applyNumberFormat="1" applyFont="1" applyAlignment="1">
      <alignment vertical="center"/>
    </xf>
    <xf numFmtId="0" fontId="9" fillId="0" borderId="0" xfId="1" applyFont="1" applyAlignment="1">
      <alignment horizontal="left" vertical="center"/>
    </xf>
    <xf numFmtId="0" fontId="9" fillId="0" borderId="0" xfId="1" applyFont="1" applyFill="1" applyAlignment="1">
      <alignment vertical="center"/>
    </xf>
    <xf numFmtId="0" fontId="9" fillId="0" borderId="0" xfId="1" applyFont="1" applyFill="1" applyBorder="1" applyAlignment="1">
      <alignment vertical="center"/>
    </xf>
    <xf numFmtId="14" fontId="9" fillId="0" borderId="0" xfId="1" applyNumberFormat="1" applyFont="1" applyFill="1" applyBorder="1" applyAlignment="1">
      <alignment vertical="center"/>
    </xf>
    <xf numFmtId="14" fontId="9" fillId="0" borderId="0" xfId="1" applyNumberFormat="1" applyFont="1" applyFill="1" applyAlignment="1">
      <alignment vertical="center"/>
    </xf>
    <xf numFmtId="0" fontId="12" fillId="0" borderId="0" xfId="1" applyFont="1" applyFill="1" applyAlignment="1">
      <alignment horizontal="center" vertical="center"/>
    </xf>
    <xf numFmtId="0" fontId="12" fillId="0" borderId="0" xfId="1" applyFont="1" applyFill="1" applyBorder="1" applyAlignment="1">
      <alignment horizontal="center" vertical="center"/>
    </xf>
    <xf numFmtId="14" fontId="9" fillId="0" borderId="0" xfId="1" applyNumberFormat="1" applyFont="1" applyFill="1" applyAlignment="1">
      <alignment horizontal="center" vertical="center"/>
    </xf>
    <xf numFmtId="0" fontId="12" fillId="0" borderId="15" xfId="1" applyFont="1" applyFill="1" applyBorder="1" applyAlignment="1">
      <alignment horizontal="center" vertical="center"/>
    </xf>
    <xf numFmtId="0" fontId="12" fillId="0" borderId="0" xfId="1" applyFont="1" applyFill="1" applyBorder="1" applyAlignment="1">
      <alignment vertical="center"/>
    </xf>
    <xf numFmtId="0" fontId="9" fillId="0" borderId="16" xfId="1" applyFont="1" applyFill="1" applyBorder="1" applyAlignment="1">
      <alignment horizontal="center" vertical="center"/>
    </xf>
    <xf numFmtId="0" fontId="9" fillId="0" borderId="17" xfId="1" applyFont="1" applyFill="1" applyBorder="1" applyAlignment="1">
      <alignment horizontal="center" vertical="center"/>
    </xf>
    <xf numFmtId="0" fontId="9" fillId="0" borderId="18" xfId="1" applyFont="1" applyFill="1" applyBorder="1" applyAlignment="1">
      <alignment vertical="center"/>
    </xf>
    <xf numFmtId="0" fontId="9" fillId="0" borderId="0" xfId="1" applyFont="1" applyFill="1" applyAlignment="1">
      <alignment horizontal="left" vertical="center"/>
    </xf>
    <xf numFmtId="0" fontId="9" fillId="0" borderId="19" xfId="1" applyFont="1" applyFill="1" applyBorder="1" applyAlignment="1">
      <alignment horizontal="center" vertical="center"/>
    </xf>
    <xf numFmtId="0" fontId="9" fillId="0" borderId="20" xfId="1" applyFont="1" applyFill="1" applyBorder="1" applyAlignment="1">
      <alignment horizontal="center" vertical="center"/>
    </xf>
    <xf numFmtId="0" fontId="9" fillId="0" borderId="0" xfId="1" applyFont="1" applyFill="1" applyBorder="1" applyAlignment="1">
      <alignment horizontal="center" vertical="center"/>
    </xf>
    <xf numFmtId="0" fontId="9" fillId="0" borderId="21" xfId="1" applyFont="1" applyFill="1" applyBorder="1" applyAlignment="1">
      <alignment horizontal="center" vertical="center"/>
    </xf>
    <xf numFmtId="0" fontId="9" fillId="0" borderId="7" xfId="1" applyFont="1" applyFill="1" applyBorder="1" applyAlignment="1">
      <alignment horizontal="right" vertical="center"/>
    </xf>
    <xf numFmtId="0" fontId="9" fillId="0" borderId="7" xfId="1" applyFont="1" applyFill="1" applyBorder="1" applyAlignment="1">
      <alignment horizontal="center" vertical="center"/>
    </xf>
    <xf numFmtId="1" fontId="9" fillId="0" borderId="22" xfId="1" applyNumberFormat="1" applyFont="1" applyFill="1" applyBorder="1" applyAlignment="1">
      <alignment horizontal="left" vertical="center"/>
    </xf>
    <xf numFmtId="0" fontId="9" fillId="0" borderId="23" xfId="1" applyFont="1" applyFill="1" applyBorder="1" applyAlignment="1">
      <alignment horizontal="center" vertical="center"/>
    </xf>
    <xf numFmtId="0" fontId="9" fillId="0" borderId="24" xfId="1" applyFont="1" applyFill="1" applyBorder="1" applyAlignment="1">
      <alignment vertical="center"/>
    </xf>
    <xf numFmtId="0" fontId="9" fillId="0" borderId="24" xfId="1" applyFont="1" applyFill="1" applyBorder="1" applyAlignment="1">
      <alignment horizontal="center" vertical="center"/>
    </xf>
    <xf numFmtId="0" fontId="9" fillId="0" borderId="25" xfId="1" applyFont="1" applyFill="1" applyBorder="1" applyAlignment="1">
      <alignment horizontal="left" vertical="center"/>
    </xf>
    <xf numFmtId="1" fontId="9" fillId="0" borderId="18" xfId="1" applyNumberFormat="1" applyFont="1" applyFill="1" applyBorder="1" applyAlignment="1">
      <alignment horizontal="right" vertical="center"/>
    </xf>
    <xf numFmtId="1" fontId="9" fillId="0" borderId="15" xfId="1" applyNumberFormat="1" applyFont="1" applyFill="1" applyBorder="1" applyAlignment="1">
      <alignment horizontal="center" vertical="center"/>
    </xf>
    <xf numFmtId="1" fontId="9" fillId="0" borderId="26" xfId="1" applyNumberFormat="1" applyFont="1" applyFill="1" applyBorder="1" applyAlignment="1">
      <alignment horizontal="left" vertical="center"/>
    </xf>
    <xf numFmtId="0" fontId="9" fillId="0" borderId="15" xfId="1" applyFont="1" applyFill="1" applyBorder="1" applyAlignment="1">
      <alignment vertical="center"/>
    </xf>
    <xf numFmtId="0" fontId="9" fillId="0" borderId="15" xfId="1" applyFont="1" applyFill="1" applyBorder="1" applyAlignment="1">
      <alignment horizontal="center" vertical="center"/>
    </xf>
    <xf numFmtId="0" fontId="9" fillId="0" borderId="26" xfId="1" applyFont="1" applyFill="1" applyBorder="1" applyAlignment="1">
      <alignment horizontal="left" vertical="center"/>
    </xf>
    <xf numFmtId="14" fontId="9" fillId="0" borderId="0" xfId="1" applyNumberFormat="1" applyFont="1" applyFill="1" applyBorder="1" applyAlignment="1">
      <alignment horizontal="center" vertical="center"/>
    </xf>
    <xf numFmtId="0" fontId="28" fillId="0" borderId="27" xfId="1" applyFont="1" applyFill="1" applyBorder="1" applyAlignment="1">
      <alignment vertical="center"/>
    </xf>
    <xf numFmtId="164" fontId="15" fillId="0" borderId="28" xfId="2" applyNumberFormat="1" applyFont="1" applyFill="1" applyBorder="1" applyAlignment="1">
      <alignment horizontal="center" vertical="center"/>
    </xf>
    <xf numFmtId="1" fontId="15" fillId="0" borderId="6" xfId="2" applyNumberFormat="1" applyFont="1" applyFill="1" applyBorder="1" applyAlignment="1">
      <alignment horizontal="center" vertical="center"/>
    </xf>
    <xf numFmtId="164" fontId="15" fillId="0" borderId="29" xfId="2" applyNumberFormat="1" applyFont="1" applyFill="1" applyBorder="1" applyAlignment="1">
      <alignment horizontal="center" vertical="center"/>
    </xf>
    <xf numFmtId="0" fontId="19" fillId="0" borderId="30" xfId="1" applyFont="1" applyFill="1" applyBorder="1" applyAlignment="1">
      <alignment horizontal="center"/>
    </xf>
    <xf numFmtId="164" fontId="15" fillId="0" borderId="31" xfId="2" applyNumberFormat="1" applyFont="1" applyFill="1" applyBorder="1" applyAlignment="1">
      <alignment horizontal="center" vertical="center"/>
    </xf>
    <xf numFmtId="164" fontId="15" fillId="0" borderId="32" xfId="2" applyNumberFormat="1" applyFont="1" applyFill="1" applyBorder="1" applyAlignment="1">
      <alignment horizontal="center" vertical="center"/>
    </xf>
    <xf numFmtId="0" fontId="12" fillId="0" borderId="0" xfId="1" applyFont="1" applyFill="1" applyAlignment="1">
      <alignment vertical="center"/>
    </xf>
    <xf numFmtId="0" fontId="13" fillId="0" borderId="6" xfId="1" applyFont="1" applyFill="1" applyBorder="1" applyAlignment="1">
      <alignment horizontal="center" vertical="center"/>
    </xf>
    <xf numFmtId="0" fontId="1" fillId="0" borderId="0" xfId="1" applyFont="1" applyFill="1" applyBorder="1" applyAlignment="1">
      <alignment horizontal="center"/>
    </xf>
    <xf numFmtId="0" fontId="13" fillId="0" borderId="0" xfId="1" applyFont="1" applyFill="1" applyBorder="1" applyAlignment="1">
      <alignment horizontal="center" vertical="center"/>
    </xf>
    <xf numFmtId="0" fontId="1" fillId="0" borderId="0" xfId="1" applyFont="1" applyFill="1" applyBorder="1" applyAlignment="1">
      <alignment horizontal="center" vertical="center" wrapText="1"/>
    </xf>
    <xf numFmtId="0" fontId="9" fillId="0" borderId="33" xfId="2" applyFont="1" applyFill="1" applyBorder="1" applyAlignment="1">
      <alignment horizontal="center" vertical="center"/>
    </xf>
    <xf numFmtId="0" fontId="9" fillId="0" borderId="34" xfId="2" applyFont="1" applyFill="1" applyBorder="1" applyAlignment="1">
      <alignment horizontal="center" vertical="center"/>
    </xf>
    <xf numFmtId="0" fontId="1" fillId="0" borderId="34" xfId="1" applyFont="1" applyFill="1" applyBorder="1" applyAlignment="1">
      <alignment horizontal="center" vertical="center" wrapText="1"/>
    </xf>
    <xf numFmtId="0" fontId="9" fillId="0" borderId="5" xfId="2" applyFont="1" applyFill="1" applyBorder="1" applyAlignment="1">
      <alignment horizontal="center" vertical="center"/>
    </xf>
    <xf numFmtId="0" fontId="1" fillId="0" borderId="5" xfId="1" applyFont="1" applyFill="1" applyBorder="1" applyAlignment="1">
      <alignment horizontal="center" vertical="center" wrapText="1"/>
    </xf>
    <xf numFmtId="0" fontId="9" fillId="0" borderId="35" xfId="2" applyFont="1" applyFill="1" applyBorder="1" applyAlignment="1">
      <alignment horizontal="center" vertical="center"/>
    </xf>
    <xf numFmtId="0" fontId="9" fillId="0" borderId="36" xfId="2" applyFont="1" applyFill="1" applyBorder="1" applyAlignment="1">
      <alignment horizontal="center" vertical="center"/>
    </xf>
    <xf numFmtId="0" fontId="9" fillId="0" borderId="37" xfId="2" applyFont="1" applyFill="1" applyBorder="1" applyAlignment="1">
      <alignment horizontal="center" vertical="center"/>
    </xf>
    <xf numFmtId="0" fontId="1" fillId="0" borderId="37" xfId="1" applyFont="1" applyFill="1" applyBorder="1" applyAlignment="1">
      <alignment horizontal="center" vertical="center" wrapText="1"/>
    </xf>
    <xf numFmtId="0" fontId="9" fillId="0" borderId="38" xfId="2" applyFont="1" applyFill="1" applyBorder="1" applyAlignment="1">
      <alignment horizontal="center" vertical="center"/>
    </xf>
    <xf numFmtId="0" fontId="9" fillId="0" borderId="39" xfId="2" applyFont="1" applyFill="1" applyBorder="1" applyAlignment="1">
      <alignment horizontal="center" vertical="center"/>
    </xf>
    <xf numFmtId="0" fontId="1" fillId="0" borderId="39" xfId="1" applyFont="1" applyFill="1" applyBorder="1" applyAlignment="1">
      <alignment horizontal="center" vertical="center" wrapText="1"/>
    </xf>
    <xf numFmtId="0" fontId="9" fillId="5" borderId="0" xfId="2" applyFont="1" applyFill="1" applyBorder="1" applyAlignment="1">
      <alignment vertical="center"/>
    </xf>
    <xf numFmtId="0" fontId="1" fillId="0" borderId="38" xfId="1" applyFont="1" applyFill="1" applyBorder="1" applyAlignment="1">
      <alignment horizontal="center" vertical="center" wrapText="1"/>
    </xf>
    <xf numFmtId="0" fontId="1" fillId="0" borderId="35" xfId="1" applyFont="1" applyFill="1" applyBorder="1" applyAlignment="1">
      <alignment horizontal="center" vertical="center" wrapText="1"/>
    </xf>
    <xf numFmtId="0" fontId="1" fillId="0" borderId="36" xfId="1" applyFont="1" applyFill="1" applyBorder="1" applyAlignment="1">
      <alignment horizontal="center" vertical="center" wrapText="1"/>
    </xf>
    <xf numFmtId="0" fontId="9" fillId="5" borderId="15" xfId="2" applyFont="1" applyFill="1" applyBorder="1" applyAlignment="1">
      <alignment vertical="center"/>
    </xf>
    <xf numFmtId="0" fontId="12" fillId="0" borderId="0" xfId="2" applyFont="1" applyFill="1" applyBorder="1" applyAlignment="1">
      <alignment horizontal="center" vertical="center"/>
    </xf>
    <xf numFmtId="0" fontId="1" fillId="0" borderId="40" xfId="1" applyFill="1" applyBorder="1" applyAlignment="1">
      <alignment horizontal="center"/>
    </xf>
    <xf numFmtId="0" fontId="0" fillId="0" borderId="34" xfId="0" applyFill="1" applyBorder="1" applyAlignment="1">
      <alignment horizontal="center"/>
    </xf>
    <xf numFmtId="0" fontId="1" fillId="0" borderId="34" xfId="1" applyFont="1" applyFill="1" applyBorder="1" applyAlignment="1">
      <alignment horizontal="center"/>
    </xf>
    <xf numFmtId="0" fontId="1" fillId="0" borderId="17" xfId="1" applyFont="1" applyFill="1" applyBorder="1" applyAlignment="1">
      <alignment horizontal="center"/>
    </xf>
    <xf numFmtId="0" fontId="1" fillId="0" borderId="35" xfId="1" applyFill="1" applyBorder="1" applyAlignment="1">
      <alignment horizontal="center"/>
    </xf>
    <xf numFmtId="0" fontId="0" fillId="0" borderId="5" xfId="0" applyFill="1" applyBorder="1" applyAlignment="1">
      <alignment horizontal="center"/>
    </xf>
    <xf numFmtId="0" fontId="1" fillId="0" borderId="5" xfId="1" applyFont="1" applyFill="1" applyBorder="1" applyAlignment="1">
      <alignment horizontal="center"/>
    </xf>
    <xf numFmtId="0" fontId="1" fillId="0" borderId="41" xfId="1" applyFont="1" applyFill="1" applyBorder="1" applyAlignment="1">
      <alignment horizontal="center"/>
    </xf>
    <xf numFmtId="0" fontId="1" fillId="0" borderId="36" xfId="1" applyFill="1" applyBorder="1" applyAlignment="1">
      <alignment horizontal="center"/>
    </xf>
    <xf numFmtId="0" fontId="0" fillId="0" borderId="37" xfId="0" applyFill="1" applyBorder="1" applyAlignment="1">
      <alignment horizontal="center"/>
    </xf>
    <xf numFmtId="0" fontId="1" fillId="0" borderId="37" xfId="1" applyFont="1" applyFill="1" applyBorder="1" applyAlignment="1">
      <alignment horizontal="center"/>
    </xf>
    <xf numFmtId="0" fontId="1" fillId="0" borderId="42" xfId="1" applyFont="1" applyFill="1" applyBorder="1" applyAlignment="1">
      <alignment horizontal="center"/>
    </xf>
    <xf numFmtId="0" fontId="1" fillId="0" borderId="0" xfId="1" applyFill="1" applyBorder="1" applyAlignment="1">
      <alignment horizontal="center"/>
    </xf>
    <xf numFmtId="0" fontId="25" fillId="0" borderId="0" xfId="2" applyFont="1" applyFill="1" applyBorder="1" applyAlignment="1">
      <alignment horizontal="center" vertical="center" wrapText="1"/>
    </xf>
    <xf numFmtId="0" fontId="9" fillId="0" borderId="43" xfId="2" applyFont="1" applyFill="1" applyBorder="1" applyAlignment="1">
      <alignment horizontal="center" vertical="center"/>
    </xf>
    <xf numFmtId="0" fontId="9" fillId="0" borderId="44" xfId="2" applyFont="1" applyFill="1" applyBorder="1" applyAlignment="1">
      <alignment horizontal="center" vertical="center"/>
    </xf>
    <xf numFmtId="14" fontId="9" fillId="0" borderId="35" xfId="2" applyNumberFormat="1" applyFont="1" applyFill="1" applyBorder="1" applyAlignment="1">
      <alignment horizontal="center" vertical="center"/>
    </xf>
    <xf numFmtId="14" fontId="9" fillId="0" borderId="5" xfId="2" applyNumberFormat="1" applyFont="1" applyFill="1" applyBorder="1" applyAlignment="1">
      <alignment horizontal="center" vertical="center"/>
    </xf>
    <xf numFmtId="0" fontId="9" fillId="0" borderId="41" xfId="2" applyFont="1" applyFill="1" applyBorder="1" applyAlignment="1">
      <alignment horizontal="center" vertical="center" wrapText="1"/>
    </xf>
    <xf numFmtId="0" fontId="9" fillId="0" borderId="45" xfId="2" applyFont="1" applyFill="1" applyBorder="1" applyAlignment="1">
      <alignment horizontal="center" vertical="center"/>
    </xf>
    <xf numFmtId="0" fontId="9" fillId="0" borderId="14" xfId="2" applyFont="1" applyFill="1" applyBorder="1" applyAlignment="1">
      <alignment horizontal="center" vertical="center"/>
    </xf>
    <xf numFmtId="0" fontId="9" fillId="0" borderId="13" xfId="2" applyFont="1" applyFill="1" applyBorder="1" applyAlignment="1">
      <alignment horizontal="center" vertical="center"/>
    </xf>
    <xf numFmtId="0" fontId="12" fillId="0" borderId="0" xfId="2" applyFont="1" applyFill="1" applyBorder="1" applyAlignment="1">
      <alignment horizontal="center" vertical="center" wrapText="1"/>
    </xf>
    <xf numFmtId="0" fontId="12" fillId="0" borderId="3" xfId="2" applyFont="1" applyFill="1" applyBorder="1" applyAlignment="1">
      <alignment horizontal="center" vertical="center" wrapText="1"/>
    </xf>
    <xf numFmtId="0" fontId="14" fillId="0" borderId="0" xfId="2" applyFont="1" applyFill="1" applyBorder="1" applyAlignment="1">
      <alignment horizontal="center" vertical="center"/>
    </xf>
    <xf numFmtId="0" fontId="30" fillId="0" borderId="6" xfId="1" applyFont="1" applyBorder="1" applyAlignment="1">
      <alignment horizontal="center" vertical="center"/>
    </xf>
    <xf numFmtId="0" fontId="30" fillId="0" borderId="0" xfId="1" applyFont="1" applyAlignment="1">
      <alignment horizontal="center" vertical="center"/>
    </xf>
    <xf numFmtId="0" fontId="31" fillId="0" borderId="6" xfId="1" applyFont="1" applyBorder="1" applyAlignment="1">
      <alignment horizontal="center" vertical="center"/>
    </xf>
    <xf numFmtId="0" fontId="29" fillId="0" borderId="0" xfId="1" applyFont="1"/>
    <xf numFmtId="0" fontId="32" fillId="0" borderId="0" xfId="0" applyFont="1"/>
    <xf numFmtId="0" fontId="33" fillId="0" borderId="0" xfId="0" applyFont="1"/>
    <xf numFmtId="0" fontId="34" fillId="0" borderId="0" xfId="1" applyFont="1" applyBorder="1"/>
    <xf numFmtId="0" fontId="35" fillId="0" borderId="0" xfId="1" applyFont="1" applyBorder="1"/>
    <xf numFmtId="0" fontId="36" fillId="0" borderId="0" xfId="1" applyFont="1"/>
    <xf numFmtId="0" fontId="37" fillId="0" borderId="0" xfId="1" applyFont="1" applyFill="1" applyBorder="1"/>
    <xf numFmtId="0" fontId="39" fillId="0" borderId="46" xfId="1" applyFont="1" applyBorder="1" applyAlignment="1">
      <alignment horizontal="center"/>
    </xf>
    <xf numFmtId="0" fontId="39" fillId="0" borderId="0" xfId="1" applyFont="1" applyBorder="1" applyAlignment="1">
      <alignment horizontal="center"/>
    </xf>
    <xf numFmtId="0" fontId="39" fillId="0" borderId="0" xfId="1" applyFont="1"/>
    <xf numFmtId="0" fontId="38" fillId="0" borderId="0" xfId="1" applyFont="1" applyAlignment="1">
      <alignment horizontal="center"/>
    </xf>
    <xf numFmtId="0" fontId="40" fillId="0" borderId="0" xfId="1" applyFont="1" applyBorder="1" applyAlignment="1">
      <alignment horizontal="center" vertical="center"/>
    </xf>
    <xf numFmtId="0" fontId="3" fillId="0" borderId="28" xfId="1" applyFont="1" applyFill="1" applyBorder="1" applyAlignment="1">
      <alignment horizontal="center" vertical="center"/>
    </xf>
    <xf numFmtId="0" fontId="3" fillId="0" borderId="28" xfId="1" applyFont="1" applyBorder="1" applyAlignment="1">
      <alignment horizontal="center" vertical="center"/>
    </xf>
    <xf numFmtId="0" fontId="3" fillId="0" borderId="47" xfId="1" applyFont="1" applyBorder="1" applyAlignment="1">
      <alignment vertical="center"/>
    </xf>
    <xf numFmtId="0" fontId="3" fillId="0" borderId="0" xfId="1" applyFont="1"/>
    <xf numFmtId="0" fontId="3" fillId="0" borderId="0" xfId="1" applyFont="1" applyAlignment="1"/>
    <xf numFmtId="0" fontId="3" fillId="0" borderId="0" xfId="1" applyFont="1" applyFill="1" applyBorder="1" applyAlignment="1">
      <alignment horizontal="center" vertical="center"/>
    </xf>
    <xf numFmtId="0" fontId="44" fillId="0" borderId="0" xfId="1" applyFont="1" applyAlignment="1">
      <alignment horizontal="center" vertical="center"/>
    </xf>
    <xf numFmtId="0" fontId="3" fillId="6" borderId="48" xfId="1" applyFont="1" applyFill="1" applyBorder="1" applyAlignment="1">
      <alignment horizontal="center" vertical="center"/>
    </xf>
    <xf numFmtId="0" fontId="3" fillId="7" borderId="48" xfId="1" applyFont="1" applyFill="1" applyBorder="1" applyAlignment="1">
      <alignment horizontal="center" vertical="center"/>
    </xf>
    <xf numFmtId="0" fontId="39" fillId="0" borderId="28" xfId="1" applyFont="1" applyBorder="1" applyAlignment="1">
      <alignment horizontal="right" vertical="center"/>
    </xf>
    <xf numFmtId="0" fontId="39" fillId="0" borderId="24" xfId="1" applyFont="1" applyBorder="1" applyAlignment="1">
      <alignment horizontal="center" vertical="center"/>
    </xf>
    <xf numFmtId="0" fontId="39" fillId="0" borderId="25" xfId="1" applyFont="1" applyBorder="1" applyAlignment="1">
      <alignment horizontal="left" vertical="center"/>
    </xf>
    <xf numFmtId="0" fontId="3" fillId="6" borderId="33" xfId="1" applyFont="1" applyFill="1" applyBorder="1" applyAlignment="1">
      <alignment horizontal="center" vertical="center"/>
    </xf>
    <xf numFmtId="0" fontId="3" fillId="3" borderId="33" xfId="1" applyFont="1" applyFill="1" applyBorder="1" applyAlignment="1">
      <alignment horizontal="center" vertical="center"/>
    </xf>
    <xf numFmtId="0" fontId="3" fillId="3" borderId="48" xfId="1" applyFont="1" applyFill="1" applyBorder="1" applyAlignment="1">
      <alignment horizontal="center" vertical="center"/>
    </xf>
    <xf numFmtId="0" fontId="39" fillId="0" borderId="0" xfId="1" applyFont="1" applyAlignment="1">
      <alignment horizontal="right"/>
    </xf>
    <xf numFmtId="0" fontId="39" fillId="0" borderId="0" xfId="1" applyFont="1" applyAlignment="1">
      <alignment horizontal="center"/>
    </xf>
    <xf numFmtId="0" fontId="39" fillId="0" borderId="0" xfId="1" applyFont="1" applyAlignment="1">
      <alignment horizontal="left"/>
    </xf>
    <xf numFmtId="0" fontId="13" fillId="0" borderId="0" xfId="1" applyFont="1" applyFill="1" applyAlignment="1">
      <alignment vertical="center" wrapText="1"/>
    </xf>
    <xf numFmtId="0" fontId="3" fillId="6" borderId="49" xfId="1" applyFont="1" applyFill="1" applyBorder="1" applyAlignment="1">
      <alignment horizontal="center" vertical="center"/>
    </xf>
    <xf numFmtId="0" fontId="3" fillId="8" borderId="49" xfId="1" applyFont="1" applyFill="1" applyBorder="1" applyAlignment="1">
      <alignment horizontal="center" vertical="center"/>
    </xf>
    <xf numFmtId="0" fontId="13" fillId="0" borderId="0" xfId="1" applyFont="1" applyFill="1"/>
    <xf numFmtId="0" fontId="45" fillId="0" borderId="0" xfId="1" applyFont="1" applyAlignment="1">
      <alignment horizontal="center" vertical="center"/>
    </xf>
    <xf numFmtId="0" fontId="13" fillId="0" borderId="0" xfId="1" applyFont="1" applyFill="1" applyBorder="1" applyAlignment="1">
      <alignment horizontal="center"/>
    </xf>
    <xf numFmtId="0" fontId="3" fillId="0" borderId="50" xfId="1" applyFont="1" applyFill="1" applyBorder="1" applyAlignment="1">
      <alignment horizontal="center" vertical="center"/>
    </xf>
    <xf numFmtId="0" fontId="3" fillId="0" borderId="34" xfId="1" applyFont="1" applyBorder="1" applyAlignment="1">
      <alignment horizontal="center" vertical="center"/>
    </xf>
    <xf numFmtId="0" fontId="39" fillId="0" borderId="28" xfId="1" applyFont="1" applyBorder="1" applyAlignment="1">
      <alignment horizontal="right"/>
    </xf>
    <xf numFmtId="0" fontId="39" fillId="0" borderId="24" xfId="1" applyFont="1" applyBorder="1" applyAlignment="1">
      <alignment horizontal="center"/>
    </xf>
    <xf numFmtId="0" fontId="39" fillId="0" borderId="25" xfId="1" applyFont="1" applyBorder="1" applyAlignment="1">
      <alignment horizontal="left"/>
    </xf>
    <xf numFmtId="0" fontId="3" fillId="0" borderId="51" xfId="1" applyFont="1" applyFill="1" applyBorder="1" applyAlignment="1">
      <alignment horizontal="center" vertical="center"/>
    </xf>
    <xf numFmtId="0" fontId="3" fillId="0" borderId="37" xfId="1" applyFont="1" applyBorder="1" applyAlignment="1">
      <alignment horizontal="center" vertical="center"/>
    </xf>
    <xf numFmtId="0" fontId="3" fillId="0" borderId="48" xfId="1" applyFont="1" applyFill="1" applyBorder="1" applyAlignment="1">
      <alignment horizontal="center" vertical="center"/>
    </xf>
    <xf numFmtId="0" fontId="3" fillId="0" borderId="50" xfId="1" applyFont="1" applyBorder="1" applyAlignment="1">
      <alignment horizontal="center" vertical="center"/>
    </xf>
    <xf numFmtId="0" fontId="3" fillId="0" borderId="48" xfId="1" applyFont="1" applyBorder="1" applyAlignment="1">
      <alignment horizontal="center" vertical="center"/>
    </xf>
    <xf numFmtId="0" fontId="3" fillId="0" borderId="33" xfId="1" applyFont="1" applyFill="1" applyBorder="1" applyAlignment="1">
      <alignment horizontal="center" vertical="center"/>
    </xf>
    <xf numFmtId="0" fontId="3" fillId="0" borderId="52" xfId="1" applyFont="1" applyBorder="1" applyAlignment="1">
      <alignment horizontal="center" vertical="center"/>
    </xf>
    <xf numFmtId="0" fontId="3" fillId="0" borderId="33" xfId="1" applyFont="1" applyBorder="1" applyAlignment="1">
      <alignment horizontal="center" vertical="center"/>
    </xf>
    <xf numFmtId="0" fontId="3" fillId="0" borderId="53" xfId="1" applyFont="1" applyFill="1" applyBorder="1" applyAlignment="1">
      <alignment horizontal="center" vertical="center"/>
    </xf>
    <xf numFmtId="0" fontId="3" fillId="0" borderId="53" xfId="1" applyFont="1" applyBorder="1" applyAlignment="1">
      <alignment horizontal="center" vertical="center"/>
    </xf>
    <xf numFmtId="0" fontId="39" fillId="0" borderId="18" xfId="1" applyFont="1" applyBorder="1" applyAlignment="1">
      <alignment horizontal="right"/>
    </xf>
    <xf numFmtId="0" fontId="39" fillId="0" borderId="15" xfId="1" applyFont="1" applyBorder="1" applyAlignment="1">
      <alignment horizontal="center"/>
    </xf>
    <xf numFmtId="0" fontId="39" fillId="0" borderId="26" xfId="1" applyFont="1" applyBorder="1" applyAlignment="1">
      <alignment horizontal="left"/>
    </xf>
    <xf numFmtId="0" fontId="3" fillId="0" borderId="49" xfId="1" applyFont="1" applyFill="1" applyBorder="1" applyAlignment="1">
      <alignment horizontal="center" vertical="center"/>
    </xf>
    <xf numFmtId="0" fontId="3" fillId="0" borderId="51" xfId="1" applyFont="1" applyBorder="1" applyAlignment="1">
      <alignment horizontal="center" vertical="center"/>
    </xf>
    <xf numFmtId="0" fontId="3" fillId="0" borderId="49" xfId="1" applyFont="1" applyBorder="1" applyAlignment="1">
      <alignment horizontal="center" vertical="center"/>
    </xf>
    <xf numFmtId="0" fontId="46" fillId="0" borderId="0" xfId="1" applyFont="1"/>
    <xf numFmtId="0" fontId="1" fillId="0" borderId="0" xfId="1" applyFill="1"/>
    <xf numFmtId="0" fontId="3" fillId="6" borderId="28" xfId="1" applyFont="1" applyFill="1" applyBorder="1" applyAlignment="1">
      <alignment horizontal="center" vertical="center"/>
    </xf>
    <xf numFmtId="0" fontId="3" fillId="7" borderId="28" xfId="1" applyFont="1" applyFill="1" applyBorder="1" applyAlignment="1">
      <alignment horizontal="center" vertical="center"/>
    </xf>
    <xf numFmtId="0" fontId="3" fillId="6" borderId="50" xfId="1" applyFont="1" applyFill="1" applyBorder="1" applyAlignment="1">
      <alignment horizontal="center" vertical="center"/>
    </xf>
    <xf numFmtId="0" fontId="3" fillId="7" borderId="54" xfId="1" applyFont="1" applyFill="1" applyBorder="1" applyAlignment="1">
      <alignment horizontal="center" vertical="center"/>
    </xf>
    <xf numFmtId="0" fontId="3" fillId="6" borderId="55" xfId="1" applyFont="1" applyFill="1" applyBorder="1" applyAlignment="1">
      <alignment horizontal="center" vertical="center"/>
    </xf>
    <xf numFmtId="0" fontId="3" fillId="3" borderId="55" xfId="1" applyFont="1" applyFill="1" applyBorder="1" applyAlignment="1">
      <alignment horizontal="center" vertical="center"/>
    </xf>
    <xf numFmtId="0" fontId="3" fillId="6" borderId="52" xfId="1" applyFont="1" applyFill="1" applyBorder="1" applyAlignment="1">
      <alignment horizontal="center" vertical="center"/>
    </xf>
    <xf numFmtId="0" fontId="3" fillId="3" borderId="56" xfId="1" applyFont="1" applyFill="1" applyBorder="1" applyAlignment="1">
      <alignment horizontal="center" vertical="center"/>
    </xf>
    <xf numFmtId="0" fontId="42" fillId="0" borderId="0" xfId="1" applyFont="1" applyAlignment="1">
      <alignment horizontal="left" vertical="top" wrapText="1"/>
    </xf>
    <xf numFmtId="0" fontId="3" fillId="6" borderId="51" xfId="1" applyFont="1" applyFill="1" applyBorder="1" applyAlignment="1">
      <alignment horizontal="center" vertical="center"/>
    </xf>
    <xf numFmtId="0" fontId="3" fillId="8" borderId="57" xfId="1" applyFont="1" applyFill="1" applyBorder="1" applyAlignment="1">
      <alignment horizontal="center" vertical="center"/>
    </xf>
    <xf numFmtId="1" fontId="42" fillId="0" borderId="0" xfId="1" applyNumberFormat="1" applyFont="1" applyAlignment="1">
      <alignment horizontal="left" vertical="top" wrapText="1"/>
    </xf>
    <xf numFmtId="0" fontId="42" fillId="0" borderId="0" xfId="1" applyFont="1" applyBorder="1"/>
    <xf numFmtId="0" fontId="39" fillId="0" borderId="28" xfId="1" applyFont="1" applyBorder="1"/>
    <xf numFmtId="0" fontId="39" fillId="0" borderId="25" xfId="1" applyFont="1" applyBorder="1" applyAlignment="1">
      <alignment horizontal="center"/>
    </xf>
    <xf numFmtId="0" fontId="39" fillId="0" borderId="28" xfId="1" applyFont="1" applyBorder="1" applyAlignment="1">
      <alignment horizontal="center"/>
    </xf>
    <xf numFmtId="0" fontId="3" fillId="0" borderId="54" xfId="1" applyFont="1" applyBorder="1" applyAlignment="1">
      <alignment horizontal="center" vertical="center"/>
    </xf>
    <xf numFmtId="0" fontId="39" fillId="0" borderId="25" xfId="1" applyFont="1" applyBorder="1"/>
    <xf numFmtId="0" fontId="3" fillId="0" borderId="52" xfId="1" applyFont="1" applyFill="1" applyBorder="1" applyAlignment="1">
      <alignment horizontal="center" vertical="center"/>
    </xf>
    <xf numFmtId="0" fontId="3" fillId="0" borderId="56" xfId="1" applyFont="1" applyBorder="1" applyAlignment="1">
      <alignment horizontal="center" vertical="center"/>
    </xf>
    <xf numFmtId="0" fontId="3" fillId="0" borderId="57" xfId="1" applyFont="1" applyBorder="1" applyAlignment="1">
      <alignment horizontal="center" vertical="center"/>
    </xf>
    <xf numFmtId="0" fontId="9" fillId="0" borderId="0" xfId="1" applyFont="1" applyFill="1"/>
    <xf numFmtId="0" fontId="40" fillId="0" borderId="0" xfId="1" applyFont="1" applyFill="1" applyAlignment="1">
      <alignment horizontal="center" vertical="center"/>
    </xf>
    <xf numFmtId="0" fontId="52" fillId="0" borderId="0" xfId="1" applyFont="1" applyFill="1" applyAlignment="1">
      <alignment horizontal="center"/>
    </xf>
    <xf numFmtId="0" fontId="1" fillId="0" borderId="0" xfId="1" applyAlignment="1">
      <alignment horizontal="center" vertical="center"/>
    </xf>
    <xf numFmtId="0" fontId="53" fillId="0" borderId="0" xfId="1" applyFont="1" applyAlignment="1">
      <alignment horizontal="center" vertical="center"/>
    </xf>
    <xf numFmtId="0" fontId="53" fillId="0" borderId="0" xfId="1" applyFont="1"/>
    <xf numFmtId="0" fontId="9" fillId="0" borderId="0" xfId="1" applyFont="1" applyFill="1" applyBorder="1"/>
    <xf numFmtId="0" fontId="1" fillId="0" borderId="0" xfId="1" applyBorder="1" applyAlignment="1">
      <alignment horizontal="center"/>
    </xf>
    <xf numFmtId="0" fontId="54" fillId="0" borderId="28" xfId="1" applyFont="1" applyBorder="1" applyAlignment="1">
      <alignment horizontal="center"/>
    </xf>
    <xf numFmtId="0" fontId="54" fillId="0" borderId="24" xfId="1" applyFont="1" applyBorder="1" applyAlignment="1">
      <alignment horizontal="center"/>
    </xf>
    <xf numFmtId="0" fontId="54" fillId="0" borderId="25" xfId="1" applyFont="1" applyBorder="1" applyAlignment="1">
      <alignment horizontal="center"/>
    </xf>
    <xf numFmtId="0" fontId="19" fillId="0" borderId="0" xfId="1" applyFont="1" applyBorder="1" applyAlignment="1">
      <alignment horizontal="center" vertical="center"/>
    </xf>
    <xf numFmtId="0" fontId="19" fillId="0" borderId="0" xfId="1" applyFont="1" applyAlignment="1">
      <alignment horizontal="center" vertical="center"/>
    </xf>
    <xf numFmtId="0" fontId="1" fillId="0" borderId="0" xfId="1" applyBorder="1"/>
    <xf numFmtId="0" fontId="46" fillId="0" borderId="15" xfId="1" applyFont="1" applyBorder="1"/>
    <xf numFmtId="0" fontId="1" fillId="0" borderId="15" xfId="1" applyBorder="1"/>
    <xf numFmtId="0" fontId="1" fillId="0" borderId="24" xfId="1" applyBorder="1"/>
    <xf numFmtId="0" fontId="21" fillId="0" borderId="0" xfId="1" applyFont="1" applyFill="1" applyBorder="1" applyAlignment="1">
      <alignment horizontal="center"/>
    </xf>
    <xf numFmtId="0" fontId="58" fillId="4" borderId="6" xfId="1" applyFont="1" applyFill="1" applyBorder="1" applyAlignment="1">
      <alignment horizontal="center"/>
    </xf>
    <xf numFmtId="0" fontId="1" fillId="0" borderId="25" xfId="1" applyFont="1" applyBorder="1" applyAlignment="1" applyProtection="1">
      <alignment horizontal="center"/>
    </xf>
    <xf numFmtId="12" fontId="59" fillId="0" borderId="6" xfId="1" applyNumberFormat="1" applyFont="1" applyFill="1" applyBorder="1" applyAlignment="1">
      <alignment horizontal="center" vertical="center"/>
    </xf>
    <xf numFmtId="0" fontId="3" fillId="0" borderId="0" xfId="1" applyFont="1" applyFill="1" applyBorder="1" applyAlignment="1">
      <alignment horizontal="center"/>
    </xf>
    <xf numFmtId="0" fontId="1" fillId="0" borderId="24" xfId="1" applyFont="1" applyBorder="1" applyAlignment="1">
      <alignment horizontal="center"/>
    </xf>
    <xf numFmtId="0" fontId="1" fillId="0" borderId="0" xfId="1" applyProtection="1"/>
    <xf numFmtId="0" fontId="60" fillId="0" borderId="0" xfId="1" applyFont="1" applyBorder="1" applyAlignment="1">
      <alignment horizontal="center" vertical="center"/>
    </xf>
    <xf numFmtId="0" fontId="42" fillId="0" borderId="24" xfId="1" applyFont="1" applyBorder="1" applyAlignment="1">
      <alignment horizontal="center" vertical="center"/>
    </xf>
    <xf numFmtId="0" fontId="1" fillId="0" borderId="0" xfId="1" applyNumberFormat="1" applyProtection="1"/>
    <xf numFmtId="0" fontId="42" fillId="4" borderId="28" xfId="1" applyFont="1" applyFill="1" applyBorder="1" applyAlignment="1" applyProtection="1"/>
    <xf numFmtId="0" fontId="42" fillId="0" borderId="0" xfId="1" applyFont="1" applyFill="1" applyBorder="1" applyAlignment="1" applyProtection="1"/>
    <xf numFmtId="0" fontId="3" fillId="0" borderId="0" xfId="1" applyFont="1" applyBorder="1"/>
    <xf numFmtId="0" fontId="42" fillId="0" borderId="0" xfId="1" applyFont="1" applyProtection="1"/>
    <xf numFmtId="0" fontId="42" fillId="9" borderId="0" xfId="1" applyFont="1" applyFill="1" applyAlignment="1" applyProtection="1">
      <alignment horizontal="center" wrapText="1"/>
    </xf>
    <xf numFmtId="0" fontId="42" fillId="9" borderId="0" xfId="1" applyFont="1" applyFill="1" applyAlignment="1" applyProtection="1">
      <alignment horizontal="center"/>
    </xf>
    <xf numFmtId="0" fontId="37" fillId="0" borderId="24" xfId="1" applyFont="1" applyBorder="1" applyAlignment="1">
      <alignment horizontal="center"/>
    </xf>
    <xf numFmtId="0" fontId="37" fillId="0" borderId="25" xfId="1" applyFont="1" applyBorder="1" applyAlignment="1">
      <alignment horizontal="center"/>
    </xf>
    <xf numFmtId="0" fontId="42" fillId="0" borderId="0" xfId="1" applyFont="1"/>
    <xf numFmtId="0" fontId="37" fillId="0" borderId="0" xfId="1" applyFont="1"/>
    <xf numFmtId="12" fontId="42" fillId="0" borderId="28" xfId="1" applyNumberFormat="1" applyFont="1" applyBorder="1" applyAlignment="1">
      <alignment horizontal="right"/>
    </xf>
    <xf numFmtId="0" fontId="42" fillId="0" borderId="25" xfId="1" applyFont="1" applyBorder="1" applyAlignment="1">
      <alignment horizontal="left"/>
    </xf>
    <xf numFmtId="0" fontId="42" fillId="0" borderId="24" xfId="1" applyFont="1" applyBorder="1" applyAlignment="1">
      <alignment horizontal="center"/>
    </xf>
    <xf numFmtId="0" fontId="67" fillId="0" borderId="0" xfId="1" applyFont="1" applyBorder="1" applyAlignment="1">
      <alignment vertical="center"/>
    </xf>
    <xf numFmtId="0" fontId="67" fillId="0" borderId="0" xfId="1" applyFont="1" applyFill="1" applyBorder="1" applyAlignment="1">
      <alignment horizontal="center" vertical="center"/>
    </xf>
    <xf numFmtId="12" fontId="42" fillId="0" borderId="28" xfId="1" applyNumberFormat="1" applyFont="1" applyBorder="1"/>
    <xf numFmtId="0" fontId="42" fillId="0" borderId="6" xfId="1" applyFont="1" applyBorder="1" applyAlignment="1">
      <alignment horizontal="center"/>
    </xf>
    <xf numFmtId="0" fontId="42" fillId="0" borderId="28" xfId="1" applyFont="1" applyBorder="1" applyAlignment="1">
      <alignment horizontal="center"/>
    </xf>
    <xf numFmtId="0" fontId="42" fillId="0" borderId="25" xfId="1" applyFont="1" applyBorder="1" applyAlignment="1">
      <alignment horizontal="center"/>
    </xf>
    <xf numFmtId="0" fontId="64" fillId="0" borderId="0" xfId="1" applyFont="1" applyBorder="1" applyAlignment="1">
      <alignment horizontal="center" vertical="center"/>
    </xf>
    <xf numFmtId="0" fontId="67" fillId="0" borderId="0" xfId="1" applyFont="1" applyBorder="1" applyAlignment="1">
      <alignment horizontal="center" vertical="center"/>
    </xf>
    <xf numFmtId="0" fontId="69" fillId="0" borderId="0" xfId="1" applyFont="1" applyBorder="1"/>
    <xf numFmtId="0" fontId="3" fillId="0" borderId="0" xfId="1" applyFont="1" applyFill="1" applyBorder="1"/>
    <xf numFmtId="0" fontId="70" fillId="0" borderId="0" xfId="1" applyFont="1" applyBorder="1" applyAlignment="1">
      <alignment horizontal="center" vertical="center"/>
    </xf>
    <xf numFmtId="0" fontId="70" fillId="0" borderId="0" xfId="1" applyFont="1" applyFill="1" applyBorder="1" applyAlignment="1">
      <alignment horizontal="center" vertical="center"/>
    </xf>
    <xf numFmtId="0" fontId="42" fillId="0" borderId="0" xfId="1" applyFont="1" applyBorder="1" applyAlignment="1">
      <alignment horizontal="center"/>
    </xf>
    <xf numFmtId="0" fontId="42" fillId="0" borderId="0" xfId="1" applyFont="1" applyBorder="1" applyAlignment="1"/>
    <xf numFmtId="0" fontId="73" fillId="0" borderId="0" xfId="1" applyFont="1" applyBorder="1" applyAlignment="1">
      <alignment vertical="center"/>
    </xf>
    <xf numFmtId="0" fontId="59" fillId="0" borderId="24" xfId="1" applyFont="1" applyBorder="1" applyAlignment="1">
      <alignment horizontal="center"/>
    </xf>
    <xf numFmtId="0" fontId="64" fillId="0" borderId="0" xfId="1" applyFont="1" applyBorder="1" applyAlignment="1">
      <alignment vertical="center"/>
    </xf>
    <xf numFmtId="0" fontId="3" fillId="0" borderId="0" xfId="1" applyFont="1" applyBorder="1" applyAlignment="1"/>
    <xf numFmtId="0" fontId="74" fillId="0" borderId="0" xfId="1" applyFont="1" applyFill="1" applyBorder="1" applyAlignment="1">
      <alignment vertical="center"/>
    </xf>
    <xf numFmtId="0" fontId="64" fillId="0" borderId="0" xfId="1" applyFont="1" applyFill="1" applyBorder="1" applyAlignment="1">
      <alignment vertical="center"/>
    </xf>
    <xf numFmtId="12" fontId="64" fillId="0" borderId="0" xfId="1" applyNumberFormat="1" applyFont="1" applyBorder="1" applyAlignment="1">
      <alignment vertical="center"/>
    </xf>
    <xf numFmtId="12" fontId="3" fillId="0" borderId="0" xfId="1" applyNumberFormat="1" applyFont="1" applyBorder="1" applyAlignment="1"/>
    <xf numFmtId="12" fontId="74" fillId="0" borderId="0" xfId="1" applyNumberFormat="1" applyFont="1" applyFill="1" applyBorder="1" applyAlignment="1">
      <alignment vertical="center"/>
    </xf>
    <xf numFmtId="12" fontId="64" fillId="0" borderId="0" xfId="1" applyNumberFormat="1" applyFont="1" applyFill="1" applyBorder="1" applyAlignment="1">
      <alignment vertical="center"/>
    </xf>
    <xf numFmtId="12" fontId="3" fillId="0" borderId="0" xfId="1" applyNumberFormat="1" applyFont="1" applyBorder="1" applyAlignment="1">
      <alignment horizontal="center"/>
    </xf>
    <xf numFmtId="12" fontId="74" fillId="0" borderId="0" xfId="1" applyNumberFormat="1" applyFont="1" applyFill="1" applyBorder="1" applyAlignment="1">
      <alignment horizontal="center" vertical="center"/>
    </xf>
    <xf numFmtId="12" fontId="64" fillId="0" borderId="0" xfId="1" applyNumberFormat="1" applyFont="1" applyFill="1" applyBorder="1" applyAlignment="1">
      <alignment horizontal="center" vertical="center"/>
    </xf>
    <xf numFmtId="12" fontId="3" fillId="0" borderId="0" xfId="1" applyNumberFormat="1" applyFont="1" applyBorder="1" applyAlignment="1">
      <alignment vertical="center"/>
    </xf>
    <xf numFmtId="0" fontId="54" fillId="0" borderId="0" xfId="1" applyFont="1" applyBorder="1" applyAlignment="1">
      <alignment horizontal="left" vertical="top" wrapText="1"/>
    </xf>
    <xf numFmtId="0" fontId="68" fillId="0" borderId="0" xfId="1" applyFont="1" applyBorder="1" applyAlignment="1">
      <alignment vertical="top" wrapText="1"/>
    </xf>
    <xf numFmtId="0" fontId="1" fillId="0" borderId="58" xfId="1" applyBorder="1"/>
    <xf numFmtId="0" fontId="30" fillId="0" borderId="0" xfId="1" applyFont="1"/>
    <xf numFmtId="0" fontId="48" fillId="0" borderId="0" xfId="1" applyFont="1"/>
    <xf numFmtId="0" fontId="29" fillId="4" borderId="25" xfId="1" applyFont="1" applyFill="1" applyBorder="1"/>
    <xf numFmtId="0" fontId="42" fillId="0" borderId="28" xfId="1" applyFont="1" applyBorder="1"/>
    <xf numFmtId="0" fontId="1" fillId="0" borderId="24" xfId="1" applyFont="1" applyBorder="1" applyAlignment="1" applyProtection="1">
      <alignment horizontal="center"/>
      <protection hidden="1"/>
    </xf>
    <xf numFmtId="0" fontId="42" fillId="0" borderId="24" xfId="1" applyFont="1" applyBorder="1" applyAlignment="1" applyProtection="1">
      <alignment horizontal="center"/>
      <protection hidden="1"/>
    </xf>
    <xf numFmtId="0" fontId="42" fillId="0" borderId="25" xfId="1" applyFont="1" applyBorder="1" applyAlignment="1" applyProtection="1">
      <alignment horizontal="left"/>
      <protection hidden="1"/>
    </xf>
    <xf numFmtId="0" fontId="59" fillId="0" borderId="0" xfId="1" applyFont="1" applyBorder="1"/>
    <xf numFmtId="0" fontId="42" fillId="0" borderId="28" xfId="1" applyFont="1" applyBorder="1" applyProtection="1"/>
    <xf numFmtId="0" fontId="1" fillId="0" borderId="24" xfId="1" applyFont="1" applyBorder="1" applyAlignment="1" applyProtection="1">
      <alignment horizontal="center"/>
    </xf>
    <xf numFmtId="0" fontId="42" fillId="0" borderId="24" xfId="1" applyFont="1" applyBorder="1" applyAlignment="1" applyProtection="1">
      <alignment horizontal="center"/>
    </xf>
    <xf numFmtId="0" fontId="42" fillId="0" borderId="25" xfId="1" applyFont="1" applyBorder="1" applyAlignment="1" applyProtection="1">
      <alignment horizontal="left"/>
    </xf>
    <xf numFmtId="0" fontId="1" fillId="0" borderId="4" xfId="1" applyBorder="1" applyProtection="1"/>
    <xf numFmtId="0" fontId="0" fillId="5" borderId="0" xfId="0" applyFill="1"/>
    <xf numFmtId="0" fontId="85" fillId="4" borderId="0" xfId="0" applyFont="1" applyFill="1" applyAlignment="1">
      <alignment horizontal="center"/>
    </xf>
    <xf numFmtId="0" fontId="86" fillId="0" borderId="0" xfId="0" applyFont="1"/>
    <xf numFmtId="0" fontId="0" fillId="4" borderId="0" xfId="0" applyFill="1"/>
    <xf numFmtId="167" fontId="0" fillId="0" borderId="0" xfId="0" applyNumberFormat="1" applyBorder="1"/>
    <xf numFmtId="0" fontId="87" fillId="0" borderId="0" xfId="0" applyFont="1"/>
    <xf numFmtId="168" fontId="0" fillId="5" borderId="4" xfId="0" applyNumberFormat="1" applyFill="1" applyBorder="1"/>
    <xf numFmtId="2" fontId="0" fillId="0" borderId="4" xfId="0" applyNumberFormat="1" applyBorder="1"/>
    <xf numFmtId="168" fontId="0" fillId="0" borderId="4" xfId="0" applyNumberFormat="1" applyBorder="1"/>
    <xf numFmtId="0" fontId="0" fillId="0" borderId="0" xfId="0" applyFont="1"/>
    <xf numFmtId="168" fontId="0" fillId="3" borderId="0" xfId="0" applyNumberFormat="1" applyFill="1"/>
    <xf numFmtId="2" fontId="0" fillId="0" borderId="0" xfId="0" applyNumberFormat="1"/>
    <xf numFmtId="2" fontId="0" fillId="3" borderId="4" xfId="0" applyNumberFormat="1" applyFill="1" applyBorder="1"/>
    <xf numFmtId="0" fontId="88" fillId="0" borderId="0" xfId="0" applyFont="1"/>
    <xf numFmtId="168" fontId="88" fillId="5" borderId="4" xfId="0" applyNumberFormat="1" applyFont="1" applyFill="1" applyBorder="1"/>
    <xf numFmtId="2" fontId="0" fillId="0" borderId="4" xfId="0" applyNumberFormat="1" applyFont="1" applyBorder="1"/>
    <xf numFmtId="0" fontId="1" fillId="0" borderId="0" xfId="1" applyFont="1" applyBorder="1" applyAlignment="1">
      <alignment vertical="center"/>
    </xf>
    <xf numFmtId="168" fontId="1" fillId="5" borderId="4" xfId="1" applyNumberFormat="1" applyFont="1" applyFill="1" applyBorder="1" applyAlignment="1">
      <alignment vertical="center"/>
    </xf>
    <xf numFmtId="2" fontId="1" fillId="0" borderId="4" xfId="1" applyNumberFormat="1" applyFont="1" applyBorder="1" applyAlignment="1">
      <alignment vertical="center"/>
    </xf>
    <xf numFmtId="0" fontId="1" fillId="0" borderId="0" xfId="1" applyFont="1" applyBorder="1" applyAlignment="1">
      <alignment horizontal="left" vertical="center"/>
    </xf>
    <xf numFmtId="0" fontId="0" fillId="0" borderId="0" xfId="1" applyFont="1" applyBorder="1" applyAlignment="1">
      <alignment vertical="center"/>
    </xf>
    <xf numFmtId="168" fontId="1" fillId="5" borderId="4" xfId="1" applyNumberFormat="1" applyFont="1" applyFill="1" applyBorder="1" applyAlignment="1">
      <alignment horizontal="left" vertical="center"/>
    </xf>
    <xf numFmtId="2" fontId="1" fillId="3" borderId="4" xfId="1" applyNumberFormat="1" applyFont="1" applyFill="1" applyBorder="1" applyAlignment="1">
      <alignment horizontal="left" vertical="center"/>
    </xf>
    <xf numFmtId="0" fontId="89" fillId="10" borderId="40" xfId="5" applyFont="1" applyFill="1" applyBorder="1"/>
    <xf numFmtId="0" fontId="90" fillId="10" borderId="34" xfId="5" applyFont="1" applyFill="1" applyBorder="1"/>
    <xf numFmtId="167" fontId="91" fillId="3" borderId="59" xfId="5" applyNumberFormat="1" applyFont="1" applyFill="1" applyBorder="1"/>
    <xf numFmtId="168" fontId="92" fillId="3" borderId="50" xfId="5" applyNumberFormat="1" applyFont="1" applyFill="1" applyBorder="1"/>
    <xf numFmtId="167" fontId="0" fillId="0" borderId="0" xfId="0" applyNumberFormat="1"/>
    <xf numFmtId="0" fontId="89" fillId="0" borderId="35" xfId="0" applyFont="1" applyFill="1" applyBorder="1"/>
    <xf numFmtId="0" fontId="90" fillId="0" borderId="5" xfId="0" applyFont="1" applyFill="1" applyBorder="1"/>
    <xf numFmtId="168" fontId="91" fillId="3" borderId="60" xfId="0" applyNumberFormat="1" applyFont="1" applyFill="1" applyBorder="1"/>
    <xf numFmtId="168" fontId="92" fillId="3" borderId="52" xfId="0" applyNumberFormat="1" applyFont="1" applyFill="1" applyBorder="1"/>
    <xf numFmtId="1" fontId="1" fillId="3" borderId="4" xfId="1" applyNumberFormat="1" applyFont="1" applyFill="1" applyBorder="1" applyAlignment="1">
      <alignment horizontal="left" vertical="center"/>
    </xf>
    <xf numFmtId="0" fontId="89" fillId="10" borderId="35" xfId="5" applyFont="1" applyFill="1" applyBorder="1"/>
    <xf numFmtId="0" fontId="90" fillId="10" borderId="5" xfId="5" applyFont="1" applyFill="1" applyBorder="1"/>
    <xf numFmtId="168" fontId="91" fillId="3" borderId="60" xfId="5" applyNumberFormat="1" applyFont="1" applyFill="1" applyBorder="1"/>
    <xf numFmtId="168" fontId="92" fillId="3" borderId="52" xfId="5" applyNumberFormat="1" applyFont="1" applyFill="1" applyBorder="1"/>
    <xf numFmtId="0" fontId="89" fillId="10" borderId="36" xfId="5" applyFont="1" applyFill="1" applyBorder="1"/>
    <xf numFmtId="0" fontId="90" fillId="10" borderId="37" xfId="5" applyFont="1" applyFill="1" applyBorder="1"/>
    <xf numFmtId="168" fontId="91" fillId="3" borderId="61" xfId="5" applyNumberFormat="1" applyFont="1" applyFill="1" applyBorder="1"/>
    <xf numFmtId="168" fontId="92" fillId="3" borderId="51" xfId="5" applyNumberFormat="1" applyFont="1" applyFill="1" applyBorder="1"/>
    <xf numFmtId="0" fontId="0" fillId="3" borderId="0" xfId="0" applyFill="1"/>
    <xf numFmtId="168" fontId="0" fillId="0" borderId="0" xfId="0" applyNumberFormat="1" applyFill="1" applyBorder="1"/>
    <xf numFmtId="2" fontId="0" fillId="0" borderId="0" xfId="0" applyNumberFormat="1" applyFill="1" applyBorder="1"/>
    <xf numFmtId="168" fontId="0" fillId="0" borderId="0" xfId="0" applyNumberFormat="1" applyBorder="1"/>
    <xf numFmtId="167" fontId="0" fillId="0" borderId="62" xfId="0" applyNumberFormat="1" applyBorder="1"/>
    <xf numFmtId="168" fontId="0" fillId="5" borderId="0" xfId="0" applyNumberFormat="1" applyFill="1" applyBorder="1"/>
    <xf numFmtId="2" fontId="0" fillId="0" borderId="0" xfId="0" applyNumberFormat="1" applyBorder="1"/>
    <xf numFmtId="168" fontId="0" fillId="0" borderId="0" xfId="0" applyNumberFormat="1"/>
    <xf numFmtId="168" fontId="0" fillId="5" borderId="0" xfId="0" applyNumberFormat="1" applyFill="1"/>
    <xf numFmtId="168" fontId="0" fillId="0" borderId="0" xfId="0" applyNumberFormat="1" applyFill="1"/>
    <xf numFmtId="167" fontId="0" fillId="3" borderId="4" xfId="0" applyNumberFormat="1" applyFill="1" applyBorder="1"/>
    <xf numFmtId="0" fontId="0" fillId="0" borderId="4" xfId="0" applyBorder="1"/>
    <xf numFmtId="0" fontId="24" fillId="0" borderId="0" xfId="1" applyFont="1"/>
    <xf numFmtId="0" fontId="24" fillId="0" borderId="0" xfId="1" applyFont="1" applyBorder="1"/>
    <xf numFmtId="0" fontId="24" fillId="0" borderId="28" xfId="1" applyFont="1" applyBorder="1"/>
    <xf numFmtId="0" fontId="24" fillId="0" borderId="24" xfId="1" applyFont="1" applyBorder="1" applyAlignment="1">
      <alignment horizontal="center"/>
    </xf>
    <xf numFmtId="0" fontId="95" fillId="0" borderId="24" xfId="1" applyFont="1" applyBorder="1"/>
    <xf numFmtId="0" fontId="95" fillId="0" borderId="25" xfId="1" applyFont="1" applyBorder="1"/>
    <xf numFmtId="0" fontId="94" fillId="0" borderId="0" xfId="1" applyFont="1" applyBorder="1"/>
    <xf numFmtId="0" fontId="94" fillId="0" borderId="0" xfId="1" applyFont="1" applyBorder="1" applyAlignment="1">
      <alignment horizontal="center"/>
    </xf>
    <xf numFmtId="0" fontId="24" fillId="0" borderId="0" xfId="1" applyFont="1" applyBorder="1" applyAlignment="1">
      <alignment horizontal="center"/>
    </xf>
    <xf numFmtId="0" fontId="95" fillId="0" borderId="0" xfId="1" applyFont="1" applyBorder="1"/>
    <xf numFmtId="0" fontId="39" fillId="0" borderId="24" xfId="1" applyFont="1" applyBorder="1" applyAlignment="1">
      <alignment vertical="center"/>
    </xf>
    <xf numFmtId="0" fontId="1" fillId="0" borderId="0" xfId="1" applyAlignment="1" applyProtection="1">
      <alignment vertical="center"/>
    </xf>
    <xf numFmtId="0" fontId="1" fillId="4" borderId="0" xfId="1" applyFill="1" applyProtection="1"/>
    <xf numFmtId="0" fontId="1" fillId="4" borderId="0" xfId="1" applyFill="1" applyAlignment="1" applyProtection="1">
      <alignment vertical="center"/>
    </xf>
    <xf numFmtId="0" fontId="1" fillId="0" borderId="24" xfId="1" applyFont="1" applyBorder="1" applyAlignment="1">
      <alignment horizontal="center" vertical="center"/>
    </xf>
    <xf numFmtId="0" fontId="1" fillId="0" borderId="6" xfId="1" applyBorder="1" applyAlignment="1" applyProtection="1">
      <alignment vertical="center"/>
    </xf>
    <xf numFmtId="0" fontId="1" fillId="0" borderId="6" xfId="1" applyBorder="1" applyAlignment="1">
      <alignment vertical="center"/>
    </xf>
    <xf numFmtId="0" fontId="1" fillId="0" borderId="0" xfId="1" applyBorder="1" applyAlignment="1" applyProtection="1">
      <alignment vertical="center"/>
    </xf>
    <xf numFmtId="0" fontId="39" fillId="0" borderId="28" xfId="1" applyFont="1" applyBorder="1" applyAlignment="1">
      <alignment vertical="center"/>
    </xf>
    <xf numFmtId="0" fontId="1" fillId="0" borderId="22" xfId="1" applyBorder="1" applyAlignment="1">
      <alignment horizontal="left" vertical="top"/>
    </xf>
    <xf numFmtId="0" fontId="39" fillId="0" borderId="24" xfId="1" applyFont="1" applyBorder="1" applyAlignment="1">
      <alignment horizontal="left" vertical="center"/>
    </xf>
    <xf numFmtId="0" fontId="59" fillId="0" borderId="0" xfId="1" applyFont="1" applyBorder="1" applyAlignment="1">
      <alignment horizontal="center" vertical="center"/>
    </xf>
    <xf numFmtId="0" fontId="19" fillId="0" borderId="0" xfId="1" applyFont="1" applyAlignment="1">
      <alignment horizontal="center"/>
    </xf>
    <xf numFmtId="0" fontId="1" fillId="0" borderId="0" xfId="1" applyNumberFormat="1"/>
    <xf numFmtId="0" fontId="1" fillId="3" borderId="0" xfId="1" applyFill="1"/>
    <xf numFmtId="9" fontId="1" fillId="3" borderId="0" xfId="1" applyNumberFormat="1" applyFill="1"/>
    <xf numFmtId="0" fontId="1" fillId="0" borderId="0" xfId="1" applyFont="1" applyBorder="1" applyProtection="1"/>
    <xf numFmtId="0" fontId="1" fillId="4" borderId="0" xfId="1" applyFill="1"/>
    <xf numFmtId="0" fontId="1" fillId="4" borderId="41" xfId="1" applyFill="1" applyBorder="1" applyAlignment="1">
      <alignment horizontal="center"/>
    </xf>
    <xf numFmtId="0" fontId="8" fillId="0" borderId="0" xfId="2"/>
    <xf numFmtId="0" fontId="99" fillId="0" borderId="0" xfId="2" applyFont="1" applyAlignment="1">
      <alignment horizontal="center"/>
    </xf>
    <xf numFmtId="0" fontId="40" fillId="0" borderId="0" xfId="2" applyFont="1" applyBorder="1" applyAlignment="1">
      <alignment horizontal="center" vertical="center"/>
    </xf>
    <xf numFmtId="0" fontId="100" fillId="0" borderId="0" xfId="2" applyFont="1" applyBorder="1" applyAlignment="1">
      <alignment horizontal="center"/>
    </xf>
    <xf numFmtId="0" fontId="100" fillId="0" borderId="0" xfId="2" applyFont="1" applyFill="1" applyBorder="1" applyAlignment="1">
      <alignment horizontal="center"/>
    </xf>
    <xf numFmtId="0" fontId="100" fillId="0" borderId="0" xfId="0" applyFont="1" applyFill="1" applyBorder="1" applyAlignment="1">
      <alignment horizontal="center"/>
    </xf>
    <xf numFmtId="0" fontId="99" fillId="0" borderId="0" xfId="2" applyFont="1"/>
    <xf numFmtId="0" fontId="35" fillId="0" borderId="28" xfId="1" applyFont="1" applyBorder="1" applyAlignment="1">
      <alignment horizontal="center"/>
    </xf>
    <xf numFmtId="0" fontId="39" fillId="0" borderId="0" xfId="1" applyFont="1" applyBorder="1" applyAlignment="1">
      <alignment horizontal="right"/>
    </xf>
    <xf numFmtId="0" fontId="39" fillId="0" borderId="0" xfId="1" applyFont="1" applyBorder="1" applyAlignment="1">
      <alignment horizontal="left"/>
    </xf>
    <xf numFmtId="0" fontId="39" fillId="0" borderId="15" xfId="1" applyFont="1" applyBorder="1" applyAlignment="1">
      <alignment horizontal="right"/>
    </xf>
    <xf numFmtId="0" fontId="39" fillId="0" borderId="15" xfId="1" applyFont="1" applyBorder="1" applyAlignment="1">
      <alignment horizontal="left"/>
    </xf>
    <xf numFmtId="0" fontId="8" fillId="0" borderId="0" xfId="2" applyBorder="1"/>
    <xf numFmtId="0" fontId="3" fillId="0" borderId="0" xfId="2" applyFont="1" applyBorder="1"/>
    <xf numFmtId="0" fontId="8" fillId="0" borderId="47" xfId="2" applyBorder="1"/>
    <xf numFmtId="0" fontId="35" fillId="0" borderId="24" xfId="1" applyFont="1" applyBorder="1" applyAlignment="1">
      <alignment horizontal="center"/>
    </xf>
    <xf numFmtId="0" fontId="108" fillId="0" borderId="0" xfId="2" applyFont="1"/>
    <xf numFmtId="0" fontId="108" fillId="0" borderId="10" xfId="2" applyFont="1" applyBorder="1"/>
    <xf numFmtId="0" fontId="19" fillId="0" borderId="0" xfId="1" applyFont="1" applyBorder="1"/>
    <xf numFmtId="0" fontId="72" fillId="0" borderId="0" xfId="1" applyFont="1" applyBorder="1"/>
    <xf numFmtId="0" fontId="108" fillId="0" borderId="0" xfId="2" applyFont="1" applyBorder="1"/>
    <xf numFmtId="0" fontId="8" fillId="4" borderId="0" xfId="2" applyFill="1"/>
    <xf numFmtId="0" fontId="112" fillId="0" borderId="0" xfId="2" applyFont="1" applyAlignment="1">
      <alignment horizontal="center" vertical="center"/>
    </xf>
    <xf numFmtId="0" fontId="113" fillId="0" borderId="0" xfId="4" applyNumberFormat="1" applyFont="1" applyFill="1" applyBorder="1" applyAlignment="1" applyProtection="1">
      <alignment horizontal="center" vertical="center"/>
    </xf>
    <xf numFmtId="0" fontId="115" fillId="0" borderId="28" xfId="1" applyFont="1" applyBorder="1" applyAlignment="1">
      <alignment vertical="center"/>
    </xf>
    <xf numFmtId="0" fontId="115" fillId="0" borderId="24" xfId="1" applyFont="1" applyBorder="1" applyAlignment="1">
      <alignment vertical="center"/>
    </xf>
    <xf numFmtId="0" fontId="115" fillId="0" borderId="25" xfId="1" applyFont="1" applyBorder="1" applyAlignment="1">
      <alignment vertical="center"/>
    </xf>
    <xf numFmtId="0" fontId="116" fillId="0" borderId="0" xfId="1" applyFont="1" applyBorder="1" applyAlignment="1">
      <alignment horizontal="center" vertical="center"/>
    </xf>
    <xf numFmtId="0" fontId="99" fillId="0" borderId="0" xfId="1" applyFont="1" applyAlignment="1">
      <alignment vertical="center"/>
    </xf>
    <xf numFmtId="0" fontId="115" fillId="0" borderId="28" xfId="1" applyFont="1" applyBorder="1" applyAlignment="1">
      <alignment horizontal="right" vertical="center"/>
    </xf>
    <xf numFmtId="0" fontId="115" fillId="0" borderId="24" xfId="1" applyFont="1" applyBorder="1" applyAlignment="1">
      <alignment horizontal="right" vertical="center"/>
    </xf>
    <xf numFmtId="0" fontId="115" fillId="0" borderId="25" xfId="1" applyFont="1" applyBorder="1" applyAlignment="1">
      <alignment horizontal="right" vertical="center"/>
    </xf>
    <xf numFmtId="0" fontId="115" fillId="0" borderId="0" xfId="1" applyFont="1" applyBorder="1" applyAlignment="1">
      <alignment vertical="center"/>
    </xf>
    <xf numFmtId="1" fontId="29" fillId="0" borderId="0" xfId="1" applyNumberFormat="1" applyFont="1" applyBorder="1" applyAlignment="1">
      <alignment horizontal="center" vertical="center"/>
    </xf>
    <xf numFmtId="0" fontId="39" fillId="0" borderId="0" xfId="1" applyFont="1" applyBorder="1" applyAlignment="1">
      <alignment horizontal="center" vertical="center"/>
    </xf>
    <xf numFmtId="0" fontId="39" fillId="0" borderId="0" xfId="1" applyFont="1" applyBorder="1" applyAlignment="1">
      <alignment vertical="center"/>
    </xf>
    <xf numFmtId="0" fontId="39" fillId="0" borderId="0" xfId="1" applyFont="1" applyBorder="1" applyAlignment="1">
      <alignment horizontal="center" vertical="center" wrapText="1"/>
    </xf>
    <xf numFmtId="0" fontId="1" fillId="0" borderId="0" xfId="1" applyAlignment="1"/>
    <xf numFmtId="0" fontId="119" fillId="0" borderId="28" xfId="1" applyFont="1" applyBorder="1"/>
    <xf numFmtId="0" fontId="120" fillId="0" borderId="24" xfId="1" applyFont="1" applyBorder="1" applyAlignment="1">
      <alignment horizontal="center"/>
    </xf>
    <xf numFmtId="0" fontId="120" fillId="0" borderId="24" xfId="1" applyFont="1" applyBorder="1"/>
    <xf numFmtId="0" fontId="119" fillId="0" borderId="25" xfId="1" applyFont="1" applyBorder="1"/>
    <xf numFmtId="0" fontId="44" fillId="0" borderId="0" xfId="1" applyFont="1" applyAlignment="1"/>
    <xf numFmtId="0" fontId="44" fillId="0" borderId="0" xfId="1" applyFont="1" applyAlignment="1">
      <alignment horizontal="center"/>
    </xf>
    <xf numFmtId="0" fontId="55" fillId="0" borderId="0" xfId="1" applyFont="1" applyBorder="1" applyAlignment="1">
      <alignment horizontal="center" vertical="center"/>
    </xf>
    <xf numFmtId="0" fontId="1" fillId="0" borderId="0" xfId="1" applyAlignment="1">
      <alignment horizontal="center"/>
    </xf>
    <xf numFmtId="0" fontId="125" fillId="0" borderId="0" xfId="1" applyFont="1" applyBorder="1" applyAlignment="1">
      <alignment horizontal="center"/>
    </xf>
    <xf numFmtId="0" fontId="126" fillId="0" borderId="0" xfId="1" applyFont="1" applyAlignment="1">
      <alignment horizontal="center"/>
    </xf>
    <xf numFmtId="0" fontId="127" fillId="0" borderId="0" xfId="1" applyFont="1" applyAlignment="1">
      <alignment horizontal="center"/>
    </xf>
    <xf numFmtId="0" fontId="108" fillId="0" borderId="0" xfId="1" applyFont="1" applyBorder="1" applyAlignment="1">
      <alignment horizontal="left" wrapText="1"/>
    </xf>
    <xf numFmtId="0" fontId="1" fillId="0" borderId="0" xfId="1" applyAlignment="1">
      <alignment horizontal="left"/>
    </xf>
    <xf numFmtId="0" fontId="29" fillId="4" borderId="6" xfId="1" applyFont="1" applyFill="1" applyBorder="1" applyAlignment="1">
      <alignment horizontal="center"/>
    </xf>
    <xf numFmtId="0" fontId="69" fillId="0" borderId="0" xfId="1" applyFont="1" applyBorder="1" applyAlignment="1">
      <alignment horizontal="center" vertical="center"/>
    </xf>
    <xf numFmtId="0" fontId="69" fillId="0" borderId="0" xfId="1" applyFont="1" applyBorder="1" applyAlignment="1">
      <alignment horizontal="center"/>
    </xf>
    <xf numFmtId="0" fontId="130" fillId="4" borderId="22" xfId="1" applyFont="1" applyFill="1" applyBorder="1" applyAlignment="1">
      <alignment horizontal="center" vertical="center"/>
    </xf>
    <xf numFmtId="0" fontId="21" fillId="0" borderId="0" xfId="1" applyFont="1" applyBorder="1" applyAlignment="1">
      <alignment horizontal="center"/>
    </xf>
    <xf numFmtId="0" fontId="130" fillId="4" borderId="25" xfId="1" applyFont="1" applyFill="1" applyBorder="1" applyAlignment="1">
      <alignment horizontal="center" vertical="center"/>
    </xf>
    <xf numFmtId="0" fontId="130" fillId="4" borderId="6" xfId="1" applyFont="1" applyFill="1" applyBorder="1" applyAlignment="1">
      <alignment horizontal="center"/>
    </xf>
    <xf numFmtId="13" fontId="130" fillId="4" borderId="25" xfId="1" applyNumberFormat="1" applyFont="1" applyFill="1" applyBorder="1" applyAlignment="1">
      <alignment horizontal="center" vertical="center"/>
    </xf>
    <xf numFmtId="0" fontId="130" fillId="4" borderId="64" xfId="1" applyFont="1" applyFill="1" applyBorder="1" applyAlignment="1">
      <alignment horizontal="center" vertical="center"/>
    </xf>
    <xf numFmtId="0" fontId="21" fillId="0" borderId="0" xfId="1" applyFont="1" applyBorder="1" applyAlignment="1">
      <alignment horizontal="left" vertical="center"/>
    </xf>
    <xf numFmtId="0" fontId="21" fillId="11" borderId="0" xfId="1" applyFont="1" applyFill="1" applyBorder="1" applyAlignment="1">
      <alignment horizontal="center" vertical="center"/>
    </xf>
    <xf numFmtId="0" fontId="132" fillId="0" borderId="6" xfId="1" applyFont="1" applyBorder="1" applyAlignment="1">
      <alignment horizontal="center" vertical="center"/>
    </xf>
    <xf numFmtId="0" fontId="1" fillId="0" borderId="6" xfId="1" applyFont="1" applyBorder="1" applyAlignment="1">
      <alignment horizontal="center" vertical="center"/>
    </xf>
    <xf numFmtId="0" fontId="1" fillId="0" borderId="52" xfId="1" applyBorder="1" applyAlignment="1">
      <alignment horizontal="center" vertical="center"/>
    </xf>
    <xf numFmtId="0" fontId="21" fillId="0" borderId="33" xfId="1" applyFont="1" applyBorder="1" applyAlignment="1">
      <alignment horizontal="center" vertical="center"/>
    </xf>
    <xf numFmtId="0" fontId="45" fillId="0" borderId="52" xfId="1" applyFont="1" applyBorder="1" applyAlignment="1">
      <alignment horizontal="left" vertical="center"/>
    </xf>
    <xf numFmtId="0" fontId="45" fillId="0" borderId="33" xfId="1" applyFont="1" applyBorder="1" applyAlignment="1">
      <alignment horizontal="left" vertical="center"/>
    </xf>
    <xf numFmtId="0" fontId="45" fillId="0" borderId="54" xfId="1" applyFont="1" applyBorder="1" applyAlignment="1">
      <alignment horizontal="left" vertical="center"/>
    </xf>
    <xf numFmtId="0" fontId="45" fillId="0" borderId="21" xfId="1" applyFont="1" applyBorder="1" applyAlignment="1">
      <alignment horizontal="left" vertical="center"/>
    </xf>
    <xf numFmtId="0" fontId="134" fillId="0" borderId="52" xfId="1" applyFont="1" applyBorder="1" applyAlignment="1">
      <alignment horizontal="left" vertical="center"/>
    </xf>
    <xf numFmtId="0" fontId="1" fillId="0" borderId="65" xfId="1" applyBorder="1" applyAlignment="1">
      <alignment horizontal="center" vertical="center"/>
    </xf>
    <xf numFmtId="0" fontId="21" fillId="0" borderId="53" xfId="1" applyFont="1" applyBorder="1" applyAlignment="1">
      <alignment horizontal="center" vertical="center"/>
    </xf>
    <xf numFmtId="0" fontId="1" fillId="0" borderId="66" xfId="1" applyBorder="1" applyAlignment="1">
      <alignment horizontal="center" vertical="center"/>
    </xf>
    <xf numFmtId="0" fontId="21" fillId="0" borderId="67" xfId="1" applyFont="1" applyBorder="1" applyAlignment="1">
      <alignment horizontal="center" vertical="center"/>
    </xf>
    <xf numFmtId="13" fontId="21" fillId="0" borderId="66" xfId="1" applyNumberFormat="1" applyFont="1" applyBorder="1" applyAlignment="1">
      <alignment horizontal="center"/>
    </xf>
    <xf numFmtId="0" fontId="21" fillId="0" borderId="26" xfId="1" applyFont="1" applyBorder="1" applyAlignment="1">
      <alignment horizontal="center" vertical="center"/>
    </xf>
    <xf numFmtId="0" fontId="45" fillId="0" borderId="26" xfId="1" applyFont="1" applyBorder="1" applyAlignment="1">
      <alignment horizontal="center" vertical="center"/>
    </xf>
    <xf numFmtId="0" fontId="1" fillId="0" borderId="68" xfId="1" applyBorder="1" applyAlignment="1">
      <alignment horizontal="center" vertical="center"/>
    </xf>
    <xf numFmtId="0" fontId="1" fillId="4" borderId="0" xfId="1" applyFont="1" applyFill="1"/>
    <xf numFmtId="0" fontId="45" fillId="0" borderId="33" xfId="1" applyFont="1" applyBorder="1" applyAlignment="1">
      <alignment horizontal="center" vertical="center"/>
    </xf>
    <xf numFmtId="1" fontId="21" fillId="0" borderId="33" xfId="1" applyNumberFormat="1" applyFont="1" applyBorder="1" applyAlignment="1">
      <alignment horizontal="center" vertical="center"/>
    </xf>
    <xf numFmtId="0" fontId="21" fillId="0" borderId="55" xfId="1" applyFont="1" applyBorder="1" applyAlignment="1">
      <alignment horizontal="center" vertical="center"/>
    </xf>
    <xf numFmtId="0" fontId="21" fillId="0" borderId="66" xfId="1" applyFont="1" applyBorder="1" applyAlignment="1">
      <alignment horizontal="center" vertical="center"/>
    </xf>
    <xf numFmtId="0" fontId="21" fillId="0" borderId="33" xfId="1" applyFont="1" applyBorder="1" applyAlignment="1">
      <alignment horizontal="right" vertical="center"/>
    </xf>
    <xf numFmtId="0" fontId="134" fillId="0" borderId="55" xfId="1" applyFont="1" applyBorder="1" applyAlignment="1">
      <alignment horizontal="right" vertical="center"/>
    </xf>
    <xf numFmtId="0" fontId="21" fillId="0" borderId="64" xfId="1" applyFont="1" applyBorder="1" applyAlignment="1">
      <alignment horizontal="center" vertical="center"/>
    </xf>
    <xf numFmtId="0" fontId="21" fillId="0" borderId="63" xfId="1" applyFont="1" applyBorder="1" applyAlignment="1">
      <alignment horizontal="center" vertical="center"/>
    </xf>
    <xf numFmtId="0" fontId="21" fillId="0" borderId="69" xfId="1" applyFont="1" applyBorder="1" applyAlignment="1">
      <alignment horizontal="center" vertical="center"/>
    </xf>
    <xf numFmtId="0" fontId="137" fillId="2" borderId="1" xfId="3" applyNumberFormat="1" applyFont="1" applyAlignment="1" applyProtection="1"/>
    <xf numFmtId="0" fontId="137" fillId="2" borderId="1" xfId="3" applyNumberFormat="1" applyFont="1" applyAlignment="1" applyProtection="1">
      <alignment horizontal="center" vertical="center"/>
    </xf>
    <xf numFmtId="0" fontId="21" fillId="0" borderId="52" xfId="1" applyFont="1" applyBorder="1" applyAlignment="1">
      <alignment horizontal="center" vertical="center"/>
    </xf>
    <xf numFmtId="0" fontId="0" fillId="2" borderId="1" xfId="3" applyNumberFormat="1" applyFont="1" applyAlignment="1" applyProtection="1"/>
    <xf numFmtId="0" fontId="0" fillId="2" borderId="1" xfId="3" applyNumberFormat="1" applyFont="1" applyAlignment="1" applyProtection="1">
      <alignment horizontal="center"/>
    </xf>
    <xf numFmtId="0" fontId="1" fillId="0" borderId="55" xfId="1" applyBorder="1" applyAlignment="1">
      <alignment horizontal="center" vertical="center"/>
    </xf>
    <xf numFmtId="0" fontId="21" fillId="0" borderId="68" xfId="1" applyFont="1" applyBorder="1" applyAlignment="1">
      <alignment horizontal="center" vertical="center"/>
    </xf>
    <xf numFmtId="0" fontId="21" fillId="0" borderId="55" xfId="1" applyFont="1" applyBorder="1" applyAlignment="1">
      <alignment horizontal="right" vertical="center" wrapText="1"/>
    </xf>
    <xf numFmtId="0" fontId="1" fillId="0" borderId="67" xfId="1" applyBorder="1" applyAlignment="1">
      <alignment horizontal="center" vertical="center"/>
    </xf>
    <xf numFmtId="12" fontId="0" fillId="2" borderId="1" xfId="3" applyNumberFormat="1" applyFont="1" applyAlignment="1" applyProtection="1">
      <alignment horizontal="center"/>
    </xf>
    <xf numFmtId="0" fontId="1" fillId="0" borderId="10" xfId="1" applyBorder="1" applyAlignment="1">
      <alignment horizontal="center" vertical="center"/>
    </xf>
    <xf numFmtId="0" fontId="1" fillId="0" borderId="50" xfId="1" applyBorder="1" applyAlignment="1">
      <alignment horizontal="center" vertical="center"/>
    </xf>
    <xf numFmtId="0" fontId="21" fillId="0" borderId="48" xfId="1" applyFont="1" applyBorder="1" applyAlignment="1">
      <alignment horizontal="center" vertical="center"/>
    </xf>
    <xf numFmtId="0" fontId="139" fillId="0" borderId="0" xfId="1" applyFont="1" applyBorder="1" applyAlignment="1">
      <alignment horizontal="center" vertical="center"/>
    </xf>
    <xf numFmtId="0" fontId="106" fillId="0" borderId="0" xfId="1" applyFont="1" applyAlignment="1">
      <alignment vertical="center"/>
    </xf>
    <xf numFmtId="0" fontId="106" fillId="0" borderId="0" xfId="1" applyFont="1" applyAlignment="1" applyProtection="1">
      <alignment vertical="center"/>
      <protection hidden="1"/>
    </xf>
    <xf numFmtId="0" fontId="99" fillId="0" borderId="0" xfId="1" applyFont="1" applyAlignment="1" applyProtection="1">
      <alignment vertical="center"/>
      <protection hidden="1"/>
    </xf>
    <xf numFmtId="0" fontId="115" fillId="0" borderId="0" xfId="1" applyFont="1" applyAlignment="1">
      <alignment vertical="center"/>
    </xf>
    <xf numFmtId="0" fontId="115" fillId="0" borderId="0" xfId="1" applyFont="1" applyAlignment="1" applyProtection="1">
      <alignment vertical="center"/>
      <protection hidden="1"/>
    </xf>
    <xf numFmtId="0" fontId="1" fillId="0" borderId="0" xfId="1" applyProtection="1">
      <protection hidden="1"/>
    </xf>
    <xf numFmtId="0" fontId="115" fillId="0" borderId="24" xfId="1" applyFont="1" applyBorder="1" applyAlignment="1">
      <alignment horizontal="center" vertical="center"/>
    </xf>
    <xf numFmtId="0" fontId="115" fillId="0" borderId="0" xfId="1" applyFont="1" applyBorder="1" applyAlignment="1">
      <alignment horizontal="right" vertical="center"/>
    </xf>
    <xf numFmtId="0" fontId="115" fillId="0" borderId="0" xfId="1" applyFont="1" applyAlignment="1">
      <alignment horizontal="center" vertical="center"/>
    </xf>
    <xf numFmtId="0" fontId="115" fillId="0" borderId="25" xfId="1" applyFont="1" applyBorder="1" applyAlignment="1">
      <alignment horizontal="left" vertical="center"/>
    </xf>
    <xf numFmtId="0" fontId="1" fillId="11" borderId="0" xfId="1" applyFill="1"/>
    <xf numFmtId="0" fontId="143" fillId="11" borderId="0" xfId="1" applyFont="1" applyFill="1" applyAlignment="1">
      <alignment vertical="center"/>
    </xf>
    <xf numFmtId="0" fontId="9" fillId="0" borderId="0" xfId="1" applyFont="1"/>
    <xf numFmtId="0" fontId="94" fillId="0" borderId="0" xfId="1" applyFont="1"/>
    <xf numFmtId="0" fontId="14" fillId="0" borderId="0" xfId="1" applyFont="1" applyBorder="1" applyAlignment="1">
      <alignment horizontal="center" vertical="center"/>
    </xf>
    <xf numFmtId="0" fontId="14" fillId="0" borderId="0" xfId="1" applyFont="1" applyAlignment="1">
      <alignment horizontal="center" vertical="center"/>
    </xf>
    <xf numFmtId="0" fontId="94" fillId="0" borderId="28" xfId="1" applyFont="1" applyBorder="1"/>
    <xf numFmtId="0" fontId="94" fillId="0" borderId="24" xfId="1" applyFont="1" applyBorder="1"/>
    <xf numFmtId="0" fontId="94" fillId="0" borderId="25" xfId="1" applyFont="1" applyBorder="1"/>
    <xf numFmtId="0" fontId="146" fillId="0" borderId="0" xfId="1" applyFont="1"/>
    <xf numFmtId="0" fontId="146" fillId="0" borderId="0" xfId="1" applyFont="1" applyBorder="1" applyAlignment="1">
      <alignment horizontal="center" vertical="center"/>
    </xf>
    <xf numFmtId="0" fontId="146" fillId="0" borderId="0" xfId="1" applyFont="1" applyBorder="1"/>
    <xf numFmtId="0" fontId="11" fillId="0" borderId="0" xfId="1" applyFont="1"/>
    <xf numFmtId="0" fontId="22" fillId="0" borderId="27" xfId="1" applyFont="1" applyBorder="1"/>
    <xf numFmtId="0" fontId="22" fillId="0" borderId="7" xfId="1" applyFont="1" applyBorder="1"/>
    <xf numFmtId="0" fontId="22" fillId="0" borderId="7" xfId="1" applyFont="1" applyBorder="1" applyAlignment="1">
      <alignment horizontal="center"/>
    </xf>
    <xf numFmtId="0" fontId="22" fillId="0" borderId="22" xfId="1" applyFont="1" applyBorder="1"/>
    <xf numFmtId="0" fontId="22" fillId="0" borderId="18" xfId="1" applyFont="1" applyBorder="1"/>
    <xf numFmtId="0" fontId="22" fillId="0" borderId="15" xfId="1" applyFont="1" applyBorder="1"/>
    <xf numFmtId="0" fontId="22" fillId="0" borderId="26" xfId="1" applyFont="1" applyBorder="1"/>
    <xf numFmtId="0" fontId="11" fillId="0" borderId="27" xfId="1" applyFont="1" applyBorder="1"/>
    <xf numFmtId="0" fontId="11" fillId="0" borderId="7" xfId="1" applyFont="1" applyBorder="1"/>
    <xf numFmtId="0" fontId="11" fillId="0" borderId="22" xfId="1" applyFont="1" applyBorder="1"/>
    <xf numFmtId="0" fontId="11" fillId="0" borderId="18" xfId="1" applyFont="1" applyBorder="1"/>
    <xf numFmtId="0" fontId="11" fillId="0" borderId="15" xfId="1" applyFont="1" applyBorder="1"/>
    <xf numFmtId="0" fontId="11" fillId="0" borderId="26" xfId="1" applyFont="1" applyBorder="1"/>
    <xf numFmtId="0" fontId="147" fillId="0" borderId="0" xfId="1" applyFont="1" applyAlignment="1">
      <alignment horizontal="left" vertical="center" wrapText="1" indent="1"/>
    </xf>
    <xf numFmtId="0" fontId="147" fillId="0" borderId="0" xfId="1" applyFont="1"/>
    <xf numFmtId="168" fontId="0" fillId="16" borderId="4" xfId="0" applyNumberFormat="1" applyFill="1" applyBorder="1"/>
    <xf numFmtId="167" fontId="0" fillId="17" borderId="70" xfId="0" applyNumberFormat="1" applyFill="1" applyBorder="1"/>
    <xf numFmtId="10" fontId="0" fillId="0" borderId="0" xfId="0" applyNumberFormat="1"/>
    <xf numFmtId="0" fontId="1" fillId="18" borderId="0" xfId="1" applyFont="1" applyFill="1" applyBorder="1" applyAlignment="1">
      <alignment vertical="center"/>
    </xf>
    <xf numFmtId="0" fontId="9" fillId="19" borderId="71" xfId="2" applyFont="1" applyFill="1" applyBorder="1" applyAlignment="1">
      <alignment vertical="center"/>
    </xf>
    <xf numFmtId="0" fontId="39" fillId="0" borderId="27" xfId="1" applyFont="1" applyBorder="1" applyAlignment="1">
      <alignment horizontal="right"/>
    </xf>
    <xf numFmtId="0" fontId="39" fillId="0" borderId="7" xfId="1" applyFont="1" applyBorder="1" applyAlignment="1">
      <alignment horizontal="center"/>
    </xf>
    <xf numFmtId="0" fontId="39" fillId="0" borderId="22" xfId="1" applyFont="1" applyBorder="1" applyAlignment="1">
      <alignment horizontal="left"/>
    </xf>
    <xf numFmtId="168" fontId="1" fillId="0" borderId="0" xfId="1" applyNumberFormat="1" applyFont="1" applyBorder="1" applyAlignment="1">
      <alignment horizontal="left" vertical="center"/>
    </xf>
    <xf numFmtId="0" fontId="0" fillId="0" borderId="0" xfId="0" applyAlignment="1">
      <alignment horizontal="right"/>
    </xf>
    <xf numFmtId="0" fontId="99" fillId="0" borderId="0" xfId="2" applyFont="1" applyBorder="1" applyAlignment="1">
      <alignment horizontal="center"/>
    </xf>
    <xf numFmtId="0" fontId="150" fillId="0" borderId="0" xfId="0" applyFont="1"/>
    <xf numFmtId="0" fontId="150" fillId="0" borderId="11" xfId="0" applyFont="1" applyBorder="1" applyAlignment="1">
      <alignment horizontal="center"/>
    </xf>
    <xf numFmtId="0" fontId="0" fillId="0" borderId="48" xfId="0" applyFont="1" applyBorder="1"/>
    <xf numFmtId="0" fontId="0" fillId="0" borderId="40" xfId="0" applyBorder="1" applyAlignment="1">
      <alignment horizontal="center" vertical="center"/>
    </xf>
    <xf numFmtId="0" fontId="0" fillId="0" borderId="34" xfId="0" applyBorder="1" applyAlignment="1">
      <alignment horizontal="center" vertical="center"/>
    </xf>
    <xf numFmtId="0" fontId="0" fillId="0" borderId="17" xfId="0" applyBorder="1" applyAlignment="1">
      <alignment horizontal="center" vertical="center"/>
    </xf>
    <xf numFmtId="0" fontId="0" fillId="0" borderId="33" xfId="0" applyFont="1" applyBorder="1"/>
    <xf numFmtId="0" fontId="0" fillId="0" borderId="35" xfId="0" applyBorder="1" applyAlignment="1">
      <alignment horizontal="center" vertical="center"/>
    </xf>
    <xf numFmtId="0" fontId="0" fillId="0" borderId="5" xfId="0" applyBorder="1" applyAlignment="1">
      <alignment horizontal="center" vertical="center"/>
    </xf>
    <xf numFmtId="0" fontId="0" fillId="0" borderId="41" xfId="0" applyBorder="1" applyAlignment="1">
      <alignment horizontal="center" vertical="center"/>
    </xf>
    <xf numFmtId="1" fontId="0" fillId="0" borderId="5" xfId="0" applyNumberFormat="1" applyBorder="1" applyAlignment="1">
      <alignment horizontal="center" vertical="center"/>
    </xf>
    <xf numFmtId="1" fontId="0" fillId="0" borderId="41" xfId="0" applyNumberFormat="1" applyBorder="1" applyAlignment="1">
      <alignment horizontal="center" vertical="center"/>
    </xf>
    <xf numFmtId="0" fontId="0" fillId="0" borderId="33" xfId="0" applyBorder="1"/>
    <xf numFmtId="0" fontId="21" fillId="0" borderId="0" xfId="1" applyFont="1" applyBorder="1" applyAlignment="1">
      <alignment horizontal="center" vertical="center"/>
    </xf>
    <xf numFmtId="0" fontId="1" fillId="0" borderId="71" xfId="1" applyBorder="1" applyAlignment="1">
      <alignment horizontal="center"/>
    </xf>
    <xf numFmtId="169" fontId="0" fillId="17" borderId="70" xfId="0" applyNumberFormat="1" applyFill="1" applyBorder="1"/>
    <xf numFmtId="0" fontId="21" fillId="0" borderId="65" xfId="1" applyFont="1" applyBorder="1" applyAlignment="1">
      <alignment horizontal="center" vertical="center"/>
    </xf>
    <xf numFmtId="0" fontId="1" fillId="0" borderId="72" xfId="1" applyBorder="1"/>
    <xf numFmtId="0" fontId="119" fillId="0" borderId="73" xfId="1" applyFont="1" applyBorder="1" applyAlignment="1">
      <alignment vertical="center"/>
    </xf>
    <xf numFmtId="0" fontId="153" fillId="0" borderId="71" xfId="1" applyFont="1" applyBorder="1" applyAlignment="1">
      <alignment horizontal="center" vertical="center"/>
    </xf>
    <xf numFmtId="0" fontId="39" fillId="0" borderId="85" xfId="1" applyFont="1" applyBorder="1" applyAlignment="1">
      <alignment horizontal="center"/>
    </xf>
    <xf numFmtId="0" fontId="1" fillId="0" borderId="99" xfId="1" applyBorder="1" applyAlignment="1">
      <alignment horizontal="center" vertical="center"/>
    </xf>
    <xf numFmtId="0" fontId="21" fillId="0" borderId="100" xfId="1" applyFont="1" applyBorder="1" applyAlignment="1">
      <alignment horizontal="center" vertical="center"/>
    </xf>
    <xf numFmtId="0" fontId="39" fillId="0" borderId="27" xfId="1" applyFont="1" applyBorder="1"/>
    <xf numFmtId="0" fontId="39" fillId="0" borderId="22" xfId="1" applyFont="1" applyBorder="1" applyAlignment="1">
      <alignment horizontal="center"/>
    </xf>
    <xf numFmtId="0" fontId="42" fillId="0" borderId="85" xfId="1" applyFont="1" applyBorder="1"/>
    <xf numFmtId="0" fontId="39" fillId="0" borderId="73" xfId="1" applyFont="1" applyBorder="1" applyAlignment="1"/>
    <xf numFmtId="0" fontId="40" fillId="0" borderId="0" xfId="2" applyFont="1" applyBorder="1" applyAlignment="1">
      <alignment horizontal="center" vertical="center"/>
    </xf>
    <xf numFmtId="0" fontId="77" fillId="0" borderId="0" xfId="1" applyFont="1" applyBorder="1" applyAlignment="1"/>
    <xf numFmtId="0" fontId="99" fillId="0" borderId="0" xfId="2" applyFont="1" applyBorder="1" applyAlignment="1"/>
    <xf numFmtId="0" fontId="101" fillId="0" borderId="0" xfId="2" applyFont="1" applyBorder="1" applyAlignment="1">
      <alignment horizontal="center"/>
    </xf>
    <xf numFmtId="0" fontId="99" fillId="0" borderId="72" xfId="2" applyFont="1" applyBorder="1" applyAlignment="1"/>
    <xf numFmtId="0" fontId="99" fillId="0" borderId="85" xfId="2" applyFont="1" applyBorder="1" applyAlignment="1"/>
    <xf numFmtId="0" fontId="99" fillId="0" borderId="73" xfId="2" applyFont="1" applyBorder="1" applyAlignment="1"/>
    <xf numFmtId="0" fontId="156" fillId="0" borderId="0" xfId="1" applyFont="1" applyBorder="1"/>
    <xf numFmtId="0" fontId="57" fillId="0" borderId="0" xfId="1" applyFont="1" applyBorder="1" applyAlignment="1"/>
    <xf numFmtId="0" fontId="145" fillId="0" borderId="0" xfId="1" applyFont="1" applyFill="1" applyBorder="1" applyAlignment="1"/>
    <xf numFmtId="0" fontId="22" fillId="0" borderId="15" xfId="1" applyFont="1" applyBorder="1" applyAlignment="1"/>
    <xf numFmtId="0" fontId="35" fillId="0" borderId="18" xfId="1" applyFont="1" applyBorder="1" applyAlignment="1">
      <alignment horizontal="center"/>
    </xf>
    <xf numFmtId="0" fontId="35" fillId="0" borderId="71" xfId="1" applyFont="1" applyBorder="1" applyAlignment="1">
      <alignment horizontal="center"/>
    </xf>
    <xf numFmtId="0" fontId="1" fillId="0" borderId="0" xfId="1" applyBorder="1" applyAlignment="1"/>
    <xf numFmtId="0" fontId="42" fillId="0" borderId="24" xfId="1" applyFont="1" applyBorder="1" applyAlignment="1">
      <alignment wrapText="1"/>
    </xf>
    <xf numFmtId="0" fontId="9" fillId="19" borderId="0" xfId="2" applyFont="1" applyFill="1" applyAlignment="1" applyProtection="1">
      <alignment vertical="center"/>
    </xf>
    <xf numFmtId="170" fontId="0" fillId="0" borderId="0" xfId="0" applyNumberFormat="1"/>
    <xf numFmtId="0" fontId="0" fillId="20" borderId="0" xfId="0" applyFill="1"/>
    <xf numFmtId="0" fontId="39" fillId="0" borderId="15" xfId="1" applyFont="1" applyBorder="1" applyAlignment="1">
      <alignment vertical="center"/>
    </xf>
    <xf numFmtId="0" fontId="0" fillId="0" borderId="0" xfId="0" applyBorder="1"/>
    <xf numFmtId="0" fontId="42" fillId="0" borderId="25" xfId="1" applyFont="1" applyBorder="1" applyAlignment="1">
      <alignment horizontal="center"/>
    </xf>
    <xf numFmtId="0" fontId="1" fillId="19" borderId="0" xfId="1" applyFill="1" applyProtection="1"/>
    <xf numFmtId="0" fontId="9" fillId="20" borderId="71" xfId="2" applyFont="1" applyFill="1" applyBorder="1" applyAlignment="1">
      <alignment horizontal="center" vertical="center"/>
    </xf>
    <xf numFmtId="0" fontId="9" fillId="3" borderId="39" xfId="2" applyFont="1" applyFill="1" applyBorder="1" applyAlignment="1">
      <alignment horizontal="center" vertical="center"/>
    </xf>
    <xf numFmtId="12" fontId="35" fillId="0" borderId="73" xfId="1" applyNumberFormat="1" applyFont="1" applyBorder="1" applyAlignment="1">
      <alignment horizontal="center"/>
    </xf>
    <xf numFmtId="0" fontId="39" fillId="0" borderId="24" xfId="1" applyFont="1" applyBorder="1" applyAlignment="1">
      <alignment horizontal="center" vertical="center"/>
    </xf>
    <xf numFmtId="0" fontId="35" fillId="0" borderId="0" xfId="1" applyFont="1" applyBorder="1" applyAlignment="1">
      <alignment vertical="center"/>
    </xf>
    <xf numFmtId="0" fontId="35" fillId="0" borderId="0" xfId="1" applyFont="1" applyBorder="1" applyAlignment="1">
      <alignment horizontal="center"/>
    </xf>
    <xf numFmtId="0" fontId="35" fillId="0" borderId="101" xfId="1" applyFont="1" applyBorder="1" applyAlignment="1">
      <alignment horizontal="center"/>
    </xf>
    <xf numFmtId="0" fontId="35" fillId="0" borderId="0" xfId="1" applyFont="1" applyBorder="1" applyAlignment="1"/>
    <xf numFmtId="0" fontId="100" fillId="0" borderId="28" xfId="2" applyFont="1" applyBorder="1" applyAlignment="1"/>
    <xf numFmtId="0" fontId="100" fillId="0" borderId="24" xfId="2" applyFont="1" applyBorder="1" applyAlignment="1"/>
    <xf numFmtId="0" fontId="100" fillId="0" borderId="103" xfId="2" applyFont="1" applyBorder="1" applyAlignment="1"/>
    <xf numFmtId="0" fontId="0" fillId="0" borderId="0" xfId="0" applyFont="1"/>
    <xf numFmtId="172" fontId="0" fillId="0" borderId="0" xfId="0" applyNumberFormat="1" applyFill="1"/>
    <xf numFmtId="172" fontId="0" fillId="0" borderId="62" xfId="0" applyNumberFormat="1" applyFill="1" applyBorder="1"/>
    <xf numFmtId="168" fontId="92" fillId="3" borderId="48" xfId="5" applyNumberFormat="1" applyFont="1" applyFill="1" applyBorder="1"/>
    <xf numFmtId="168" fontId="92" fillId="3" borderId="33" xfId="0" applyNumberFormat="1" applyFont="1" applyFill="1" applyBorder="1"/>
    <xf numFmtId="168" fontId="92" fillId="3" borderId="33" xfId="5" applyNumberFormat="1" applyFont="1" applyFill="1" applyBorder="1"/>
    <xf numFmtId="168" fontId="92" fillId="3" borderId="49" xfId="5" applyNumberFormat="1" applyFont="1" applyFill="1" applyBorder="1"/>
    <xf numFmtId="168" fontId="92" fillId="3" borderId="113" xfId="5" applyNumberFormat="1" applyFont="1" applyFill="1" applyBorder="1"/>
    <xf numFmtId="168" fontId="92" fillId="3" borderId="114" xfId="0" applyNumberFormat="1" applyFont="1" applyFill="1" applyBorder="1"/>
    <xf numFmtId="168" fontId="92" fillId="3" borderId="114" xfId="5" applyNumberFormat="1" applyFont="1" applyFill="1" applyBorder="1"/>
    <xf numFmtId="168" fontId="92" fillId="3" borderId="115" xfId="5" applyNumberFormat="1" applyFont="1" applyFill="1" applyBorder="1"/>
    <xf numFmtId="168" fontId="92" fillId="3" borderId="116" xfId="5" applyNumberFormat="1" applyFont="1" applyFill="1" applyBorder="1"/>
    <xf numFmtId="168" fontId="92" fillId="3" borderId="117" xfId="0" applyNumberFormat="1" applyFont="1" applyFill="1" applyBorder="1"/>
    <xf numFmtId="168" fontId="92" fillId="3" borderId="117" xfId="5" applyNumberFormat="1" applyFont="1" applyFill="1" applyBorder="1"/>
    <xf numFmtId="168" fontId="92" fillId="3" borderId="118" xfId="5" applyNumberFormat="1" applyFont="1" applyFill="1" applyBorder="1"/>
    <xf numFmtId="2" fontId="0" fillId="0" borderId="4" xfId="0" applyNumberFormat="1" applyFill="1" applyBorder="1"/>
    <xf numFmtId="168" fontId="0" fillId="0" borderId="81" xfId="0" applyNumberFormat="1" applyBorder="1"/>
    <xf numFmtId="168" fontId="0" fillId="0" borderId="119" xfId="0" applyNumberFormat="1" applyBorder="1"/>
    <xf numFmtId="168" fontId="0" fillId="5" borderId="119" xfId="0" applyNumberFormat="1" applyFill="1" applyBorder="1"/>
    <xf numFmtId="168" fontId="0" fillId="5" borderId="80" xfId="0" applyNumberFormat="1" applyFill="1" applyBorder="1"/>
    <xf numFmtId="0" fontId="0" fillId="5" borderId="72" xfId="0" applyFill="1" applyBorder="1" applyAlignment="1">
      <alignment wrapText="1"/>
    </xf>
    <xf numFmtId="173" fontId="0" fillId="0" borderId="73" xfId="0" applyNumberFormat="1" applyBorder="1"/>
    <xf numFmtId="0" fontId="164" fillId="0" borderId="0" xfId="1" applyFont="1" applyAlignment="1">
      <alignment horizontal="center"/>
    </xf>
    <xf numFmtId="0" fontId="35" fillId="0" borderId="0" xfId="1" applyFont="1"/>
    <xf numFmtId="0" fontId="0" fillId="21" borderId="0" xfId="0" applyFill="1"/>
    <xf numFmtId="0" fontId="9" fillId="20" borderId="71" xfId="2" applyFont="1" applyFill="1" applyBorder="1" applyAlignment="1">
      <alignment vertical="center"/>
    </xf>
    <xf numFmtId="0" fontId="1" fillId="20" borderId="0" xfId="1" applyFont="1" applyFill="1" applyBorder="1" applyAlignment="1">
      <alignment vertical="center"/>
    </xf>
    <xf numFmtId="0" fontId="1" fillId="19" borderId="0" xfId="1" applyFont="1" applyFill="1" applyBorder="1" applyAlignment="1">
      <alignment vertical="center"/>
    </xf>
    <xf numFmtId="0" fontId="0" fillId="20" borderId="0" xfId="0" applyFont="1" applyFill="1"/>
    <xf numFmtId="0" fontId="0" fillId="20" borderId="0" xfId="1" applyFont="1" applyFill="1" applyBorder="1" applyAlignment="1">
      <alignment vertical="center"/>
    </xf>
    <xf numFmtId="0" fontId="1" fillId="19" borderId="71" xfId="1" applyFont="1" applyFill="1" applyBorder="1" applyAlignment="1">
      <alignment vertical="center"/>
    </xf>
    <xf numFmtId="0" fontId="42" fillId="0" borderId="11" xfId="1" applyFont="1" applyBorder="1"/>
    <xf numFmtId="0" fontId="1" fillId="0" borderId="85" xfId="1" applyBorder="1"/>
    <xf numFmtId="0" fontId="8" fillId="0" borderId="85" xfId="2" applyBorder="1"/>
    <xf numFmtId="0" fontId="1" fillId="0" borderId="71" xfId="1" applyBorder="1" applyProtection="1"/>
    <xf numFmtId="0" fontId="42" fillId="0" borderId="7" xfId="1" applyFont="1" applyBorder="1" applyAlignment="1">
      <alignment wrapText="1"/>
    </xf>
    <xf numFmtId="0" fontId="42" fillId="0" borderId="7" xfId="1" applyFont="1" applyBorder="1" applyAlignment="1">
      <alignment horizontal="center"/>
    </xf>
    <xf numFmtId="0" fontId="59" fillId="0" borderId="0" xfId="1" applyFont="1" applyBorder="1" applyAlignment="1">
      <alignment vertical="center"/>
    </xf>
    <xf numFmtId="0" fontId="8" fillId="0" borderId="128" xfId="2" applyBorder="1"/>
    <xf numFmtId="0" fontId="59" fillId="0" borderId="128" xfId="1" applyFont="1" applyBorder="1" applyAlignment="1">
      <alignment vertical="center"/>
    </xf>
    <xf numFmtId="0" fontId="42" fillId="0" borderId="85" xfId="1" applyFont="1" applyBorder="1" applyAlignment="1">
      <alignment horizontal="center"/>
    </xf>
    <xf numFmtId="0" fontId="1" fillId="0" borderId="0" xfId="1" applyBorder="1"/>
    <xf numFmtId="0" fontId="42" fillId="0" borderId="7" xfId="1" applyFont="1" applyBorder="1" applyAlignment="1">
      <alignment horizontal="center"/>
    </xf>
    <xf numFmtId="0" fontId="42" fillId="0" borderId="0" xfId="1" applyFont="1" applyBorder="1"/>
    <xf numFmtId="0" fontId="59" fillId="0" borderId="9" xfId="1" applyFont="1" applyBorder="1" applyAlignment="1"/>
    <xf numFmtId="0" fontId="59" fillId="0" borderId="82" xfId="1" applyFont="1" applyBorder="1" applyAlignment="1"/>
    <xf numFmtId="0" fontId="42" fillId="0" borderId="27" xfId="1" applyFont="1" applyBorder="1"/>
    <xf numFmtId="0" fontId="42" fillId="0" borderId="22" xfId="1" applyFont="1" applyBorder="1" applyAlignment="1">
      <alignment horizontal="left"/>
    </xf>
    <xf numFmtId="0" fontId="59" fillId="0" borderId="0" xfId="1" applyFont="1" applyBorder="1" applyAlignment="1"/>
    <xf numFmtId="0" fontId="42" fillId="0" borderId="0" xfId="1" applyFont="1" applyBorder="1" applyAlignment="1">
      <alignment horizontal="left"/>
    </xf>
    <xf numFmtId="0" fontId="42" fillId="0" borderId="72" xfId="1" applyFont="1" applyBorder="1"/>
    <xf numFmtId="0" fontId="42" fillId="0" borderId="73" xfId="1" applyFont="1" applyBorder="1" applyAlignment="1">
      <alignment horizontal="left"/>
    </xf>
    <xf numFmtId="0" fontId="1" fillId="0" borderId="105" xfId="1" applyBorder="1" applyAlignment="1"/>
    <xf numFmtId="0" fontId="72" fillId="0" borderId="105" xfId="1" applyFont="1" applyBorder="1" applyAlignment="1"/>
    <xf numFmtId="0" fontId="15" fillId="0" borderId="0" xfId="1" applyFont="1" applyFill="1" applyBorder="1" applyAlignment="1">
      <alignment horizontal="center" vertical="center"/>
    </xf>
    <xf numFmtId="0" fontId="9" fillId="0" borderId="0" xfId="1" applyFont="1" applyFill="1" applyBorder="1" applyAlignment="1">
      <alignment vertical="center" wrapText="1"/>
    </xf>
    <xf numFmtId="0" fontId="42" fillId="0" borderId="85" xfId="1" applyFont="1" applyBorder="1" applyAlignment="1">
      <alignment wrapText="1"/>
    </xf>
    <xf numFmtId="0" fontId="42" fillId="0" borderId="73" xfId="1" applyFont="1" applyBorder="1" applyAlignment="1">
      <alignment wrapText="1"/>
    </xf>
    <xf numFmtId="0" fontId="31" fillId="0" borderId="0" xfId="1" applyFont="1"/>
    <xf numFmtId="0" fontId="151" fillId="0" borderId="0" xfId="1" applyFont="1"/>
    <xf numFmtId="0" fontId="21" fillId="0" borderId="0" xfId="1" applyFont="1" applyBorder="1" applyAlignment="1"/>
    <xf numFmtId="0" fontId="130" fillId="0" borderId="0" xfId="1" applyFont="1" applyFill="1" applyBorder="1" applyAlignment="1">
      <alignment horizontal="center"/>
    </xf>
    <xf numFmtId="0" fontId="134" fillId="23" borderId="26" xfId="1" applyFont="1" applyFill="1" applyBorder="1" applyAlignment="1">
      <alignment horizontal="center" vertical="center"/>
    </xf>
    <xf numFmtId="0" fontId="134" fillId="23" borderId="71" xfId="1" applyFont="1" applyFill="1" applyBorder="1" applyAlignment="1">
      <alignment horizontal="center" vertical="center"/>
    </xf>
    <xf numFmtId="0" fontId="31" fillId="0" borderId="0" xfId="1" applyFont="1" applyFill="1"/>
    <xf numFmtId="0" fontId="151" fillId="0" borderId="0" xfId="1" applyFont="1" applyFill="1"/>
    <xf numFmtId="0" fontId="0" fillId="0" borderId="0" xfId="0" applyFont="1"/>
    <xf numFmtId="168" fontId="0" fillId="25" borderId="4" xfId="0" applyNumberFormat="1" applyFill="1" applyBorder="1"/>
    <xf numFmtId="2" fontId="0" fillId="26" borderId="4" xfId="0" applyNumberFormat="1" applyFill="1" applyBorder="1"/>
    <xf numFmtId="168" fontId="0" fillId="26" borderId="4" xfId="0" applyNumberFormat="1" applyFill="1" applyBorder="1"/>
    <xf numFmtId="0" fontId="0" fillId="26" borderId="0" xfId="0" applyFill="1"/>
    <xf numFmtId="169" fontId="0" fillId="26" borderId="0" xfId="0" applyNumberFormat="1" applyFill="1"/>
    <xf numFmtId="2" fontId="0" fillId="26" borderId="0" xfId="0" applyNumberFormat="1" applyFill="1"/>
    <xf numFmtId="1" fontId="0" fillId="27" borderId="4" xfId="0" applyNumberFormat="1" applyFill="1" applyBorder="1"/>
    <xf numFmtId="168" fontId="1" fillId="25" borderId="4" xfId="1" applyNumberFormat="1" applyFont="1" applyFill="1" applyBorder="1" applyAlignment="1">
      <alignment vertical="center"/>
    </xf>
    <xf numFmtId="2" fontId="1" fillId="26" borderId="4" xfId="1" applyNumberFormat="1" applyFont="1" applyFill="1" applyBorder="1" applyAlignment="1">
      <alignment vertical="center"/>
    </xf>
    <xf numFmtId="0" fontId="1" fillId="26" borderId="0" xfId="1" applyFont="1" applyFill="1" applyBorder="1" applyAlignment="1">
      <alignment vertical="center"/>
    </xf>
    <xf numFmtId="0" fontId="0" fillId="0" borderId="0" xfId="0" applyFont="1"/>
    <xf numFmtId="8" fontId="0" fillId="0" borderId="0" xfId="0" applyNumberFormat="1"/>
    <xf numFmtId="169" fontId="0" fillId="0" borderId="4" xfId="0" applyNumberFormat="1" applyBorder="1"/>
    <xf numFmtId="0" fontId="149" fillId="0" borderId="0" xfId="0" applyFont="1" applyBorder="1" applyAlignment="1">
      <alignment horizontal="center"/>
    </xf>
    <xf numFmtId="0" fontId="0" fillId="0" borderId="0" xfId="0" applyFont="1"/>
    <xf numFmtId="0" fontId="24" fillId="19" borderId="122" xfId="2" applyFont="1" applyFill="1" applyBorder="1" applyAlignment="1">
      <alignment horizontal="center" vertical="center"/>
    </xf>
    <xf numFmtId="0" fontId="24" fillId="19" borderId="0" xfId="2" applyFont="1" applyFill="1" applyAlignment="1">
      <alignment horizontal="center" vertical="center"/>
    </xf>
    <xf numFmtId="0" fontId="9" fillId="0" borderId="4" xfId="2" applyFont="1" applyBorder="1" applyAlignment="1">
      <alignment horizontal="center" vertical="center"/>
    </xf>
    <xf numFmtId="164" fontId="9" fillId="0" borderId="9" xfId="2" applyNumberFormat="1" applyFont="1" applyBorder="1" applyAlignment="1">
      <alignment horizontal="center" vertical="center"/>
    </xf>
    <xf numFmtId="0" fontId="9" fillId="3" borderId="5" xfId="2" applyFont="1" applyFill="1" applyBorder="1" applyAlignment="1">
      <alignment horizontal="left" vertical="center"/>
    </xf>
    <xf numFmtId="0" fontId="9" fillId="3" borderId="13" xfId="2" applyFont="1" applyFill="1" applyBorder="1" applyAlignment="1">
      <alignment horizontal="center" vertical="center"/>
    </xf>
    <xf numFmtId="0" fontId="1" fillId="3" borderId="13" xfId="1" applyFont="1" applyFill="1" applyBorder="1" applyAlignment="1">
      <alignment horizontal="center" vertical="center"/>
    </xf>
    <xf numFmtId="0" fontId="12" fillId="0" borderId="0" xfId="2" applyFont="1" applyBorder="1" applyAlignment="1">
      <alignment horizontal="center" vertical="center" wrapText="1"/>
    </xf>
    <xf numFmtId="0" fontId="14" fillId="0" borderId="0" xfId="2" applyFont="1" applyBorder="1" applyAlignment="1">
      <alignment horizontal="center" vertical="center"/>
    </xf>
    <xf numFmtId="0" fontId="9" fillId="3" borderId="76" xfId="2" applyFont="1" applyFill="1" applyBorder="1" applyAlignment="1">
      <alignment horizontal="center" vertical="center"/>
    </xf>
    <xf numFmtId="14" fontId="9" fillId="0" borderId="77" xfId="2" applyNumberFormat="1" applyFont="1" applyFill="1" applyBorder="1" applyAlignment="1">
      <alignment horizontal="center" vertical="center"/>
    </xf>
    <xf numFmtId="14" fontId="9" fillId="0" borderId="5" xfId="2" applyNumberFormat="1" applyFont="1" applyBorder="1" applyAlignment="1">
      <alignment horizontal="center" vertical="center"/>
    </xf>
    <xf numFmtId="0" fontId="25" fillId="0" borderId="15" xfId="2" applyFont="1" applyBorder="1" applyAlignment="1">
      <alignment horizontal="center" vertical="center" wrapText="1"/>
    </xf>
    <xf numFmtId="14" fontId="9" fillId="4" borderId="78" xfId="2" applyNumberFormat="1" applyFont="1" applyFill="1" applyBorder="1" applyAlignment="1">
      <alignment horizontal="center" vertical="center"/>
    </xf>
    <xf numFmtId="0" fontId="9" fillId="3" borderId="79" xfId="2" applyFont="1" applyFill="1" applyBorder="1" applyAlignment="1">
      <alignment horizontal="center" vertical="center" wrapText="1"/>
    </xf>
    <xf numFmtId="0" fontId="9" fillId="4" borderId="78" xfId="2" applyFont="1" applyFill="1" applyBorder="1" applyAlignment="1">
      <alignment horizontal="center" vertical="center" wrapText="1"/>
    </xf>
    <xf numFmtId="0" fontId="9" fillId="3" borderId="79" xfId="2" applyFont="1" applyFill="1" applyBorder="1" applyAlignment="1">
      <alignment horizontal="center" vertical="center"/>
    </xf>
    <xf numFmtId="0" fontId="1" fillId="3" borderId="4" xfId="1" applyFont="1" applyFill="1" applyBorder="1" applyAlignment="1">
      <alignment horizontal="center" vertical="center"/>
    </xf>
    <xf numFmtId="0" fontId="25" fillId="0" borderId="0" xfId="2" applyFont="1" applyBorder="1" applyAlignment="1">
      <alignment horizontal="center" vertical="center" wrapText="1"/>
    </xf>
    <xf numFmtId="164" fontId="9" fillId="0" borderId="4" xfId="2" applyNumberFormat="1" applyFont="1" applyBorder="1" applyAlignment="1">
      <alignment horizontal="center" vertical="center"/>
    </xf>
    <xf numFmtId="0" fontId="9" fillId="0" borderId="0" xfId="2" applyFont="1" applyBorder="1" applyAlignment="1">
      <alignment vertical="center"/>
    </xf>
    <xf numFmtId="0" fontId="9" fillId="0" borderId="0" xfId="2" applyFont="1" applyFill="1" applyBorder="1" applyAlignment="1">
      <alignment horizontal="center" vertical="center"/>
    </xf>
    <xf numFmtId="0" fontId="1" fillId="0" borderId="0" xfId="1" applyFont="1" applyFill="1" applyBorder="1" applyAlignment="1">
      <alignment horizontal="center" vertical="center"/>
    </xf>
    <xf numFmtId="14" fontId="9" fillId="0" borderId="9" xfId="2" applyNumberFormat="1" applyFont="1" applyBorder="1" applyAlignment="1">
      <alignment horizontal="center" vertical="center"/>
    </xf>
    <xf numFmtId="0" fontId="9" fillId="0" borderId="4" xfId="2" applyFont="1" applyBorder="1" applyAlignment="1">
      <alignment vertical="center"/>
    </xf>
    <xf numFmtId="0" fontId="9" fillId="3" borderId="4" xfId="2" applyFont="1" applyFill="1" applyBorder="1" applyAlignment="1">
      <alignment horizontal="center" vertical="center"/>
    </xf>
    <xf numFmtId="0" fontId="12" fillId="0" borderId="0" xfId="2" applyFont="1" applyBorder="1" applyAlignment="1">
      <alignment horizontal="center" vertical="center"/>
    </xf>
    <xf numFmtId="0" fontId="15" fillId="4" borderId="4" xfId="2" applyFont="1" applyFill="1" applyBorder="1" applyAlignment="1">
      <alignment horizontal="center" vertical="center"/>
    </xf>
    <xf numFmtId="0" fontId="15" fillId="0" borderId="4" xfId="2" applyFont="1" applyBorder="1" applyAlignment="1">
      <alignment horizontal="center" vertical="center"/>
    </xf>
    <xf numFmtId="0" fontId="9" fillId="2" borderId="0" xfId="2" applyFont="1" applyFill="1" applyBorder="1" applyAlignment="1">
      <alignment horizontal="center" vertical="center"/>
    </xf>
    <xf numFmtId="0" fontId="14" fillId="0" borderId="46" xfId="2" applyFont="1" applyFill="1" applyBorder="1" applyAlignment="1">
      <alignment horizontal="center" vertical="center"/>
    </xf>
    <xf numFmtId="0" fontId="1" fillId="4" borderId="4" xfId="1" applyFont="1" applyFill="1" applyBorder="1" applyAlignment="1">
      <alignment horizontal="center" vertical="center"/>
    </xf>
    <xf numFmtId="0" fontId="1" fillId="0" borderId="0" xfId="1" applyFont="1" applyBorder="1" applyAlignment="1">
      <alignment horizontal="center"/>
    </xf>
    <xf numFmtId="0" fontId="9" fillId="0" borderId="80" xfId="2" applyFont="1" applyBorder="1" applyAlignment="1">
      <alignment vertical="center"/>
    </xf>
    <xf numFmtId="0" fontId="9" fillId="12" borderId="43" xfId="2" applyFont="1" applyFill="1" applyBorder="1" applyAlignment="1">
      <alignment vertical="center" wrapText="1"/>
    </xf>
    <xf numFmtId="0" fontId="9" fillId="4" borderId="11" xfId="2" applyFont="1" applyFill="1" applyBorder="1" applyAlignment="1">
      <alignment horizontal="center" vertical="center"/>
    </xf>
    <xf numFmtId="0" fontId="9" fillId="4" borderId="4" xfId="2" applyFont="1" applyFill="1" applyBorder="1" applyAlignment="1">
      <alignment horizontal="center" vertical="center"/>
    </xf>
    <xf numFmtId="0" fontId="9" fillId="13" borderId="0" xfId="2" applyFont="1" applyFill="1" applyBorder="1" applyAlignment="1">
      <alignment vertical="center" wrapText="1"/>
    </xf>
    <xf numFmtId="0" fontId="9" fillId="14" borderId="43" xfId="2" applyFont="1" applyFill="1" applyBorder="1" applyAlignment="1">
      <alignment vertical="center" wrapText="1"/>
    </xf>
    <xf numFmtId="0" fontId="9" fillId="4" borderId="81" xfId="2" applyFont="1" applyFill="1" applyBorder="1" applyAlignment="1">
      <alignment horizontal="center" vertical="center"/>
    </xf>
    <xf numFmtId="0" fontId="9" fillId="4" borderId="0" xfId="2" applyFont="1" applyFill="1" applyBorder="1" applyAlignment="1">
      <alignment horizontal="center" vertical="center"/>
    </xf>
    <xf numFmtId="0" fontId="1" fillId="14" borderId="43" xfId="1" applyFont="1" applyFill="1" applyBorder="1" applyAlignment="1">
      <alignment horizontal="center" vertical="center" wrapText="1"/>
    </xf>
    <xf numFmtId="0" fontId="9" fillId="0" borderId="0" xfId="2" applyFont="1" applyBorder="1" applyAlignment="1">
      <alignment vertical="center" wrapText="1"/>
    </xf>
    <xf numFmtId="0" fontId="15" fillId="3" borderId="4" xfId="2" applyFont="1" applyFill="1" applyBorder="1" applyAlignment="1">
      <alignment horizontal="center" vertical="center"/>
    </xf>
    <xf numFmtId="0" fontId="9" fillId="0" borderId="5" xfId="2" applyFont="1" applyBorder="1" applyAlignment="1">
      <alignment horizontal="center" vertical="center"/>
    </xf>
    <xf numFmtId="0" fontId="9" fillId="3" borderId="5" xfId="2" applyFont="1" applyFill="1" applyBorder="1" applyAlignment="1">
      <alignment horizontal="center" vertical="center"/>
    </xf>
    <xf numFmtId="0" fontId="22" fillId="0" borderId="0" xfId="2" applyFont="1" applyBorder="1" applyAlignment="1">
      <alignment horizontal="center" vertical="center"/>
    </xf>
    <xf numFmtId="0" fontId="9" fillId="0" borderId="3" xfId="2" applyFont="1" applyBorder="1" applyAlignment="1">
      <alignment vertical="center"/>
    </xf>
    <xf numFmtId="0" fontId="9" fillId="0" borderId="3" xfId="2" applyFont="1" applyBorder="1" applyAlignment="1">
      <alignment horizontal="center" vertical="center"/>
    </xf>
    <xf numFmtId="0" fontId="9" fillId="0" borderId="3" xfId="2" applyFont="1" applyBorder="1" applyAlignment="1">
      <alignment vertical="center" wrapText="1"/>
    </xf>
    <xf numFmtId="0" fontId="9" fillId="0" borderId="3" xfId="2" applyFont="1" applyBorder="1" applyAlignment="1">
      <alignment horizontal="center" vertical="center" wrapText="1"/>
    </xf>
    <xf numFmtId="0" fontId="1" fillId="0" borderId="3" xfId="1" applyFont="1" applyBorder="1" applyAlignment="1">
      <alignment horizontal="center" vertical="center" wrapText="1"/>
    </xf>
    <xf numFmtId="0" fontId="1" fillId="0" borderId="3" xfId="1" applyFont="1" applyBorder="1" applyAlignment="1">
      <alignment wrapText="1"/>
    </xf>
    <xf numFmtId="0" fontId="15" fillId="3" borderId="9" xfId="2" applyFont="1" applyFill="1" applyBorder="1" applyAlignment="1">
      <alignment horizontal="center" vertical="center"/>
    </xf>
    <xf numFmtId="164" fontId="15" fillId="4" borderId="4" xfId="2" applyNumberFormat="1" applyFont="1" applyFill="1" applyBorder="1" applyAlignment="1">
      <alignment horizontal="center" vertical="center"/>
    </xf>
    <xf numFmtId="0" fontId="9" fillId="4" borderId="62" xfId="2" applyFont="1" applyFill="1" applyBorder="1" applyAlignment="1">
      <alignment horizontal="center" vertical="center"/>
    </xf>
    <xf numFmtId="0" fontId="9" fillId="0" borderId="0" xfId="2" applyFont="1" applyBorder="1" applyAlignment="1" applyProtection="1">
      <alignment vertical="center"/>
    </xf>
    <xf numFmtId="0" fontId="20" fillId="0" borderId="0" xfId="2" applyFont="1" applyBorder="1" applyAlignment="1">
      <alignment horizontal="center" vertical="center"/>
    </xf>
    <xf numFmtId="0" fontId="9" fillId="0" borderId="0" xfId="2" applyFont="1" applyBorder="1" applyAlignment="1">
      <alignment horizontal="center" vertical="center"/>
    </xf>
    <xf numFmtId="0" fontId="8" fillId="4" borderId="4" xfId="2" applyFont="1" applyFill="1" applyBorder="1" applyAlignment="1">
      <alignment horizontal="center" vertical="center"/>
    </xf>
    <xf numFmtId="0" fontId="1" fillId="4" borderId="4" xfId="1" applyFont="1" applyFill="1" applyBorder="1" applyAlignment="1">
      <alignment horizontal="center"/>
    </xf>
    <xf numFmtId="0" fontId="1" fillId="0" borderId="4" xfId="1" applyFont="1" applyBorder="1"/>
    <xf numFmtId="0" fontId="14" fillId="3" borderId="4" xfId="2" applyFont="1" applyFill="1" applyBorder="1" applyAlignment="1">
      <alignment horizontal="center" vertical="center"/>
    </xf>
    <xf numFmtId="0" fontId="15" fillId="0" borderId="4" xfId="2" applyFont="1" applyBorder="1" applyAlignment="1">
      <alignment vertical="center"/>
    </xf>
    <xf numFmtId="0" fontId="1" fillId="3" borderId="4" xfId="1" applyFont="1" applyFill="1" applyBorder="1" applyAlignment="1">
      <alignment horizontal="center"/>
    </xf>
    <xf numFmtId="0" fontId="12" fillId="0" borderId="0" xfId="2" applyFont="1" applyBorder="1" applyAlignment="1">
      <alignment vertical="center"/>
    </xf>
    <xf numFmtId="0" fontId="1" fillId="0" borderId="4" xfId="1" applyFont="1" applyBorder="1" applyAlignment="1">
      <alignment horizontal="center" vertical="center"/>
    </xf>
    <xf numFmtId="0" fontId="13" fillId="3" borderId="4" xfId="2" applyFont="1" applyFill="1" applyBorder="1" applyAlignment="1">
      <alignment horizontal="center" vertical="center"/>
    </xf>
    <xf numFmtId="0" fontId="15" fillId="0" borderId="83" xfId="2" applyFont="1" applyBorder="1" applyAlignment="1">
      <alignment horizontal="center" vertical="center"/>
    </xf>
    <xf numFmtId="0" fontId="15" fillId="0" borderId="3" xfId="2" applyFont="1" applyBorder="1" applyAlignment="1">
      <alignment horizontal="center" vertical="center"/>
    </xf>
    <xf numFmtId="0" fontId="87" fillId="0" borderId="107" xfId="1" applyFont="1" applyBorder="1" applyAlignment="1">
      <alignment horizontal="center"/>
    </xf>
    <xf numFmtId="0" fontId="87" fillId="0" borderId="0" xfId="1" applyFont="1" applyAlignment="1">
      <alignment horizontal="center"/>
    </xf>
    <xf numFmtId="0" fontId="15" fillId="3" borderId="50" xfId="2" applyFont="1" applyFill="1" applyBorder="1" applyAlignment="1">
      <alignment horizontal="center" vertical="center"/>
    </xf>
    <xf numFmtId="12" fontId="9" fillId="0" borderId="4" xfId="2" applyNumberFormat="1" applyFont="1" applyBorder="1" applyAlignment="1">
      <alignment horizontal="left" vertical="center"/>
    </xf>
    <xf numFmtId="12" fontId="15" fillId="4" borderId="52" xfId="2" applyNumberFormat="1" applyFont="1" applyFill="1" applyBorder="1" applyAlignment="1">
      <alignment horizontal="center" vertical="center"/>
    </xf>
    <xf numFmtId="0" fontId="15" fillId="3" borderId="51" xfId="2" applyFont="1" applyFill="1" applyBorder="1" applyAlignment="1">
      <alignment horizontal="center" vertical="center"/>
    </xf>
    <xf numFmtId="164" fontId="15" fillId="3" borderId="4" xfId="2" applyNumberFormat="1" applyFont="1" applyFill="1" applyBorder="1" applyAlignment="1">
      <alignment horizontal="center" vertical="center"/>
    </xf>
    <xf numFmtId="0" fontId="9" fillId="0" borderId="9" xfId="2" applyFont="1" applyBorder="1" applyAlignment="1">
      <alignment horizontal="left" vertical="center"/>
    </xf>
    <xf numFmtId="0" fontId="9" fillId="0" borderId="82" xfId="2" applyFont="1" applyBorder="1" applyAlignment="1">
      <alignment horizontal="left" vertical="center"/>
    </xf>
    <xf numFmtId="0" fontId="9" fillId="0" borderId="102" xfId="2" applyFont="1" applyBorder="1" applyAlignment="1">
      <alignment horizontal="left" vertical="center"/>
    </xf>
    <xf numFmtId="0" fontId="10" fillId="0" borderId="0" xfId="2" applyFont="1" applyBorder="1" applyAlignment="1">
      <alignment vertical="center"/>
    </xf>
    <xf numFmtId="0" fontId="10" fillId="3" borderId="3" xfId="2" applyFont="1" applyFill="1" applyBorder="1" applyAlignment="1">
      <alignment horizontal="center" vertical="center"/>
    </xf>
    <xf numFmtId="0" fontId="11" fillId="3" borderId="4" xfId="2" applyFont="1" applyFill="1" applyBorder="1" applyAlignment="1">
      <alignment horizontal="center" vertical="center"/>
    </xf>
    <xf numFmtId="0" fontId="12" fillId="0" borderId="0" xfId="2" applyFont="1" applyBorder="1" applyAlignment="1">
      <alignment horizontal="left" vertical="center"/>
    </xf>
    <xf numFmtId="0" fontId="9" fillId="0" borderId="0" xfId="2" applyFont="1" applyBorder="1" applyAlignment="1">
      <alignment horizontal="center" vertical="center" wrapText="1"/>
    </xf>
    <xf numFmtId="0" fontId="13" fillId="0" borderId="0" xfId="2" applyFont="1" applyBorder="1" applyAlignment="1">
      <alignment horizontal="center" vertical="center"/>
    </xf>
    <xf numFmtId="0" fontId="1" fillId="20" borderId="83" xfId="1" applyFont="1" applyFill="1" applyBorder="1" applyAlignment="1">
      <alignment horizontal="center"/>
    </xf>
    <xf numFmtId="0" fontId="1" fillId="20" borderId="3" xfId="1" applyFont="1" applyFill="1" applyBorder="1" applyAlignment="1">
      <alignment horizontal="center"/>
    </xf>
    <xf numFmtId="0" fontId="59" fillId="0" borderId="90" xfId="1" applyFont="1" applyBorder="1" applyAlignment="1">
      <alignment horizontal="left" vertical="center"/>
    </xf>
    <xf numFmtId="0" fontId="59" fillId="0" borderId="91" xfId="1" applyFont="1" applyBorder="1" applyAlignment="1">
      <alignment horizontal="left" vertical="center"/>
    </xf>
    <xf numFmtId="0" fontId="59" fillId="0" borderId="92" xfId="1" applyFont="1" applyBorder="1" applyAlignment="1">
      <alignment horizontal="left" vertical="center"/>
    </xf>
    <xf numFmtId="0" fontId="1" fillId="0" borderId="93" xfId="1" applyBorder="1" applyAlignment="1">
      <alignment horizontal="center"/>
    </xf>
    <xf numFmtId="0" fontId="1" fillId="0" borderId="131" xfId="1" applyBorder="1" applyAlignment="1">
      <alignment horizontal="center"/>
    </xf>
    <xf numFmtId="0" fontId="55" fillId="0" borderId="93" xfId="1" applyFont="1" applyBorder="1" applyAlignment="1">
      <alignment horizontal="center"/>
    </xf>
    <xf numFmtId="0" fontId="55" fillId="0" borderId="131" xfId="1" applyFont="1" applyBorder="1" applyAlignment="1">
      <alignment horizontal="center"/>
    </xf>
    <xf numFmtId="0" fontId="55" fillId="0" borderId="75" xfId="1" applyFont="1" applyBorder="1" applyAlignment="1">
      <alignment horizontal="center"/>
    </xf>
    <xf numFmtId="0" fontId="1" fillId="0" borderId="75" xfId="1" applyBorder="1" applyAlignment="1">
      <alignment horizontal="center"/>
    </xf>
    <xf numFmtId="0" fontId="59" fillId="0" borderId="72" xfId="1" applyFont="1" applyBorder="1" applyAlignment="1">
      <alignment horizontal="left" vertical="center"/>
    </xf>
    <xf numFmtId="0" fontId="59" fillId="0" borderId="85" xfId="1" applyFont="1" applyBorder="1" applyAlignment="1">
      <alignment horizontal="left" vertical="center"/>
    </xf>
    <xf numFmtId="0" fontId="59" fillId="0" borderId="73" xfId="1" applyFont="1" applyBorder="1" applyAlignment="1">
      <alignment horizontal="left" vertical="center"/>
    </xf>
    <xf numFmtId="0" fontId="59" fillId="0" borderId="72" xfId="1" applyFont="1" applyFill="1" applyBorder="1" applyAlignment="1">
      <alignment horizontal="left" vertical="center"/>
    </xf>
    <xf numFmtId="0" fontId="59" fillId="0" borderId="85" xfId="1" applyFont="1" applyFill="1" applyBorder="1" applyAlignment="1">
      <alignment horizontal="left" vertical="center"/>
    </xf>
    <xf numFmtId="0" fontId="59" fillId="0" borderId="73" xfId="1" applyFont="1" applyFill="1" applyBorder="1" applyAlignment="1">
      <alignment horizontal="left" vertical="center"/>
    </xf>
    <xf numFmtId="0" fontId="59" fillId="0" borderId="129" xfId="1" applyFont="1" applyFill="1" applyBorder="1" applyAlignment="1">
      <alignment horizontal="left" vertical="center"/>
    </xf>
    <xf numFmtId="0" fontId="59" fillId="0" borderId="105" xfId="1" applyFont="1" applyFill="1" applyBorder="1" applyAlignment="1">
      <alignment horizontal="left" vertical="center"/>
    </xf>
    <xf numFmtId="0" fontId="59" fillId="0" borderId="130" xfId="1" applyFont="1" applyFill="1" applyBorder="1" applyAlignment="1">
      <alignment horizontal="left" vertical="center"/>
    </xf>
    <xf numFmtId="0" fontId="1" fillId="0" borderId="6" xfId="1" applyBorder="1" applyAlignment="1">
      <alignment horizontal="center"/>
    </xf>
    <xf numFmtId="0" fontId="55" fillId="0" borderId="6" xfId="1" applyFont="1" applyBorder="1" applyAlignment="1">
      <alignment horizontal="center"/>
    </xf>
    <xf numFmtId="0" fontId="55" fillId="0" borderId="28" xfId="1" applyFont="1" applyBorder="1" applyAlignment="1">
      <alignment horizontal="center"/>
    </xf>
    <xf numFmtId="0" fontId="59" fillId="0" borderId="126" xfId="1" applyFont="1" applyBorder="1" applyAlignment="1">
      <alignment horizontal="left" vertical="center"/>
    </xf>
    <xf numFmtId="0" fontId="59" fillId="0" borderId="127" xfId="1" applyFont="1" applyBorder="1" applyAlignment="1">
      <alignment horizontal="left" vertical="center"/>
    </xf>
    <xf numFmtId="0" fontId="55" fillId="0" borderId="27" xfId="1" applyFont="1" applyBorder="1" applyAlignment="1">
      <alignment horizontal="center"/>
    </xf>
    <xf numFmtId="0" fontId="129" fillId="0" borderId="126" xfId="1" applyFont="1" applyBorder="1" applyAlignment="1">
      <alignment horizontal="left" vertical="center"/>
    </xf>
    <xf numFmtId="0" fontId="129" fillId="0" borderId="91" xfId="1" applyFont="1" applyBorder="1" applyAlignment="1">
      <alignment horizontal="left" vertical="center"/>
    </xf>
    <xf numFmtId="0" fontId="129" fillId="0" borderId="127" xfId="1" applyFont="1" applyBorder="1" applyAlignment="1">
      <alignment horizontal="left" vertical="center"/>
    </xf>
    <xf numFmtId="16" fontId="35" fillId="0" borderId="72" xfId="1" applyNumberFormat="1" applyFont="1" applyBorder="1" applyAlignment="1">
      <alignment horizontal="center"/>
    </xf>
    <xf numFmtId="16" fontId="35" fillId="0" borderId="85" xfId="1" applyNumberFormat="1" applyFont="1" applyBorder="1" applyAlignment="1">
      <alignment horizontal="center"/>
    </xf>
    <xf numFmtId="16" fontId="35" fillId="0" borderId="73" xfId="1" applyNumberFormat="1" applyFont="1" applyBorder="1" applyAlignment="1">
      <alignment horizontal="center"/>
    </xf>
    <xf numFmtId="171" fontId="35" fillId="0" borderId="72" xfId="1" applyNumberFormat="1" applyFont="1" applyBorder="1" applyAlignment="1">
      <alignment horizontal="center"/>
    </xf>
    <xf numFmtId="171" fontId="35" fillId="0" borderId="85" xfId="1" applyNumberFormat="1" applyFont="1" applyBorder="1" applyAlignment="1">
      <alignment horizontal="center"/>
    </xf>
    <xf numFmtId="171" fontId="35" fillId="0" borderId="73" xfId="1" applyNumberFormat="1" applyFont="1" applyBorder="1" applyAlignment="1">
      <alignment horizontal="center"/>
    </xf>
    <xf numFmtId="0" fontId="107" fillId="0" borderId="25" xfId="2" applyFont="1" applyBorder="1" applyAlignment="1">
      <alignment horizontal="center" vertical="center" wrapText="1"/>
    </xf>
    <xf numFmtId="0" fontId="109" fillId="0" borderId="6" xfId="2" applyFont="1" applyBorder="1" applyAlignment="1">
      <alignment horizontal="center"/>
    </xf>
    <xf numFmtId="1" fontId="1" fillId="0" borderId="6" xfId="1" applyNumberFormat="1" applyBorder="1"/>
    <xf numFmtId="1" fontId="35" fillId="0" borderId="6" xfId="1" applyNumberFormat="1" applyFont="1" applyBorder="1" applyAlignment="1">
      <alignment horizontal="center" vertical="center"/>
    </xf>
    <xf numFmtId="1" fontId="59" fillId="0" borderId="6" xfId="1" applyNumberFormat="1" applyFont="1" applyBorder="1" applyAlignment="1">
      <alignment horizontal="center" vertical="center" wrapText="1"/>
    </xf>
    <xf numFmtId="0" fontId="1" fillId="0" borderId="6" xfId="1" applyBorder="1"/>
    <xf numFmtId="0" fontId="1" fillId="0" borderId="28" xfId="1" applyBorder="1"/>
    <xf numFmtId="1" fontId="1" fillId="0" borderId="6" xfId="1" applyNumberFormat="1" applyBorder="1" applyAlignment="1">
      <alignment horizontal="center"/>
    </xf>
    <xf numFmtId="0" fontId="42" fillId="0" borderId="72" xfId="1" applyFont="1" applyBorder="1" applyAlignment="1">
      <alignment horizontal="center"/>
    </xf>
    <xf numFmtId="0" fontId="42" fillId="0" borderId="73" xfId="1" applyFont="1" applyBorder="1" applyAlignment="1">
      <alignment horizontal="center"/>
    </xf>
    <xf numFmtId="0" fontId="42" fillId="0" borderId="85" xfId="1" applyFont="1" applyBorder="1" applyAlignment="1">
      <alignment horizontal="center"/>
    </xf>
    <xf numFmtId="0" fontId="59" fillId="0" borderId="23" xfId="1" applyFont="1" applyBorder="1" applyAlignment="1">
      <alignment horizontal="left" vertical="center"/>
    </xf>
    <xf numFmtId="0" fontId="59" fillId="0" borderId="51" xfId="1" applyFont="1" applyBorder="1" applyAlignment="1">
      <alignment horizontal="left" vertical="center"/>
    </xf>
    <xf numFmtId="0" fontId="59" fillId="0" borderId="49" xfId="1" applyFont="1" applyBorder="1" applyAlignment="1">
      <alignment horizontal="left" vertical="center"/>
    </xf>
    <xf numFmtId="0" fontId="59" fillId="0" borderId="26" xfId="1" applyFont="1" applyBorder="1" applyAlignment="1">
      <alignment horizontal="left" vertical="center"/>
    </xf>
    <xf numFmtId="0" fontId="59" fillId="0" borderId="2" xfId="1" applyFont="1" applyBorder="1" applyAlignment="1">
      <alignment horizontal="left" vertical="center"/>
    </xf>
    <xf numFmtId="0" fontId="59" fillId="0" borderId="18" xfId="1" applyFont="1" applyBorder="1" applyAlignment="1">
      <alignment horizontal="left" vertical="center"/>
    </xf>
    <xf numFmtId="0" fontId="99" fillId="0" borderId="72" xfId="2" applyFont="1" applyBorder="1" applyAlignment="1">
      <alignment horizontal="center"/>
    </xf>
    <xf numFmtId="0" fontId="99" fillId="0" borderId="85" xfId="2" applyFont="1" applyBorder="1" applyAlignment="1">
      <alignment horizontal="center"/>
    </xf>
    <xf numFmtId="0" fontId="99" fillId="0" borderId="73" xfId="2" applyFont="1" applyBorder="1" applyAlignment="1">
      <alignment horizontal="center"/>
    </xf>
    <xf numFmtId="0" fontId="22" fillId="0" borderId="72" xfId="2" applyFont="1" applyBorder="1" applyAlignment="1">
      <alignment horizontal="center" vertical="center"/>
    </xf>
    <xf numFmtId="0" fontId="22" fillId="0" borderId="85" xfId="2" applyFont="1" applyBorder="1" applyAlignment="1">
      <alignment horizontal="center" vertical="center"/>
    </xf>
    <xf numFmtId="0" fontId="22" fillId="0" borderId="73" xfId="2" applyFont="1" applyBorder="1" applyAlignment="1">
      <alignment horizontal="center" vertical="center"/>
    </xf>
    <xf numFmtId="0" fontId="101" fillId="0" borderId="72" xfId="2" applyFont="1" applyBorder="1" applyAlignment="1">
      <alignment horizontal="center"/>
    </xf>
    <xf numFmtId="0" fontId="101" fillId="0" borderId="85" xfId="2" applyFont="1" applyBorder="1" applyAlignment="1">
      <alignment horizontal="center"/>
    </xf>
    <xf numFmtId="0" fontId="101" fillId="0" borderId="73" xfId="2" applyFont="1" applyBorder="1" applyAlignment="1">
      <alignment horizontal="center"/>
    </xf>
    <xf numFmtId="0" fontId="39" fillId="0" borderId="28" xfId="1" applyFont="1" applyBorder="1" applyAlignment="1">
      <alignment horizontal="center"/>
    </xf>
    <xf numFmtId="0" fontId="39" fillId="0" borderId="24" xfId="1" applyFont="1" applyBorder="1" applyAlignment="1">
      <alignment horizontal="center"/>
    </xf>
    <xf numFmtId="0" fontId="39" fillId="0" borderId="25" xfId="1" applyFont="1" applyBorder="1" applyAlignment="1">
      <alignment horizontal="center"/>
    </xf>
    <xf numFmtId="0" fontId="1" fillId="0" borderId="28" xfId="1" applyBorder="1" applyAlignment="1">
      <alignment horizontal="center"/>
    </xf>
    <xf numFmtId="0" fontId="55" fillId="0" borderId="72" xfId="1" applyFont="1" applyBorder="1" applyAlignment="1">
      <alignment horizontal="center"/>
    </xf>
    <xf numFmtId="0" fontId="55" fillId="0" borderId="73" xfId="1" applyFont="1" applyBorder="1" applyAlignment="1">
      <alignment horizontal="center"/>
    </xf>
    <xf numFmtId="0" fontId="55" fillId="0" borderId="2" xfId="1" applyFont="1" applyBorder="1" applyAlignment="1">
      <alignment horizontal="center"/>
    </xf>
    <xf numFmtId="0" fontId="55" fillId="0" borderId="18" xfId="1" applyFont="1" applyBorder="1" applyAlignment="1">
      <alignment horizontal="center"/>
    </xf>
    <xf numFmtId="0" fontId="1" fillId="0" borderId="25" xfId="1" applyBorder="1" applyAlignment="1">
      <alignment horizontal="center"/>
    </xf>
    <xf numFmtId="0" fontId="55" fillId="0" borderId="7" xfId="1" applyFont="1" applyBorder="1" applyAlignment="1">
      <alignment horizontal="center"/>
    </xf>
    <xf numFmtId="0" fontId="55" fillId="0" borderId="103" xfId="1" applyFont="1" applyBorder="1" applyAlignment="1">
      <alignment horizontal="center"/>
    </xf>
    <xf numFmtId="0" fontId="1" fillId="0" borderId="2" xfId="1" applyBorder="1" applyAlignment="1">
      <alignment horizontal="center"/>
    </xf>
    <xf numFmtId="0" fontId="55" fillId="0" borderId="85" xfId="1" applyFont="1" applyBorder="1" applyAlignment="1">
      <alignment horizontal="center"/>
    </xf>
    <xf numFmtId="1" fontId="59" fillId="0" borderId="75" xfId="1" applyNumberFormat="1" applyFont="1" applyBorder="1" applyAlignment="1">
      <alignment horizontal="center" vertical="center" wrapText="1"/>
    </xf>
    <xf numFmtId="0" fontId="42" fillId="0" borderId="123" xfId="1" applyFont="1" applyBorder="1" applyAlignment="1">
      <alignment horizontal="center"/>
    </xf>
    <xf numFmtId="0" fontId="42" fillId="0" borderId="11" xfId="1" applyFont="1" applyBorder="1" applyAlignment="1">
      <alignment horizontal="center"/>
    </xf>
    <xf numFmtId="0" fontId="104" fillId="0" borderId="132" xfId="1" applyFont="1" applyBorder="1" applyAlignment="1">
      <alignment vertical="center"/>
    </xf>
    <xf numFmtId="0" fontId="104" fillId="0" borderId="133" xfId="1" applyFont="1" applyBorder="1" applyAlignment="1">
      <alignment vertical="center"/>
    </xf>
    <xf numFmtId="0" fontId="104" fillId="0" borderId="131" xfId="1" applyFont="1" applyBorder="1" applyAlignment="1">
      <alignment vertical="center"/>
    </xf>
    <xf numFmtId="0" fontId="105" fillId="0" borderId="18" xfId="2" applyFont="1" applyBorder="1" applyAlignment="1">
      <alignment horizontal="center" vertical="center"/>
    </xf>
    <xf numFmtId="0" fontId="106" fillId="0" borderId="6" xfId="2" applyFont="1" applyBorder="1" applyAlignment="1">
      <alignment horizontal="center"/>
    </xf>
    <xf numFmtId="0" fontId="107" fillId="0" borderId="28" xfId="2" applyFont="1" applyBorder="1" applyAlignment="1">
      <alignment horizontal="center" wrapText="1"/>
    </xf>
    <xf numFmtId="0" fontId="39" fillId="0" borderId="6" xfId="1" applyFont="1" applyBorder="1" applyAlignment="1">
      <alignment horizontal="center"/>
    </xf>
    <xf numFmtId="0" fontId="37" fillId="0" borderId="6" xfId="1" applyFont="1" applyBorder="1" applyAlignment="1">
      <alignment horizontal="center"/>
    </xf>
    <xf numFmtId="0" fontId="99" fillId="0" borderId="6" xfId="2" applyFont="1" applyBorder="1" applyAlignment="1">
      <alignment horizontal="center"/>
    </xf>
    <xf numFmtId="0" fontId="99" fillId="0" borderId="25" xfId="2" applyFont="1" applyBorder="1" applyAlignment="1">
      <alignment horizontal="center"/>
    </xf>
    <xf numFmtId="0" fontId="39" fillId="0" borderId="72" xfId="1" applyFont="1" applyBorder="1" applyAlignment="1">
      <alignment horizontal="center"/>
    </xf>
    <xf numFmtId="0" fontId="39" fillId="0" borderId="85" xfId="1" applyFont="1" applyBorder="1" applyAlignment="1">
      <alignment horizontal="center"/>
    </xf>
    <xf numFmtId="0" fontId="39" fillId="0" borderId="73" xfId="1" applyFont="1" applyBorder="1" applyAlignment="1">
      <alignment horizontal="center"/>
    </xf>
    <xf numFmtId="0" fontId="39" fillId="0" borderId="6" xfId="1" applyFont="1" applyBorder="1" applyAlignment="1">
      <alignment horizontal="center" vertical="center"/>
    </xf>
    <xf numFmtId="0" fontId="35" fillId="0" borderId="6" xfId="1" applyFont="1" applyBorder="1" applyAlignment="1">
      <alignment horizontal="center" vertical="center"/>
    </xf>
    <xf numFmtId="0" fontId="59" fillId="0" borderId="52" xfId="1" applyFont="1" applyBorder="1" applyAlignment="1">
      <alignment horizontal="center" vertical="center" wrapText="1"/>
    </xf>
    <xf numFmtId="0" fontId="20" fillId="0" borderId="0" xfId="2" applyFont="1" applyBorder="1" applyAlignment="1">
      <alignment horizontal="center"/>
    </xf>
    <xf numFmtId="0" fontId="102" fillId="0" borderId="0" xfId="2" applyFont="1" applyBorder="1" applyAlignment="1">
      <alignment horizontal="center"/>
    </xf>
    <xf numFmtId="0" fontId="35" fillId="0" borderId="104" xfId="1" applyFont="1" applyBorder="1" applyAlignment="1">
      <alignment horizontal="center" vertical="center"/>
    </xf>
    <xf numFmtId="0" fontId="35" fillId="0" borderId="105" xfId="1" applyFont="1" applyBorder="1" applyAlignment="1">
      <alignment horizontal="center" vertical="center"/>
    </xf>
    <xf numFmtId="0" fontId="35" fillId="0" borderId="106" xfId="1" applyFont="1" applyBorder="1" applyAlignment="1">
      <alignment horizontal="center" vertical="center"/>
    </xf>
    <xf numFmtId="0" fontId="35" fillId="0" borderId="107" xfId="1" applyFont="1" applyBorder="1" applyAlignment="1">
      <alignment horizontal="center" vertical="center"/>
    </xf>
    <xf numFmtId="0" fontId="35" fillId="0" borderId="0" xfId="1" applyFont="1" applyBorder="1" applyAlignment="1">
      <alignment horizontal="center" vertical="center"/>
    </xf>
    <xf numFmtId="0" fontId="35" fillId="0" borderId="108" xfId="1" applyFont="1" applyBorder="1" applyAlignment="1">
      <alignment horizontal="center" vertical="center"/>
    </xf>
    <xf numFmtId="0" fontId="35" fillId="0" borderId="109" xfId="1" applyFont="1" applyBorder="1" applyAlignment="1">
      <alignment horizontal="center" vertical="center"/>
    </xf>
    <xf numFmtId="0" fontId="35" fillId="0" borderId="110" xfId="1" applyFont="1" applyBorder="1" applyAlignment="1">
      <alignment horizontal="center" vertical="center"/>
    </xf>
    <xf numFmtId="0" fontId="35" fillId="0" borderId="111" xfId="1" applyFont="1" applyBorder="1" applyAlignment="1">
      <alignment horizontal="center" vertical="center"/>
    </xf>
    <xf numFmtId="0" fontId="35" fillId="0" borderId="112" xfId="1" applyFont="1" applyBorder="1" applyAlignment="1">
      <alignment horizontal="center" vertical="center"/>
    </xf>
    <xf numFmtId="0" fontId="35" fillId="0" borderId="7" xfId="1" applyFont="1" applyBorder="1" applyAlignment="1">
      <alignment horizontal="center" vertical="center"/>
    </xf>
    <xf numFmtId="0" fontId="35" fillId="0" borderId="22" xfId="1" applyFont="1" applyBorder="1" applyAlignment="1">
      <alignment horizontal="center" vertical="center"/>
    </xf>
    <xf numFmtId="0" fontId="1" fillId="0" borderId="93" xfId="1" applyBorder="1"/>
    <xf numFmtId="0" fontId="1" fillId="0" borderId="94" xfId="1" applyBorder="1"/>
    <xf numFmtId="0" fontId="72" fillId="0" borderId="94" xfId="1" applyFont="1" applyBorder="1" applyAlignment="1">
      <alignment horizontal="center"/>
    </xf>
    <xf numFmtId="0" fontId="72" fillId="0" borderId="6" xfId="1" applyFont="1" applyBorder="1" applyAlignment="1">
      <alignment horizontal="center"/>
    </xf>
    <xf numFmtId="0" fontId="103" fillId="0" borderId="0" xfId="2" applyFont="1" applyBorder="1" applyAlignment="1">
      <alignment horizontal="center"/>
    </xf>
    <xf numFmtId="0" fontId="1" fillId="0" borderId="25" xfId="1" applyBorder="1"/>
    <xf numFmtId="0" fontId="72" fillId="0" borderId="28" xfId="1" applyFont="1" applyBorder="1" applyAlignment="1">
      <alignment horizontal="center"/>
    </xf>
    <xf numFmtId="0" fontId="72" fillId="0" borderId="24" xfId="1" applyFont="1" applyBorder="1" applyAlignment="1">
      <alignment horizontal="center"/>
    </xf>
    <xf numFmtId="0" fontId="72" fillId="0" borderId="103" xfId="1" applyFont="1" applyBorder="1" applyAlignment="1">
      <alignment horizontal="center"/>
    </xf>
    <xf numFmtId="0" fontId="8" fillId="0" borderId="0" xfId="2" applyFont="1" applyBorder="1"/>
    <xf numFmtId="0" fontId="102" fillId="0" borderId="0" xfId="2" applyFont="1" applyBorder="1" applyAlignment="1">
      <alignment horizontal="center" vertical="center"/>
    </xf>
    <xf numFmtId="0" fontId="42" fillId="0" borderId="89" xfId="1" applyFont="1" applyBorder="1" applyAlignment="1">
      <alignment horizontal="center"/>
    </xf>
    <xf numFmtId="0" fontId="42" fillId="0" borderId="89" xfId="1" applyFont="1" applyBorder="1"/>
    <xf numFmtId="0" fontId="115" fillId="0" borderId="6" xfId="1" applyFont="1" applyBorder="1" applyAlignment="1">
      <alignment vertical="center"/>
    </xf>
    <xf numFmtId="0" fontId="115" fillId="0" borderId="6" xfId="1" applyFont="1" applyBorder="1" applyAlignment="1">
      <alignment horizontal="center" vertical="center"/>
    </xf>
    <xf numFmtId="0" fontId="115" fillId="0" borderId="28" xfId="1" applyFont="1" applyBorder="1" applyAlignment="1">
      <alignment horizontal="center" vertical="center"/>
    </xf>
    <xf numFmtId="0" fontId="129" fillId="0" borderId="90" xfId="1" applyFont="1" applyBorder="1" applyAlignment="1">
      <alignment horizontal="left" vertical="center"/>
    </xf>
    <xf numFmtId="0" fontId="129" fillId="0" borderId="92" xfId="1" applyFont="1" applyBorder="1" applyAlignment="1">
      <alignment horizontal="left" vertical="center"/>
    </xf>
    <xf numFmtId="1" fontId="29" fillId="0" borderId="6" xfId="1" applyNumberFormat="1" applyFont="1" applyBorder="1" applyAlignment="1">
      <alignment horizontal="center" vertical="center"/>
    </xf>
    <xf numFmtId="0" fontId="8" fillId="4" borderId="0" xfId="2" applyFill="1" applyBorder="1" applyAlignment="1">
      <alignment horizontal="center"/>
    </xf>
    <xf numFmtId="0" fontId="59" fillId="0" borderId="65" xfId="1" applyFont="1" applyBorder="1" applyAlignment="1">
      <alignment horizontal="left" vertical="center"/>
    </xf>
    <xf numFmtId="0" fontId="35" fillId="0" borderId="25" xfId="1" applyFont="1" applyBorder="1" applyAlignment="1">
      <alignment horizontal="center" vertical="center"/>
    </xf>
    <xf numFmtId="0" fontId="59" fillId="0" borderId="6" xfId="1" applyFont="1" applyBorder="1" applyAlignment="1">
      <alignment horizontal="center" vertical="center"/>
    </xf>
    <xf numFmtId="0" fontId="29" fillId="0" borderId="6" xfId="1" applyFont="1" applyBorder="1" applyAlignment="1">
      <alignment horizontal="center" vertical="center"/>
    </xf>
    <xf numFmtId="0" fontId="115" fillId="0" borderId="75" xfId="1" applyFont="1" applyBorder="1" applyAlignment="1">
      <alignment vertical="center"/>
    </xf>
    <xf numFmtId="0" fontId="39" fillId="0" borderId="2" xfId="1" applyFont="1" applyBorder="1" applyAlignment="1">
      <alignment horizontal="center" vertical="center" wrapText="1"/>
    </xf>
    <xf numFmtId="0" fontId="55" fillId="0" borderId="28" xfId="1" applyFont="1" applyBorder="1" applyAlignment="1">
      <alignment horizontal="center" vertical="center"/>
    </xf>
    <xf numFmtId="0" fontId="39" fillId="0" borderId="24" xfId="1" applyFont="1" applyBorder="1" applyAlignment="1">
      <alignment horizontal="center" vertical="center"/>
    </xf>
    <xf numFmtId="0" fontId="39" fillId="0" borderId="25" xfId="1" applyFont="1" applyBorder="1" applyAlignment="1">
      <alignment vertical="center" wrapText="1"/>
    </xf>
    <xf numFmtId="0" fontId="39" fillId="0" borderId="6" xfId="1" applyFont="1" applyBorder="1" applyAlignment="1">
      <alignment horizontal="center" vertical="center" wrapText="1"/>
    </xf>
    <xf numFmtId="0" fontId="39" fillId="0" borderId="75" xfId="1" applyFont="1" applyBorder="1" applyAlignment="1">
      <alignment horizontal="center" vertical="center" wrapText="1"/>
    </xf>
    <xf numFmtId="0" fontId="39" fillId="0" borderId="72" xfId="1" applyFont="1" applyFill="1" applyBorder="1" applyAlignment="1">
      <alignment horizontal="center" vertical="center" wrapText="1"/>
    </xf>
    <xf numFmtId="0" fontId="39" fillId="0" borderId="85" xfId="1" applyFont="1" applyFill="1" applyBorder="1" applyAlignment="1">
      <alignment horizontal="center" vertical="center" wrapText="1"/>
    </xf>
    <xf numFmtId="0" fontId="39" fillId="0" borderId="73" xfId="1" applyFont="1" applyFill="1" applyBorder="1" applyAlignment="1">
      <alignment horizontal="center" vertical="center" wrapText="1"/>
    </xf>
    <xf numFmtId="0" fontId="36" fillId="0" borderId="0" xfId="1" applyFont="1" applyBorder="1" applyAlignment="1">
      <alignment horizontal="center"/>
    </xf>
    <xf numFmtId="0" fontId="116" fillId="0" borderId="6" xfId="1" applyFont="1" applyBorder="1" applyAlignment="1">
      <alignment horizontal="center" vertical="center"/>
    </xf>
    <xf numFmtId="0" fontId="117" fillId="0" borderId="6" xfId="1" applyFont="1" applyBorder="1" applyAlignment="1">
      <alignment horizontal="center" vertical="center"/>
    </xf>
    <xf numFmtId="0" fontId="40" fillId="0" borderId="0" xfId="2" applyFont="1" applyBorder="1" applyAlignment="1">
      <alignment horizontal="center" vertical="center"/>
    </xf>
    <xf numFmtId="0" fontId="110" fillId="0" borderId="72" xfId="2" applyFont="1" applyBorder="1" applyAlignment="1">
      <alignment horizontal="center"/>
    </xf>
    <xf numFmtId="0" fontId="110" fillId="0" borderId="85" xfId="2" applyFont="1" applyBorder="1" applyAlignment="1">
      <alignment horizontal="center"/>
    </xf>
    <xf numFmtId="0" fontId="110" fillId="0" borderId="73" xfId="2" applyFont="1" applyBorder="1" applyAlignment="1">
      <alignment horizontal="center"/>
    </xf>
    <xf numFmtId="0" fontId="114" fillId="0" borderId="0" xfId="2" applyFont="1" applyBorder="1" applyAlignment="1">
      <alignment horizontal="center"/>
    </xf>
    <xf numFmtId="0" fontId="73" fillId="0" borderId="6" xfId="1" applyFont="1" applyBorder="1" applyAlignment="1">
      <alignment horizontal="center" vertical="center"/>
    </xf>
    <xf numFmtId="0" fontId="100" fillId="0" borderId="6" xfId="2" applyFont="1" applyBorder="1" applyAlignment="1">
      <alignment horizontal="center"/>
    </xf>
    <xf numFmtId="0" fontId="100" fillId="22" borderId="6" xfId="0" applyFont="1" applyFill="1" applyBorder="1" applyAlignment="1">
      <alignment horizontal="center"/>
    </xf>
    <xf numFmtId="171" fontId="99" fillId="0" borderId="72" xfId="2" applyNumberFormat="1" applyFont="1" applyBorder="1" applyAlignment="1">
      <alignment horizontal="center"/>
    </xf>
    <xf numFmtId="171" fontId="99" fillId="0" borderId="85" xfId="2" applyNumberFormat="1" applyFont="1" applyBorder="1" applyAlignment="1">
      <alignment horizontal="center"/>
    </xf>
    <xf numFmtId="171" fontId="99" fillId="0" borderId="73" xfId="2" applyNumberFormat="1" applyFont="1" applyBorder="1" applyAlignment="1">
      <alignment horizontal="center"/>
    </xf>
    <xf numFmtId="0" fontId="42" fillId="0" borderId="6" xfId="1" applyFont="1" applyBorder="1" applyAlignment="1">
      <alignment horizontal="center" vertical="center"/>
    </xf>
    <xf numFmtId="0" fontId="42" fillId="0" borderId="24" xfId="1" applyFont="1" applyBorder="1" applyAlignment="1">
      <alignment vertical="center"/>
    </xf>
    <xf numFmtId="0" fontId="55" fillId="0" borderId="6" xfId="1" applyFont="1" applyBorder="1" applyAlignment="1">
      <alignment horizontal="center" vertical="center"/>
    </xf>
    <xf numFmtId="0" fontId="9" fillId="0" borderId="6" xfId="2" applyFont="1" applyFill="1" applyBorder="1" applyAlignment="1">
      <alignment horizontal="center" vertical="center"/>
    </xf>
    <xf numFmtId="0" fontId="9" fillId="0" borderId="36" xfId="2" applyFont="1" applyFill="1" applyBorder="1" applyAlignment="1">
      <alignment horizontal="center" vertical="center"/>
    </xf>
    <xf numFmtId="0" fontId="9" fillId="0" borderId="76" xfId="2" applyFont="1" applyFill="1" applyBorder="1" applyAlignment="1">
      <alignment horizontal="center" vertical="center"/>
    </xf>
    <xf numFmtId="0" fontId="9" fillId="0" borderId="13" xfId="2" applyFont="1" applyFill="1" applyBorder="1" applyAlignment="1">
      <alignment horizontal="center" vertical="center"/>
    </xf>
    <xf numFmtId="0" fontId="1" fillId="0" borderId="13" xfId="1" applyFill="1" applyBorder="1" applyAlignment="1">
      <alignment horizontal="center" vertical="center"/>
    </xf>
    <xf numFmtId="0" fontId="12" fillId="0" borderId="0" xfId="2" applyFont="1" applyFill="1" applyBorder="1" applyAlignment="1">
      <alignment horizontal="center" vertical="center" wrapText="1"/>
    </xf>
    <xf numFmtId="14" fontId="9" fillId="0" borderId="52" xfId="2" applyNumberFormat="1" applyFont="1" applyFill="1" applyBorder="1" applyAlignment="1">
      <alignment horizontal="center" vertical="center"/>
    </xf>
    <xf numFmtId="14" fontId="9" fillId="0" borderId="5" xfId="2" applyNumberFormat="1" applyFont="1" applyFill="1" applyBorder="1" applyAlignment="1">
      <alignment horizontal="center" vertical="center"/>
    </xf>
    <xf numFmtId="0" fontId="25" fillId="0" borderId="0" xfId="2" applyFont="1" applyFill="1" applyBorder="1" applyAlignment="1">
      <alignment horizontal="center" vertical="center" wrapText="1"/>
    </xf>
    <xf numFmtId="14" fontId="9" fillId="0" borderId="40" xfId="2" applyNumberFormat="1" applyFont="1" applyFill="1" applyBorder="1" applyAlignment="1">
      <alignment horizontal="center" vertical="center"/>
    </xf>
    <xf numFmtId="0" fontId="9" fillId="0" borderId="34" xfId="2" applyFont="1" applyFill="1" applyBorder="1" applyAlignment="1">
      <alignment horizontal="center" vertical="center" wrapText="1"/>
    </xf>
    <xf numFmtId="0" fontId="1" fillId="0" borderId="37" xfId="1" applyFill="1" applyBorder="1" applyAlignment="1">
      <alignment horizontal="center"/>
    </xf>
    <xf numFmtId="0" fontId="0" fillId="0" borderId="37" xfId="0" applyFill="1" applyBorder="1" applyAlignment="1">
      <alignment horizontal="center"/>
    </xf>
    <xf numFmtId="0" fontId="1" fillId="0" borderId="5" xfId="1" applyFill="1" applyBorder="1" applyAlignment="1">
      <alignment horizontal="center"/>
    </xf>
    <xf numFmtId="0" fontId="0" fillId="0" borderId="5" xfId="0" applyFill="1" applyBorder="1" applyAlignment="1">
      <alignment horizontal="center"/>
    </xf>
    <xf numFmtId="0" fontId="1" fillId="0" borderId="6" xfId="1" applyFill="1" applyBorder="1" applyAlignment="1">
      <alignment horizontal="center"/>
    </xf>
    <xf numFmtId="0" fontId="1" fillId="0" borderId="34" xfId="1" applyFill="1" applyBorder="1" applyAlignment="1">
      <alignment horizontal="center"/>
    </xf>
    <xf numFmtId="0" fontId="0" fillId="0" borderId="34" xfId="0" applyFill="1" applyBorder="1" applyAlignment="1">
      <alignment horizontal="center"/>
    </xf>
    <xf numFmtId="0" fontId="12" fillId="0" borderId="0" xfId="2" applyFont="1" applyFill="1" applyBorder="1" applyAlignment="1">
      <alignment horizontal="center" vertical="center"/>
    </xf>
    <xf numFmtId="0" fontId="9" fillId="0" borderId="6" xfId="2" applyFont="1" applyFill="1" applyBorder="1" applyAlignment="1">
      <alignment vertical="center" wrapText="1"/>
    </xf>
    <xf numFmtId="0" fontId="9" fillId="0" borderId="28" xfId="2" applyFont="1" applyFill="1" applyBorder="1" applyAlignment="1">
      <alignment vertical="center" wrapText="1"/>
    </xf>
    <xf numFmtId="0" fontId="9" fillId="0" borderId="39" xfId="2" applyFont="1" applyFill="1" applyBorder="1" applyAlignment="1">
      <alignment horizontal="center" vertical="center"/>
    </xf>
    <xf numFmtId="0" fontId="1" fillId="0" borderId="84" xfId="1" applyFill="1" applyBorder="1" applyAlignment="1">
      <alignment horizontal="center"/>
    </xf>
    <xf numFmtId="0" fontId="9" fillId="0" borderId="5" xfId="2" applyFont="1" applyFill="1" applyBorder="1" applyAlignment="1">
      <alignment horizontal="center" vertical="center"/>
    </xf>
    <xf numFmtId="0" fontId="1" fillId="0" borderId="41" xfId="1" applyFill="1" applyBorder="1" applyAlignment="1">
      <alignment horizontal="center"/>
    </xf>
    <xf numFmtId="0" fontId="9" fillId="0" borderId="37" xfId="2" applyFont="1" applyFill="1" applyBorder="1" applyAlignment="1">
      <alignment horizontal="center" vertical="center"/>
    </xf>
    <xf numFmtId="0" fontId="1" fillId="0" borderId="42" xfId="1" applyFill="1" applyBorder="1" applyAlignment="1">
      <alignment horizontal="center"/>
    </xf>
    <xf numFmtId="0" fontId="1" fillId="0" borderId="28" xfId="1" applyFont="1" applyFill="1" applyBorder="1" applyAlignment="1">
      <alignment horizontal="center" vertical="center" wrapText="1"/>
    </xf>
    <xf numFmtId="0" fontId="9" fillId="0" borderId="34" xfId="2" applyFont="1" applyFill="1" applyBorder="1" applyAlignment="1">
      <alignment horizontal="center" vertical="center"/>
    </xf>
    <xf numFmtId="0" fontId="1" fillId="0" borderId="17" xfId="1" applyFill="1" applyBorder="1" applyAlignment="1">
      <alignment horizontal="center"/>
    </xf>
    <xf numFmtId="0" fontId="12" fillId="0" borderId="6" xfId="1" applyFont="1" applyFill="1" applyBorder="1" applyAlignment="1">
      <alignment horizontal="left" vertical="top"/>
    </xf>
    <xf numFmtId="0" fontId="12" fillId="0" borderId="0" xfId="1" applyFont="1" applyFill="1" applyBorder="1" applyAlignment="1">
      <alignment horizontal="center" vertical="center"/>
    </xf>
    <xf numFmtId="0" fontId="9" fillId="0" borderId="0" xfId="2" applyFont="1" applyFill="1" applyBorder="1" applyAlignment="1">
      <alignment horizontal="center" vertical="center" wrapText="1"/>
    </xf>
    <xf numFmtId="0" fontId="1" fillId="0" borderId="0" xfId="1" applyFont="1" applyFill="1" applyBorder="1" applyAlignment="1">
      <alignment horizontal="center" vertical="center" wrapText="1"/>
    </xf>
    <xf numFmtId="0" fontId="158" fillId="0" borderId="72" xfId="1" applyFont="1" applyFill="1" applyBorder="1" applyAlignment="1">
      <alignment horizontal="center" vertical="center"/>
    </xf>
    <xf numFmtId="0" fontId="158" fillId="0" borderId="85" xfId="1" applyFont="1" applyFill="1" applyBorder="1" applyAlignment="1">
      <alignment horizontal="center" vertical="center"/>
    </xf>
    <xf numFmtId="0" fontId="158" fillId="0" borderId="73" xfId="1" applyFont="1" applyFill="1" applyBorder="1" applyAlignment="1">
      <alignment horizontal="center" vertical="center"/>
    </xf>
    <xf numFmtId="0" fontId="15" fillId="0" borderId="6" xfId="2" applyFont="1" applyFill="1" applyBorder="1" applyAlignment="1">
      <alignment horizontal="center" vertical="center"/>
    </xf>
    <xf numFmtId="0" fontId="9" fillId="0" borderId="6" xfId="1" applyFont="1" applyFill="1" applyBorder="1" applyAlignment="1">
      <alignment horizontal="center" vertical="center"/>
    </xf>
    <xf numFmtId="0" fontId="9" fillId="0" borderId="51" xfId="1" applyFont="1" applyFill="1" applyBorder="1" applyAlignment="1">
      <alignment horizontal="center" vertical="center"/>
    </xf>
    <xf numFmtId="0" fontId="15" fillId="0" borderId="6" xfId="1" applyFont="1" applyFill="1" applyBorder="1" applyAlignment="1">
      <alignment horizontal="center" vertical="center"/>
    </xf>
    <xf numFmtId="0" fontId="9" fillId="0" borderId="52" xfId="1" applyFont="1" applyFill="1" applyBorder="1" applyAlignment="1">
      <alignment horizontal="center" vertical="center"/>
    </xf>
    <xf numFmtId="0" fontId="28" fillId="0" borderId="28" xfId="1" applyFont="1" applyFill="1" applyBorder="1" applyAlignment="1">
      <alignment horizontal="center" vertical="center"/>
    </xf>
    <xf numFmtId="0" fontId="28" fillId="0" borderId="6" xfId="1" applyFont="1" applyFill="1" applyBorder="1" applyAlignment="1">
      <alignment horizontal="center" vertical="center"/>
    </xf>
    <xf numFmtId="0" fontId="9" fillId="0" borderId="68" xfId="1" applyFont="1" applyFill="1" applyBorder="1" applyAlignment="1">
      <alignment horizontal="center" vertical="center"/>
    </xf>
    <xf numFmtId="0" fontId="9" fillId="0" borderId="65" xfId="1" applyFont="1" applyFill="1" applyBorder="1" applyAlignment="1">
      <alignment horizontal="center" vertical="center"/>
    </xf>
    <xf numFmtId="0" fontId="9" fillId="0" borderId="75" xfId="1" applyFont="1" applyFill="1" applyBorder="1" applyAlignment="1">
      <alignment horizontal="center" vertical="center"/>
    </xf>
    <xf numFmtId="0" fontId="9" fillId="0" borderId="26" xfId="1" applyFont="1" applyFill="1" applyBorder="1" applyAlignment="1">
      <alignment horizontal="center" vertical="center"/>
    </xf>
    <xf numFmtId="0" fontId="9" fillId="0" borderId="72" xfId="1" applyFont="1" applyFill="1" applyBorder="1" applyAlignment="1">
      <alignment horizontal="center" vertical="center"/>
    </xf>
    <xf numFmtId="0" fontId="9" fillId="0" borderId="73" xfId="1" applyFont="1" applyFill="1" applyBorder="1" applyAlignment="1">
      <alignment horizontal="center" vertical="center"/>
    </xf>
    <xf numFmtId="1" fontId="9" fillId="0" borderId="72" xfId="1" applyNumberFormat="1" applyFont="1" applyFill="1" applyBorder="1" applyAlignment="1">
      <alignment horizontal="center" vertical="center"/>
    </xf>
    <xf numFmtId="1" fontId="9" fillId="0" borderId="85" xfId="1" applyNumberFormat="1" applyFont="1" applyFill="1" applyBorder="1" applyAlignment="1">
      <alignment horizontal="center" vertical="center"/>
    </xf>
    <xf numFmtId="1" fontId="9" fillId="0" borderId="73" xfId="1" applyNumberFormat="1" applyFont="1" applyFill="1" applyBorder="1" applyAlignment="1">
      <alignment horizontal="center" vertical="center"/>
    </xf>
    <xf numFmtId="0" fontId="26" fillId="0" borderId="0" xfId="1" applyFont="1" applyFill="1" applyBorder="1" applyAlignment="1">
      <alignment horizontal="center" vertical="center"/>
    </xf>
    <xf numFmtId="0" fontId="27" fillId="0" borderId="0" xfId="1" applyFont="1" applyFill="1" applyBorder="1" applyAlignment="1">
      <alignment horizontal="center" vertical="center"/>
    </xf>
    <xf numFmtId="0" fontId="9" fillId="0" borderId="50" xfId="1" applyFont="1" applyFill="1" applyBorder="1" applyAlignment="1">
      <alignment horizontal="center" vertical="center"/>
    </xf>
    <xf numFmtId="12" fontId="9" fillId="0" borderId="33" xfId="1" applyNumberFormat="1" applyFont="1" applyFill="1" applyBorder="1" applyAlignment="1">
      <alignment horizontal="center" vertical="center"/>
    </xf>
    <xf numFmtId="12" fontId="9" fillId="0" borderId="6" xfId="1" applyNumberFormat="1" applyFont="1" applyFill="1" applyBorder="1" applyAlignment="1">
      <alignment horizontal="center" vertical="center"/>
    </xf>
    <xf numFmtId="1" fontId="9" fillId="0" borderId="6" xfId="1" applyNumberFormat="1" applyFont="1" applyFill="1" applyBorder="1" applyAlignment="1">
      <alignment horizontal="center" vertical="center"/>
    </xf>
    <xf numFmtId="0" fontId="9" fillId="0" borderId="33" xfId="1" applyFont="1" applyFill="1" applyBorder="1" applyAlignment="1">
      <alignment horizontal="center" vertical="center"/>
    </xf>
    <xf numFmtId="0" fontId="159" fillId="0" borderId="72" xfId="0" applyFont="1" applyBorder="1" applyAlignment="1">
      <alignment vertical="center"/>
    </xf>
    <xf numFmtId="0" fontId="159" fillId="0" borderId="85" xfId="0" applyFont="1" applyBorder="1" applyAlignment="1">
      <alignment vertical="center"/>
    </xf>
    <xf numFmtId="0" fontId="159" fillId="0" borderId="73" xfId="0" applyFont="1" applyBorder="1" applyAlignment="1">
      <alignment vertical="center"/>
    </xf>
    <xf numFmtId="0" fontId="160" fillId="0" borderId="72" xfId="0" applyFont="1" applyBorder="1" applyAlignment="1">
      <alignment horizontal="left"/>
    </xf>
    <xf numFmtId="0" fontId="160" fillId="0" borderId="85" xfId="0" applyFont="1" applyBorder="1" applyAlignment="1">
      <alignment horizontal="left"/>
    </xf>
    <xf numFmtId="0" fontId="160" fillId="0" borderId="73" xfId="0" applyFont="1" applyBorder="1" applyAlignment="1">
      <alignment horizontal="left"/>
    </xf>
    <xf numFmtId="0" fontId="161" fillId="24" borderId="104" xfId="0" applyFont="1" applyFill="1" applyBorder="1" applyAlignment="1">
      <alignment horizontal="center"/>
    </xf>
    <xf numFmtId="0" fontId="161" fillId="24" borderId="105" xfId="0" applyFont="1" applyFill="1" applyBorder="1" applyAlignment="1">
      <alignment horizontal="center"/>
    </xf>
    <xf numFmtId="0" fontId="161" fillId="24" borderId="106" xfId="0" applyFont="1" applyFill="1" applyBorder="1" applyAlignment="1">
      <alignment horizontal="center"/>
    </xf>
    <xf numFmtId="0" fontId="161" fillId="24" borderId="107" xfId="0" applyFont="1" applyFill="1" applyBorder="1" applyAlignment="1">
      <alignment horizontal="center"/>
    </xf>
    <xf numFmtId="0" fontId="161" fillId="24" borderId="0" xfId="0" applyFont="1" applyFill="1" applyBorder="1" applyAlignment="1">
      <alignment horizontal="center"/>
    </xf>
    <xf numFmtId="0" fontId="161" fillId="24" borderId="108" xfId="0" applyFont="1" applyFill="1" applyBorder="1" applyAlignment="1">
      <alignment horizontal="center"/>
    </xf>
    <xf numFmtId="0" fontId="161" fillId="24" borderId="109" xfId="0" applyFont="1" applyFill="1" applyBorder="1" applyAlignment="1">
      <alignment horizontal="center"/>
    </xf>
    <xf numFmtId="0" fontId="161" fillId="24" borderId="110" xfId="0" applyFont="1" applyFill="1" applyBorder="1" applyAlignment="1">
      <alignment horizontal="center"/>
    </xf>
    <xf numFmtId="0" fontId="161" fillId="24" borderId="111" xfId="0" applyFont="1" applyFill="1" applyBorder="1" applyAlignment="1">
      <alignment horizontal="center"/>
    </xf>
    <xf numFmtId="0" fontId="160" fillId="0" borderId="72" xfId="0" applyFont="1" applyBorder="1" applyAlignment="1">
      <alignment horizontal="center"/>
    </xf>
    <xf numFmtId="0" fontId="160" fillId="0" borderId="85" xfId="0" applyFont="1" applyBorder="1" applyAlignment="1">
      <alignment horizontal="center"/>
    </xf>
    <xf numFmtId="0" fontId="160" fillId="0" borderId="73" xfId="0" applyFont="1" applyBorder="1" applyAlignment="1">
      <alignment horizontal="center"/>
    </xf>
    <xf numFmtId="0" fontId="160" fillId="0" borderId="0" xfId="0" applyFont="1" applyAlignment="1">
      <alignment horizontal="center"/>
    </xf>
    <xf numFmtId="0" fontId="162" fillId="0" borderId="0" xfId="0" applyFont="1" applyAlignment="1">
      <alignment horizontal="center"/>
    </xf>
    <xf numFmtId="0" fontId="163" fillId="0" borderId="0" xfId="0" applyFont="1" applyAlignment="1">
      <alignment horizontal="center"/>
    </xf>
    <xf numFmtId="0" fontId="33" fillId="20" borderId="110" xfId="0" applyFont="1" applyFill="1" applyBorder="1" applyAlignment="1">
      <alignment horizontal="center" wrapText="1"/>
    </xf>
    <xf numFmtId="0" fontId="152" fillId="20" borderId="110" xfId="0" applyFont="1" applyFill="1" applyBorder="1" applyAlignment="1">
      <alignment horizontal="center" wrapText="1"/>
    </xf>
    <xf numFmtId="0" fontId="0" fillId="0" borderId="0" xfId="0" applyAlignment="1">
      <alignment horizontal="center"/>
    </xf>
    <xf numFmtId="0" fontId="42" fillId="0" borderId="27" xfId="1" applyFont="1" applyBorder="1" applyAlignment="1">
      <alignment horizontal="center" wrapText="1"/>
    </xf>
    <xf numFmtId="0" fontId="42" fillId="0" borderId="7" xfId="1" applyFont="1" applyBorder="1" applyAlignment="1">
      <alignment horizontal="center" wrapText="1"/>
    </xf>
    <xf numFmtId="0" fontId="42" fillId="0" borderId="28" xfId="1" applyFont="1" applyBorder="1" applyAlignment="1">
      <alignment horizontal="center" wrapText="1"/>
    </xf>
    <xf numFmtId="0" fontId="42" fillId="0" borderId="24" xfId="1" applyFont="1" applyBorder="1" applyAlignment="1">
      <alignment horizontal="center" wrapText="1"/>
    </xf>
    <xf numFmtId="0" fontId="1" fillId="0" borderId="75" xfId="1" applyBorder="1"/>
    <xf numFmtId="0" fontId="84" fillId="0" borderId="87" xfId="1" applyFont="1" applyBorder="1" applyAlignment="1">
      <alignment horizontal="center"/>
    </xf>
    <xf numFmtId="0" fontId="42" fillId="0" borderId="7" xfId="1" applyFont="1" applyBorder="1" applyAlignment="1">
      <alignment horizontal="center"/>
    </xf>
    <xf numFmtId="0" fontId="59" fillId="0" borderId="7" xfId="1" applyFont="1" applyBorder="1" applyAlignment="1">
      <alignment horizontal="center"/>
    </xf>
    <xf numFmtId="0" fontId="1" fillId="0" borderId="124" xfId="1" applyFont="1" applyBorder="1" applyAlignment="1">
      <alignment horizontal="center"/>
    </xf>
    <xf numFmtId="0" fontId="84" fillId="0" borderId="125" xfId="1" applyFont="1" applyBorder="1" applyAlignment="1">
      <alignment horizontal="center"/>
    </xf>
    <xf numFmtId="0" fontId="1" fillId="0" borderId="22" xfId="1" applyBorder="1"/>
    <xf numFmtId="0" fontId="42" fillId="0" borderId="24" xfId="1" applyFont="1" applyBorder="1" applyAlignment="1">
      <alignment horizontal="center"/>
    </xf>
    <xf numFmtId="0" fontId="1" fillId="0" borderId="88" xfId="1" applyFont="1" applyBorder="1" applyAlignment="1">
      <alignment horizontal="center"/>
    </xf>
    <xf numFmtId="0" fontId="80" fillId="0" borderId="75" xfId="1" applyFont="1" applyBorder="1"/>
    <xf numFmtId="0" fontId="83" fillId="0" borderId="53" xfId="1" applyFont="1" applyBorder="1" applyAlignment="1">
      <alignment horizontal="center" vertical="center"/>
    </xf>
    <xf numFmtId="0" fontId="59" fillId="0" borderId="6" xfId="1" applyFont="1" applyBorder="1"/>
    <xf numFmtId="0" fontId="80" fillId="0" borderId="6" xfId="1" applyFont="1" applyBorder="1"/>
    <xf numFmtId="0" fontId="1" fillId="0" borderId="4" xfId="1" applyBorder="1" applyProtection="1"/>
    <xf numFmtId="0" fontId="64" fillId="0" borderId="33" xfId="1" applyFont="1" applyBorder="1" applyAlignment="1">
      <alignment horizontal="center" vertical="center"/>
    </xf>
    <xf numFmtId="0" fontId="1" fillId="0" borderId="43" xfId="1" applyBorder="1" applyProtection="1"/>
    <xf numFmtId="0" fontId="83" fillId="0" borderId="33" xfId="1" applyFont="1" applyBorder="1" applyAlignment="1">
      <alignment horizontal="center" vertical="center"/>
    </xf>
    <xf numFmtId="0" fontId="59" fillId="0" borderId="75" xfId="1" applyFont="1" applyBorder="1" applyAlignment="1">
      <alignment horizontal="center"/>
    </xf>
    <xf numFmtId="0" fontId="42" fillId="0" borderId="4" xfId="1" applyFont="1" applyBorder="1" applyAlignment="1" applyProtection="1">
      <alignment horizontal="center"/>
    </xf>
    <xf numFmtId="0" fontId="82" fillId="0" borderId="6" xfId="1" applyFont="1" applyBorder="1"/>
    <xf numFmtId="12" fontId="59" fillId="0" borderId="28" xfId="1" applyNumberFormat="1" applyFont="1" applyBorder="1" applyAlignment="1">
      <alignment horizontal="center"/>
    </xf>
    <xf numFmtId="0" fontId="59" fillId="0" borderId="6" xfId="1" applyFont="1" applyBorder="1" applyAlignment="1">
      <alignment horizontal="center"/>
    </xf>
    <xf numFmtId="12" fontId="59" fillId="0" borderId="24" xfId="1" applyNumberFormat="1" applyFont="1" applyBorder="1" applyAlignment="1">
      <alignment horizontal="center"/>
    </xf>
    <xf numFmtId="12" fontId="59" fillId="0" borderId="25" xfId="1" applyNumberFormat="1" applyFont="1" applyBorder="1" applyAlignment="1">
      <alignment horizontal="center"/>
    </xf>
    <xf numFmtId="0" fontId="42" fillId="0" borderId="4" xfId="1" applyFont="1" applyBorder="1" applyProtection="1"/>
    <xf numFmtId="0" fontId="78" fillId="0" borderId="0" xfId="1" applyFont="1" applyBorder="1"/>
    <xf numFmtId="0" fontId="29" fillId="0" borderId="6" xfId="1" applyFont="1" applyBorder="1" applyAlignment="1">
      <alignment horizontal="center"/>
    </xf>
    <xf numFmtId="0" fontId="59" fillId="0" borderId="75" xfId="1" applyFont="1" applyBorder="1"/>
    <xf numFmtId="0" fontId="79" fillId="0" borderId="6" xfId="1" applyFont="1" applyBorder="1" applyAlignment="1">
      <alignment horizontal="center" vertical="center"/>
    </xf>
    <xf numFmtId="0" fontId="59" fillId="0" borderId="4" xfId="1" applyFont="1" applyBorder="1" applyAlignment="1">
      <alignment horizontal="center"/>
    </xf>
    <xf numFmtId="0" fontId="1" fillId="0" borderId="4" xfId="1" applyBorder="1"/>
    <xf numFmtId="0" fontId="42" fillId="0" borderId="4" xfId="1" applyFont="1" applyBorder="1" applyAlignment="1">
      <alignment horizontal="center"/>
    </xf>
    <xf numFmtId="0" fontId="59" fillId="0" borderId="134" xfId="1" applyFont="1" applyBorder="1" applyAlignment="1">
      <alignment horizontal="center"/>
    </xf>
    <xf numFmtId="0" fontId="1" fillId="0" borderId="77" xfId="1" applyBorder="1"/>
    <xf numFmtId="1" fontId="30" fillId="0" borderId="0" xfId="1" applyNumberFormat="1" applyFont="1" applyBorder="1"/>
    <xf numFmtId="0" fontId="76" fillId="0" borderId="0" xfId="1" applyFont="1" applyBorder="1"/>
    <xf numFmtId="0" fontId="48" fillId="0" borderId="6" xfId="1" applyFont="1" applyBorder="1" applyAlignment="1">
      <alignment horizontal="center"/>
    </xf>
    <xf numFmtId="0" fontId="29" fillId="0" borderId="6" xfId="1" applyFont="1" applyBorder="1"/>
    <xf numFmtId="0" fontId="58" fillId="4" borderId="6" xfId="1" applyFont="1" applyFill="1" applyBorder="1"/>
    <xf numFmtId="12" fontId="58" fillId="4" borderId="28" xfId="1" applyNumberFormat="1" applyFont="1" applyFill="1" applyBorder="1" applyAlignment="1">
      <alignment horizontal="right"/>
    </xf>
    <xf numFmtId="0" fontId="77" fillId="0" borderId="72" xfId="1" applyFont="1" applyBorder="1" applyAlignment="1">
      <alignment horizontal="center"/>
    </xf>
    <xf numFmtId="0" fontId="77" fillId="0" borderId="85" xfId="1" applyFont="1" applyBorder="1" applyAlignment="1">
      <alignment horizontal="center"/>
    </xf>
    <xf numFmtId="0" fontId="77" fillId="0" borderId="73" xfId="1" applyFont="1" applyBorder="1" applyAlignment="1">
      <alignment horizontal="center"/>
    </xf>
    <xf numFmtId="0" fontId="151" fillId="0" borderId="72" xfId="1" applyFont="1" applyBorder="1" applyAlignment="1">
      <alignment horizontal="center"/>
    </xf>
    <xf numFmtId="0" fontId="151" fillId="0" borderId="85" xfId="1" applyFont="1" applyBorder="1" applyAlignment="1">
      <alignment horizontal="center"/>
    </xf>
    <xf numFmtId="0" fontId="151" fillId="0" borderId="73" xfId="1" applyFont="1" applyBorder="1" applyAlignment="1">
      <alignment horizontal="center"/>
    </xf>
    <xf numFmtId="0" fontId="152" fillId="0" borderId="72" xfId="1" applyFont="1" applyBorder="1" applyAlignment="1">
      <alignment horizontal="center"/>
    </xf>
    <xf numFmtId="0" fontId="152" fillId="0" borderId="85" xfId="1" applyFont="1" applyBorder="1" applyAlignment="1">
      <alignment horizontal="center"/>
    </xf>
    <xf numFmtId="0" fontId="152" fillId="0" borderId="73" xfId="1" applyFont="1" applyBorder="1" applyAlignment="1">
      <alignment horizontal="center"/>
    </xf>
    <xf numFmtId="0" fontId="1" fillId="0" borderId="72" xfId="1" applyBorder="1" applyAlignment="1">
      <alignment horizontal="left" vertical="center"/>
    </xf>
    <xf numFmtId="0" fontId="1" fillId="0" borderId="85" xfId="1" applyBorder="1" applyAlignment="1">
      <alignment horizontal="left" vertical="center"/>
    </xf>
    <xf numFmtId="0" fontId="1" fillId="0" borderId="73" xfId="1" applyBorder="1" applyAlignment="1">
      <alignment horizontal="left" vertical="center"/>
    </xf>
    <xf numFmtId="0" fontId="42" fillId="0" borderId="4" xfId="1" applyFont="1" applyBorder="1"/>
    <xf numFmtId="0" fontId="59" fillId="0" borderId="4" xfId="1" applyFont="1" applyBorder="1" applyAlignment="1" applyProtection="1">
      <alignment horizontal="center"/>
      <protection hidden="1"/>
    </xf>
    <xf numFmtId="0" fontId="1" fillId="0" borderId="4" xfId="1" applyBorder="1" applyProtection="1">
      <protection hidden="1"/>
    </xf>
    <xf numFmtId="0" fontId="1" fillId="0" borderId="43" xfId="1" applyBorder="1"/>
    <xf numFmtId="0" fontId="1" fillId="0" borderId="70" xfId="1" applyBorder="1" applyAlignment="1">
      <alignment horizontal="center"/>
    </xf>
    <xf numFmtId="0" fontId="1" fillId="0" borderId="72" xfId="1" applyFont="1" applyBorder="1" applyAlignment="1">
      <alignment horizontal="center"/>
    </xf>
    <xf numFmtId="0" fontId="1" fillId="0" borderId="85" xfId="1" applyFont="1" applyBorder="1" applyAlignment="1">
      <alignment horizontal="center"/>
    </xf>
    <xf numFmtId="0" fontId="1" fillId="0" borderId="73" xfId="1" applyFont="1" applyBorder="1" applyAlignment="1">
      <alignment horizontal="center"/>
    </xf>
    <xf numFmtId="0" fontId="84" fillId="0" borderId="72" xfId="1" applyFont="1" applyBorder="1" applyAlignment="1">
      <alignment horizontal="center"/>
    </xf>
    <xf numFmtId="0" fontId="84" fillId="0" borderId="85" xfId="1" applyFont="1" applyBorder="1" applyAlignment="1">
      <alignment horizontal="center"/>
    </xf>
    <xf numFmtId="0" fontId="84" fillId="0" borderId="73" xfId="1" applyFont="1" applyBorder="1" applyAlignment="1">
      <alignment horizontal="center"/>
    </xf>
    <xf numFmtId="0" fontId="1" fillId="0" borderId="72" xfId="1" applyBorder="1" applyAlignment="1">
      <alignment horizontal="center"/>
    </xf>
    <xf numFmtId="0" fontId="1" fillId="0" borderId="85" xfId="1" applyBorder="1" applyAlignment="1">
      <alignment horizontal="center"/>
    </xf>
    <xf numFmtId="0" fontId="1" fillId="0" borderId="73" xfId="1" applyBorder="1" applyAlignment="1">
      <alignment horizontal="center"/>
    </xf>
    <xf numFmtId="0" fontId="42" fillId="0" borderId="72" xfId="1" applyFont="1" applyBorder="1" applyAlignment="1">
      <alignment horizontal="center" wrapText="1"/>
    </xf>
    <xf numFmtId="0" fontId="42" fillId="0" borderId="85" xfId="1" applyFont="1" applyBorder="1" applyAlignment="1">
      <alignment horizontal="center" wrapText="1"/>
    </xf>
    <xf numFmtId="0" fontId="42" fillId="0" borderId="73" xfId="1" applyFont="1" applyBorder="1" applyAlignment="1">
      <alignment horizontal="center" wrapText="1"/>
    </xf>
    <xf numFmtId="0" fontId="19" fillId="0" borderId="6" xfId="1" applyFont="1" applyBorder="1" applyAlignment="1">
      <alignment horizontal="center" vertical="center"/>
    </xf>
    <xf numFmtId="0" fontId="19" fillId="0" borderId="6" xfId="1" applyFont="1" applyBorder="1" applyAlignment="1">
      <alignment horizontal="left" vertical="center"/>
    </xf>
    <xf numFmtId="0" fontId="54" fillId="0" borderId="0" xfId="1" applyFont="1" applyBorder="1" applyAlignment="1">
      <alignment horizontal="center" vertical="center"/>
    </xf>
    <xf numFmtId="0" fontId="55" fillId="0" borderId="0" xfId="1" applyFont="1" applyBorder="1"/>
    <xf numFmtId="0" fontId="34" fillId="0" borderId="0" xfId="1" applyFont="1" applyBorder="1"/>
    <xf numFmtId="0" fontId="56" fillId="0" borderId="0" xfId="1" applyFont="1" applyBorder="1" applyAlignment="1">
      <alignment horizontal="center" vertical="center"/>
    </xf>
    <xf numFmtId="0" fontId="9" fillId="0" borderId="6" xfId="1" applyFont="1" applyBorder="1" applyAlignment="1">
      <alignment horizontal="center"/>
    </xf>
    <xf numFmtId="14" fontId="9" fillId="0" borderId="6" xfId="1" applyNumberFormat="1" applyFont="1" applyBorder="1" applyAlignment="1">
      <alignment horizontal="center"/>
    </xf>
    <xf numFmtId="0" fontId="14" fillId="0" borderId="0" xfId="1" applyFont="1" applyBorder="1" applyAlignment="1">
      <alignment horizontal="center" vertical="center"/>
    </xf>
    <xf numFmtId="0" fontId="22" fillId="0" borderId="75" xfId="1" applyFont="1" applyBorder="1" applyAlignment="1">
      <alignment horizontal="center"/>
    </xf>
    <xf numFmtId="0" fontId="22" fillId="0" borderId="6" xfId="1" applyFont="1" applyBorder="1" applyAlignment="1">
      <alignment horizontal="center" vertical="center"/>
    </xf>
    <xf numFmtId="0" fontId="11" fillId="0" borderId="6" xfId="1" applyFont="1" applyBorder="1"/>
    <xf numFmtId="0" fontId="13" fillId="0" borderId="2" xfId="1" applyFont="1" applyBorder="1" applyAlignment="1">
      <alignment horizontal="center"/>
    </xf>
    <xf numFmtId="0" fontId="22" fillId="0" borderId="0" xfId="1" applyFont="1" applyBorder="1" applyAlignment="1">
      <alignment horizontal="center" vertical="center"/>
    </xf>
    <xf numFmtId="0" fontId="122" fillId="0" borderId="0" xfId="1" applyFont="1" applyBorder="1" applyAlignment="1">
      <alignment horizontal="center" vertical="center"/>
    </xf>
    <xf numFmtId="0" fontId="158" fillId="0" borderId="6" xfId="1" applyFont="1" applyBorder="1" applyAlignment="1">
      <alignment horizontal="center"/>
    </xf>
    <xf numFmtId="0" fontId="22" fillId="0" borderId="6" xfId="1" applyFont="1" applyBorder="1" applyAlignment="1">
      <alignment horizontal="center"/>
    </xf>
    <xf numFmtId="0" fontId="11" fillId="0" borderId="6" xfId="1" applyFont="1" applyBorder="1" applyAlignment="1">
      <alignment horizontal="center" wrapText="1"/>
    </xf>
    <xf numFmtId="0" fontId="13" fillId="0" borderId="0" xfId="1" applyFont="1" applyBorder="1"/>
    <xf numFmtId="0" fontId="9" fillId="0" borderId="0" xfId="1" applyFont="1" applyBorder="1" applyAlignment="1">
      <alignment horizontal="center" wrapText="1"/>
    </xf>
    <xf numFmtId="0" fontId="157" fillId="0" borderId="72" xfId="1" applyFont="1" applyFill="1" applyBorder="1" applyAlignment="1">
      <alignment horizontal="center"/>
    </xf>
    <xf numFmtId="0" fontId="157" fillId="0" borderId="85" xfId="1" applyFont="1" applyFill="1" applyBorder="1" applyAlignment="1">
      <alignment horizontal="center"/>
    </xf>
    <xf numFmtId="0" fontId="157" fillId="0" borderId="73" xfId="1" applyFont="1" applyFill="1" applyBorder="1" applyAlignment="1">
      <alignment horizontal="center"/>
    </xf>
    <xf numFmtId="0" fontId="94" fillId="0" borderId="0" xfId="1" applyFont="1" applyBorder="1"/>
    <xf numFmtId="0" fontId="144" fillId="4" borderId="4" xfId="1" applyFont="1" applyFill="1" applyBorder="1"/>
    <xf numFmtId="0" fontId="94" fillId="0" borderId="72" xfId="1" applyFont="1" applyBorder="1" applyAlignment="1">
      <alignment horizontal="center"/>
    </xf>
    <xf numFmtId="0" fontId="94" fillId="0" borderId="85" xfId="1" applyFont="1" applyBorder="1" applyAlignment="1">
      <alignment horizontal="center"/>
    </xf>
    <xf numFmtId="0" fontId="94" fillId="0" borderId="73" xfId="1" applyFont="1" applyBorder="1" applyAlignment="1">
      <alignment horizontal="center"/>
    </xf>
    <xf numFmtId="0" fontId="93" fillId="0" borderId="72" xfId="1" applyFont="1" applyBorder="1" applyAlignment="1">
      <alignment horizontal="center"/>
    </xf>
    <xf numFmtId="0" fontId="93" fillId="0" borderId="85" xfId="1" applyFont="1" applyBorder="1" applyAlignment="1">
      <alignment horizontal="center"/>
    </xf>
    <xf numFmtId="0" fontId="93" fillId="0" borderId="73" xfId="1" applyFont="1" applyBorder="1" applyAlignment="1">
      <alignment horizontal="center"/>
    </xf>
    <xf numFmtId="0" fontId="158" fillId="0" borderId="28" xfId="1" applyFont="1" applyBorder="1" applyAlignment="1">
      <alignment horizontal="center"/>
    </xf>
    <xf numFmtId="0" fontId="158" fillId="0" borderId="24" xfId="1" applyFont="1" applyBorder="1" applyAlignment="1">
      <alignment horizontal="center"/>
    </xf>
    <xf numFmtId="0" fontId="158" fillId="0" borderId="25" xfId="1" applyFont="1" applyBorder="1" applyAlignment="1">
      <alignment horizontal="center"/>
    </xf>
    <xf numFmtId="0" fontId="121" fillId="0" borderId="6" xfId="1" applyFont="1" applyBorder="1" applyAlignment="1">
      <alignment horizontal="center" vertical="center"/>
    </xf>
    <xf numFmtId="0" fontId="128" fillId="0" borderId="10" xfId="1" applyFont="1" applyBorder="1" applyAlignment="1">
      <alignment horizontal="center" vertical="center"/>
    </xf>
    <xf numFmtId="0" fontId="129" fillId="0" borderId="6" xfId="1" applyFont="1" applyBorder="1" applyAlignment="1">
      <alignment horizontal="center" vertical="center"/>
    </xf>
    <xf numFmtId="0" fontId="19" fillId="0" borderId="0" xfId="1" applyFont="1" applyBorder="1" applyAlignment="1">
      <alignment horizontal="center" vertical="center"/>
    </xf>
    <xf numFmtId="0" fontId="124" fillId="0" borderId="6" xfId="1" applyFont="1" applyBorder="1" applyAlignment="1">
      <alignment horizontal="center" vertical="center"/>
    </xf>
    <xf numFmtId="0" fontId="64" fillId="0" borderId="0" xfId="1" applyFont="1" applyBorder="1" applyAlignment="1">
      <alignment horizontal="left" vertical="center"/>
    </xf>
    <xf numFmtId="0" fontId="64" fillId="0" borderId="0" xfId="1" applyFont="1" applyBorder="1" applyAlignment="1">
      <alignment horizontal="left" wrapText="1"/>
    </xf>
    <xf numFmtId="0" fontId="68" fillId="0" borderId="6" xfId="1" applyFont="1" applyBorder="1" applyAlignment="1">
      <alignment horizontal="center" vertical="center"/>
    </xf>
    <xf numFmtId="0" fontId="19" fillId="0" borderId="75" xfId="1" applyFont="1" applyBorder="1" applyAlignment="1">
      <alignment horizontal="center" vertical="center"/>
    </xf>
    <xf numFmtId="0" fontId="55" fillId="0" borderId="75" xfId="1" applyFont="1" applyBorder="1" applyAlignment="1">
      <alignment horizontal="center" vertical="center"/>
    </xf>
    <xf numFmtId="0" fontId="123" fillId="0" borderId="6" xfId="1" applyFont="1" applyBorder="1" applyAlignment="1">
      <alignment horizontal="center" vertical="center"/>
    </xf>
    <xf numFmtId="0" fontId="19" fillId="0" borderId="72" xfId="1" applyFont="1" applyBorder="1" applyAlignment="1">
      <alignment horizontal="center" vertical="center"/>
    </xf>
    <xf numFmtId="0" fontId="19" fillId="0" borderId="85" xfId="1" applyFont="1" applyBorder="1" applyAlignment="1">
      <alignment horizontal="center" vertical="center"/>
    </xf>
    <xf numFmtId="0" fontId="19" fillId="0" borderId="73" xfId="1" applyFont="1" applyBorder="1" applyAlignment="1">
      <alignment horizontal="center" vertical="center"/>
    </xf>
    <xf numFmtId="0" fontId="55" fillId="0" borderId="72" xfId="1" applyFont="1" applyBorder="1" applyAlignment="1">
      <alignment horizontal="center" vertical="center"/>
    </xf>
    <xf numFmtId="0" fontId="55" fillId="0" borderId="85" xfId="1" applyFont="1" applyBorder="1" applyAlignment="1">
      <alignment horizontal="center" vertical="center"/>
    </xf>
    <xf numFmtId="0" fontId="55" fillId="0" borderId="73" xfId="1" applyFont="1" applyBorder="1" applyAlignment="1">
      <alignment horizontal="center" vertical="center"/>
    </xf>
    <xf numFmtId="0" fontId="19" fillId="0" borderId="28" xfId="1" applyFont="1" applyBorder="1" applyAlignment="1">
      <alignment horizontal="center" vertical="center"/>
    </xf>
    <xf numFmtId="0" fontId="50" fillId="0" borderId="0" xfId="1" applyFont="1" applyFill="1" applyBorder="1" applyAlignment="1">
      <alignment horizontal="center" vertical="center"/>
    </xf>
    <xf numFmtId="0" fontId="57" fillId="0" borderId="72" xfId="1" applyFont="1" applyBorder="1" applyAlignment="1">
      <alignment horizontal="center"/>
    </xf>
    <xf numFmtId="0" fontId="57" fillId="0" borderId="85" xfId="1" applyFont="1" applyBorder="1" applyAlignment="1">
      <alignment horizontal="center"/>
    </xf>
    <xf numFmtId="0" fontId="57" fillId="0" borderId="73" xfId="1" applyFont="1" applyBorder="1" applyAlignment="1">
      <alignment horizontal="center"/>
    </xf>
    <xf numFmtId="0" fontId="29" fillId="0" borderId="0" xfId="1" applyFont="1" applyBorder="1" applyAlignment="1">
      <alignment horizontal="right"/>
    </xf>
    <xf numFmtId="0" fontId="29" fillId="0" borderId="0" xfId="1" applyFont="1" applyBorder="1" applyAlignment="1">
      <alignment horizontal="center"/>
    </xf>
    <xf numFmtId="0" fontId="31" fillId="0" borderId="72" xfId="1" applyFont="1" applyBorder="1" applyAlignment="1">
      <alignment horizontal="center"/>
    </xf>
    <xf numFmtId="0" fontId="31" fillId="0" borderId="85" xfId="1" applyFont="1" applyBorder="1" applyAlignment="1">
      <alignment horizontal="center"/>
    </xf>
    <xf numFmtId="0" fontId="31" fillId="0" borderId="73" xfId="1" applyFont="1" applyBorder="1" applyAlignment="1">
      <alignment horizontal="center"/>
    </xf>
    <xf numFmtId="0" fontId="29" fillId="0" borderId="72" xfId="1" applyFont="1" applyBorder="1" applyAlignment="1">
      <alignment horizontal="center"/>
    </xf>
    <xf numFmtId="0" fontId="29" fillId="0" borderId="85" xfId="1" applyFont="1" applyBorder="1" applyAlignment="1">
      <alignment horizontal="center"/>
    </xf>
    <xf numFmtId="0" fontId="29" fillId="0" borderId="73" xfId="1" applyFont="1" applyBorder="1" applyAlignment="1">
      <alignment horizontal="center"/>
    </xf>
    <xf numFmtId="0" fontId="1" fillId="0" borderId="0" xfId="1" applyFont="1" applyBorder="1" applyAlignment="1">
      <alignment horizontal="center" vertical="center"/>
    </xf>
    <xf numFmtId="0" fontId="48" fillId="0" borderId="0" xfId="1" applyFont="1" applyBorder="1" applyAlignment="1">
      <alignment horizontal="center"/>
    </xf>
    <xf numFmtId="0" fontId="57" fillId="0" borderId="6" xfId="1" applyFont="1" applyBorder="1" applyAlignment="1">
      <alignment horizontal="center"/>
    </xf>
    <xf numFmtId="0" fontId="29" fillId="15" borderId="6" xfId="1" applyFont="1" applyFill="1" applyBorder="1" applyAlignment="1">
      <alignment horizontal="center"/>
    </xf>
    <xf numFmtId="0" fontId="48" fillId="0" borderId="0" xfId="1" applyFont="1" applyBorder="1" applyAlignment="1">
      <alignment horizontal="center" vertical="top" wrapText="1"/>
    </xf>
    <xf numFmtId="0" fontId="21" fillId="20" borderId="33" xfId="1" applyFont="1" applyFill="1" applyBorder="1" applyAlignment="1">
      <alignment horizontal="center" vertical="center"/>
    </xf>
    <xf numFmtId="0" fontId="21" fillId="20" borderId="56" xfId="1" applyFont="1" applyFill="1" applyBorder="1" applyAlignment="1">
      <alignment horizontal="center" vertical="center"/>
    </xf>
    <xf numFmtId="0" fontId="21" fillId="20" borderId="63" xfId="1" applyFont="1" applyFill="1" applyBorder="1" applyAlignment="1">
      <alignment horizontal="center" vertical="center"/>
    </xf>
    <xf numFmtId="0" fontId="21" fillId="0" borderId="33" xfId="1" applyFont="1" applyBorder="1" applyAlignment="1">
      <alignment horizontal="center" vertical="center"/>
    </xf>
    <xf numFmtId="0" fontId="21" fillId="0" borderId="63" xfId="1" applyFont="1" applyBorder="1" applyAlignment="1">
      <alignment horizontal="center" vertical="center"/>
    </xf>
    <xf numFmtId="0" fontId="21" fillId="0" borderId="52" xfId="1" applyFont="1" applyBorder="1" applyAlignment="1">
      <alignment horizontal="left" vertical="center"/>
    </xf>
    <xf numFmtId="0" fontId="21" fillId="0" borderId="65" xfId="1" applyFont="1" applyBorder="1" applyAlignment="1">
      <alignment horizontal="left" vertical="center"/>
    </xf>
    <xf numFmtId="0" fontId="21" fillId="0" borderId="66" xfId="1" applyFont="1" applyBorder="1" applyAlignment="1">
      <alignment horizontal="left" vertical="center"/>
    </xf>
    <xf numFmtId="0" fontId="21" fillId="0" borderId="68" xfId="1" applyFont="1" applyBorder="1" applyAlignment="1">
      <alignment horizontal="left" vertical="center"/>
    </xf>
    <xf numFmtId="0" fontId="155" fillId="0" borderId="65" xfId="1" applyFont="1" applyBorder="1" applyAlignment="1">
      <alignment horizontal="left" vertical="center"/>
    </xf>
    <xf numFmtId="0" fontId="21" fillId="0" borderId="99" xfId="1" applyFont="1" applyBorder="1" applyAlignment="1">
      <alignment horizontal="left" vertical="center"/>
    </xf>
    <xf numFmtId="0" fontId="1" fillId="0" borderId="72" xfId="1" applyBorder="1" applyAlignment="1" applyProtection="1">
      <alignment horizontal="center"/>
    </xf>
    <xf numFmtId="0" fontId="1" fillId="0" borderId="85" xfId="1" applyBorder="1" applyAlignment="1" applyProtection="1">
      <alignment horizontal="center"/>
    </xf>
    <xf numFmtId="0" fontId="1" fillId="0" borderId="73" xfId="1" applyBorder="1" applyAlignment="1" applyProtection="1">
      <alignment horizontal="center"/>
    </xf>
    <xf numFmtId="0" fontId="21" fillId="0" borderId="66" xfId="1" applyFont="1" applyBorder="1" applyAlignment="1">
      <alignment horizontal="left" vertical="center" wrapText="1"/>
    </xf>
    <xf numFmtId="0" fontId="21" fillId="0" borderId="50" xfId="1" applyFont="1" applyBorder="1" applyAlignment="1">
      <alignment horizontal="left" vertical="center"/>
    </xf>
    <xf numFmtId="0" fontId="21" fillId="0" borderId="52" xfId="1" applyFont="1" applyBorder="1" applyAlignment="1">
      <alignment horizontal="left" vertical="center" wrapText="1"/>
    </xf>
    <xf numFmtId="0" fontId="21" fillId="0" borderId="97" xfId="1" applyFont="1" applyBorder="1" applyAlignment="1">
      <alignment horizontal="left" vertical="center" wrapText="1"/>
    </xf>
    <xf numFmtId="0" fontId="131" fillId="0" borderId="0" xfId="1" applyFont="1" applyBorder="1" applyAlignment="1">
      <alignment horizontal="center"/>
    </xf>
    <xf numFmtId="0" fontId="108" fillId="0" borderId="6" xfId="1" applyFont="1" applyBorder="1" applyAlignment="1">
      <alignment horizontal="center" vertical="center"/>
    </xf>
    <xf numFmtId="0" fontId="134" fillId="0" borderId="52" xfId="1" applyFont="1" applyBorder="1" applyAlignment="1">
      <alignment horizontal="center" vertical="center"/>
    </xf>
    <xf numFmtId="0" fontId="1" fillId="0" borderId="98" xfId="1" applyFont="1" applyBorder="1" applyAlignment="1">
      <alignment horizontal="left"/>
    </xf>
    <xf numFmtId="0" fontId="134" fillId="0" borderId="63" xfId="1" applyFont="1" applyBorder="1" applyAlignment="1">
      <alignment horizontal="left" vertical="center"/>
    </xf>
    <xf numFmtId="0" fontId="45" fillId="0" borderId="52" xfId="1" applyFont="1" applyBorder="1" applyAlignment="1">
      <alignment horizontal="left" vertical="center"/>
    </xf>
    <xf numFmtId="0" fontId="119" fillId="0" borderId="95" xfId="1" applyFont="1" applyBorder="1" applyAlignment="1">
      <alignment horizontal="center" vertical="center"/>
    </xf>
    <xf numFmtId="0" fontId="119" fillId="0" borderId="96" xfId="1" applyFont="1" applyBorder="1" applyAlignment="1">
      <alignment horizontal="center" vertical="center"/>
    </xf>
    <xf numFmtId="0" fontId="154" fillId="0" borderId="72" xfId="1" applyFont="1" applyBorder="1" applyAlignment="1">
      <alignment horizontal="center" vertical="center"/>
    </xf>
    <xf numFmtId="0" fontId="154" fillId="0" borderId="85" xfId="1" applyFont="1" applyBorder="1" applyAlignment="1">
      <alignment horizontal="center" vertical="center"/>
    </xf>
    <xf numFmtId="0" fontId="154" fillId="0" borderId="73" xfId="1" applyFont="1" applyBorder="1" applyAlignment="1">
      <alignment horizontal="center" vertical="center"/>
    </xf>
    <xf numFmtId="0" fontId="134" fillId="0" borderId="2" xfId="1" applyFont="1" applyBorder="1" applyAlignment="1">
      <alignment horizontal="left" vertical="center" wrapText="1"/>
    </xf>
    <xf numFmtId="0" fontId="21" fillId="0" borderId="63" xfId="1" applyFont="1" applyBorder="1" applyAlignment="1">
      <alignment horizontal="left" vertical="center" wrapText="1"/>
    </xf>
    <xf numFmtId="0" fontId="69" fillId="0" borderId="72" xfId="1" applyFont="1" applyBorder="1" applyAlignment="1">
      <alignment horizontal="center" vertical="center"/>
    </xf>
    <xf numFmtId="0" fontId="69" fillId="0" borderId="85" xfId="1" applyFont="1" applyBorder="1" applyAlignment="1">
      <alignment horizontal="center" vertical="center"/>
    </xf>
    <xf numFmtId="0" fontId="69" fillId="0" borderId="73" xfId="1" applyFont="1" applyBorder="1" applyAlignment="1">
      <alignment horizontal="center" vertical="center"/>
    </xf>
    <xf numFmtId="0" fontId="69" fillId="0" borderId="58" xfId="1" applyFont="1" applyBorder="1" applyAlignment="1">
      <alignment horizontal="left"/>
    </xf>
    <xf numFmtId="0" fontId="21" fillId="0" borderId="75" xfId="1" applyFont="1" applyBorder="1" applyAlignment="1">
      <alignment horizontal="left" vertical="center"/>
    </xf>
    <xf numFmtId="0" fontId="21" fillId="0" borderId="74" xfId="1" applyFont="1" applyBorder="1" applyAlignment="1">
      <alignment horizontal="left" vertical="center"/>
    </xf>
    <xf numFmtId="0" fontId="21" fillId="0" borderId="33" xfId="1" applyFont="1" applyBorder="1" applyAlignment="1">
      <alignment horizontal="left" vertical="center"/>
    </xf>
    <xf numFmtId="0" fontId="21" fillId="0" borderId="51" xfId="1" applyFont="1" applyBorder="1" applyAlignment="1">
      <alignment horizontal="left" vertical="center"/>
    </xf>
    <xf numFmtId="0" fontId="35" fillId="0" borderId="120" xfId="1" applyFont="1" applyBorder="1" applyAlignment="1">
      <alignment horizontal="center"/>
    </xf>
    <xf numFmtId="0" fontId="35" fillId="0" borderId="121" xfId="1" applyFont="1" applyBorder="1" applyAlignment="1">
      <alignment horizontal="center"/>
    </xf>
    <xf numFmtId="0" fontId="107" fillId="0" borderId="6" xfId="1" applyFont="1" applyFill="1" applyBorder="1" applyAlignment="1">
      <alignment vertical="center"/>
    </xf>
    <xf numFmtId="0" fontId="115" fillId="0" borderId="0" xfId="1" applyFont="1" applyBorder="1" applyAlignment="1">
      <alignment horizontal="center" vertical="center"/>
    </xf>
    <xf numFmtId="0" fontId="143" fillId="4" borderId="0" xfId="1" applyFont="1" applyFill="1" applyBorder="1" applyAlignment="1" applyProtection="1">
      <alignment vertical="center"/>
      <protection hidden="1"/>
    </xf>
    <xf numFmtId="0" fontId="139" fillId="0" borderId="0" xfId="1" applyFont="1" applyBorder="1" applyAlignment="1">
      <alignment horizontal="center" vertical="center"/>
    </xf>
    <xf numFmtId="0" fontId="30" fillId="0" borderId="6" xfId="1" applyFont="1" applyBorder="1" applyAlignment="1">
      <alignment horizontal="center"/>
    </xf>
    <xf numFmtId="0" fontId="138" fillId="0" borderId="6" xfId="1" applyFont="1" applyBorder="1" applyAlignment="1">
      <alignment horizontal="center" vertical="center"/>
    </xf>
    <xf numFmtId="0" fontId="140" fillId="0" borderId="6" xfId="1" applyFont="1" applyBorder="1" applyAlignment="1">
      <alignment vertical="center"/>
    </xf>
    <xf numFmtId="0" fontId="141" fillId="0" borderId="6" xfId="1" applyFont="1" applyBorder="1" applyAlignment="1">
      <alignment horizontal="center" vertical="center"/>
    </xf>
    <xf numFmtId="0" fontId="142" fillId="0" borderId="28" xfId="1" applyFont="1" applyBorder="1" applyAlignment="1">
      <alignment vertical="center"/>
    </xf>
    <xf numFmtId="0" fontId="142" fillId="0" borderId="24" xfId="1" applyFont="1" applyBorder="1" applyAlignment="1">
      <alignment horizontal="center" vertical="center"/>
    </xf>
    <xf numFmtId="0" fontId="142" fillId="0" borderId="25" xfId="1" applyFont="1" applyBorder="1" applyAlignment="1">
      <alignment horizontal="center" vertical="center"/>
    </xf>
    <xf numFmtId="0" fontId="142" fillId="0" borderId="6" xfId="1" applyFont="1" applyBorder="1" applyAlignment="1">
      <alignment vertical="center"/>
    </xf>
    <xf numFmtId="0" fontId="1" fillId="0" borderId="0" xfId="1" applyBorder="1"/>
    <xf numFmtId="0" fontId="1" fillId="0" borderId="4" xfId="1" applyBorder="1" applyAlignment="1" applyProtection="1">
      <alignment horizontal="center"/>
    </xf>
    <xf numFmtId="0" fontId="1" fillId="0" borderId="6" xfId="1" applyBorder="1" applyAlignment="1" applyProtection="1">
      <alignment horizontal="center"/>
    </xf>
    <xf numFmtId="0" fontId="1" fillId="0" borderId="89" xfId="1" applyBorder="1" applyAlignment="1" applyProtection="1">
      <alignment horizontal="center"/>
    </xf>
    <xf numFmtId="0" fontId="1" fillId="0" borderId="0" xfId="1" applyBorder="1" applyAlignment="1" applyProtection="1">
      <alignment vertical="center"/>
    </xf>
    <xf numFmtId="0" fontId="1" fillId="0" borderId="0" xfId="1" applyFont="1" applyBorder="1" applyProtection="1"/>
    <xf numFmtId="0" fontId="1" fillId="0" borderId="0" xfId="1" applyFont="1" applyBorder="1" applyAlignment="1">
      <alignment horizontal="center" wrapText="1"/>
    </xf>
    <xf numFmtId="0" fontId="98" fillId="0" borderId="6" xfId="1" applyFont="1" applyBorder="1" applyAlignment="1">
      <alignment horizontal="center" vertical="center"/>
    </xf>
    <xf numFmtId="0" fontId="1" fillId="0" borderId="0" xfId="1" applyBorder="1" applyAlignment="1">
      <alignment vertical="center"/>
    </xf>
    <xf numFmtId="0" fontId="1" fillId="0" borderId="3" xfId="1" applyFont="1" applyBorder="1" applyProtection="1"/>
    <xf numFmtId="0" fontId="39" fillId="0" borderId="28" xfId="1" applyFont="1" applyBorder="1" applyAlignment="1">
      <alignment horizontal="center" vertical="center"/>
    </xf>
    <xf numFmtId="0" fontId="59" fillId="0" borderId="52" xfId="1" applyFont="1" applyBorder="1" applyAlignment="1">
      <alignment horizontal="center" vertical="center"/>
    </xf>
    <xf numFmtId="0" fontId="98" fillId="0" borderId="75" xfId="1" applyFont="1" applyBorder="1" applyAlignment="1">
      <alignment horizontal="center" vertical="center"/>
    </xf>
    <xf numFmtId="0" fontId="35" fillId="0" borderId="75" xfId="1" applyFont="1" applyBorder="1" applyAlignment="1">
      <alignment horizontal="center" vertical="center"/>
    </xf>
    <xf numFmtId="0" fontId="39" fillId="0" borderId="27" xfId="1" applyFont="1" applyBorder="1" applyAlignment="1">
      <alignment horizontal="center" vertical="center"/>
    </xf>
    <xf numFmtId="0" fontId="59" fillId="0" borderId="65" xfId="1" applyFont="1" applyBorder="1" applyAlignment="1">
      <alignment horizontal="center" vertical="center"/>
    </xf>
    <xf numFmtId="0" fontId="46" fillId="0" borderId="6" xfId="1" applyFont="1" applyBorder="1" applyAlignment="1">
      <alignment horizontal="center" vertical="center"/>
    </xf>
    <xf numFmtId="0" fontId="59" fillId="0" borderId="68" xfId="1" applyFont="1" applyBorder="1" applyAlignment="1">
      <alignment horizontal="center" vertical="center"/>
    </xf>
    <xf numFmtId="0" fontId="57" fillId="0" borderId="6" xfId="1" applyFont="1" applyBorder="1" applyAlignment="1">
      <alignment horizontal="center" vertical="center"/>
    </xf>
    <xf numFmtId="174" fontId="35" fillId="0" borderId="6" xfId="1" applyNumberFormat="1" applyFont="1" applyBorder="1" applyAlignment="1">
      <alignment horizontal="center" vertical="center"/>
    </xf>
    <xf numFmtId="0" fontId="35" fillId="0" borderId="6" xfId="1" applyFont="1" applyBorder="1" applyAlignment="1">
      <alignment horizontal="center"/>
    </xf>
    <xf numFmtId="0" fontId="39" fillId="0" borderId="6" xfId="1" applyFont="1" applyFill="1" applyBorder="1" applyAlignment="1">
      <alignment horizontal="center" vertical="center" wrapText="1"/>
    </xf>
    <xf numFmtId="0" fontId="29" fillId="19" borderId="6" xfId="1" applyFont="1" applyFill="1" applyBorder="1" applyAlignment="1">
      <alignment horizontal="center" vertical="center"/>
    </xf>
    <xf numFmtId="0" fontId="29" fillId="0" borderId="28" xfId="1" applyFont="1" applyBorder="1" applyAlignment="1">
      <alignment horizontal="center" vertical="center"/>
    </xf>
    <xf numFmtId="0" fontId="29" fillId="0" borderId="24" xfId="1" applyFont="1" applyBorder="1" applyAlignment="1">
      <alignment horizontal="center" vertical="center"/>
    </xf>
    <xf numFmtId="0" fontId="29" fillId="0" borderId="25" xfId="1" applyFont="1" applyBorder="1" applyAlignment="1">
      <alignment horizontal="center" vertical="center"/>
    </xf>
    <xf numFmtId="0" fontId="57" fillId="0" borderId="6" xfId="1" applyFont="1" applyFill="1" applyBorder="1" applyAlignment="1">
      <alignment horizontal="center" vertical="center"/>
    </xf>
    <xf numFmtId="0" fontId="42" fillId="0" borderId="6" xfId="1" applyFont="1" applyBorder="1" applyAlignment="1">
      <alignment vertical="center"/>
    </xf>
    <xf numFmtId="0" fontId="93" fillId="0" borderId="0" xfId="1" applyFont="1" applyBorder="1" applyAlignment="1">
      <alignment horizontal="center"/>
    </xf>
    <xf numFmtId="0" fontId="57" fillId="0" borderId="0" xfId="1" applyFont="1" applyBorder="1" applyAlignment="1">
      <alignment horizontal="center"/>
    </xf>
    <xf numFmtId="0" fontId="94" fillId="0" borderId="6" xfId="1" applyFont="1" applyBorder="1"/>
    <xf numFmtId="0" fontId="94" fillId="0" borderId="6" xfId="1" applyFont="1" applyBorder="1" applyAlignment="1">
      <alignment horizontal="center"/>
    </xf>
    <xf numFmtId="0" fontId="24" fillId="0" borderId="6" xfId="1" applyFont="1" applyBorder="1"/>
    <xf numFmtId="2" fontId="29" fillId="0" borderId="6" xfId="1" applyNumberFormat="1" applyFont="1" applyBorder="1" applyAlignment="1">
      <alignment horizontal="center" vertical="center"/>
    </xf>
    <xf numFmtId="0" fontId="86" fillId="0" borderId="0" xfId="1" applyFont="1" applyAlignment="1">
      <alignment horizontal="left"/>
    </xf>
    <xf numFmtId="0" fontId="39" fillId="0" borderId="6" xfId="1" applyFont="1" applyBorder="1"/>
    <xf numFmtId="0" fontId="39" fillId="0" borderId="0" xfId="1" applyFont="1" applyBorder="1"/>
    <xf numFmtId="0" fontId="39" fillId="0" borderId="75" xfId="1" applyFont="1" applyBorder="1"/>
    <xf numFmtId="0" fontId="39" fillId="0" borderId="27" xfId="1" applyFont="1" applyBorder="1" applyAlignment="1">
      <alignment horizontal="center"/>
    </xf>
    <xf numFmtId="0" fontId="39" fillId="0" borderId="22" xfId="1" applyFont="1" applyBorder="1" applyAlignment="1">
      <alignment horizontal="center"/>
    </xf>
    <xf numFmtId="0" fontId="39" fillId="0" borderId="82" xfId="1" applyFont="1" applyBorder="1" applyAlignment="1">
      <alignment horizontal="left"/>
    </xf>
    <xf numFmtId="0" fontId="39" fillId="0" borderId="72" xfId="1" applyFont="1" applyBorder="1" applyAlignment="1">
      <alignment horizontal="left"/>
    </xf>
    <xf numFmtId="0" fontId="39" fillId="0" borderId="85" xfId="1" applyFont="1" applyBorder="1" applyAlignment="1">
      <alignment horizontal="left"/>
    </xf>
    <xf numFmtId="0" fontId="39" fillId="0" borderId="73" xfId="1" applyFont="1" applyBorder="1" applyAlignment="1">
      <alignment horizontal="left"/>
    </xf>
    <xf numFmtId="0" fontId="42" fillId="0" borderId="0" xfId="1" applyFont="1" applyBorder="1" applyAlignment="1">
      <alignment horizontal="right"/>
    </xf>
    <xf numFmtId="0" fontId="37" fillId="0" borderId="0" xfId="1" applyFont="1" applyBorder="1" applyAlignment="1">
      <alignment horizontal="center"/>
    </xf>
    <xf numFmtId="0" fontId="39" fillId="0" borderId="4" xfId="1" applyFont="1" applyBorder="1"/>
    <xf numFmtId="0" fontId="49" fillId="0" borderId="0" xfId="1" applyFont="1" applyBorder="1" applyAlignment="1">
      <alignment horizontal="center"/>
    </xf>
    <xf numFmtId="0" fontId="50" fillId="0" borderId="6" xfId="1" applyFont="1" applyFill="1" applyBorder="1" applyAlignment="1">
      <alignment horizontal="center" vertical="center"/>
    </xf>
    <xf numFmtId="0" fontId="39" fillId="0" borderId="47" xfId="1" applyFont="1" applyBorder="1"/>
    <xf numFmtId="0" fontId="39" fillId="0" borderId="28" xfId="1" applyFont="1" applyBorder="1"/>
    <xf numFmtId="0" fontId="39" fillId="0" borderId="25" xfId="1" applyFont="1" applyBorder="1"/>
    <xf numFmtId="0" fontId="51" fillId="0" borderId="0" xfId="1" applyFont="1" applyBorder="1" applyAlignment="1">
      <alignment horizontal="center"/>
    </xf>
    <xf numFmtId="0" fontId="49" fillId="0" borderId="15" xfId="1" applyFont="1" applyBorder="1" applyAlignment="1">
      <alignment horizontal="center"/>
    </xf>
    <xf numFmtId="0" fontId="51" fillId="0" borderId="15" xfId="1" applyFont="1" applyBorder="1" applyAlignment="1">
      <alignment horizontal="center"/>
    </xf>
    <xf numFmtId="0" fontId="39" fillId="0" borderId="25" xfId="1" applyFont="1" applyBorder="1" applyAlignment="1">
      <alignment horizontal="center" vertical="center"/>
    </xf>
    <xf numFmtId="0" fontId="13" fillId="0" borderId="0" xfId="1" applyFont="1" applyFill="1" applyBorder="1" applyAlignment="1">
      <alignment horizontal="center" vertical="center"/>
    </xf>
    <xf numFmtId="0" fontId="42" fillId="0" borderId="0" xfId="1" applyFont="1" applyBorder="1"/>
    <xf numFmtId="0" fontId="3" fillId="0" borderId="0" xfId="1" applyFont="1" applyBorder="1" applyAlignment="1">
      <alignment horizontal="center" vertical="center"/>
    </xf>
    <xf numFmtId="0" fontId="13" fillId="2" borderId="5" xfId="1" applyFont="1" applyFill="1" applyBorder="1" applyAlignment="1">
      <alignment horizontal="center" vertical="center" wrapText="1"/>
    </xf>
    <xf numFmtId="0" fontId="13" fillId="0" borderId="0" xfId="1" applyFont="1" applyFill="1" applyBorder="1" applyAlignment="1">
      <alignment horizontal="center"/>
    </xf>
    <xf numFmtId="0" fontId="3" fillId="0" borderId="0" xfId="1" applyFont="1" applyBorder="1" applyAlignment="1">
      <alignment horizontal="center"/>
    </xf>
    <xf numFmtId="0" fontId="42" fillId="0" borderId="0" xfId="1" applyFont="1" applyBorder="1" applyAlignment="1">
      <alignment horizontal="left" vertical="top" wrapText="1"/>
    </xf>
    <xf numFmtId="0" fontId="35" fillId="0" borderId="0" xfId="1" applyFont="1" applyBorder="1"/>
    <xf numFmtId="0" fontId="36" fillId="0" borderId="6" xfId="1" applyFont="1" applyBorder="1" applyAlignment="1">
      <alignment horizontal="center"/>
    </xf>
    <xf numFmtId="0" fontId="37" fillId="0" borderId="0" xfId="1" applyFont="1" applyFill="1" applyBorder="1"/>
    <xf numFmtId="0" fontId="47" fillId="4" borderId="6" xfId="1" applyFont="1" applyFill="1" applyBorder="1" applyAlignment="1">
      <alignment horizontal="center"/>
    </xf>
    <xf numFmtId="0" fontId="13" fillId="0" borderId="0" xfId="1" applyFont="1" applyFill="1" applyBorder="1" applyAlignment="1">
      <alignment horizontal="center" vertical="center" wrapText="1"/>
    </xf>
    <xf numFmtId="0" fontId="39" fillId="0" borderId="2" xfId="1" applyFont="1" applyBorder="1" applyAlignment="1">
      <alignment horizontal="center"/>
    </xf>
    <xf numFmtId="0" fontId="39" fillId="0" borderId="74" xfId="1" applyFont="1" applyBorder="1" applyAlignment="1">
      <alignment horizontal="center"/>
    </xf>
    <xf numFmtId="0" fontId="39" fillId="0" borderId="75" xfId="1" applyFont="1" applyBorder="1" applyAlignment="1">
      <alignment horizontal="center"/>
    </xf>
    <xf numFmtId="0" fontId="37" fillId="4" borderId="0" xfId="1" applyFont="1" applyFill="1" applyBorder="1" applyAlignment="1">
      <alignment horizontal="center"/>
    </xf>
    <xf numFmtId="0" fontId="38" fillId="0" borderId="0" xfId="1" applyFont="1" applyBorder="1" applyAlignment="1">
      <alignment horizontal="center"/>
    </xf>
    <xf numFmtId="0" fontId="41" fillId="0" borderId="4" xfId="1" applyFont="1" applyBorder="1" applyAlignment="1">
      <alignment horizontal="center"/>
    </xf>
    <xf numFmtId="0" fontId="43" fillId="0" borderId="0" xfId="1" applyFont="1" applyBorder="1" applyAlignment="1">
      <alignment horizontal="center" vertical="center"/>
    </xf>
    <xf numFmtId="0" fontId="1" fillId="0" borderId="74" xfId="1" applyBorder="1" applyAlignment="1">
      <alignment horizontal="center" vertical="center"/>
    </xf>
    <xf numFmtId="0" fontId="1" fillId="0" borderId="2" xfId="1" applyBorder="1" applyAlignment="1">
      <alignment horizontal="center" vertical="center"/>
    </xf>
    <xf numFmtId="0" fontId="1" fillId="0" borderId="75" xfId="1" applyBorder="1" applyAlignment="1">
      <alignment horizontal="center" vertical="center"/>
    </xf>
    <xf numFmtId="0" fontId="3" fillId="0" borderId="0" xfId="1" applyFont="1" applyBorder="1" applyAlignment="1">
      <alignment horizontal="right" vertical="center"/>
    </xf>
    <xf numFmtId="0" fontId="3" fillId="0" borderId="0" xfId="1" applyFont="1" applyBorder="1" applyAlignment="1">
      <alignment horizontal="left" vertical="center"/>
    </xf>
    <xf numFmtId="0" fontId="6" fillId="0" borderId="0" xfId="1" applyFont="1" applyBorder="1" applyAlignment="1">
      <alignment horizontal="left" vertical="center"/>
    </xf>
    <xf numFmtId="1" fontId="3" fillId="0" borderId="0" xfId="1" applyNumberFormat="1" applyFont="1" applyBorder="1" applyAlignment="1">
      <alignment horizontal="left" vertical="center"/>
    </xf>
    <xf numFmtId="0" fontId="4" fillId="0" borderId="0" xfId="1" applyFont="1" applyBorder="1" applyAlignment="1">
      <alignment horizontal="center" vertical="center"/>
    </xf>
    <xf numFmtId="16" fontId="4" fillId="0" borderId="0" xfId="1" applyNumberFormat="1" applyFont="1" applyBorder="1" applyAlignment="1">
      <alignment horizontal="center" vertical="center"/>
    </xf>
    <xf numFmtId="0" fontId="2" fillId="0" borderId="0" xfId="1" applyFont="1" applyBorder="1" applyAlignment="1">
      <alignment horizontal="center" vertical="center"/>
    </xf>
    <xf numFmtId="0" fontId="42" fillId="0" borderId="6" xfId="1" applyFont="1" applyBorder="1" applyAlignment="1">
      <alignment wrapText="1"/>
    </xf>
    <xf numFmtId="0" fontId="42" fillId="0" borderId="6" xfId="1" applyFont="1" applyBorder="1" applyAlignment="1">
      <alignment horizontal="center"/>
    </xf>
    <xf numFmtId="0" fontId="42" fillId="0" borderId="28" xfId="1" applyFont="1" applyBorder="1" applyAlignment="1">
      <alignment horizontal="center"/>
    </xf>
    <xf numFmtId="0" fontId="42" fillId="0" borderId="25" xfId="1" applyFont="1" applyBorder="1" applyAlignment="1">
      <alignment horizontal="center"/>
    </xf>
    <xf numFmtId="0" fontId="3" fillId="0" borderId="6" xfId="1" applyFont="1" applyBorder="1" applyAlignment="1">
      <alignment wrapText="1"/>
    </xf>
    <xf numFmtId="12" fontId="42" fillId="0" borderId="6" xfId="1" applyNumberFormat="1" applyFont="1" applyBorder="1" applyAlignment="1">
      <alignment horizontal="center"/>
    </xf>
    <xf numFmtId="0" fontId="75" fillId="0" borderId="7" xfId="1" applyFont="1" applyBorder="1"/>
    <xf numFmtId="0" fontId="68" fillId="0" borderId="0" xfId="1" applyFont="1" applyBorder="1" applyAlignment="1">
      <alignment horizontal="center"/>
    </xf>
    <xf numFmtId="0" fontId="42" fillId="0" borderId="6" xfId="1" applyFont="1" applyBorder="1"/>
    <xf numFmtId="0" fontId="42" fillId="0" borderId="24" xfId="1" applyFont="1" applyBorder="1" applyAlignment="1">
      <alignment horizontal="right"/>
    </xf>
    <xf numFmtId="0" fontId="42" fillId="0" borderId="25" xfId="1" applyFont="1" applyBorder="1" applyAlignment="1">
      <alignment horizontal="left"/>
    </xf>
    <xf numFmtId="0" fontId="42" fillId="0" borderId="86" xfId="1" applyFont="1" applyBorder="1" applyAlignment="1">
      <alignment horizontal="center"/>
    </xf>
    <xf numFmtId="0" fontId="18" fillId="0" borderId="25" xfId="1" applyFont="1" applyBorder="1"/>
    <xf numFmtId="0" fontId="49" fillId="0" borderId="28" xfId="1" applyFont="1" applyBorder="1" applyAlignment="1">
      <alignment horizontal="center"/>
    </xf>
    <xf numFmtId="0" fontId="68" fillId="0" borderId="0" xfId="1" applyFont="1" applyBorder="1" applyAlignment="1">
      <alignment horizontal="center" vertical="top" wrapText="1"/>
    </xf>
    <xf numFmtId="0" fontId="54" fillId="0" borderId="0" xfId="1" applyFont="1" applyBorder="1" applyAlignment="1">
      <alignment horizontal="center" vertical="top" wrapText="1"/>
    </xf>
    <xf numFmtId="0" fontId="68" fillId="0" borderId="6" xfId="1" applyFont="1" applyBorder="1" applyAlignment="1">
      <alignment horizontal="center" vertical="center" wrapText="1"/>
    </xf>
    <xf numFmtId="0" fontId="59" fillId="0" borderId="28" xfId="1" applyFont="1" applyBorder="1" applyAlignment="1">
      <alignment horizontal="center"/>
    </xf>
    <xf numFmtId="0" fontId="59" fillId="0" borderId="25" xfId="1" applyFont="1" applyBorder="1" applyAlignment="1">
      <alignment horizontal="center"/>
    </xf>
    <xf numFmtId="0" fontId="42" fillId="0" borderId="25" xfId="1" applyFont="1" applyBorder="1"/>
    <xf numFmtId="0" fontId="72" fillId="0" borderId="0" xfId="1" applyFont="1" applyBorder="1" applyAlignment="1">
      <alignment horizontal="center"/>
    </xf>
    <xf numFmtId="0" fontId="1" fillId="0" borderId="10" xfId="1" applyBorder="1"/>
    <xf numFmtId="12" fontId="42" fillId="0" borderId="25" xfId="1" applyNumberFormat="1" applyFont="1" applyBorder="1" applyAlignment="1">
      <alignment horizontal="center"/>
    </xf>
    <xf numFmtId="0" fontId="49" fillId="0" borderId="6" xfId="1" applyFont="1" applyBorder="1" applyAlignment="1">
      <alignment horizontal="center"/>
    </xf>
    <xf numFmtId="0" fontId="66" fillId="0" borderId="6" xfId="1" applyFont="1" applyBorder="1" applyAlignment="1">
      <alignment horizontal="center"/>
    </xf>
    <xf numFmtId="0" fontId="37" fillId="0" borderId="28" xfId="1" applyFont="1" applyBorder="1" applyAlignment="1">
      <alignment horizontal="center"/>
    </xf>
    <xf numFmtId="0" fontId="42" fillId="0" borderId="0" xfId="1" applyFont="1" applyBorder="1" applyAlignment="1" applyProtection="1">
      <alignment wrapText="1"/>
    </xf>
    <xf numFmtId="0" fontId="42" fillId="0" borderId="6" xfId="1" applyFont="1" applyBorder="1" applyAlignment="1">
      <alignment horizontal="center" vertical="center" wrapText="1"/>
    </xf>
    <xf numFmtId="0" fontId="37" fillId="0" borderId="6" xfId="1" applyFont="1" applyBorder="1" applyAlignment="1">
      <alignment horizontal="center" vertical="center"/>
    </xf>
    <xf numFmtId="0" fontId="39" fillId="0" borderId="25" xfId="1" applyFont="1" applyBorder="1" applyAlignment="1">
      <alignment horizontal="center" vertical="center" wrapText="1"/>
    </xf>
    <xf numFmtId="0" fontId="64" fillId="0" borderId="25" xfId="1" applyFont="1" applyBorder="1" applyAlignment="1">
      <alignment horizontal="center" vertical="center"/>
    </xf>
    <xf numFmtId="0" fontId="42" fillId="0" borderId="6" xfId="1" applyFont="1" applyBorder="1" applyAlignment="1">
      <alignment vertical="center" wrapText="1"/>
    </xf>
    <xf numFmtId="0" fontId="61" fillId="0" borderId="6" xfId="1" applyFont="1" applyBorder="1" applyAlignment="1">
      <alignment horizontal="center" vertical="center"/>
    </xf>
    <xf numFmtId="0" fontId="42" fillId="0" borderId="25" xfId="1" applyFont="1" applyBorder="1" applyAlignment="1">
      <alignment horizontal="center" vertical="center"/>
    </xf>
    <xf numFmtId="0" fontId="42" fillId="0" borderId="6" xfId="1" applyFont="1" applyBorder="1" applyAlignment="1">
      <alignment horizontal="left" vertical="center" wrapText="1"/>
    </xf>
    <xf numFmtId="0" fontId="42" fillId="0" borderId="28" xfId="1" applyFont="1" applyBorder="1" applyAlignment="1">
      <alignment horizontal="center" vertical="center"/>
    </xf>
    <xf numFmtId="0" fontId="42" fillId="0" borderId="6" xfId="1" applyFont="1" applyBorder="1" applyAlignment="1">
      <alignment horizontal="left" vertical="center"/>
    </xf>
    <xf numFmtId="0" fontId="46" fillId="0" borderId="6" xfId="1" applyFont="1" applyBorder="1" applyAlignment="1">
      <alignment horizontal="center"/>
    </xf>
    <xf numFmtId="0" fontId="59" fillId="0" borderId="6" xfId="1" applyFont="1" applyFill="1" applyBorder="1" applyAlignment="1">
      <alignment horizontal="center" vertical="center"/>
    </xf>
    <xf numFmtId="0" fontId="54" fillId="0" borderId="6" xfId="1" applyFont="1" applyBorder="1" applyAlignment="1">
      <alignment horizontal="center"/>
    </xf>
    <xf numFmtId="0" fontId="46" fillId="0" borderId="28" xfId="1" applyFont="1" applyBorder="1" applyAlignment="1">
      <alignment horizontal="center"/>
    </xf>
    <xf numFmtId="0" fontId="46" fillId="0" borderId="25" xfId="1" applyFont="1" applyBorder="1" applyAlignment="1">
      <alignment horizontal="center"/>
    </xf>
    <xf numFmtId="0" fontId="29" fillId="0" borderId="0" xfId="1" applyFont="1" applyBorder="1"/>
    <xf numFmtId="0" fontId="57" fillId="0" borderId="6" xfId="1" applyFont="1" applyBorder="1"/>
    <xf numFmtId="0" fontId="29" fillId="0" borderId="0" xfId="1" applyFont="1" applyBorder="1" applyAlignment="1">
      <alignment horizontal="left"/>
    </xf>
    <xf numFmtId="0" fontId="54" fillId="0" borderId="6" xfId="1" applyFont="1" applyBorder="1" applyAlignment="1">
      <alignment horizontal="center" wrapText="1"/>
    </xf>
    <xf numFmtId="0" fontId="1" fillId="0" borderId="0" xfId="1" applyFont="1" applyBorder="1"/>
  </cellXfs>
  <cellStyles count="6">
    <cellStyle name="Excel Built-in Normal" xfId="1"/>
    <cellStyle name="Excel Built-in Normal 1" xfId="2"/>
    <cellStyle name="Excel_BuiltIn_Note 1" xfId="3"/>
    <cellStyle name="Hyperlink" xfId="4" builtinId="8"/>
    <cellStyle name="Normal" xfId="0" builtinId="0"/>
    <cellStyle name="Normal_20' yurt pricing--03.18.10" xf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23FF23"/>
      <rgbColor rgb="000000FF"/>
      <rgbColor rgb="00FFFF00"/>
      <rgbColor rgb="00FF00FF"/>
      <rgbColor rgb="0000FFFF"/>
      <rgbColor rgb="00C00000"/>
      <rgbColor rgb="00008000"/>
      <rgbColor rgb="00000080"/>
      <rgbColor rgb="00808000"/>
      <rgbColor rgb="00800080"/>
      <rgbColor rgb="00008080"/>
      <rgbColor rgb="00C0C0C0"/>
      <rgbColor rgb="00808080"/>
      <rgbColor rgb="005B9BD5"/>
      <rgbColor rgb="00993366"/>
      <rgbColor rgb="00FFFFCC"/>
      <rgbColor rgb="00CFE7F5"/>
      <rgbColor rgb="00660066"/>
      <rgbColor rgb="00FF8080"/>
      <rgbColor rgb="000066CC"/>
      <rgbColor rgb="00CCCCFF"/>
      <rgbColor rgb="00000080"/>
      <rgbColor rgb="00FF00FF"/>
      <rgbColor rgb="00FFD320"/>
      <rgbColor rgb="0000FFFF"/>
      <rgbColor rgb="00800080"/>
      <rgbColor rgb="00DD0806"/>
      <rgbColor rgb="00008080"/>
      <rgbColor rgb="000000FF"/>
      <rgbColor rgb="0000CCFF"/>
      <rgbColor rgb="00E7E6E6"/>
      <rgbColor rgb="00CCFFCC"/>
      <rgbColor rgb="00FFFF99"/>
      <rgbColor rgb="0099CCFF"/>
      <rgbColor rgb="00FF99CC"/>
      <rgbColor rgb="00CC99FF"/>
      <rgbColor rgb="00FFCC99"/>
      <rgbColor rgb="003366FF"/>
      <rgbColor rgb="0033CCCC"/>
      <rgbColor rgb="00AECF00"/>
      <rgbColor rgb="00FFC000"/>
      <rgbColor rgb="00FF9900"/>
      <rgbColor rgb="00FF3366"/>
      <rgbColor rgb="00376092"/>
      <rgbColor rgb="00969696"/>
      <rgbColor rgb="00003366"/>
      <rgbColor rgb="00339966"/>
      <rgbColor rgb="00003300"/>
      <rgbColor rgb="00333300"/>
      <rgbColor rgb="00993300"/>
      <rgbColor rgb="00993366"/>
      <rgbColor rgb="00333399"/>
      <rgbColor rgb="0022222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 Id="rId5" Type="http://schemas.openxmlformats.org/officeDocument/2006/relationships/image" Target="../media/image6.emf"/><Relationship Id="rId4"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3" Type="http://schemas.openxmlformats.org/officeDocument/2006/relationships/image" Target="../media/image9.emf"/><Relationship Id="rId7" Type="http://schemas.openxmlformats.org/officeDocument/2006/relationships/image" Target="../media/image13.emf"/><Relationship Id="rId2" Type="http://schemas.openxmlformats.org/officeDocument/2006/relationships/image" Target="../media/image8.emf"/><Relationship Id="rId1" Type="http://schemas.openxmlformats.org/officeDocument/2006/relationships/image" Target="../media/image7.emf"/><Relationship Id="rId6" Type="http://schemas.openxmlformats.org/officeDocument/2006/relationships/image" Target="../media/image12.emf"/><Relationship Id="rId5" Type="http://schemas.openxmlformats.org/officeDocument/2006/relationships/image" Target="../media/image11.emf"/><Relationship Id="rId4" Type="http://schemas.openxmlformats.org/officeDocument/2006/relationships/image" Target="../media/image10.emf"/></Relationships>
</file>

<file path=xl/drawings/_rels/vmlDrawing4.vml.rels><?xml version="1.0" encoding="UTF-8" standalone="yes"?>
<Relationships xmlns="http://schemas.openxmlformats.org/package/2006/relationships"><Relationship Id="rId13" Type="http://schemas.openxmlformats.org/officeDocument/2006/relationships/image" Target="../media/image26.emf"/><Relationship Id="rId18" Type="http://schemas.openxmlformats.org/officeDocument/2006/relationships/image" Target="../media/image31.emf"/><Relationship Id="rId26" Type="http://schemas.openxmlformats.org/officeDocument/2006/relationships/image" Target="../media/image39.emf"/><Relationship Id="rId39" Type="http://schemas.openxmlformats.org/officeDocument/2006/relationships/image" Target="../media/image52.emf"/><Relationship Id="rId3" Type="http://schemas.openxmlformats.org/officeDocument/2006/relationships/image" Target="../media/image16.emf"/><Relationship Id="rId21" Type="http://schemas.openxmlformats.org/officeDocument/2006/relationships/image" Target="../media/image34.emf"/><Relationship Id="rId34" Type="http://schemas.openxmlformats.org/officeDocument/2006/relationships/image" Target="../media/image47.emf"/><Relationship Id="rId42" Type="http://schemas.openxmlformats.org/officeDocument/2006/relationships/image" Target="../media/image55.emf"/><Relationship Id="rId47" Type="http://schemas.openxmlformats.org/officeDocument/2006/relationships/image" Target="../media/image60.emf"/><Relationship Id="rId7" Type="http://schemas.openxmlformats.org/officeDocument/2006/relationships/image" Target="../media/image20.emf"/><Relationship Id="rId12" Type="http://schemas.openxmlformats.org/officeDocument/2006/relationships/image" Target="../media/image25.emf"/><Relationship Id="rId17" Type="http://schemas.openxmlformats.org/officeDocument/2006/relationships/image" Target="../media/image30.emf"/><Relationship Id="rId25" Type="http://schemas.openxmlformats.org/officeDocument/2006/relationships/image" Target="../media/image38.emf"/><Relationship Id="rId33" Type="http://schemas.openxmlformats.org/officeDocument/2006/relationships/image" Target="../media/image46.emf"/><Relationship Id="rId38" Type="http://schemas.openxmlformats.org/officeDocument/2006/relationships/image" Target="../media/image51.emf"/><Relationship Id="rId46" Type="http://schemas.openxmlformats.org/officeDocument/2006/relationships/image" Target="../media/image59.emf"/><Relationship Id="rId2" Type="http://schemas.openxmlformats.org/officeDocument/2006/relationships/image" Target="../media/image15.emf"/><Relationship Id="rId16" Type="http://schemas.openxmlformats.org/officeDocument/2006/relationships/image" Target="../media/image29.emf"/><Relationship Id="rId20" Type="http://schemas.openxmlformats.org/officeDocument/2006/relationships/image" Target="../media/image33.emf"/><Relationship Id="rId29" Type="http://schemas.openxmlformats.org/officeDocument/2006/relationships/image" Target="../media/image42.emf"/><Relationship Id="rId41" Type="http://schemas.openxmlformats.org/officeDocument/2006/relationships/image" Target="../media/image54.emf"/><Relationship Id="rId1" Type="http://schemas.openxmlformats.org/officeDocument/2006/relationships/image" Target="../media/image14.emf"/><Relationship Id="rId6" Type="http://schemas.openxmlformats.org/officeDocument/2006/relationships/image" Target="../media/image19.emf"/><Relationship Id="rId11" Type="http://schemas.openxmlformats.org/officeDocument/2006/relationships/image" Target="../media/image24.emf"/><Relationship Id="rId24" Type="http://schemas.openxmlformats.org/officeDocument/2006/relationships/image" Target="../media/image37.emf"/><Relationship Id="rId32" Type="http://schemas.openxmlformats.org/officeDocument/2006/relationships/image" Target="../media/image45.emf"/><Relationship Id="rId37" Type="http://schemas.openxmlformats.org/officeDocument/2006/relationships/image" Target="../media/image50.emf"/><Relationship Id="rId40" Type="http://schemas.openxmlformats.org/officeDocument/2006/relationships/image" Target="../media/image53.emf"/><Relationship Id="rId45" Type="http://schemas.openxmlformats.org/officeDocument/2006/relationships/image" Target="../media/image58.emf"/><Relationship Id="rId5" Type="http://schemas.openxmlformats.org/officeDocument/2006/relationships/image" Target="../media/image18.emf"/><Relationship Id="rId15" Type="http://schemas.openxmlformats.org/officeDocument/2006/relationships/image" Target="../media/image28.emf"/><Relationship Id="rId23" Type="http://schemas.openxmlformats.org/officeDocument/2006/relationships/image" Target="../media/image36.emf"/><Relationship Id="rId28" Type="http://schemas.openxmlformats.org/officeDocument/2006/relationships/image" Target="../media/image41.emf"/><Relationship Id="rId36" Type="http://schemas.openxmlformats.org/officeDocument/2006/relationships/image" Target="../media/image49.emf"/><Relationship Id="rId49" Type="http://schemas.openxmlformats.org/officeDocument/2006/relationships/image" Target="../media/image62.emf"/><Relationship Id="rId10" Type="http://schemas.openxmlformats.org/officeDocument/2006/relationships/image" Target="../media/image23.emf"/><Relationship Id="rId19" Type="http://schemas.openxmlformats.org/officeDocument/2006/relationships/image" Target="../media/image32.emf"/><Relationship Id="rId31" Type="http://schemas.openxmlformats.org/officeDocument/2006/relationships/image" Target="../media/image44.emf"/><Relationship Id="rId44" Type="http://schemas.openxmlformats.org/officeDocument/2006/relationships/image" Target="../media/image57.emf"/><Relationship Id="rId4" Type="http://schemas.openxmlformats.org/officeDocument/2006/relationships/image" Target="../media/image17.emf"/><Relationship Id="rId9" Type="http://schemas.openxmlformats.org/officeDocument/2006/relationships/image" Target="../media/image22.emf"/><Relationship Id="rId14" Type="http://schemas.openxmlformats.org/officeDocument/2006/relationships/image" Target="../media/image27.emf"/><Relationship Id="rId22" Type="http://schemas.openxmlformats.org/officeDocument/2006/relationships/image" Target="../media/image35.emf"/><Relationship Id="rId27" Type="http://schemas.openxmlformats.org/officeDocument/2006/relationships/image" Target="../media/image40.emf"/><Relationship Id="rId30" Type="http://schemas.openxmlformats.org/officeDocument/2006/relationships/image" Target="../media/image43.emf"/><Relationship Id="rId35" Type="http://schemas.openxmlformats.org/officeDocument/2006/relationships/image" Target="../media/image48.emf"/><Relationship Id="rId43" Type="http://schemas.openxmlformats.org/officeDocument/2006/relationships/image" Target="../media/image56.emf"/><Relationship Id="rId48" Type="http://schemas.openxmlformats.org/officeDocument/2006/relationships/image" Target="../media/image61.emf"/><Relationship Id="rId8" Type="http://schemas.openxmlformats.org/officeDocument/2006/relationships/image" Target="../media/image21.emf"/></Relationships>
</file>

<file path=xl/drawings/_rels/vmlDrawing5.vml.rels><?xml version="1.0" encoding="UTF-8" standalone="yes"?>
<Relationships xmlns="http://schemas.openxmlformats.org/package/2006/relationships"><Relationship Id="rId3" Type="http://schemas.openxmlformats.org/officeDocument/2006/relationships/image" Target="../media/image65.emf"/><Relationship Id="rId2" Type="http://schemas.openxmlformats.org/officeDocument/2006/relationships/image" Target="../media/image64.emf"/><Relationship Id="rId1" Type="http://schemas.openxmlformats.org/officeDocument/2006/relationships/image" Target="../media/image63.emf"/><Relationship Id="rId5" Type="http://schemas.openxmlformats.org/officeDocument/2006/relationships/image" Target="../media/image67.emf"/><Relationship Id="rId4" Type="http://schemas.openxmlformats.org/officeDocument/2006/relationships/image" Target="../media/image66.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43</xdr:col>
          <xdr:colOff>0</xdr:colOff>
          <xdr:row>19</xdr:row>
          <xdr:rowOff>0</xdr:rowOff>
        </xdr:from>
        <xdr:to>
          <xdr:col>51</xdr:col>
          <xdr:colOff>57150</xdr:colOff>
          <xdr:row>49</xdr:row>
          <xdr:rowOff>161925</xdr:rowOff>
        </xdr:to>
        <xdr:sp macro="" textlink="">
          <xdr:nvSpPr>
            <xdr:cNvPr id="15362" name="Object 2" hidden="1">
              <a:extLst>
                <a:ext uri="{63B3BB69-23CF-44E3-9099-C40C66FF867C}">
                  <a14:compatExt spid="_x0000_s15362"/>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21</xdr:col>
          <xdr:colOff>333375</xdr:colOff>
          <xdr:row>11</xdr:row>
          <xdr:rowOff>76200</xdr:rowOff>
        </xdr:from>
        <xdr:to>
          <xdr:col>27</xdr:col>
          <xdr:colOff>400050</xdr:colOff>
          <xdr:row>32</xdr:row>
          <xdr:rowOff>28575</xdr:rowOff>
        </xdr:to>
        <xdr:sp macro="" textlink="">
          <xdr:nvSpPr>
            <xdr:cNvPr id="16385" name="Object 1" hidden="1">
              <a:extLst>
                <a:ext uri="{63B3BB69-23CF-44E3-9099-C40C66FF867C}">
                  <a14:compatExt spid="_x0000_s163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533400</xdr:colOff>
          <xdr:row>11</xdr:row>
          <xdr:rowOff>76200</xdr:rowOff>
        </xdr:from>
        <xdr:to>
          <xdr:col>34</xdr:col>
          <xdr:colOff>114300</xdr:colOff>
          <xdr:row>32</xdr:row>
          <xdr:rowOff>38100</xdr:rowOff>
        </xdr:to>
        <xdr:sp macro="" textlink="">
          <xdr:nvSpPr>
            <xdr:cNvPr id="16386" name="Object 2" hidden="1">
              <a:extLst>
                <a:ext uri="{63B3BB69-23CF-44E3-9099-C40C66FF867C}">
                  <a14:compatExt spid="_x0000_s163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371475</xdr:colOff>
          <xdr:row>35</xdr:row>
          <xdr:rowOff>38100</xdr:rowOff>
        </xdr:from>
        <xdr:to>
          <xdr:col>27</xdr:col>
          <xdr:colOff>85725</xdr:colOff>
          <xdr:row>55</xdr:row>
          <xdr:rowOff>57150</xdr:rowOff>
        </xdr:to>
        <xdr:sp macro="" textlink="">
          <xdr:nvSpPr>
            <xdr:cNvPr id="16387" name="Object 3" hidden="1">
              <a:extLst>
                <a:ext uri="{63B3BB69-23CF-44E3-9099-C40C66FF867C}">
                  <a14:compatExt spid="_x0000_s163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0</xdr:colOff>
          <xdr:row>59</xdr:row>
          <xdr:rowOff>0</xdr:rowOff>
        </xdr:from>
        <xdr:to>
          <xdr:col>32</xdr:col>
          <xdr:colOff>200025</xdr:colOff>
          <xdr:row>76</xdr:row>
          <xdr:rowOff>76200</xdr:rowOff>
        </xdr:to>
        <xdr:sp macro="" textlink="">
          <xdr:nvSpPr>
            <xdr:cNvPr id="16388" name="Object 4" hidden="1">
              <a:extLst>
                <a:ext uri="{63B3BB69-23CF-44E3-9099-C40C66FF867C}">
                  <a14:compatExt spid="_x0000_s163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371475</xdr:colOff>
          <xdr:row>22</xdr:row>
          <xdr:rowOff>142875</xdr:rowOff>
        </xdr:from>
        <xdr:to>
          <xdr:col>21</xdr:col>
          <xdr:colOff>152400</xdr:colOff>
          <xdr:row>44</xdr:row>
          <xdr:rowOff>66675</xdr:rowOff>
        </xdr:to>
        <xdr:sp macro="" textlink="">
          <xdr:nvSpPr>
            <xdr:cNvPr id="16389" name="Object 5" hidden="1">
              <a:extLst>
                <a:ext uri="{63B3BB69-23CF-44E3-9099-C40C66FF867C}">
                  <a14:compatExt spid="_x0000_s16389"/>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0</xdr:colOff>
          <xdr:row>6</xdr:row>
          <xdr:rowOff>0</xdr:rowOff>
        </xdr:from>
        <xdr:to>
          <xdr:col>16</xdr:col>
          <xdr:colOff>438150</xdr:colOff>
          <xdr:row>34</xdr:row>
          <xdr:rowOff>38100</xdr:rowOff>
        </xdr:to>
        <xdr:sp macro="" textlink="">
          <xdr:nvSpPr>
            <xdr:cNvPr id="30722" name="Object 2" hidden="1">
              <a:extLst>
                <a:ext uri="{63B3BB69-23CF-44E3-9099-C40C66FF867C}">
                  <a14:compatExt spid="_x0000_s307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6</xdr:row>
          <xdr:rowOff>0</xdr:rowOff>
        </xdr:from>
        <xdr:to>
          <xdr:col>25</xdr:col>
          <xdr:colOff>133350</xdr:colOff>
          <xdr:row>42</xdr:row>
          <xdr:rowOff>66675</xdr:rowOff>
        </xdr:to>
        <xdr:sp macro="" textlink="">
          <xdr:nvSpPr>
            <xdr:cNvPr id="30723" name="Object 3" hidden="1">
              <a:extLst>
                <a:ext uri="{63B3BB69-23CF-44E3-9099-C40C66FF867C}">
                  <a14:compatExt spid="_x0000_s307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0</xdr:colOff>
          <xdr:row>6</xdr:row>
          <xdr:rowOff>0</xdr:rowOff>
        </xdr:from>
        <xdr:to>
          <xdr:col>30</xdr:col>
          <xdr:colOff>390525</xdr:colOff>
          <xdr:row>34</xdr:row>
          <xdr:rowOff>38100</xdr:rowOff>
        </xdr:to>
        <xdr:sp macro="" textlink="">
          <xdr:nvSpPr>
            <xdr:cNvPr id="30724" name="Object 4" hidden="1">
              <a:extLst>
                <a:ext uri="{63B3BB69-23CF-44E3-9099-C40C66FF867C}">
                  <a14:compatExt spid="_x0000_s307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40</xdr:row>
          <xdr:rowOff>0</xdr:rowOff>
        </xdr:from>
        <xdr:to>
          <xdr:col>16</xdr:col>
          <xdr:colOff>390525</xdr:colOff>
          <xdr:row>68</xdr:row>
          <xdr:rowOff>38100</xdr:rowOff>
        </xdr:to>
        <xdr:sp macro="" textlink="">
          <xdr:nvSpPr>
            <xdr:cNvPr id="30725" name="Object 5" hidden="1">
              <a:extLst>
                <a:ext uri="{63B3BB69-23CF-44E3-9099-C40C66FF867C}">
                  <a14:compatExt spid="_x0000_s307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40</xdr:row>
          <xdr:rowOff>0</xdr:rowOff>
        </xdr:from>
        <xdr:to>
          <xdr:col>23</xdr:col>
          <xdr:colOff>352425</xdr:colOff>
          <xdr:row>68</xdr:row>
          <xdr:rowOff>38100</xdr:rowOff>
        </xdr:to>
        <xdr:sp macro="" textlink="">
          <xdr:nvSpPr>
            <xdr:cNvPr id="30726" name="Object 6" hidden="1">
              <a:extLst>
                <a:ext uri="{63B3BB69-23CF-44E3-9099-C40C66FF867C}">
                  <a14:compatExt spid="_x0000_s307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49</xdr:row>
          <xdr:rowOff>0</xdr:rowOff>
        </xdr:from>
        <xdr:to>
          <xdr:col>6</xdr:col>
          <xdr:colOff>323850</xdr:colOff>
          <xdr:row>77</xdr:row>
          <xdr:rowOff>38100</xdr:rowOff>
        </xdr:to>
        <xdr:sp macro="" textlink="">
          <xdr:nvSpPr>
            <xdr:cNvPr id="30728" name="Object 8" hidden="1">
              <a:extLst>
                <a:ext uri="{63B3BB69-23CF-44E3-9099-C40C66FF867C}">
                  <a14:compatExt spid="_x0000_s307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6</xdr:col>
          <xdr:colOff>521804</xdr:colOff>
          <xdr:row>39</xdr:row>
          <xdr:rowOff>104891</xdr:rowOff>
        </xdr:to>
        <xdr:sp macro="" textlink="">
          <xdr:nvSpPr>
            <xdr:cNvPr id="30729" name="Object 9" hidden="1">
              <a:extLst>
                <a:ext uri="{63B3BB69-23CF-44E3-9099-C40C66FF867C}">
                  <a14:compatExt spid="_x0000_s30729"/>
                </a:ext>
              </a:extLst>
            </xdr:cNvPr>
            <xdr:cNvSpPr/>
          </xdr:nvSpPr>
          <xdr:spPr>
            <a:xfrm>
              <a:off x="0" y="0"/>
              <a:ext cx="0" cy="0"/>
            </a:xfrm>
            <a:prstGeom prst="rect">
              <a:avLst/>
            </a:prstGeom>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12</xdr:col>
          <xdr:colOff>0</xdr:colOff>
          <xdr:row>8</xdr:row>
          <xdr:rowOff>0</xdr:rowOff>
        </xdr:from>
        <xdr:to>
          <xdr:col>15</xdr:col>
          <xdr:colOff>123825</xdr:colOff>
          <xdr:row>32</xdr:row>
          <xdr:rowOff>133350</xdr:rowOff>
        </xdr:to>
        <xdr:sp macro="" textlink="">
          <xdr:nvSpPr>
            <xdr:cNvPr id="6145" name="Picture 95" hidden="1">
              <a:extLst>
                <a:ext uri="{63B3BB69-23CF-44E3-9099-C40C66FF867C}">
                  <a14:compatExt spid="_x0000_s61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16</xdr:col>
          <xdr:colOff>0</xdr:colOff>
          <xdr:row>8</xdr:row>
          <xdr:rowOff>0</xdr:rowOff>
        </xdr:from>
        <xdr:to>
          <xdr:col>19</xdr:col>
          <xdr:colOff>123825</xdr:colOff>
          <xdr:row>32</xdr:row>
          <xdr:rowOff>133350</xdr:rowOff>
        </xdr:to>
        <xdr:sp macro="" textlink="">
          <xdr:nvSpPr>
            <xdr:cNvPr id="6146" name="Picture 96" hidden="1">
              <a:extLst>
                <a:ext uri="{63B3BB69-23CF-44E3-9099-C40C66FF867C}">
                  <a14:compatExt spid="_x0000_s61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9525</xdr:colOff>
          <xdr:row>8</xdr:row>
          <xdr:rowOff>0</xdr:rowOff>
        </xdr:from>
        <xdr:to>
          <xdr:col>7</xdr:col>
          <xdr:colOff>123825</xdr:colOff>
          <xdr:row>32</xdr:row>
          <xdr:rowOff>133350</xdr:rowOff>
        </xdr:to>
        <xdr:sp macro="" textlink="">
          <xdr:nvSpPr>
            <xdr:cNvPr id="6147" name="Picture 97" hidden="1">
              <a:extLst>
                <a:ext uri="{63B3BB69-23CF-44E3-9099-C40C66FF867C}">
                  <a14:compatExt spid="_x0000_s61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20</xdr:col>
          <xdr:colOff>0</xdr:colOff>
          <xdr:row>8</xdr:row>
          <xdr:rowOff>0</xdr:rowOff>
        </xdr:from>
        <xdr:to>
          <xdr:col>23</xdr:col>
          <xdr:colOff>95250</xdr:colOff>
          <xdr:row>32</xdr:row>
          <xdr:rowOff>133350</xdr:rowOff>
        </xdr:to>
        <xdr:sp macro="" textlink="">
          <xdr:nvSpPr>
            <xdr:cNvPr id="6148" name="Picture 98" hidden="1">
              <a:extLst>
                <a:ext uri="{63B3BB69-23CF-44E3-9099-C40C66FF867C}">
                  <a14:compatExt spid="_x0000_s61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24</xdr:col>
          <xdr:colOff>0</xdr:colOff>
          <xdr:row>8</xdr:row>
          <xdr:rowOff>0</xdr:rowOff>
        </xdr:from>
        <xdr:to>
          <xdr:col>27</xdr:col>
          <xdr:colOff>123825</xdr:colOff>
          <xdr:row>32</xdr:row>
          <xdr:rowOff>133350</xdr:rowOff>
        </xdr:to>
        <xdr:sp macro="" textlink="">
          <xdr:nvSpPr>
            <xdr:cNvPr id="6149" name="Picture 99" hidden="1">
              <a:extLst>
                <a:ext uri="{63B3BB69-23CF-44E3-9099-C40C66FF867C}">
                  <a14:compatExt spid="_x0000_s61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28</xdr:col>
          <xdr:colOff>0</xdr:colOff>
          <xdr:row>8</xdr:row>
          <xdr:rowOff>0</xdr:rowOff>
        </xdr:from>
        <xdr:to>
          <xdr:col>33</xdr:col>
          <xdr:colOff>314325</xdr:colOff>
          <xdr:row>32</xdr:row>
          <xdr:rowOff>133350</xdr:rowOff>
        </xdr:to>
        <xdr:sp macro="" textlink="">
          <xdr:nvSpPr>
            <xdr:cNvPr id="6150" name="Picture 100" hidden="1">
              <a:extLst>
                <a:ext uri="{63B3BB69-23CF-44E3-9099-C40C66FF867C}">
                  <a14:compatExt spid="_x0000_s61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34</xdr:col>
          <xdr:colOff>0</xdr:colOff>
          <xdr:row>8</xdr:row>
          <xdr:rowOff>0</xdr:rowOff>
        </xdr:from>
        <xdr:to>
          <xdr:col>39</xdr:col>
          <xdr:colOff>190500</xdr:colOff>
          <xdr:row>32</xdr:row>
          <xdr:rowOff>133350</xdr:rowOff>
        </xdr:to>
        <xdr:sp macro="" textlink="">
          <xdr:nvSpPr>
            <xdr:cNvPr id="6151" name="Picture 101" hidden="1">
              <a:extLst>
                <a:ext uri="{63B3BB69-23CF-44E3-9099-C40C66FF867C}">
                  <a14:compatExt spid="_x0000_s61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8</xdr:row>
          <xdr:rowOff>0</xdr:rowOff>
        </xdr:from>
        <xdr:to>
          <xdr:col>11</xdr:col>
          <xdr:colOff>457200</xdr:colOff>
          <xdr:row>32</xdr:row>
          <xdr:rowOff>133350</xdr:rowOff>
        </xdr:to>
        <xdr:sp macro="" textlink="">
          <xdr:nvSpPr>
            <xdr:cNvPr id="6152" name="Picture 102" hidden="1">
              <a:extLst>
                <a:ext uri="{63B3BB69-23CF-44E3-9099-C40C66FF867C}">
                  <a14:compatExt spid="_x0000_s61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409575</xdr:colOff>
          <xdr:row>39</xdr:row>
          <xdr:rowOff>104775</xdr:rowOff>
        </xdr:from>
        <xdr:to>
          <xdr:col>7</xdr:col>
          <xdr:colOff>104775</xdr:colOff>
          <xdr:row>65</xdr:row>
          <xdr:rowOff>38100</xdr:rowOff>
        </xdr:to>
        <xdr:sp macro="" textlink="">
          <xdr:nvSpPr>
            <xdr:cNvPr id="6153" name="Picture 103" hidden="1">
              <a:extLst>
                <a:ext uri="{63B3BB69-23CF-44E3-9099-C40C66FF867C}">
                  <a14:compatExt spid="_x0000_s61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400050</xdr:colOff>
          <xdr:row>39</xdr:row>
          <xdr:rowOff>114300</xdr:rowOff>
        </xdr:from>
        <xdr:to>
          <xdr:col>11</xdr:col>
          <xdr:colOff>476250</xdr:colOff>
          <xdr:row>65</xdr:row>
          <xdr:rowOff>38100</xdr:rowOff>
        </xdr:to>
        <xdr:sp macro="" textlink="">
          <xdr:nvSpPr>
            <xdr:cNvPr id="6154" name="Picture 104" hidden="1">
              <a:extLst>
                <a:ext uri="{63B3BB69-23CF-44E3-9099-C40C66FF867C}">
                  <a14:compatExt spid="_x0000_s61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16</xdr:col>
          <xdr:colOff>190500</xdr:colOff>
          <xdr:row>38</xdr:row>
          <xdr:rowOff>95250</xdr:rowOff>
        </xdr:from>
        <xdr:to>
          <xdr:col>20</xdr:col>
          <xdr:colOff>0</xdr:colOff>
          <xdr:row>63</xdr:row>
          <xdr:rowOff>66675</xdr:rowOff>
        </xdr:to>
        <xdr:sp macro="" textlink="">
          <xdr:nvSpPr>
            <xdr:cNvPr id="6155" name="Picture 105" hidden="1">
              <a:extLst>
                <a:ext uri="{63B3BB69-23CF-44E3-9099-C40C66FF867C}">
                  <a14:compatExt spid="_x0000_s61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xdr:col>
          <xdr:colOff>114300</xdr:colOff>
          <xdr:row>39</xdr:row>
          <xdr:rowOff>133350</xdr:rowOff>
        </xdr:from>
        <xdr:to>
          <xdr:col>15</xdr:col>
          <xdr:colOff>381000</xdr:colOff>
          <xdr:row>65</xdr:row>
          <xdr:rowOff>57150</xdr:rowOff>
        </xdr:to>
        <xdr:sp macro="" textlink="">
          <xdr:nvSpPr>
            <xdr:cNvPr id="6156" name="Picture 106" hidden="1">
              <a:extLst>
                <a:ext uri="{63B3BB69-23CF-44E3-9099-C40C66FF867C}">
                  <a14:compatExt spid="_x0000_s61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20</xdr:col>
          <xdr:colOff>495300</xdr:colOff>
          <xdr:row>38</xdr:row>
          <xdr:rowOff>76200</xdr:rowOff>
        </xdr:from>
        <xdr:to>
          <xdr:col>23</xdr:col>
          <xdr:colOff>381000</xdr:colOff>
          <xdr:row>63</xdr:row>
          <xdr:rowOff>47625</xdr:rowOff>
        </xdr:to>
        <xdr:sp macro="" textlink="">
          <xdr:nvSpPr>
            <xdr:cNvPr id="6157" name="Picture 107" hidden="1">
              <a:extLst>
                <a:ext uri="{63B3BB69-23CF-44E3-9099-C40C66FF867C}">
                  <a14:compatExt spid="_x0000_s61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24</xdr:col>
          <xdr:colOff>190500</xdr:colOff>
          <xdr:row>38</xdr:row>
          <xdr:rowOff>76200</xdr:rowOff>
        </xdr:from>
        <xdr:to>
          <xdr:col>27</xdr:col>
          <xdr:colOff>171450</xdr:colOff>
          <xdr:row>63</xdr:row>
          <xdr:rowOff>47625</xdr:rowOff>
        </xdr:to>
        <xdr:sp macro="" textlink="">
          <xdr:nvSpPr>
            <xdr:cNvPr id="6158" name="Picture 108" hidden="1">
              <a:extLst>
                <a:ext uri="{63B3BB69-23CF-44E3-9099-C40C66FF867C}">
                  <a14:compatExt spid="_x0000_s61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28</xdr:col>
          <xdr:colOff>0</xdr:colOff>
          <xdr:row>38</xdr:row>
          <xdr:rowOff>76200</xdr:rowOff>
        </xdr:from>
        <xdr:to>
          <xdr:col>33</xdr:col>
          <xdr:colOff>523875</xdr:colOff>
          <xdr:row>63</xdr:row>
          <xdr:rowOff>47625</xdr:rowOff>
        </xdr:to>
        <xdr:sp macro="" textlink="">
          <xdr:nvSpPr>
            <xdr:cNvPr id="6159" name="Picture 109" hidden="1">
              <a:extLst>
                <a:ext uri="{63B3BB69-23CF-44E3-9099-C40C66FF867C}">
                  <a14:compatExt spid="_x0000_s61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34</xdr:col>
          <xdr:colOff>76200</xdr:colOff>
          <xdr:row>38</xdr:row>
          <xdr:rowOff>95250</xdr:rowOff>
        </xdr:from>
        <xdr:to>
          <xdr:col>40</xdr:col>
          <xdr:colOff>95250</xdr:colOff>
          <xdr:row>63</xdr:row>
          <xdr:rowOff>66675</xdr:rowOff>
        </xdr:to>
        <xdr:sp macro="" textlink="">
          <xdr:nvSpPr>
            <xdr:cNvPr id="6160" name="Picture 110" hidden="1">
              <a:extLst>
                <a:ext uri="{63B3BB69-23CF-44E3-9099-C40C66FF867C}">
                  <a14:compatExt spid="_x0000_s61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476250</xdr:colOff>
          <xdr:row>66</xdr:row>
          <xdr:rowOff>19050</xdr:rowOff>
        </xdr:from>
        <xdr:to>
          <xdr:col>8</xdr:col>
          <xdr:colOff>47625</xdr:colOff>
          <xdr:row>90</xdr:row>
          <xdr:rowOff>133350</xdr:rowOff>
        </xdr:to>
        <xdr:sp macro="" textlink="">
          <xdr:nvSpPr>
            <xdr:cNvPr id="6161" name="Picture 111" hidden="1">
              <a:extLst>
                <a:ext uri="{63B3BB69-23CF-44E3-9099-C40C66FF867C}">
                  <a14:compatExt spid="_x0000_s61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466725</xdr:colOff>
          <xdr:row>93</xdr:row>
          <xdr:rowOff>123825</xdr:rowOff>
        </xdr:from>
        <xdr:to>
          <xdr:col>8</xdr:col>
          <xdr:colOff>9525</xdr:colOff>
          <xdr:row>118</xdr:row>
          <xdr:rowOff>85725</xdr:rowOff>
        </xdr:to>
        <xdr:sp macro="" textlink="">
          <xdr:nvSpPr>
            <xdr:cNvPr id="6162" name="Picture 112" hidden="1">
              <a:extLst>
                <a:ext uri="{63B3BB69-23CF-44E3-9099-C40C66FF867C}">
                  <a14:compatExt spid="_x0000_s61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342900</xdr:colOff>
          <xdr:row>93</xdr:row>
          <xdr:rowOff>114300</xdr:rowOff>
        </xdr:from>
        <xdr:to>
          <xdr:col>18</xdr:col>
          <xdr:colOff>361950</xdr:colOff>
          <xdr:row>118</xdr:row>
          <xdr:rowOff>85725</xdr:rowOff>
        </xdr:to>
        <xdr:sp macro="" textlink="">
          <xdr:nvSpPr>
            <xdr:cNvPr id="6163" name="Picture 113" hidden="1">
              <a:extLst>
                <a:ext uri="{63B3BB69-23CF-44E3-9099-C40C66FF867C}">
                  <a14:compatExt spid="_x0000_s61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514350</xdr:colOff>
          <xdr:row>93</xdr:row>
          <xdr:rowOff>85725</xdr:rowOff>
        </xdr:from>
        <xdr:to>
          <xdr:col>13</xdr:col>
          <xdr:colOff>428625</xdr:colOff>
          <xdr:row>118</xdr:row>
          <xdr:rowOff>47625</xdr:rowOff>
        </xdr:to>
        <xdr:sp macro="" textlink="">
          <xdr:nvSpPr>
            <xdr:cNvPr id="6164" name="Picture 114" hidden="1">
              <a:extLst>
                <a:ext uri="{63B3BB69-23CF-44E3-9099-C40C66FF867C}">
                  <a14:compatExt spid="_x0000_s61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19</xdr:col>
          <xdr:colOff>333375</xdr:colOff>
          <xdr:row>93</xdr:row>
          <xdr:rowOff>85725</xdr:rowOff>
        </xdr:from>
        <xdr:to>
          <xdr:col>24</xdr:col>
          <xdr:colOff>47625</xdr:colOff>
          <xdr:row>118</xdr:row>
          <xdr:rowOff>47625</xdr:rowOff>
        </xdr:to>
        <xdr:sp macro="" textlink="">
          <xdr:nvSpPr>
            <xdr:cNvPr id="6165" name="Picture 115" hidden="1">
              <a:extLst>
                <a:ext uri="{63B3BB69-23CF-44E3-9099-C40C66FF867C}">
                  <a14:compatExt spid="_x0000_s61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25</xdr:col>
          <xdr:colOff>0</xdr:colOff>
          <xdr:row>93</xdr:row>
          <xdr:rowOff>76200</xdr:rowOff>
        </xdr:from>
        <xdr:to>
          <xdr:col>28</xdr:col>
          <xdr:colOff>238125</xdr:colOff>
          <xdr:row>118</xdr:row>
          <xdr:rowOff>47625</xdr:rowOff>
        </xdr:to>
        <xdr:sp macro="" textlink="">
          <xdr:nvSpPr>
            <xdr:cNvPr id="6166" name="Picture 116" hidden="1">
              <a:extLst>
                <a:ext uri="{63B3BB69-23CF-44E3-9099-C40C66FF867C}">
                  <a14:compatExt spid="_x0000_s61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29</xdr:col>
          <xdr:colOff>104775</xdr:colOff>
          <xdr:row>93</xdr:row>
          <xdr:rowOff>47625</xdr:rowOff>
        </xdr:from>
        <xdr:to>
          <xdr:col>32</xdr:col>
          <xdr:colOff>361950</xdr:colOff>
          <xdr:row>118</xdr:row>
          <xdr:rowOff>19050</xdr:rowOff>
        </xdr:to>
        <xdr:sp macro="" textlink="">
          <xdr:nvSpPr>
            <xdr:cNvPr id="6167" name="Picture 117" hidden="1">
              <a:extLst>
                <a:ext uri="{63B3BB69-23CF-44E3-9099-C40C66FF867C}">
                  <a14:compatExt spid="_x0000_s61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41</xdr:col>
          <xdr:colOff>0</xdr:colOff>
          <xdr:row>93</xdr:row>
          <xdr:rowOff>0</xdr:rowOff>
        </xdr:from>
        <xdr:to>
          <xdr:col>47</xdr:col>
          <xdr:colOff>409575</xdr:colOff>
          <xdr:row>117</xdr:row>
          <xdr:rowOff>133350</xdr:rowOff>
        </xdr:to>
        <xdr:sp macro="" textlink="">
          <xdr:nvSpPr>
            <xdr:cNvPr id="6169" name="Picture 119" hidden="1">
              <a:extLst>
                <a:ext uri="{63B3BB69-23CF-44E3-9099-C40C66FF867C}">
                  <a14:compatExt spid="_x0000_s61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25</xdr:col>
          <xdr:colOff>428625</xdr:colOff>
          <xdr:row>67</xdr:row>
          <xdr:rowOff>123825</xdr:rowOff>
        </xdr:from>
        <xdr:to>
          <xdr:col>29</xdr:col>
          <xdr:colOff>438150</xdr:colOff>
          <xdr:row>93</xdr:row>
          <xdr:rowOff>76200</xdr:rowOff>
        </xdr:to>
        <xdr:sp macro="" textlink="">
          <xdr:nvSpPr>
            <xdr:cNvPr id="6170" name="Picture 120" hidden="1">
              <a:extLst>
                <a:ext uri="{63B3BB69-23CF-44E3-9099-C40C66FF867C}">
                  <a14:compatExt spid="_x0000_s61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21</xdr:col>
          <xdr:colOff>266700</xdr:colOff>
          <xdr:row>67</xdr:row>
          <xdr:rowOff>104775</xdr:rowOff>
        </xdr:from>
        <xdr:to>
          <xdr:col>25</xdr:col>
          <xdr:colOff>285750</xdr:colOff>
          <xdr:row>93</xdr:row>
          <xdr:rowOff>28575</xdr:rowOff>
        </xdr:to>
        <xdr:sp macro="" textlink="">
          <xdr:nvSpPr>
            <xdr:cNvPr id="6171" name="Picture 121" hidden="1">
              <a:extLst>
                <a:ext uri="{63B3BB69-23CF-44E3-9099-C40C66FF867C}">
                  <a14:compatExt spid="_x0000_s61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504825</xdr:colOff>
          <xdr:row>67</xdr:row>
          <xdr:rowOff>152400</xdr:rowOff>
        </xdr:from>
        <xdr:to>
          <xdr:col>12</xdr:col>
          <xdr:colOff>76200</xdr:colOff>
          <xdr:row>93</xdr:row>
          <xdr:rowOff>76200</xdr:rowOff>
        </xdr:to>
        <xdr:sp macro="" textlink="">
          <xdr:nvSpPr>
            <xdr:cNvPr id="6172" name="Picture 122" hidden="1">
              <a:extLst>
                <a:ext uri="{63B3BB69-23CF-44E3-9099-C40C66FF867C}">
                  <a14:compatExt spid="_x0000_s61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xdr:col>
          <xdr:colOff>133350</xdr:colOff>
          <xdr:row>68</xdr:row>
          <xdr:rowOff>0</xdr:rowOff>
        </xdr:from>
        <xdr:to>
          <xdr:col>16</xdr:col>
          <xdr:colOff>304800</xdr:colOff>
          <xdr:row>93</xdr:row>
          <xdr:rowOff>76200</xdr:rowOff>
        </xdr:to>
        <xdr:sp macro="" textlink="">
          <xdr:nvSpPr>
            <xdr:cNvPr id="6173" name="Picture 123" hidden="1">
              <a:extLst>
                <a:ext uri="{63B3BB69-23CF-44E3-9099-C40C66FF867C}">
                  <a14:compatExt spid="_x0000_s61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16</xdr:col>
          <xdr:colOff>428625</xdr:colOff>
          <xdr:row>67</xdr:row>
          <xdr:rowOff>152400</xdr:rowOff>
        </xdr:from>
        <xdr:to>
          <xdr:col>21</xdr:col>
          <xdr:colOff>19050</xdr:colOff>
          <xdr:row>93</xdr:row>
          <xdr:rowOff>76200</xdr:rowOff>
        </xdr:to>
        <xdr:sp macro="" textlink="">
          <xdr:nvSpPr>
            <xdr:cNvPr id="6174" name="Picture 124" hidden="1">
              <a:extLst>
                <a:ext uri="{63B3BB69-23CF-44E3-9099-C40C66FF867C}">
                  <a14:compatExt spid="_x0000_s61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31</xdr:col>
          <xdr:colOff>0</xdr:colOff>
          <xdr:row>66</xdr:row>
          <xdr:rowOff>0</xdr:rowOff>
        </xdr:from>
        <xdr:to>
          <xdr:col>37</xdr:col>
          <xdr:colOff>76200</xdr:colOff>
          <xdr:row>90</xdr:row>
          <xdr:rowOff>133350</xdr:rowOff>
        </xdr:to>
        <xdr:sp macro="" textlink="">
          <xdr:nvSpPr>
            <xdr:cNvPr id="6175" name="Picture 125" hidden="1">
              <a:extLst>
                <a:ext uri="{63B3BB69-23CF-44E3-9099-C40C66FF867C}">
                  <a14:compatExt spid="_x0000_s61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38</xdr:col>
          <xdr:colOff>0</xdr:colOff>
          <xdr:row>66</xdr:row>
          <xdr:rowOff>0</xdr:rowOff>
        </xdr:from>
        <xdr:to>
          <xdr:col>44</xdr:col>
          <xdr:colOff>47625</xdr:colOff>
          <xdr:row>90</xdr:row>
          <xdr:rowOff>133350</xdr:rowOff>
        </xdr:to>
        <xdr:sp macro="" textlink="">
          <xdr:nvSpPr>
            <xdr:cNvPr id="6176" name="Picture 126" hidden="1">
              <a:extLst>
                <a:ext uri="{63B3BB69-23CF-44E3-9099-C40C66FF867C}">
                  <a14:compatExt spid="_x0000_s61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126</xdr:row>
          <xdr:rowOff>0</xdr:rowOff>
        </xdr:from>
        <xdr:to>
          <xdr:col>7</xdr:col>
          <xdr:colOff>314325</xdr:colOff>
          <xdr:row>150</xdr:row>
          <xdr:rowOff>133350</xdr:rowOff>
        </xdr:to>
        <xdr:sp macro="" textlink="">
          <xdr:nvSpPr>
            <xdr:cNvPr id="6177" name="Picture 127" hidden="1">
              <a:extLst>
                <a:ext uri="{63B3BB69-23CF-44E3-9099-C40C66FF867C}">
                  <a14:compatExt spid="_x0000_s61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381000</xdr:colOff>
          <xdr:row>126</xdr:row>
          <xdr:rowOff>0</xdr:rowOff>
        </xdr:from>
        <xdr:to>
          <xdr:col>13</xdr:col>
          <xdr:colOff>28575</xdr:colOff>
          <xdr:row>150</xdr:row>
          <xdr:rowOff>133350</xdr:rowOff>
        </xdr:to>
        <xdr:sp macro="" textlink="">
          <xdr:nvSpPr>
            <xdr:cNvPr id="6179" name="Picture 129" hidden="1">
              <a:extLst>
                <a:ext uri="{63B3BB69-23CF-44E3-9099-C40C66FF867C}">
                  <a14:compatExt spid="_x0000_s61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18</xdr:col>
          <xdr:colOff>0</xdr:colOff>
          <xdr:row>126</xdr:row>
          <xdr:rowOff>0</xdr:rowOff>
        </xdr:from>
        <xdr:to>
          <xdr:col>22</xdr:col>
          <xdr:colOff>171450</xdr:colOff>
          <xdr:row>150</xdr:row>
          <xdr:rowOff>133350</xdr:rowOff>
        </xdr:to>
        <xdr:sp macro="" textlink="">
          <xdr:nvSpPr>
            <xdr:cNvPr id="6180" name="Picture 130" hidden="1">
              <a:extLst>
                <a:ext uri="{63B3BB69-23CF-44E3-9099-C40C66FF867C}">
                  <a14:compatExt spid="_x0000_s61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23</xdr:col>
          <xdr:colOff>0</xdr:colOff>
          <xdr:row>126</xdr:row>
          <xdr:rowOff>0</xdr:rowOff>
        </xdr:from>
        <xdr:to>
          <xdr:col>27</xdr:col>
          <xdr:colOff>171450</xdr:colOff>
          <xdr:row>150</xdr:row>
          <xdr:rowOff>133350</xdr:rowOff>
        </xdr:to>
        <xdr:sp macro="" textlink="">
          <xdr:nvSpPr>
            <xdr:cNvPr id="6181" name="Picture 131" hidden="1">
              <a:extLst>
                <a:ext uri="{63B3BB69-23CF-44E3-9099-C40C66FF867C}">
                  <a14:compatExt spid="_x0000_s61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28</xdr:col>
          <xdr:colOff>0</xdr:colOff>
          <xdr:row>126</xdr:row>
          <xdr:rowOff>0</xdr:rowOff>
        </xdr:from>
        <xdr:to>
          <xdr:col>32</xdr:col>
          <xdr:colOff>171450</xdr:colOff>
          <xdr:row>150</xdr:row>
          <xdr:rowOff>133350</xdr:rowOff>
        </xdr:to>
        <xdr:sp macro="" textlink="">
          <xdr:nvSpPr>
            <xdr:cNvPr id="6182" name="Picture 132" hidden="1">
              <a:extLst>
                <a:ext uri="{63B3BB69-23CF-44E3-9099-C40C66FF867C}">
                  <a14:compatExt spid="_x0000_s61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33</xdr:col>
          <xdr:colOff>0</xdr:colOff>
          <xdr:row>126</xdr:row>
          <xdr:rowOff>0</xdr:rowOff>
        </xdr:from>
        <xdr:to>
          <xdr:col>39</xdr:col>
          <xdr:colOff>476250</xdr:colOff>
          <xdr:row>150</xdr:row>
          <xdr:rowOff>133350</xdr:rowOff>
        </xdr:to>
        <xdr:sp macro="" textlink="">
          <xdr:nvSpPr>
            <xdr:cNvPr id="6183" name="Picture 133" hidden="1">
              <a:extLst>
                <a:ext uri="{63B3BB69-23CF-44E3-9099-C40C66FF867C}">
                  <a14:compatExt spid="_x0000_s61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40</xdr:col>
          <xdr:colOff>0</xdr:colOff>
          <xdr:row>126</xdr:row>
          <xdr:rowOff>0</xdr:rowOff>
        </xdr:from>
        <xdr:to>
          <xdr:col>46</xdr:col>
          <xdr:colOff>504825</xdr:colOff>
          <xdr:row>150</xdr:row>
          <xdr:rowOff>133350</xdr:rowOff>
        </xdr:to>
        <xdr:sp macro="" textlink="">
          <xdr:nvSpPr>
            <xdr:cNvPr id="6184" name="Picture 134" hidden="1">
              <a:extLst>
                <a:ext uri="{63B3BB69-23CF-44E3-9099-C40C66FF867C}">
                  <a14:compatExt spid="_x0000_s61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9525</xdr:colOff>
          <xdr:row>160</xdr:row>
          <xdr:rowOff>0</xdr:rowOff>
        </xdr:from>
        <xdr:to>
          <xdr:col>7</xdr:col>
          <xdr:colOff>238125</xdr:colOff>
          <xdr:row>184</xdr:row>
          <xdr:rowOff>133350</xdr:rowOff>
        </xdr:to>
        <xdr:sp macro="" textlink="">
          <xdr:nvSpPr>
            <xdr:cNvPr id="6185" name="Picture 135" hidden="1">
              <a:extLst>
                <a:ext uri="{63B3BB69-23CF-44E3-9099-C40C66FF867C}">
                  <a14:compatExt spid="_x0000_s61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160</xdr:row>
          <xdr:rowOff>0</xdr:rowOff>
        </xdr:from>
        <xdr:to>
          <xdr:col>12</xdr:col>
          <xdr:colOff>123825</xdr:colOff>
          <xdr:row>184</xdr:row>
          <xdr:rowOff>133350</xdr:rowOff>
        </xdr:to>
        <xdr:sp macro="" textlink="">
          <xdr:nvSpPr>
            <xdr:cNvPr id="6186" name="Picture 136" hidden="1">
              <a:extLst>
                <a:ext uri="{63B3BB69-23CF-44E3-9099-C40C66FF867C}">
                  <a14:compatExt spid="_x0000_s61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xdr:col>
          <xdr:colOff>0</xdr:colOff>
          <xdr:row>160</xdr:row>
          <xdr:rowOff>0</xdr:rowOff>
        </xdr:from>
        <xdr:to>
          <xdr:col>17</xdr:col>
          <xdr:colOff>142875</xdr:colOff>
          <xdr:row>184</xdr:row>
          <xdr:rowOff>133350</xdr:rowOff>
        </xdr:to>
        <xdr:sp macro="" textlink="">
          <xdr:nvSpPr>
            <xdr:cNvPr id="6187" name="Picture 137" hidden="1">
              <a:extLst>
                <a:ext uri="{63B3BB69-23CF-44E3-9099-C40C66FF867C}">
                  <a14:compatExt spid="_x0000_s61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18</xdr:col>
          <xdr:colOff>0</xdr:colOff>
          <xdr:row>160</xdr:row>
          <xdr:rowOff>0</xdr:rowOff>
        </xdr:from>
        <xdr:to>
          <xdr:col>22</xdr:col>
          <xdr:colOff>266700</xdr:colOff>
          <xdr:row>184</xdr:row>
          <xdr:rowOff>133350</xdr:rowOff>
        </xdr:to>
        <xdr:sp macro="" textlink="">
          <xdr:nvSpPr>
            <xdr:cNvPr id="6188" name="Picture 138" hidden="1">
              <a:extLst>
                <a:ext uri="{63B3BB69-23CF-44E3-9099-C40C66FF867C}">
                  <a14:compatExt spid="_x0000_s61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23</xdr:col>
          <xdr:colOff>28575</xdr:colOff>
          <xdr:row>160</xdr:row>
          <xdr:rowOff>28575</xdr:rowOff>
        </xdr:from>
        <xdr:to>
          <xdr:col>27</xdr:col>
          <xdr:colOff>219075</xdr:colOff>
          <xdr:row>186</xdr:row>
          <xdr:rowOff>47625</xdr:rowOff>
        </xdr:to>
        <xdr:sp macro="" textlink="">
          <xdr:nvSpPr>
            <xdr:cNvPr id="6189" name="Picture 139" hidden="1">
              <a:extLst>
                <a:ext uri="{63B3BB69-23CF-44E3-9099-C40C66FF867C}">
                  <a14:compatExt spid="_x0000_s61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28</xdr:col>
          <xdr:colOff>0</xdr:colOff>
          <xdr:row>160</xdr:row>
          <xdr:rowOff>0</xdr:rowOff>
        </xdr:from>
        <xdr:to>
          <xdr:col>35</xdr:col>
          <xdr:colOff>381000</xdr:colOff>
          <xdr:row>182</xdr:row>
          <xdr:rowOff>85725</xdr:rowOff>
        </xdr:to>
        <xdr:sp macro="" textlink="">
          <xdr:nvSpPr>
            <xdr:cNvPr id="6190" name="Picture 140" hidden="1">
              <a:extLst>
                <a:ext uri="{63B3BB69-23CF-44E3-9099-C40C66FF867C}">
                  <a14:compatExt spid="_x0000_s61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36</xdr:col>
          <xdr:colOff>152400</xdr:colOff>
          <xdr:row>158</xdr:row>
          <xdr:rowOff>19050</xdr:rowOff>
        </xdr:from>
        <xdr:to>
          <xdr:col>43</xdr:col>
          <xdr:colOff>76200</xdr:colOff>
          <xdr:row>182</xdr:row>
          <xdr:rowOff>133350</xdr:rowOff>
        </xdr:to>
        <xdr:sp macro="" textlink="">
          <xdr:nvSpPr>
            <xdr:cNvPr id="6191" name="Picture 141" hidden="1">
              <a:extLst>
                <a:ext uri="{63B3BB69-23CF-44E3-9099-C40C66FF867C}">
                  <a14:compatExt spid="_x0000_s61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93</xdr:row>
          <xdr:rowOff>0</xdr:rowOff>
        </xdr:from>
        <xdr:to>
          <xdr:col>40</xdr:col>
          <xdr:colOff>247650</xdr:colOff>
          <xdr:row>117</xdr:row>
          <xdr:rowOff>47625</xdr:rowOff>
        </xdr:to>
        <xdr:sp macro="" textlink="">
          <xdr:nvSpPr>
            <xdr:cNvPr id="6192" name="Object 48" hidden="1">
              <a:extLst>
                <a:ext uri="{63B3BB69-23CF-44E3-9099-C40C66FF867C}">
                  <a14:compatExt spid="_x0000_s61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44</xdr:col>
          <xdr:colOff>0</xdr:colOff>
          <xdr:row>39</xdr:row>
          <xdr:rowOff>95250</xdr:rowOff>
        </xdr:from>
        <xdr:to>
          <xdr:col>52</xdr:col>
          <xdr:colOff>428625</xdr:colOff>
          <xdr:row>73</xdr:row>
          <xdr:rowOff>85725</xdr:rowOff>
        </xdr:to>
        <xdr:sp macro="" textlink="">
          <xdr:nvSpPr>
            <xdr:cNvPr id="6193" name="Object 49" hidden="1">
              <a:extLst>
                <a:ext uri="{63B3BB69-23CF-44E3-9099-C40C66FF867C}">
                  <a14:compatExt spid="_x0000_s61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55</xdr:col>
          <xdr:colOff>0</xdr:colOff>
          <xdr:row>39</xdr:row>
          <xdr:rowOff>38100</xdr:rowOff>
        </xdr:from>
        <xdr:to>
          <xdr:col>60</xdr:col>
          <xdr:colOff>504825</xdr:colOff>
          <xdr:row>64</xdr:row>
          <xdr:rowOff>9525</xdr:rowOff>
        </xdr:to>
        <xdr:sp macro="" textlink="">
          <xdr:nvSpPr>
            <xdr:cNvPr id="6194" name="Object 50" hidden="1">
              <a:extLst>
                <a:ext uri="{63B3BB69-23CF-44E3-9099-C40C66FF867C}">
                  <a14:compatExt spid="_x0000_s61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64</xdr:col>
          <xdr:colOff>0</xdr:colOff>
          <xdr:row>39</xdr:row>
          <xdr:rowOff>19050</xdr:rowOff>
        </xdr:from>
        <xdr:to>
          <xdr:col>72</xdr:col>
          <xdr:colOff>428625</xdr:colOff>
          <xdr:row>73</xdr:row>
          <xdr:rowOff>9525</xdr:rowOff>
        </xdr:to>
        <xdr:sp macro="" textlink="">
          <xdr:nvSpPr>
            <xdr:cNvPr id="6195" name="Object 51" hidden="1">
              <a:extLst>
                <a:ext uri="{63B3BB69-23CF-44E3-9099-C40C66FF867C}">
                  <a14:compatExt spid="_x0000_s6195"/>
                </a:ext>
              </a:extLst>
            </xdr:cNvPr>
            <xdr:cNvSpPr/>
          </xdr:nvSpPr>
          <xdr:spPr>
            <a:xfrm>
              <a:off x="0" y="0"/>
              <a:ext cx="0" cy="0"/>
            </a:xfrm>
            <a:prstGeom prst="rect">
              <a:avLst/>
            </a:prstGeom>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190500</xdr:colOff>
          <xdr:row>1</xdr:row>
          <xdr:rowOff>0</xdr:rowOff>
        </xdr:from>
        <xdr:to>
          <xdr:col>5</xdr:col>
          <xdr:colOff>533400</xdr:colOff>
          <xdr:row>28</xdr:row>
          <xdr:rowOff>47625</xdr:rowOff>
        </xdr:to>
        <xdr:sp macro="" textlink="">
          <xdr:nvSpPr>
            <xdr:cNvPr id="7170" name="Picture 6" hidden="1">
              <a:extLst>
                <a:ext uri="{63B3BB69-23CF-44E3-9099-C40C66FF867C}">
                  <a14:compatExt spid="_x0000_s71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0</xdr:colOff>
          <xdr:row>1</xdr:row>
          <xdr:rowOff>19050</xdr:rowOff>
        </xdr:from>
        <xdr:to>
          <xdr:col>10</xdr:col>
          <xdr:colOff>333375</xdr:colOff>
          <xdr:row>28</xdr:row>
          <xdr:rowOff>66675</xdr:rowOff>
        </xdr:to>
        <xdr:sp macro="" textlink="">
          <xdr:nvSpPr>
            <xdr:cNvPr id="7171" name="Picture 7" hidden="1">
              <a:extLst>
                <a:ext uri="{63B3BB69-23CF-44E3-9099-C40C66FF867C}">
                  <a14:compatExt spid="_x0000_s71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381000</xdr:colOff>
          <xdr:row>1</xdr:row>
          <xdr:rowOff>0</xdr:rowOff>
        </xdr:from>
        <xdr:to>
          <xdr:col>15</xdr:col>
          <xdr:colOff>123825</xdr:colOff>
          <xdr:row>28</xdr:row>
          <xdr:rowOff>47625</xdr:rowOff>
        </xdr:to>
        <xdr:sp macro="" textlink="">
          <xdr:nvSpPr>
            <xdr:cNvPr id="7172" name="Picture 8" hidden="1">
              <a:extLst>
                <a:ext uri="{63B3BB69-23CF-44E3-9099-C40C66FF867C}">
                  <a14:compatExt spid="_x0000_s71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228600</xdr:colOff>
          <xdr:row>1</xdr:row>
          <xdr:rowOff>9525</xdr:rowOff>
        </xdr:from>
        <xdr:to>
          <xdr:col>20</xdr:col>
          <xdr:colOff>95250</xdr:colOff>
          <xdr:row>28</xdr:row>
          <xdr:rowOff>57150</xdr:rowOff>
        </xdr:to>
        <xdr:sp macro="" textlink="">
          <xdr:nvSpPr>
            <xdr:cNvPr id="7173" name="Picture 10" hidden="1">
              <a:extLst>
                <a:ext uri="{63B3BB69-23CF-44E3-9099-C40C66FF867C}">
                  <a14:compatExt spid="_x0000_s71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1</xdr:row>
          <xdr:rowOff>0</xdr:rowOff>
        </xdr:from>
        <xdr:to>
          <xdr:col>27</xdr:col>
          <xdr:colOff>190500</xdr:colOff>
          <xdr:row>37</xdr:row>
          <xdr:rowOff>66675</xdr:rowOff>
        </xdr:to>
        <xdr:sp macro="" textlink="">
          <xdr:nvSpPr>
            <xdr:cNvPr id="7185" name="Object 17" hidden="1">
              <a:extLst>
                <a:ext uri="{63B3BB69-23CF-44E3-9099-C40C66FF867C}">
                  <a14:compatExt spid="_x0000_s7185"/>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NZ/Dropbox/2019%20CUSTOMERS/PETERS%20-%2035/BUILD%20FOLDER/Dono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USTOMER%20INFO%20ENTRY%20FORM.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USTOMER%20INFO%20ENTRY%20FOR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 prep"/>
      <sheetName val="PA"/>
      <sheetName val="Proj P&amp;L"/>
      <sheetName val="Data entry"/>
      <sheetName val="&gt;Pro Detail"/>
      <sheetName val="Sticker sheets"/>
      <sheetName val="&gt;Wall Plan"/>
      <sheetName val="Wall Draw"/>
      <sheetName val="Wall #s"/>
      <sheetName val="PALLET MATERIALS"/>
      <sheetName val="&gt;Ring Pallert"/>
      <sheetName val="&gt;Wall Cutout Sheet"/>
      <sheetName val="&gt;Trim Materials"/>
      <sheetName val="&gt;Ordering NVL"/>
      <sheetName val="&gt;Ordering MVL"/>
      <sheetName val="Wall Materials"/>
      <sheetName val="&gt;Misc Pallet"/>
      <sheetName val="&gt;Rafter Pallet Cut out"/>
      <sheetName val="&gt;Ceiling"/>
      <sheetName val="&gt;Hardware List"/>
      <sheetName val="&gt;Roof Kit Materials"/>
      <sheetName val="Drop down list"/>
      <sheetName val="Engineering"/>
      <sheetName val="Photos"/>
      <sheetName val="No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3">
          <cell r="H3" t="str">
            <v>yes</v>
          </cell>
          <cell r="Q3" t="str">
            <v>Half-Light</v>
          </cell>
        </row>
        <row r="4">
          <cell r="H4" t="str">
            <v>no</v>
          </cell>
          <cell r="Q4" t="str">
            <v>Full-Light</v>
          </cell>
        </row>
        <row r="5">
          <cell r="Q5" t="str">
            <v>6 PANEL</v>
          </cell>
        </row>
        <row r="6">
          <cell r="Q6" t="str">
            <v>NONE</v>
          </cell>
        </row>
        <row r="17">
          <cell r="F17" t="str">
            <v>3'0</v>
          </cell>
          <cell r="H17" t="str">
            <v>6'8</v>
          </cell>
        </row>
        <row r="18">
          <cell r="B18" t="str">
            <v>Right</v>
          </cell>
          <cell r="D18" t="str">
            <v>In</v>
          </cell>
          <cell r="F18" t="str">
            <v>2'8</v>
          </cell>
          <cell r="H18" t="str">
            <v>8'0</v>
          </cell>
        </row>
        <row r="19">
          <cell r="B19" t="str">
            <v>Left</v>
          </cell>
          <cell r="D19" t="str">
            <v>Out</v>
          </cell>
          <cell r="F19" t="str">
            <v>2'6</v>
          </cell>
        </row>
      </sheetData>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FORM"/>
      <sheetName val="Windows and doors"/>
      <sheetName val="cables"/>
      <sheetName val="PA DATA"/>
      <sheetName val="Lists"/>
    </sheetNames>
    <sheetDataSet>
      <sheetData sheetId="0">
        <row r="2">
          <cell r="L2" t="str">
            <v>Phillips</v>
          </cell>
        </row>
        <row r="4">
          <cell r="M4" t="str">
            <v>Delware Water Gap, PA</v>
          </cell>
          <cell r="V4" t="str">
            <v>High Altitude?  --&gt;</v>
          </cell>
          <cell r="Z4" t="str">
            <v>No</v>
          </cell>
        </row>
        <row r="7">
          <cell r="R7">
            <v>0</v>
          </cell>
        </row>
        <row r="8">
          <cell r="Q8">
            <v>16</v>
          </cell>
        </row>
        <row r="9">
          <cell r="Q9" t="str">
            <v>high</v>
          </cell>
        </row>
        <row r="10">
          <cell r="Q10">
            <v>30</v>
          </cell>
        </row>
        <row r="11">
          <cell r="Q11">
            <v>168</v>
          </cell>
        </row>
        <row r="13">
          <cell r="Q13">
            <v>2</v>
          </cell>
          <cell r="S13">
            <v>12</v>
          </cell>
          <cell r="W13">
            <v>16</v>
          </cell>
        </row>
        <row r="14">
          <cell r="Q14" t="str">
            <v>Galv.</v>
          </cell>
        </row>
        <row r="15">
          <cell r="Q15" t="str">
            <v>post and pier</v>
          </cell>
        </row>
        <row r="19">
          <cell r="P19">
            <v>6</v>
          </cell>
          <cell r="R19">
            <v>12</v>
          </cell>
        </row>
        <row r="20">
          <cell r="Q20">
            <v>2</v>
          </cell>
          <cell r="S20">
            <v>6</v>
          </cell>
        </row>
        <row r="22">
          <cell r="Q22">
            <v>2</v>
          </cell>
          <cell r="S22">
            <v>12</v>
          </cell>
          <cell r="T22">
            <v>1</v>
          </cell>
        </row>
        <row r="23">
          <cell r="Q23" t="str">
            <v>6'8</v>
          </cell>
        </row>
        <row r="24">
          <cell r="Q24" t="str">
            <v>no</v>
          </cell>
        </row>
        <row r="26">
          <cell r="Q26">
            <v>6</v>
          </cell>
        </row>
        <row r="27">
          <cell r="Q27" t="str">
            <v>Fir</v>
          </cell>
        </row>
        <row r="31">
          <cell r="Q31">
            <v>13</v>
          </cell>
        </row>
        <row r="40">
          <cell r="V40">
            <v>2</v>
          </cell>
        </row>
        <row r="43">
          <cell r="Q43" t="str">
            <v>yes</v>
          </cell>
        </row>
        <row r="44">
          <cell r="Q44" t="str">
            <v>yes</v>
          </cell>
          <cell r="X44" t="str">
            <v>Pine T&amp;G</v>
          </cell>
        </row>
        <row r="45">
          <cell r="Q45" t="str">
            <v>yes</v>
          </cell>
        </row>
        <row r="46">
          <cell r="Q46" t="str">
            <v>yes</v>
          </cell>
        </row>
        <row r="61">
          <cell r="J61" t="str">
            <v>42</v>
          </cell>
          <cell r="L61">
            <v>57</v>
          </cell>
          <cell r="N61">
            <v>23</v>
          </cell>
          <cell r="P61">
            <v>1</v>
          </cell>
          <cell r="Q61" t="str">
            <v>Single Hung</v>
          </cell>
        </row>
        <row r="62">
          <cell r="J62" t="str">
            <v xml:space="preserve"> </v>
          </cell>
        </row>
        <row r="63">
          <cell r="J63" t="str">
            <v xml:space="preserve"> </v>
          </cell>
        </row>
        <row r="64">
          <cell r="J64" t="str">
            <v xml:space="preserve"> </v>
          </cell>
        </row>
        <row r="65">
          <cell r="J65" t="str">
            <v xml:space="preserve"> </v>
          </cell>
        </row>
        <row r="66">
          <cell r="J66" t="str">
            <v xml:space="preserve"> </v>
          </cell>
        </row>
        <row r="67">
          <cell r="J67" t="str">
            <v xml:space="preserve"> </v>
          </cell>
        </row>
        <row r="68">
          <cell r="J68" t="str">
            <v xml:space="preserve"> </v>
          </cell>
        </row>
        <row r="69">
          <cell r="J69" t="str">
            <v xml:space="preserve"> </v>
          </cell>
        </row>
        <row r="70">
          <cell r="J70" t="str">
            <v xml:space="preserve"> </v>
          </cell>
        </row>
        <row r="71">
          <cell r="J71" t="str">
            <v xml:space="preserve"> </v>
          </cell>
        </row>
        <row r="72">
          <cell r="J72" t="str">
            <v xml:space="preserve"> </v>
          </cell>
        </row>
        <row r="73">
          <cell r="J73">
            <v>24</v>
          </cell>
          <cell r="L73">
            <v>30</v>
          </cell>
          <cell r="N73">
            <v>50</v>
          </cell>
          <cell r="P73">
            <v>1</v>
          </cell>
          <cell r="Q73" t="str">
            <v>Slider XO Tempered</v>
          </cell>
        </row>
        <row r="74">
          <cell r="J74">
            <v>36</v>
          </cell>
          <cell r="L74">
            <v>42</v>
          </cell>
          <cell r="N74">
            <v>38</v>
          </cell>
          <cell r="P74">
            <v>2</v>
          </cell>
          <cell r="Q74" t="str">
            <v>Single Hung</v>
          </cell>
        </row>
        <row r="75">
          <cell r="J75">
            <v>36</v>
          </cell>
          <cell r="L75">
            <v>42</v>
          </cell>
          <cell r="N75">
            <v>38</v>
          </cell>
          <cell r="P75">
            <v>2</v>
          </cell>
          <cell r="Q75" t="str">
            <v>Casement</v>
          </cell>
        </row>
        <row r="76">
          <cell r="J76">
            <v>36</v>
          </cell>
          <cell r="L76">
            <v>36</v>
          </cell>
          <cell r="N76">
            <v>44</v>
          </cell>
          <cell r="P76">
            <v>1</v>
          </cell>
          <cell r="Q76" t="str">
            <v>Casement</v>
          </cell>
        </row>
        <row r="78">
          <cell r="J78" t="str">
            <v>42</v>
          </cell>
          <cell r="L78">
            <v>39</v>
          </cell>
          <cell r="N78">
            <v>118.5</v>
          </cell>
          <cell r="P78">
            <v>1</v>
          </cell>
          <cell r="Q78" t="str">
            <v>Picture</v>
          </cell>
        </row>
        <row r="79">
          <cell r="J79" t="str">
            <v xml:space="preserve"> </v>
          </cell>
        </row>
        <row r="80">
          <cell r="J80" t="str">
            <v xml:space="preserve"> </v>
          </cell>
        </row>
        <row r="81">
          <cell r="J81">
            <v>36</v>
          </cell>
          <cell r="L81">
            <v>39</v>
          </cell>
          <cell r="N81">
            <v>118.5</v>
          </cell>
          <cell r="P81">
            <v>5</v>
          </cell>
          <cell r="Q81" t="str">
            <v>Casement</v>
          </cell>
          <cell r="W81">
            <v>5</v>
          </cell>
        </row>
        <row r="82">
          <cell r="J82">
            <v>24</v>
          </cell>
          <cell r="L82">
            <v>30</v>
          </cell>
          <cell r="N82">
            <v>127.5</v>
          </cell>
          <cell r="P82">
            <v>1</v>
          </cell>
          <cell r="Q82" t="str">
            <v>Slider XO Tempered</v>
          </cell>
          <cell r="W82">
            <v>1</v>
          </cell>
        </row>
        <row r="88">
          <cell r="Q88" t="str">
            <v>Clear Low-E</v>
          </cell>
        </row>
        <row r="91">
          <cell r="Q91" t="str">
            <v>Manual</v>
          </cell>
        </row>
        <row r="97">
          <cell r="J97">
            <v>1</v>
          </cell>
          <cell r="L97" t="str">
            <v>3'0</v>
          </cell>
          <cell r="N97" t="str">
            <v>6'8</v>
          </cell>
          <cell r="P97" t="str">
            <v>NONE</v>
          </cell>
          <cell r="R97" t="str">
            <v>------</v>
          </cell>
          <cell r="T97" t="str">
            <v>------</v>
          </cell>
          <cell r="V97">
            <v>1</v>
          </cell>
        </row>
        <row r="108">
          <cell r="V108">
            <v>1</v>
          </cell>
        </row>
      </sheetData>
      <sheetData sheetId="1" refreshError="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FORM"/>
      <sheetName val="PA DATA"/>
      <sheetName val="Lists"/>
    </sheetNames>
    <sheetDataSet>
      <sheetData sheetId="0" refreshError="1">
        <row r="11">
          <cell r="T11">
            <v>0</v>
          </cell>
        </row>
        <row r="12">
          <cell r="T12" t="str">
            <v>0</v>
          </cell>
        </row>
        <row r="13">
          <cell r="R13" t="str">
            <v>x</v>
          </cell>
        </row>
        <row r="89">
          <cell r="Q89" t="str">
            <v>Triple Pane</v>
          </cell>
        </row>
        <row r="92">
          <cell r="Q92" t="str">
            <v>yes</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8" Type="http://schemas.openxmlformats.org/officeDocument/2006/relationships/oleObject" Target="../embeddings/oleObject4.bin"/><Relationship Id="rId13" Type="http://schemas.openxmlformats.org/officeDocument/2006/relationships/image" Target="../media/image6.emf"/><Relationship Id="rId3" Type="http://schemas.openxmlformats.org/officeDocument/2006/relationships/vmlDrawing" Target="../drawings/vmlDrawing2.vml"/><Relationship Id="rId7" Type="http://schemas.openxmlformats.org/officeDocument/2006/relationships/image" Target="../media/image3.emf"/><Relationship Id="rId12" Type="http://schemas.openxmlformats.org/officeDocument/2006/relationships/oleObject" Target="../embeddings/oleObject6.bin"/><Relationship Id="rId2" Type="http://schemas.openxmlformats.org/officeDocument/2006/relationships/drawing" Target="../drawings/drawing2.xml"/><Relationship Id="rId1" Type="http://schemas.openxmlformats.org/officeDocument/2006/relationships/printerSettings" Target="../printerSettings/printerSettings12.bin"/><Relationship Id="rId6" Type="http://schemas.openxmlformats.org/officeDocument/2006/relationships/oleObject" Target="../embeddings/oleObject3.bin"/><Relationship Id="rId11" Type="http://schemas.openxmlformats.org/officeDocument/2006/relationships/image" Target="../media/image5.emf"/><Relationship Id="rId5" Type="http://schemas.openxmlformats.org/officeDocument/2006/relationships/image" Target="../media/image2.emf"/><Relationship Id="rId10" Type="http://schemas.openxmlformats.org/officeDocument/2006/relationships/oleObject" Target="../embeddings/oleObject5.bin"/><Relationship Id="rId4" Type="http://schemas.openxmlformats.org/officeDocument/2006/relationships/oleObject" Target="../embeddings/oleObject2.bin"/><Relationship Id="rId9" Type="http://schemas.openxmlformats.org/officeDocument/2006/relationships/image" Target="../media/image4.emf"/></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8" Type="http://schemas.openxmlformats.org/officeDocument/2006/relationships/oleObject" Target="../embeddings/oleObject9.bin"/><Relationship Id="rId13" Type="http://schemas.openxmlformats.org/officeDocument/2006/relationships/image" Target="../media/image11.emf"/><Relationship Id="rId3" Type="http://schemas.openxmlformats.org/officeDocument/2006/relationships/vmlDrawing" Target="../drawings/vmlDrawing3.vml"/><Relationship Id="rId7" Type="http://schemas.openxmlformats.org/officeDocument/2006/relationships/image" Target="../media/image8.emf"/><Relationship Id="rId12" Type="http://schemas.openxmlformats.org/officeDocument/2006/relationships/oleObject" Target="../embeddings/oleObject11.bin"/><Relationship Id="rId17" Type="http://schemas.openxmlformats.org/officeDocument/2006/relationships/image" Target="../media/image13.emf"/><Relationship Id="rId2" Type="http://schemas.openxmlformats.org/officeDocument/2006/relationships/drawing" Target="../drawings/drawing3.xml"/><Relationship Id="rId16" Type="http://schemas.openxmlformats.org/officeDocument/2006/relationships/oleObject" Target="../embeddings/oleObject13.bin"/><Relationship Id="rId1" Type="http://schemas.openxmlformats.org/officeDocument/2006/relationships/printerSettings" Target="../printerSettings/printerSettings14.bin"/><Relationship Id="rId6" Type="http://schemas.openxmlformats.org/officeDocument/2006/relationships/oleObject" Target="../embeddings/oleObject8.bin"/><Relationship Id="rId11" Type="http://schemas.openxmlformats.org/officeDocument/2006/relationships/image" Target="../media/image10.emf"/><Relationship Id="rId5" Type="http://schemas.openxmlformats.org/officeDocument/2006/relationships/image" Target="../media/image7.emf"/><Relationship Id="rId15" Type="http://schemas.openxmlformats.org/officeDocument/2006/relationships/image" Target="../media/image12.emf"/><Relationship Id="rId10" Type="http://schemas.openxmlformats.org/officeDocument/2006/relationships/oleObject" Target="../embeddings/oleObject10.bin"/><Relationship Id="rId4" Type="http://schemas.openxmlformats.org/officeDocument/2006/relationships/oleObject" Target="../embeddings/oleObject7.bin"/><Relationship Id="rId9" Type="http://schemas.openxmlformats.org/officeDocument/2006/relationships/image" Target="../media/image9.emf"/><Relationship Id="rId14" Type="http://schemas.openxmlformats.org/officeDocument/2006/relationships/oleObject" Target="../embeddings/oleObject12.bin"/></Relationships>
</file>

<file path=xl/worksheets/_rels/sheet15.xml.rels><?xml version="1.0" encoding="UTF-8" standalone="yes"?>
<Relationships xmlns="http://schemas.openxmlformats.org/package/2006/relationships"><Relationship Id="rId26" Type="http://schemas.openxmlformats.org/officeDocument/2006/relationships/oleObject" Target="../embeddings/oleObject25.bin"/><Relationship Id="rId21" Type="http://schemas.openxmlformats.org/officeDocument/2006/relationships/image" Target="../media/image22.emf"/><Relationship Id="rId34" Type="http://schemas.openxmlformats.org/officeDocument/2006/relationships/oleObject" Target="../embeddings/oleObject29.bin"/><Relationship Id="rId42" Type="http://schemas.openxmlformats.org/officeDocument/2006/relationships/oleObject" Target="../embeddings/oleObject33.bin"/><Relationship Id="rId47" Type="http://schemas.openxmlformats.org/officeDocument/2006/relationships/image" Target="../media/image35.emf"/><Relationship Id="rId50" Type="http://schemas.openxmlformats.org/officeDocument/2006/relationships/oleObject" Target="../embeddings/oleObject37.bin"/><Relationship Id="rId55" Type="http://schemas.openxmlformats.org/officeDocument/2006/relationships/image" Target="../media/image39.emf"/><Relationship Id="rId63" Type="http://schemas.openxmlformats.org/officeDocument/2006/relationships/image" Target="../media/image43.emf"/><Relationship Id="rId68" Type="http://schemas.openxmlformats.org/officeDocument/2006/relationships/oleObject" Target="../embeddings/oleObject46.bin"/><Relationship Id="rId76" Type="http://schemas.openxmlformats.org/officeDocument/2006/relationships/oleObject" Target="../embeddings/oleObject50.bin"/><Relationship Id="rId84" Type="http://schemas.openxmlformats.org/officeDocument/2006/relationships/oleObject" Target="../embeddings/oleObject54.bin"/><Relationship Id="rId89" Type="http://schemas.openxmlformats.org/officeDocument/2006/relationships/image" Target="../media/image56.emf"/><Relationship Id="rId97" Type="http://schemas.openxmlformats.org/officeDocument/2006/relationships/image" Target="../media/image60.emf"/><Relationship Id="rId7" Type="http://schemas.openxmlformats.org/officeDocument/2006/relationships/image" Target="../media/image15.emf"/><Relationship Id="rId71" Type="http://schemas.openxmlformats.org/officeDocument/2006/relationships/image" Target="../media/image47.emf"/><Relationship Id="rId92" Type="http://schemas.openxmlformats.org/officeDocument/2006/relationships/oleObject" Target="../embeddings/oleObject58.bin"/><Relationship Id="rId2" Type="http://schemas.openxmlformats.org/officeDocument/2006/relationships/drawing" Target="../drawings/drawing4.xml"/><Relationship Id="rId16" Type="http://schemas.openxmlformats.org/officeDocument/2006/relationships/oleObject" Target="../embeddings/oleObject20.bin"/><Relationship Id="rId29" Type="http://schemas.openxmlformats.org/officeDocument/2006/relationships/image" Target="../media/image26.emf"/><Relationship Id="rId11" Type="http://schemas.openxmlformats.org/officeDocument/2006/relationships/image" Target="../media/image17.emf"/><Relationship Id="rId24" Type="http://schemas.openxmlformats.org/officeDocument/2006/relationships/oleObject" Target="../embeddings/oleObject24.bin"/><Relationship Id="rId32" Type="http://schemas.openxmlformats.org/officeDocument/2006/relationships/oleObject" Target="../embeddings/oleObject28.bin"/><Relationship Id="rId37" Type="http://schemas.openxmlformats.org/officeDocument/2006/relationships/image" Target="../media/image30.emf"/><Relationship Id="rId40" Type="http://schemas.openxmlformats.org/officeDocument/2006/relationships/oleObject" Target="../embeddings/oleObject32.bin"/><Relationship Id="rId45" Type="http://schemas.openxmlformats.org/officeDocument/2006/relationships/image" Target="../media/image34.emf"/><Relationship Id="rId53" Type="http://schemas.openxmlformats.org/officeDocument/2006/relationships/image" Target="../media/image38.emf"/><Relationship Id="rId58" Type="http://schemas.openxmlformats.org/officeDocument/2006/relationships/oleObject" Target="../embeddings/oleObject41.bin"/><Relationship Id="rId66" Type="http://schemas.openxmlformats.org/officeDocument/2006/relationships/oleObject" Target="../embeddings/oleObject45.bin"/><Relationship Id="rId74" Type="http://schemas.openxmlformats.org/officeDocument/2006/relationships/oleObject" Target="../embeddings/oleObject49.bin"/><Relationship Id="rId79" Type="http://schemas.openxmlformats.org/officeDocument/2006/relationships/image" Target="../media/image51.emf"/><Relationship Id="rId87" Type="http://schemas.openxmlformats.org/officeDocument/2006/relationships/image" Target="../media/image55.emf"/><Relationship Id="rId5" Type="http://schemas.openxmlformats.org/officeDocument/2006/relationships/image" Target="../media/image14.emf"/><Relationship Id="rId61" Type="http://schemas.openxmlformats.org/officeDocument/2006/relationships/image" Target="../media/image42.emf"/><Relationship Id="rId82" Type="http://schemas.openxmlformats.org/officeDocument/2006/relationships/oleObject" Target="../embeddings/oleObject53.bin"/><Relationship Id="rId90" Type="http://schemas.openxmlformats.org/officeDocument/2006/relationships/oleObject" Target="../embeddings/oleObject57.bin"/><Relationship Id="rId95" Type="http://schemas.openxmlformats.org/officeDocument/2006/relationships/image" Target="../media/image59.emf"/><Relationship Id="rId19" Type="http://schemas.openxmlformats.org/officeDocument/2006/relationships/image" Target="../media/image21.emf"/><Relationship Id="rId14" Type="http://schemas.openxmlformats.org/officeDocument/2006/relationships/oleObject" Target="../embeddings/oleObject19.bin"/><Relationship Id="rId22" Type="http://schemas.openxmlformats.org/officeDocument/2006/relationships/oleObject" Target="../embeddings/oleObject23.bin"/><Relationship Id="rId27" Type="http://schemas.openxmlformats.org/officeDocument/2006/relationships/image" Target="../media/image25.emf"/><Relationship Id="rId30" Type="http://schemas.openxmlformats.org/officeDocument/2006/relationships/oleObject" Target="../embeddings/oleObject27.bin"/><Relationship Id="rId35" Type="http://schemas.openxmlformats.org/officeDocument/2006/relationships/image" Target="../media/image29.emf"/><Relationship Id="rId43" Type="http://schemas.openxmlformats.org/officeDocument/2006/relationships/image" Target="../media/image33.emf"/><Relationship Id="rId48" Type="http://schemas.openxmlformats.org/officeDocument/2006/relationships/oleObject" Target="../embeddings/oleObject36.bin"/><Relationship Id="rId56" Type="http://schemas.openxmlformats.org/officeDocument/2006/relationships/oleObject" Target="../embeddings/oleObject40.bin"/><Relationship Id="rId64" Type="http://schemas.openxmlformats.org/officeDocument/2006/relationships/oleObject" Target="../embeddings/oleObject44.bin"/><Relationship Id="rId69" Type="http://schemas.openxmlformats.org/officeDocument/2006/relationships/image" Target="../media/image46.emf"/><Relationship Id="rId77" Type="http://schemas.openxmlformats.org/officeDocument/2006/relationships/image" Target="../media/image50.emf"/><Relationship Id="rId100" Type="http://schemas.openxmlformats.org/officeDocument/2006/relationships/oleObject" Target="../embeddings/oleObject62.bin"/><Relationship Id="rId8" Type="http://schemas.openxmlformats.org/officeDocument/2006/relationships/oleObject" Target="../embeddings/oleObject16.bin"/><Relationship Id="rId51" Type="http://schemas.openxmlformats.org/officeDocument/2006/relationships/image" Target="../media/image37.emf"/><Relationship Id="rId72" Type="http://schemas.openxmlformats.org/officeDocument/2006/relationships/oleObject" Target="../embeddings/oleObject48.bin"/><Relationship Id="rId80" Type="http://schemas.openxmlformats.org/officeDocument/2006/relationships/oleObject" Target="../embeddings/oleObject52.bin"/><Relationship Id="rId85" Type="http://schemas.openxmlformats.org/officeDocument/2006/relationships/image" Target="../media/image54.emf"/><Relationship Id="rId93" Type="http://schemas.openxmlformats.org/officeDocument/2006/relationships/image" Target="../media/image58.emf"/><Relationship Id="rId98" Type="http://schemas.openxmlformats.org/officeDocument/2006/relationships/oleObject" Target="../embeddings/oleObject61.bin"/><Relationship Id="rId3" Type="http://schemas.openxmlformats.org/officeDocument/2006/relationships/vmlDrawing" Target="../drawings/vmlDrawing4.vml"/><Relationship Id="rId12" Type="http://schemas.openxmlformats.org/officeDocument/2006/relationships/oleObject" Target="../embeddings/oleObject18.bin"/><Relationship Id="rId17" Type="http://schemas.openxmlformats.org/officeDocument/2006/relationships/image" Target="../media/image20.emf"/><Relationship Id="rId25" Type="http://schemas.openxmlformats.org/officeDocument/2006/relationships/image" Target="../media/image24.emf"/><Relationship Id="rId33" Type="http://schemas.openxmlformats.org/officeDocument/2006/relationships/image" Target="../media/image28.emf"/><Relationship Id="rId38" Type="http://schemas.openxmlformats.org/officeDocument/2006/relationships/oleObject" Target="../embeddings/oleObject31.bin"/><Relationship Id="rId46" Type="http://schemas.openxmlformats.org/officeDocument/2006/relationships/oleObject" Target="../embeddings/oleObject35.bin"/><Relationship Id="rId59" Type="http://schemas.openxmlformats.org/officeDocument/2006/relationships/image" Target="../media/image41.emf"/><Relationship Id="rId67" Type="http://schemas.openxmlformats.org/officeDocument/2006/relationships/image" Target="../media/image45.emf"/><Relationship Id="rId20" Type="http://schemas.openxmlformats.org/officeDocument/2006/relationships/oleObject" Target="../embeddings/oleObject22.bin"/><Relationship Id="rId41" Type="http://schemas.openxmlformats.org/officeDocument/2006/relationships/image" Target="../media/image32.emf"/><Relationship Id="rId54" Type="http://schemas.openxmlformats.org/officeDocument/2006/relationships/oleObject" Target="../embeddings/oleObject39.bin"/><Relationship Id="rId62" Type="http://schemas.openxmlformats.org/officeDocument/2006/relationships/oleObject" Target="../embeddings/oleObject43.bin"/><Relationship Id="rId70" Type="http://schemas.openxmlformats.org/officeDocument/2006/relationships/oleObject" Target="../embeddings/oleObject47.bin"/><Relationship Id="rId75" Type="http://schemas.openxmlformats.org/officeDocument/2006/relationships/image" Target="../media/image49.emf"/><Relationship Id="rId83" Type="http://schemas.openxmlformats.org/officeDocument/2006/relationships/image" Target="../media/image53.emf"/><Relationship Id="rId88" Type="http://schemas.openxmlformats.org/officeDocument/2006/relationships/oleObject" Target="../embeddings/oleObject56.bin"/><Relationship Id="rId91" Type="http://schemas.openxmlformats.org/officeDocument/2006/relationships/image" Target="../media/image57.emf"/><Relationship Id="rId96" Type="http://schemas.openxmlformats.org/officeDocument/2006/relationships/oleObject" Target="../embeddings/oleObject60.bin"/><Relationship Id="rId1" Type="http://schemas.openxmlformats.org/officeDocument/2006/relationships/printerSettings" Target="../printerSettings/printerSettings15.bin"/><Relationship Id="rId6" Type="http://schemas.openxmlformats.org/officeDocument/2006/relationships/oleObject" Target="../embeddings/oleObject15.bin"/><Relationship Id="rId15" Type="http://schemas.openxmlformats.org/officeDocument/2006/relationships/image" Target="../media/image19.emf"/><Relationship Id="rId23" Type="http://schemas.openxmlformats.org/officeDocument/2006/relationships/image" Target="../media/image23.emf"/><Relationship Id="rId28" Type="http://schemas.openxmlformats.org/officeDocument/2006/relationships/oleObject" Target="../embeddings/oleObject26.bin"/><Relationship Id="rId36" Type="http://schemas.openxmlformats.org/officeDocument/2006/relationships/oleObject" Target="../embeddings/oleObject30.bin"/><Relationship Id="rId49" Type="http://schemas.openxmlformats.org/officeDocument/2006/relationships/image" Target="../media/image36.emf"/><Relationship Id="rId57" Type="http://schemas.openxmlformats.org/officeDocument/2006/relationships/image" Target="../media/image40.emf"/><Relationship Id="rId10" Type="http://schemas.openxmlformats.org/officeDocument/2006/relationships/oleObject" Target="../embeddings/oleObject17.bin"/><Relationship Id="rId31" Type="http://schemas.openxmlformats.org/officeDocument/2006/relationships/image" Target="../media/image27.emf"/><Relationship Id="rId44" Type="http://schemas.openxmlformats.org/officeDocument/2006/relationships/oleObject" Target="../embeddings/oleObject34.bin"/><Relationship Id="rId52" Type="http://schemas.openxmlformats.org/officeDocument/2006/relationships/oleObject" Target="../embeddings/oleObject38.bin"/><Relationship Id="rId60" Type="http://schemas.openxmlformats.org/officeDocument/2006/relationships/oleObject" Target="../embeddings/oleObject42.bin"/><Relationship Id="rId65" Type="http://schemas.openxmlformats.org/officeDocument/2006/relationships/image" Target="../media/image44.emf"/><Relationship Id="rId73" Type="http://schemas.openxmlformats.org/officeDocument/2006/relationships/image" Target="../media/image48.emf"/><Relationship Id="rId78" Type="http://schemas.openxmlformats.org/officeDocument/2006/relationships/oleObject" Target="../embeddings/oleObject51.bin"/><Relationship Id="rId81" Type="http://schemas.openxmlformats.org/officeDocument/2006/relationships/image" Target="../media/image52.emf"/><Relationship Id="rId86" Type="http://schemas.openxmlformats.org/officeDocument/2006/relationships/oleObject" Target="../embeddings/oleObject55.bin"/><Relationship Id="rId94" Type="http://schemas.openxmlformats.org/officeDocument/2006/relationships/oleObject" Target="../embeddings/oleObject59.bin"/><Relationship Id="rId99" Type="http://schemas.openxmlformats.org/officeDocument/2006/relationships/image" Target="../media/image61.emf"/><Relationship Id="rId101" Type="http://schemas.openxmlformats.org/officeDocument/2006/relationships/image" Target="../media/image62.emf"/><Relationship Id="rId4" Type="http://schemas.openxmlformats.org/officeDocument/2006/relationships/oleObject" Target="../embeddings/oleObject14.bin"/><Relationship Id="rId9" Type="http://schemas.openxmlformats.org/officeDocument/2006/relationships/image" Target="../media/image16.emf"/><Relationship Id="rId13" Type="http://schemas.openxmlformats.org/officeDocument/2006/relationships/image" Target="../media/image18.emf"/><Relationship Id="rId18" Type="http://schemas.openxmlformats.org/officeDocument/2006/relationships/oleObject" Target="../embeddings/oleObject21.bin"/><Relationship Id="rId39" Type="http://schemas.openxmlformats.org/officeDocument/2006/relationships/image" Target="../media/image31.emf"/></Relationships>
</file>

<file path=xl/worksheets/_rels/sheet16.xml.rels><?xml version="1.0" encoding="UTF-8" standalone="yes"?>
<Relationships xmlns="http://schemas.openxmlformats.org/package/2006/relationships"><Relationship Id="rId8" Type="http://schemas.openxmlformats.org/officeDocument/2006/relationships/oleObject" Target="../embeddings/oleObject65.bin"/><Relationship Id="rId13" Type="http://schemas.openxmlformats.org/officeDocument/2006/relationships/image" Target="../media/image67.emf"/><Relationship Id="rId3" Type="http://schemas.openxmlformats.org/officeDocument/2006/relationships/vmlDrawing" Target="../drawings/vmlDrawing5.vml"/><Relationship Id="rId7" Type="http://schemas.openxmlformats.org/officeDocument/2006/relationships/image" Target="../media/image64.emf"/><Relationship Id="rId12" Type="http://schemas.openxmlformats.org/officeDocument/2006/relationships/oleObject" Target="../embeddings/oleObject67.bin"/><Relationship Id="rId2" Type="http://schemas.openxmlformats.org/officeDocument/2006/relationships/drawing" Target="../drawings/drawing5.xml"/><Relationship Id="rId1" Type="http://schemas.openxmlformats.org/officeDocument/2006/relationships/printerSettings" Target="../printerSettings/printerSettings16.bin"/><Relationship Id="rId6" Type="http://schemas.openxmlformats.org/officeDocument/2006/relationships/oleObject" Target="../embeddings/oleObject64.bin"/><Relationship Id="rId11" Type="http://schemas.openxmlformats.org/officeDocument/2006/relationships/image" Target="../media/image66.emf"/><Relationship Id="rId5" Type="http://schemas.openxmlformats.org/officeDocument/2006/relationships/image" Target="../media/image63.emf"/><Relationship Id="rId10" Type="http://schemas.openxmlformats.org/officeDocument/2006/relationships/oleObject" Target="../embeddings/oleObject66.bin"/><Relationship Id="rId4" Type="http://schemas.openxmlformats.org/officeDocument/2006/relationships/oleObject" Target="../embeddings/oleObject63.bin"/><Relationship Id="rId9" Type="http://schemas.openxmlformats.org/officeDocument/2006/relationships/image" Target="../media/image65.emf"/></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nvljeff86@gmail.com" TargetMode="External"/><Relationship Id="rId1" Type="http://schemas.openxmlformats.org/officeDocument/2006/relationships/hyperlink" Target="mailto:nickatnvl@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5.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7"/>
  <sheetViews>
    <sheetView topLeftCell="A76" workbookViewId="0">
      <selection activeCell="D29" sqref="D29"/>
    </sheetView>
  </sheetViews>
  <sheetFormatPr defaultRowHeight="12.75" x14ac:dyDescent="0.2"/>
  <cols>
    <col min="1" max="1" width="16.42578125" customWidth="1"/>
    <col min="2" max="2" width="16.7109375" customWidth="1"/>
    <col min="3" max="3" width="16.5703125" customWidth="1"/>
    <col min="5" max="5" width="11.7109375" customWidth="1"/>
    <col min="13" max="13" width="10.28515625" customWidth="1"/>
  </cols>
  <sheetData>
    <row r="1" spans="1:8" x14ac:dyDescent="0.2">
      <c r="C1" s="354"/>
      <c r="H1" t="s">
        <v>333</v>
      </c>
    </row>
    <row r="2" spans="1:8" ht="20.25" x14ac:dyDescent="0.3">
      <c r="B2" s="355" t="str">
        <f>'Data entry'!L2</f>
        <v>Phillips</v>
      </c>
      <c r="C2" s="354"/>
    </row>
    <row r="3" spans="1:8" ht="18" x14ac:dyDescent="0.25">
      <c r="B3" s="356" t="s">
        <v>334</v>
      </c>
      <c r="C3" s="578">
        <f>'Proj P&amp;L'!C3</f>
        <v>83000</v>
      </c>
      <c r="E3" t="s">
        <v>335</v>
      </c>
      <c r="F3" s="357">
        <f>'Data entry'!Q10</f>
        <v>30</v>
      </c>
      <c r="G3" s="358"/>
      <c r="H3" s="358"/>
    </row>
    <row r="4" spans="1:8" ht="18" x14ac:dyDescent="0.25">
      <c r="B4" s="356" t="s">
        <v>673</v>
      </c>
      <c r="C4" s="603">
        <f>'Proj P&amp;L'!C4</f>
        <v>0</v>
      </c>
    </row>
    <row r="5" spans="1:8" x14ac:dyDescent="0.2">
      <c r="C5" s="354"/>
    </row>
    <row r="6" spans="1:8" x14ac:dyDescent="0.2">
      <c r="B6" s="359" t="s">
        <v>336</v>
      </c>
      <c r="C6" s="354" t="s">
        <v>337</v>
      </c>
      <c r="D6" t="s">
        <v>338</v>
      </c>
      <c r="E6" t="s">
        <v>339</v>
      </c>
    </row>
    <row r="7" spans="1:8" x14ac:dyDescent="0.2">
      <c r="A7" t="s">
        <v>340</v>
      </c>
      <c r="B7" t="s">
        <v>341</v>
      </c>
      <c r="C7" s="360">
        <v>1.4079999999999999</v>
      </c>
      <c r="D7" s="361">
        <f>'&gt;Ordering NVL'!D48</f>
        <v>55</v>
      </c>
      <c r="E7" s="362">
        <f t="shared" ref="E7:E17" si="0">SUM(C7*D7)</f>
        <v>77.44</v>
      </c>
      <c r="F7" t="s">
        <v>5</v>
      </c>
    </row>
    <row r="8" spans="1:8" x14ac:dyDescent="0.2">
      <c r="A8" t="s">
        <v>342</v>
      </c>
      <c r="B8" t="s">
        <v>343</v>
      </c>
      <c r="C8" s="360">
        <v>3.56</v>
      </c>
      <c r="D8" s="361">
        <f>SUM('PALLET MATERIALS'!J57+'Wall Materials'!E12)</f>
        <v>14.5</v>
      </c>
      <c r="E8" s="362">
        <f t="shared" si="0"/>
        <v>51.62</v>
      </c>
      <c r="F8" t="s">
        <v>5</v>
      </c>
    </row>
    <row r="9" spans="1:8" x14ac:dyDescent="0.2">
      <c r="B9">
        <v>10</v>
      </c>
      <c r="C9" s="360">
        <v>6.65</v>
      </c>
      <c r="D9" s="361">
        <f>'PALLET MATERIALS'!M15</f>
        <v>1</v>
      </c>
      <c r="E9" s="362">
        <f t="shared" si="0"/>
        <v>6.65</v>
      </c>
      <c r="F9" t="s">
        <v>5</v>
      </c>
    </row>
    <row r="10" spans="1:8" x14ac:dyDescent="0.2">
      <c r="B10">
        <v>12</v>
      </c>
      <c r="C10" s="360">
        <v>7.99</v>
      </c>
      <c r="D10" s="361">
        <f>'PALLET MATERIALS'!M16</f>
        <v>1</v>
      </c>
      <c r="E10" s="362">
        <f t="shared" si="0"/>
        <v>7.99</v>
      </c>
      <c r="F10" t="s">
        <v>5</v>
      </c>
    </row>
    <row r="11" spans="1:8" x14ac:dyDescent="0.2">
      <c r="B11" s="586" t="s">
        <v>676</v>
      </c>
      <c r="C11" s="360">
        <v>9.33</v>
      </c>
      <c r="D11" s="361">
        <f>'PALLET MATERIALS'!M16</f>
        <v>1</v>
      </c>
      <c r="E11" s="362">
        <f t="shared" si="0"/>
        <v>9.33</v>
      </c>
      <c r="F11" t="s">
        <v>5</v>
      </c>
    </row>
    <row r="12" spans="1:8" x14ac:dyDescent="0.2">
      <c r="B12" t="s">
        <v>344</v>
      </c>
      <c r="C12" s="360">
        <v>7.46</v>
      </c>
      <c r="D12" s="361">
        <f>IF('Data entry'!Q11=144,SUM('Data entry'!Q31+(2*'Data entry'!Q34)+(2*'Data entry'!Q33)),IF('Data entry'!Q11=132,SUM('Data entry'!Q31+(2*'Data entry'!Q34)+(2*'Data entry'!Q33)),0))</f>
        <v>0</v>
      </c>
      <c r="E12" s="362">
        <f t="shared" si="0"/>
        <v>0</v>
      </c>
      <c r="F12" t="s">
        <v>5</v>
      </c>
    </row>
    <row r="13" spans="1:8" x14ac:dyDescent="0.2">
      <c r="B13">
        <v>14</v>
      </c>
      <c r="C13" s="360">
        <v>8.7200000000000006</v>
      </c>
      <c r="D13" s="361">
        <f>IF('Data entry'!Q11=168,SUM('Data entry'!Q31+(2*'Data entry'!Q34)+(2*'Data entry'!Q33)),0)</f>
        <v>17</v>
      </c>
      <c r="E13" s="362">
        <f t="shared" si="0"/>
        <v>148.24</v>
      </c>
      <c r="F13" t="s">
        <v>5</v>
      </c>
    </row>
    <row r="14" spans="1:8" x14ac:dyDescent="0.2">
      <c r="B14">
        <v>16</v>
      </c>
      <c r="C14" s="360">
        <v>10.76</v>
      </c>
      <c r="D14" s="361">
        <f>IF('Data entry'!Q11=96,SUM(('Data entry'!Q31/2)+'Data entry'!Q33+'Data entry'!Q34+'Wall Materials'!E14),'Wall Materials'!E14)</f>
        <v>34.72265625</v>
      </c>
      <c r="E14" s="362">
        <f t="shared" si="0"/>
        <v>373.61578125</v>
      </c>
      <c r="F14" t="s">
        <v>5</v>
      </c>
    </row>
    <row r="15" spans="1:8" x14ac:dyDescent="0.2">
      <c r="B15">
        <v>18</v>
      </c>
      <c r="C15" s="360">
        <v>16.16</v>
      </c>
      <c r="D15" s="361">
        <f>IF('Data entry'!Q11=108,SUM(('Data entry'!Q31/2)+'Data entry'!Q33+'Data entry'!Q34),0)</f>
        <v>0</v>
      </c>
      <c r="E15" s="362">
        <f t="shared" si="0"/>
        <v>0</v>
      </c>
      <c r="F15" t="s">
        <v>5</v>
      </c>
    </row>
    <row r="16" spans="1:8" x14ac:dyDescent="0.2">
      <c r="B16">
        <v>20</v>
      </c>
      <c r="C16" s="360">
        <v>17.96</v>
      </c>
      <c r="D16" s="361">
        <f>IF('Data entry'!Q11=120,SUM(('Data entry'!Q31/2)+'Data entry'!Q33+'Data entry'!Q34),0)</f>
        <v>0</v>
      </c>
      <c r="E16" s="362">
        <f t="shared" si="0"/>
        <v>0</v>
      </c>
      <c r="F16" t="s">
        <v>5</v>
      </c>
    </row>
    <row r="17" spans="2:8" x14ac:dyDescent="0.2">
      <c r="B17" t="s">
        <v>345</v>
      </c>
      <c r="C17" s="360">
        <v>9.77</v>
      </c>
      <c r="D17" s="361">
        <f>'&gt;Trim Materials'!AQ38</f>
        <v>0</v>
      </c>
      <c r="E17" s="362">
        <f t="shared" si="0"/>
        <v>0</v>
      </c>
    </row>
    <row r="18" spans="2:8" x14ac:dyDescent="0.2">
      <c r="B18">
        <v>12</v>
      </c>
      <c r="C18" s="360">
        <v>12.32</v>
      </c>
      <c r="D18" s="361">
        <f>IF('Data entry'!Q11=144,SUM('Wall Materials'!E16+'Wall Materials'!E17),IF('Wall Materials'!E17=" ",0,'Wall Materials'!E17))</f>
        <v>4</v>
      </c>
      <c r="E18" s="362">
        <f>IF(D18&gt;0,SUM(C18*D18),0)</f>
        <v>49.28</v>
      </c>
      <c r="F18" t="s">
        <v>5</v>
      </c>
    </row>
    <row r="19" spans="2:8" x14ac:dyDescent="0.2">
      <c r="B19">
        <v>14</v>
      </c>
      <c r="C19" s="360">
        <v>16.88</v>
      </c>
      <c r="D19" s="361">
        <f>IF('Data entry'!Q11=168,'Wall Materials'!E16,0)</f>
        <v>49</v>
      </c>
      <c r="E19" s="362">
        <f>SUM(C19*D19)</f>
        <v>827.12</v>
      </c>
      <c r="F19" t="s">
        <v>5</v>
      </c>
    </row>
    <row r="20" spans="2:8" x14ac:dyDescent="0.2">
      <c r="B20">
        <v>16</v>
      </c>
      <c r="C20" s="360">
        <v>16.62</v>
      </c>
      <c r="D20" s="361">
        <f>IF('Data entry'!Q11=96,'Wall Materials'!E16+'Wall Materials'!E18,IF('Wall Materials'!E18=" ",0,'Wall Materials'!E18))</f>
        <v>4</v>
      </c>
      <c r="E20" s="362">
        <f>IF(D20&gt;0,SUM(C20*D20),0)</f>
        <v>66.48</v>
      </c>
      <c r="F20" t="s">
        <v>5</v>
      </c>
    </row>
    <row r="21" spans="2:8" x14ac:dyDescent="0.2">
      <c r="B21">
        <v>18</v>
      </c>
      <c r="C21" s="360">
        <v>21.96</v>
      </c>
      <c r="D21" s="361">
        <f>IF('Data entry'!Q11=108,'Wall Materials'!E16,0)</f>
        <v>0</v>
      </c>
      <c r="E21" s="362">
        <f>SUM(C21*D21)</f>
        <v>0</v>
      </c>
      <c r="F21" t="s">
        <v>5</v>
      </c>
    </row>
    <row r="22" spans="2:8" x14ac:dyDescent="0.2">
      <c r="B22">
        <v>20</v>
      </c>
      <c r="C22" s="360">
        <v>20.7</v>
      </c>
      <c r="D22" s="361">
        <f>IF('Data entry'!Q11=120,'Wall Materials'!E16,0)</f>
        <v>0</v>
      </c>
      <c r="E22" s="362">
        <f>SUM(C22*D22)</f>
        <v>0</v>
      </c>
      <c r="F22" t="s">
        <v>5</v>
      </c>
    </row>
    <row r="23" spans="2:8" x14ac:dyDescent="0.2">
      <c r="B23" t="s">
        <v>346</v>
      </c>
      <c r="C23" s="360">
        <v>16.739999999999998</v>
      </c>
      <c r="D23" s="361">
        <f>IF('&gt;Roof Kit Materials'!T15+'&gt;Roof Kit Materials'!V15=22,'&gt;Roof Kit Materials'!L15,IF(AND('&gt;Roof Kit Materials'!G7=35,'&gt;Roof Kit Materials'!T15=12),SUM('&gt;Roof Kit Materials'!L10+'&gt;Roof Kit Materials'!L12),'&gt;Roof Kit Materials'!L12))</f>
        <v>0</v>
      </c>
      <c r="E23" s="362">
        <f>IF(D23&gt;0,SUM(C23*D23),0)</f>
        <v>0</v>
      </c>
      <c r="F23" t="s">
        <v>5</v>
      </c>
      <c r="H23" s="631">
        <f>SUM(C23/12)</f>
        <v>1.3949999999999998</v>
      </c>
    </row>
    <row r="24" spans="2:8" x14ac:dyDescent="0.2">
      <c r="B24">
        <v>14</v>
      </c>
      <c r="C24" s="360">
        <v>28</v>
      </c>
      <c r="D24" s="361">
        <f>IF(AND('&gt;Roof Kit Materials'!T15=10,'&gt;Roof Kit Materials'!V15=14),'&gt;Roof Kit Materials'!L15,0)</f>
        <v>0</v>
      </c>
      <c r="E24" s="362">
        <f>SUM(C24*D24)</f>
        <v>0</v>
      </c>
      <c r="F24" t="s">
        <v>5</v>
      </c>
      <c r="H24" s="631">
        <f>SUM(C24/B24)</f>
        <v>2</v>
      </c>
    </row>
    <row r="25" spans="2:8" x14ac:dyDescent="0.2">
      <c r="B25">
        <v>16</v>
      </c>
      <c r="C25" s="360">
        <v>22.32</v>
      </c>
      <c r="D25" s="361">
        <f>IF(AND('&gt;Roof Kit Materials'!T15=10,'&gt;Roof Kit Materials'!V15=16),'&gt;Roof Kit Materials'!L15,0)</f>
        <v>0</v>
      </c>
      <c r="E25" s="362">
        <f>SUM(C25*D25)</f>
        <v>0</v>
      </c>
      <c r="F25" t="s">
        <v>5</v>
      </c>
      <c r="H25" s="631">
        <f>SUM(C25/B25)</f>
        <v>1.395</v>
      </c>
    </row>
    <row r="26" spans="2:8" x14ac:dyDescent="0.2">
      <c r="B26">
        <v>18</v>
      </c>
      <c r="C26" s="360">
        <v>33.380000000000003</v>
      </c>
      <c r="D26" s="361">
        <f>IF(AND('&gt;Roof Kit Materials'!T15=10,'&gt;Roof Kit Materials'!V15=18),'&gt;Roof Kit Materials'!L15,0)</f>
        <v>0</v>
      </c>
      <c r="E26" s="362">
        <f>SUM(C26*D26)</f>
        <v>0</v>
      </c>
      <c r="F26" t="s">
        <v>330</v>
      </c>
      <c r="H26" s="631">
        <f>SUM(C26/B26)</f>
        <v>1.8544444444444446</v>
      </c>
    </row>
    <row r="27" spans="2:8" x14ac:dyDescent="0.2">
      <c r="B27">
        <v>20</v>
      </c>
      <c r="C27" s="360">
        <v>37</v>
      </c>
      <c r="D27" s="361">
        <f>IF(AND('&gt;Roof Kit Materials'!T15=10,'&gt;Roof Kit Materials'!V15=20),'&gt;Roof Kit Materials'!L15,0)</f>
        <v>0</v>
      </c>
      <c r="E27" s="362">
        <f>SUM(C27*D27)</f>
        <v>0</v>
      </c>
      <c r="F27" t="s">
        <v>330</v>
      </c>
      <c r="H27" s="631">
        <f>SUM(C27/B27)</f>
        <v>1.85</v>
      </c>
    </row>
    <row r="28" spans="2:8" x14ac:dyDescent="0.2">
      <c r="B28">
        <v>24</v>
      </c>
      <c r="C28" s="360">
        <v>57.5</v>
      </c>
      <c r="D28" s="361">
        <f>IF(AND('&gt;Roof Kit Materials'!T15=10,'&gt;Roof Kit Materials'!V15=24),'&gt;Roof Kit Materials'!L15,0)</f>
        <v>0</v>
      </c>
      <c r="E28" s="362">
        <f>SUM(C28*D28)</f>
        <v>0</v>
      </c>
      <c r="F28" t="s">
        <v>330</v>
      </c>
      <c r="H28" s="631">
        <f>SUM(C28/B28)</f>
        <v>2.3958333333333335</v>
      </c>
    </row>
    <row r="29" spans="2:8" x14ac:dyDescent="0.2">
      <c r="B29" t="s">
        <v>347</v>
      </c>
      <c r="C29" s="360">
        <v>29.69</v>
      </c>
      <c r="D29" s="361" t="e">
        <f>IF(AND('&gt;Roof Kit Materials'!T15=12,'&gt;Roof Kit Materials'!V15=12),SUM('&gt;Roof Kit Materials'!L15+'Wall Materials'!E10),'Wall Materials'!E10)</f>
        <v>#REF!</v>
      </c>
      <c r="E29" s="362" t="e">
        <f>IF(D29&gt;0,SUM(C29*D29),0)</f>
        <v>#REF!</v>
      </c>
      <c r="F29" t="s">
        <v>330</v>
      </c>
      <c r="H29" s="631">
        <f>SUM(C29/12)</f>
        <v>2.4741666666666666</v>
      </c>
    </row>
    <row r="30" spans="2:8" x14ac:dyDescent="0.2">
      <c r="B30">
        <v>14</v>
      </c>
      <c r="C30" s="360">
        <v>34.299999999999997</v>
      </c>
      <c r="D30" s="361">
        <f>IF(AND('&gt;Roof Kit Materials'!T$15=12,'&gt;Roof Kit Materials'!V$15=14),'&gt;Roof Kit Materials'!L$15,0)</f>
        <v>0</v>
      </c>
      <c r="E30" s="362">
        <f>SUM(C30*D30)</f>
        <v>0</v>
      </c>
      <c r="F30" t="s">
        <v>330</v>
      </c>
      <c r="H30" s="631">
        <f>SUM(C30/B30)</f>
        <v>2.4499999999999997</v>
      </c>
    </row>
    <row r="31" spans="2:8" x14ac:dyDescent="0.2">
      <c r="B31">
        <v>16</v>
      </c>
      <c r="C31" s="360">
        <v>39.200000000000003</v>
      </c>
      <c r="D31" s="361" t="e">
        <f>IF(AND('&gt;Roof Kit Materials'!T$15=12,'&gt;Roof Kit Materials'!V$15=16),SUM('&gt;Roof Kit Materials'!L$15+'Wall Materials'!E11),'Wall Materials'!E11)</f>
        <v>#REF!</v>
      </c>
      <c r="E31" s="362" t="e">
        <f>IF(D31&gt;0,SUM(C31*D31),0)</f>
        <v>#REF!</v>
      </c>
      <c r="F31" t="s">
        <v>330</v>
      </c>
      <c r="H31" s="631">
        <f>SUM(C31/B31)</f>
        <v>2.4500000000000002</v>
      </c>
    </row>
    <row r="32" spans="2:8" x14ac:dyDescent="0.2">
      <c r="B32">
        <v>18</v>
      </c>
      <c r="C32" s="360">
        <v>44.1</v>
      </c>
      <c r="D32" s="361">
        <f>IF(AND('&gt;Roof Kit Materials'!T$15=12,'&gt;Roof Kit Materials'!V$15=18),'&gt;Roof Kit Materials'!L$15,0)</f>
        <v>48</v>
      </c>
      <c r="E32" s="362">
        <f t="shared" ref="E32:E47" si="1">SUM(C32*D32)</f>
        <v>2116.8000000000002</v>
      </c>
      <c r="F32" t="s">
        <v>330</v>
      </c>
      <c r="H32" s="631">
        <f>SUM(C32/B32)</f>
        <v>2.4500000000000002</v>
      </c>
    </row>
    <row r="33" spans="1:8" x14ac:dyDescent="0.2">
      <c r="B33">
        <v>20</v>
      </c>
      <c r="C33" s="360">
        <v>49</v>
      </c>
      <c r="D33" s="361">
        <f>IF(AND('&gt;Roof Kit Materials'!T$15=12,'&gt;Roof Kit Materials'!V$15=20),'&gt;Roof Kit Materials'!L$15,0)</f>
        <v>0</v>
      </c>
      <c r="E33" s="362">
        <f t="shared" si="1"/>
        <v>0</v>
      </c>
      <c r="F33" t="s">
        <v>330</v>
      </c>
      <c r="H33" s="631">
        <f>SUM(C33/B33)</f>
        <v>2.4500000000000002</v>
      </c>
    </row>
    <row r="34" spans="1:8" x14ac:dyDescent="0.2">
      <c r="B34">
        <v>24</v>
      </c>
      <c r="C34" s="360">
        <v>62.98</v>
      </c>
      <c r="D34" s="361">
        <f>IF(AND('&gt;Roof Kit Materials'!T$15=12,'&gt;Roof Kit Materials'!V$15=24),'&gt;Roof Kit Materials'!L$15,0)</f>
        <v>0</v>
      </c>
      <c r="E34" s="362">
        <f t="shared" si="1"/>
        <v>0</v>
      </c>
      <c r="F34" t="s">
        <v>330</v>
      </c>
      <c r="H34" s="631">
        <f>SUM(C34/B34)</f>
        <v>2.6241666666666665</v>
      </c>
    </row>
    <row r="35" spans="1:8" x14ac:dyDescent="0.2">
      <c r="A35" t="s">
        <v>348</v>
      </c>
      <c r="B35" s="648" t="s">
        <v>349</v>
      </c>
      <c r="C35" s="360">
        <f>SUM(G35*8)</f>
        <v>5.2</v>
      </c>
      <c r="D35" s="361">
        <f>IF('&gt;Ordering NVL'!K$15=8,'&gt;Ordering NVL'!D$15,0)</f>
        <v>0</v>
      </c>
      <c r="E35" s="362">
        <f t="shared" si="1"/>
        <v>0</v>
      </c>
      <c r="F35" t="s">
        <v>330</v>
      </c>
      <c r="G35" s="364">
        <v>0.65</v>
      </c>
    </row>
    <row r="36" spans="1:8" x14ac:dyDescent="0.2">
      <c r="B36">
        <v>10</v>
      </c>
      <c r="C36" s="360">
        <f>SUM($G$35*B36)</f>
        <v>6.5</v>
      </c>
      <c r="D36" s="361">
        <f>IF('&gt;Ordering NVL'!K$15=10,'&gt;Ordering NVL'!D$15,0)</f>
        <v>0</v>
      </c>
      <c r="E36" s="362">
        <f t="shared" si="1"/>
        <v>0</v>
      </c>
      <c r="F36" t="s">
        <v>330</v>
      </c>
    </row>
    <row r="37" spans="1:8" x14ac:dyDescent="0.2">
      <c r="B37">
        <v>12</v>
      </c>
      <c r="C37" s="360">
        <f>SUM($G$35*B37)</f>
        <v>7.8000000000000007</v>
      </c>
      <c r="D37" s="361">
        <f>IF('&gt;Ordering NVL'!K$15=12,'&gt;Ordering NVL'!D$15,0)</f>
        <v>0</v>
      </c>
      <c r="E37" s="362">
        <f t="shared" si="1"/>
        <v>0</v>
      </c>
      <c r="F37" t="s">
        <v>330</v>
      </c>
    </row>
    <row r="38" spans="1:8" x14ac:dyDescent="0.2">
      <c r="B38">
        <v>16</v>
      </c>
      <c r="C38" s="360">
        <f>SUM($G$35*B38)</f>
        <v>10.4</v>
      </c>
      <c r="D38" s="361">
        <f>IF('&gt;Ordering NVL'!K$15=16,'&gt;Ordering NVL'!D$15,0)</f>
        <v>48</v>
      </c>
      <c r="E38" s="362">
        <f t="shared" si="1"/>
        <v>499.20000000000005</v>
      </c>
      <c r="F38" t="s">
        <v>330</v>
      </c>
    </row>
    <row r="39" spans="1:8" x14ac:dyDescent="0.2">
      <c r="A39" t="s">
        <v>726</v>
      </c>
      <c r="B39">
        <v>10</v>
      </c>
      <c r="C39" s="360">
        <f>B39*A40</f>
        <v>13.799999999999999</v>
      </c>
      <c r="D39" s="361">
        <f>IF(C2=20,32,0)</f>
        <v>0</v>
      </c>
      <c r="E39" s="362">
        <f t="shared" si="1"/>
        <v>0</v>
      </c>
      <c r="F39" t="s">
        <v>5</v>
      </c>
      <c r="G39" s="364">
        <v>1.01</v>
      </c>
    </row>
    <row r="40" spans="1:8" x14ac:dyDescent="0.2">
      <c r="A40" s="632">
        <v>1.38</v>
      </c>
      <c r="B40">
        <v>12</v>
      </c>
      <c r="C40" s="360">
        <f>SUM(B40*A40)</f>
        <v>16.559999999999999</v>
      </c>
      <c r="D40" s="361">
        <f>IF(C2=25,40,0)</f>
        <v>0</v>
      </c>
      <c r="E40" s="362">
        <f t="shared" si="1"/>
        <v>0</v>
      </c>
      <c r="F40" t="s">
        <v>5</v>
      </c>
    </row>
    <row r="41" spans="1:8" x14ac:dyDescent="0.2">
      <c r="B41">
        <v>16</v>
      </c>
      <c r="C41" s="360">
        <f>B41*A40</f>
        <v>22.08</v>
      </c>
      <c r="D41" s="361">
        <f>IF(C2=30,48,0)</f>
        <v>0</v>
      </c>
      <c r="E41" s="362">
        <f t="shared" si="1"/>
        <v>0</v>
      </c>
      <c r="F41" t="s">
        <v>5</v>
      </c>
    </row>
    <row r="42" spans="1:8" x14ac:dyDescent="0.2">
      <c r="B42">
        <v>18</v>
      </c>
      <c r="C42" s="360">
        <f>B42*A40</f>
        <v>24.839999999999996</v>
      </c>
      <c r="D42" s="361">
        <f>IF(C2=35,52,0)</f>
        <v>0</v>
      </c>
      <c r="E42" s="362">
        <f t="shared" si="1"/>
        <v>0</v>
      </c>
      <c r="F42" t="s">
        <v>5</v>
      </c>
    </row>
    <row r="43" spans="1:8" x14ac:dyDescent="0.2">
      <c r="B43">
        <v>20</v>
      </c>
      <c r="C43" s="360">
        <f>B43*A40</f>
        <v>27.599999999999998</v>
      </c>
      <c r="D43" s="361">
        <f>IF(C2&gt;35,64,0)</f>
        <v>0</v>
      </c>
      <c r="E43" s="362">
        <f t="shared" si="1"/>
        <v>0</v>
      </c>
      <c r="F43" t="s">
        <v>5</v>
      </c>
    </row>
    <row r="44" spans="1:8" x14ac:dyDescent="0.2">
      <c r="A44" t="s">
        <v>348</v>
      </c>
      <c r="B44" t="s">
        <v>350</v>
      </c>
      <c r="C44" s="360">
        <v>4.2699999999999996</v>
      </c>
      <c r="D44" s="361">
        <f>IF('&gt;Trim Materials'!D20=" ",'&gt;Trim Materials'!D17,SUM('&gt;Trim Materials'!D17+'&gt;Trim Materials'!D20))</f>
        <v>4</v>
      </c>
      <c r="E44" s="362">
        <f t="shared" si="1"/>
        <v>17.079999999999998</v>
      </c>
      <c r="F44" t="s">
        <v>5</v>
      </c>
    </row>
    <row r="45" spans="1:8" x14ac:dyDescent="0.2">
      <c r="B45">
        <v>10</v>
      </c>
      <c r="C45" s="360">
        <v>5.33</v>
      </c>
      <c r="D45" s="361" t="e">
        <f>'&gt;Trim Materials'!#REF!</f>
        <v>#REF!</v>
      </c>
      <c r="E45" s="362" t="e">
        <f t="shared" si="1"/>
        <v>#REF!</v>
      </c>
      <c r="F45" t="s">
        <v>5</v>
      </c>
    </row>
    <row r="46" spans="1:8" x14ac:dyDescent="0.2">
      <c r="B46">
        <v>12</v>
      </c>
      <c r="C46" s="360">
        <v>6.4</v>
      </c>
      <c r="D46" s="361" t="e">
        <f>'&gt;Trim Materials'!#REF!</f>
        <v>#REF!</v>
      </c>
      <c r="E46" s="362" t="e">
        <f t="shared" si="1"/>
        <v>#REF!</v>
      </c>
      <c r="F46" t="s">
        <v>5</v>
      </c>
    </row>
    <row r="47" spans="1:8" x14ac:dyDescent="0.2">
      <c r="B47" t="s">
        <v>351</v>
      </c>
      <c r="C47" s="360">
        <v>4.84</v>
      </c>
      <c r="D47" s="365">
        <f>IF('&gt;Ordering NVL'!D25=" ",'&gt;Trim Materials'!D15,SUM('&gt;Ordering NVL'!D25+'&gt;Trim Materials'!D15))</f>
        <v>16.5</v>
      </c>
      <c r="E47" s="362">
        <f t="shared" si="1"/>
        <v>79.86</v>
      </c>
      <c r="F47" t="s">
        <v>5</v>
      </c>
    </row>
    <row r="48" spans="1:8" x14ac:dyDescent="0.2">
      <c r="B48">
        <v>10</v>
      </c>
      <c r="C48" s="360">
        <v>6.05</v>
      </c>
      <c r="D48" s="361">
        <f>'Wall Materials'!E25</f>
        <v>1</v>
      </c>
      <c r="E48" s="362">
        <f>IF(D48&gt;" ",SUM(C48*D48),0)</f>
        <v>0</v>
      </c>
      <c r="F48" t="s">
        <v>5</v>
      </c>
    </row>
    <row r="49" spans="1:14" x14ac:dyDescent="0.2">
      <c r="B49">
        <v>12</v>
      </c>
      <c r="C49" s="360">
        <v>7.26</v>
      </c>
      <c r="D49" s="361">
        <f>'Wall Materials'!E26</f>
        <v>0</v>
      </c>
      <c r="E49" s="362">
        <f>IF(D49&gt;" ",SUM(C49*D49),0)</f>
        <v>0</v>
      </c>
      <c r="F49" t="s">
        <v>5</v>
      </c>
    </row>
    <row r="50" spans="1:14" x14ac:dyDescent="0.2">
      <c r="B50" t="s">
        <v>352</v>
      </c>
      <c r="C50" s="360">
        <v>8.1</v>
      </c>
      <c r="D50" s="361">
        <f>'Wall Materials'!E28</f>
        <v>10</v>
      </c>
      <c r="E50" s="362">
        <f>IF(D50&gt;" ",SUM(C50*D50),0)</f>
        <v>0</v>
      </c>
      <c r="F50" t="s">
        <v>5</v>
      </c>
    </row>
    <row r="51" spans="1:14" x14ac:dyDescent="0.2">
      <c r="B51">
        <v>12</v>
      </c>
      <c r="C51" s="360">
        <v>12.14</v>
      </c>
      <c r="D51" s="361">
        <f>'Wall Materials'!E30</f>
        <v>0</v>
      </c>
      <c r="E51" s="362">
        <f>IF(D51&gt;" ",SUM(C51*D51),0)</f>
        <v>0</v>
      </c>
      <c r="F51" t="s">
        <v>5</v>
      </c>
    </row>
    <row r="52" spans="1:14" x14ac:dyDescent="0.2">
      <c r="B52">
        <v>16</v>
      </c>
      <c r="C52" s="360">
        <v>16.190000000000001</v>
      </c>
      <c r="D52" s="361">
        <f>'&gt;Trim Materials'!D18:F18</f>
        <v>1</v>
      </c>
      <c r="E52" s="362">
        <f>SUM(C52*D52)</f>
        <v>16.190000000000001</v>
      </c>
      <c r="F52" t="s">
        <v>5</v>
      </c>
    </row>
    <row r="53" spans="1:14" x14ac:dyDescent="0.2">
      <c r="B53" t="s">
        <v>353</v>
      </c>
      <c r="C53" s="360"/>
      <c r="D53" s="361">
        <f>'&gt;Trim Materials'!D19:F19</f>
        <v>0</v>
      </c>
      <c r="E53" s="362">
        <f>SUM(C53*D53)</f>
        <v>0</v>
      </c>
      <c r="F53" t="s">
        <v>5</v>
      </c>
    </row>
    <row r="54" spans="1:14" x14ac:dyDescent="0.2">
      <c r="B54" t="s">
        <v>354</v>
      </c>
      <c r="C54" s="360">
        <v>5.16</v>
      </c>
      <c r="D54" s="361">
        <f>'Wall Materials'!E31</f>
        <v>689.01</v>
      </c>
      <c r="E54" s="362">
        <f>IF(D54&gt;" ",SUM(C54*D54),0)</f>
        <v>0</v>
      </c>
      <c r="F54" t="s">
        <v>5</v>
      </c>
    </row>
    <row r="55" spans="1:14" x14ac:dyDescent="0.2">
      <c r="B55">
        <v>8</v>
      </c>
      <c r="C55" s="360">
        <v>10.91</v>
      </c>
      <c r="D55" s="366"/>
      <c r="E55" s="362">
        <f>SUM(C55*D55)</f>
        <v>0</v>
      </c>
      <c r="F55" t="s">
        <v>5</v>
      </c>
    </row>
    <row r="56" spans="1:14" x14ac:dyDescent="0.2">
      <c r="B56">
        <v>10</v>
      </c>
      <c r="C56" s="360"/>
      <c r="D56" s="366"/>
      <c r="E56" s="362"/>
    </row>
    <row r="57" spans="1:14" x14ac:dyDescent="0.2">
      <c r="B57">
        <v>16</v>
      </c>
      <c r="C57" s="360">
        <v>21.82</v>
      </c>
      <c r="D57" s="366"/>
      <c r="E57" s="362">
        <f>SUM(C57*D57)</f>
        <v>0</v>
      </c>
      <c r="F57" t="s">
        <v>5</v>
      </c>
    </row>
    <row r="58" spans="1:14" x14ac:dyDescent="0.2">
      <c r="B58" t="s">
        <v>355</v>
      </c>
      <c r="C58" s="360">
        <v>4.67</v>
      </c>
      <c r="D58" s="361">
        <f>'&gt;Trim Materials'!D16:F16</f>
        <v>1</v>
      </c>
      <c r="E58" s="362">
        <f>SUM(C58*D58)</f>
        <v>4.67</v>
      </c>
      <c r="F58" t="s">
        <v>5</v>
      </c>
    </row>
    <row r="59" spans="1:14" x14ac:dyDescent="0.2">
      <c r="B59" t="s">
        <v>83</v>
      </c>
      <c r="C59" s="360">
        <v>50.98</v>
      </c>
      <c r="D59" s="361">
        <f>'Order sheet #2'!E21</f>
        <v>0</v>
      </c>
      <c r="E59" s="362">
        <f>IF(D59&gt;0,SUM(C59*D59),0)</f>
        <v>0</v>
      </c>
      <c r="F59" t="s">
        <v>5</v>
      </c>
    </row>
    <row r="60" spans="1:14" ht="18" x14ac:dyDescent="0.25">
      <c r="A60" t="s">
        <v>356</v>
      </c>
      <c r="B60" t="s">
        <v>357</v>
      </c>
      <c r="C60" s="360">
        <v>21.55</v>
      </c>
      <c r="D60" s="361">
        <f>'Order sheet #2'!E32</f>
        <v>0</v>
      </c>
      <c r="E60" s="362">
        <f>SUM(C60*D60)</f>
        <v>0</v>
      </c>
      <c r="F60" t="s">
        <v>5</v>
      </c>
      <c r="H60" s="728" t="s">
        <v>686</v>
      </c>
      <c r="I60" s="728"/>
      <c r="J60" s="728"/>
      <c r="K60" s="728"/>
      <c r="L60" s="728"/>
      <c r="M60" s="728"/>
      <c r="N60" s="728"/>
    </row>
    <row r="61" spans="1:14" x14ac:dyDescent="0.2">
      <c r="A61" t="s">
        <v>358</v>
      </c>
      <c r="B61" t="s">
        <v>359</v>
      </c>
      <c r="C61" s="360">
        <v>20.43</v>
      </c>
      <c r="D61" s="361">
        <f>'Order sheet #2'!E30</f>
        <v>41.5</v>
      </c>
      <c r="E61" s="362">
        <f>SUM(C61*D61)</f>
        <v>847.84500000000003</v>
      </c>
      <c r="F61" t="s">
        <v>5</v>
      </c>
    </row>
    <row r="62" spans="1:14" ht="15.75" thickBot="1" x14ac:dyDescent="0.3">
      <c r="B62" t="s">
        <v>360</v>
      </c>
      <c r="C62" s="360">
        <v>33.590000000000003</v>
      </c>
      <c r="D62" s="361">
        <f>'Order sheet #2'!E34</f>
        <v>0</v>
      </c>
      <c r="E62" s="362">
        <f>IF(D62&gt;0,SUM(C62*D62),0)</f>
        <v>0</v>
      </c>
      <c r="F62" t="s">
        <v>5</v>
      </c>
      <c r="H62" s="588" t="s">
        <v>2</v>
      </c>
      <c r="I62" s="588"/>
      <c r="J62" s="589">
        <v>20</v>
      </c>
      <c r="K62" s="589">
        <v>25</v>
      </c>
      <c r="L62" s="589">
        <v>30</v>
      </c>
      <c r="M62" s="589">
        <v>35</v>
      </c>
      <c r="N62" s="589">
        <v>41</v>
      </c>
    </row>
    <row r="63" spans="1:14" x14ac:dyDescent="0.2">
      <c r="A63" t="s">
        <v>361</v>
      </c>
      <c r="B63" t="s">
        <v>362</v>
      </c>
      <c r="C63" s="360">
        <v>5.44</v>
      </c>
      <c r="D63" s="361">
        <f>'&gt;Ordering NVL'!D59</f>
        <v>238</v>
      </c>
      <c r="E63" s="362">
        <f t="shared" ref="E63:E102" si="2">SUM(C63*D63)</f>
        <v>1294.72</v>
      </c>
      <c r="F63" t="s">
        <v>5</v>
      </c>
      <c r="H63" s="590" t="s">
        <v>687</v>
      </c>
      <c r="I63" s="591"/>
      <c r="J63" s="592">
        <v>32</v>
      </c>
      <c r="K63" s="592">
        <v>40</v>
      </c>
      <c r="L63" s="592">
        <v>48</v>
      </c>
      <c r="M63" s="592">
        <v>54</v>
      </c>
      <c r="N63" s="593">
        <v>64</v>
      </c>
    </row>
    <row r="64" spans="1:14" x14ac:dyDescent="0.2">
      <c r="B64" t="s">
        <v>363</v>
      </c>
      <c r="C64" s="360">
        <v>3.45</v>
      </c>
      <c r="D64" s="361">
        <f>'&gt;Ordering NVL'!D42:G42</f>
        <v>2</v>
      </c>
      <c r="E64" s="362">
        <f t="shared" si="2"/>
        <v>6.9</v>
      </c>
      <c r="F64" t="s">
        <v>5</v>
      </c>
      <c r="H64" s="594" t="s">
        <v>688</v>
      </c>
      <c r="I64" s="595"/>
      <c r="J64" s="596">
        <v>21</v>
      </c>
      <c r="K64" s="596">
        <v>28</v>
      </c>
      <c r="L64" s="596">
        <v>35</v>
      </c>
      <c r="M64" s="596">
        <v>40</v>
      </c>
      <c r="N64" s="597">
        <v>47</v>
      </c>
    </row>
    <row r="65" spans="1:14" x14ac:dyDescent="0.2">
      <c r="B65">
        <v>10</v>
      </c>
      <c r="C65" s="360">
        <v>4.3099999999999996</v>
      </c>
      <c r="D65" s="361">
        <f>'&gt;Ordering NVL'!D43:G43</f>
        <v>7</v>
      </c>
      <c r="E65" s="362">
        <f t="shared" si="2"/>
        <v>30.169999999999998</v>
      </c>
      <c r="F65" t="s">
        <v>5</v>
      </c>
      <c r="H65" s="594" t="s">
        <v>689</v>
      </c>
      <c r="I65" s="595"/>
      <c r="J65" s="596">
        <f>J63*J64</f>
        <v>672</v>
      </c>
      <c r="K65" s="596">
        <f>K63*K64</f>
        <v>1120</v>
      </c>
      <c r="L65" s="596">
        <f>L63*L64</f>
        <v>1680</v>
      </c>
      <c r="M65" s="596">
        <f>M63*M64</f>
        <v>2160</v>
      </c>
      <c r="N65" s="597">
        <f>N63*N64</f>
        <v>3008</v>
      </c>
    </row>
    <row r="66" spans="1:14" x14ac:dyDescent="0.2">
      <c r="A66" s="367"/>
      <c r="B66" s="648">
        <v>12</v>
      </c>
      <c r="C66" s="368">
        <v>5.23</v>
      </c>
      <c r="D66" s="369">
        <f>'&gt;Ordering NVL'!D44:G44</f>
        <v>1</v>
      </c>
      <c r="E66" s="362">
        <f t="shared" si="2"/>
        <v>5.23</v>
      </c>
      <c r="F66" s="367" t="s">
        <v>5</v>
      </c>
      <c r="G66" s="367"/>
      <c r="H66" s="594" t="s">
        <v>690</v>
      </c>
      <c r="I66" s="595"/>
      <c r="J66" s="598">
        <f>SUM(J78*1.1)</f>
        <v>0</v>
      </c>
      <c r="K66" s="598">
        <f>SUM(K78*1.1)</f>
        <v>0</v>
      </c>
      <c r="L66" s="598">
        <f>SUM(L78*1.1)</f>
        <v>0</v>
      </c>
      <c r="M66" s="598">
        <f>SUM(M78*1.1)</f>
        <v>0</v>
      </c>
      <c r="N66" s="599">
        <f>SUM(N78*1.1)</f>
        <v>0</v>
      </c>
    </row>
    <row r="67" spans="1:14" x14ac:dyDescent="0.2">
      <c r="B67">
        <v>16</v>
      </c>
      <c r="C67" s="360">
        <v>7</v>
      </c>
      <c r="D67" s="361">
        <f>'&gt;Ordering NVL'!D45:G45</f>
        <v>4</v>
      </c>
      <c r="E67" s="362">
        <f t="shared" si="2"/>
        <v>28</v>
      </c>
      <c r="F67" t="s">
        <v>5</v>
      </c>
      <c r="H67" s="600" t="s">
        <v>691</v>
      </c>
      <c r="I67" s="595"/>
      <c r="J67" s="598">
        <v>97</v>
      </c>
      <c r="K67" s="598">
        <v>160</v>
      </c>
      <c r="L67" s="598">
        <v>238</v>
      </c>
      <c r="M67" s="598">
        <v>305</v>
      </c>
      <c r="N67" s="598">
        <v>414</v>
      </c>
    </row>
    <row r="68" spans="1:14" x14ac:dyDescent="0.2">
      <c r="A68" s="648" t="s">
        <v>364</v>
      </c>
      <c r="B68" s="370" t="s">
        <v>365</v>
      </c>
      <c r="C68" s="371">
        <v>65.5</v>
      </c>
      <c r="D68" s="372">
        <f>IF('&gt;Ordering NVL'!D64&gt;0,4,0)</f>
        <v>4</v>
      </c>
      <c r="E68" s="362">
        <f t="shared" si="2"/>
        <v>262</v>
      </c>
      <c r="F68" s="370" t="s">
        <v>5</v>
      </c>
      <c r="G68" s="370"/>
      <c r="H68" s="370"/>
      <c r="I68" s="370"/>
      <c r="J68" s="370"/>
      <c r="K68" s="370"/>
      <c r="L68" s="370"/>
      <c r="M68" s="370"/>
      <c r="N68" s="370"/>
    </row>
    <row r="69" spans="1:14" x14ac:dyDescent="0.2">
      <c r="A69" s="648"/>
      <c r="B69" s="370" t="s">
        <v>366</v>
      </c>
      <c r="C69" s="371">
        <v>53.79</v>
      </c>
      <c r="D69" s="372">
        <f>IF('&gt;Ordering NVL'!D65:E65&gt;0,1,0)</f>
        <v>0</v>
      </c>
      <c r="E69" s="362">
        <f t="shared" si="2"/>
        <v>0</v>
      </c>
      <c r="F69" s="370" t="s">
        <v>5</v>
      </c>
      <c r="G69" s="370"/>
      <c r="H69" s="370"/>
      <c r="I69" s="370"/>
      <c r="J69" s="370"/>
      <c r="K69" s="370"/>
      <c r="L69" s="370"/>
      <c r="M69" s="370"/>
      <c r="N69" s="370"/>
    </row>
    <row r="70" spans="1:14" x14ac:dyDescent="0.2">
      <c r="A70" s="648"/>
      <c r="B70" s="370" t="s">
        <v>367</v>
      </c>
      <c r="C70" s="371">
        <v>56.05</v>
      </c>
      <c r="D70" s="372">
        <f>IF('&gt;Ordering NVL'!D66:E66&gt;0,1,0)</f>
        <v>0</v>
      </c>
      <c r="E70" s="362">
        <f t="shared" si="2"/>
        <v>0</v>
      </c>
      <c r="F70" s="370" t="s">
        <v>5</v>
      </c>
      <c r="G70" s="370"/>
      <c r="H70" s="370"/>
      <c r="I70" s="370"/>
      <c r="J70" s="370"/>
      <c r="K70" s="370"/>
      <c r="L70" s="370"/>
      <c r="M70" s="370"/>
      <c r="N70" s="370"/>
    </row>
    <row r="71" spans="1:14" x14ac:dyDescent="0.2">
      <c r="A71" s="648"/>
      <c r="B71" s="370" t="s">
        <v>368</v>
      </c>
      <c r="C71" s="371">
        <v>39.6</v>
      </c>
      <c r="D71" s="372">
        <f>IF('&gt;Ordering NVL'!D67:E67&gt;0,1,0)</f>
        <v>0</v>
      </c>
      <c r="E71" s="362">
        <f t="shared" si="2"/>
        <v>0</v>
      </c>
      <c r="F71" s="370" t="s">
        <v>5</v>
      </c>
      <c r="G71" s="370"/>
      <c r="H71" s="370"/>
      <c r="I71" s="370"/>
      <c r="J71" s="370"/>
      <c r="K71" s="370"/>
      <c r="L71" s="370"/>
      <c r="M71" s="370"/>
      <c r="N71" s="370"/>
    </row>
    <row r="72" spans="1:14" x14ac:dyDescent="0.2">
      <c r="A72" s="648"/>
      <c r="B72" s="370" t="s">
        <v>369</v>
      </c>
      <c r="C72" s="371">
        <v>6.69</v>
      </c>
      <c r="D72" s="372">
        <f>IF('&gt;Ordering NVL'!D68:E68&gt;0,2,0)</f>
        <v>2</v>
      </c>
      <c r="E72" s="362">
        <f t="shared" si="2"/>
        <v>13.38</v>
      </c>
      <c r="F72" s="370" t="s">
        <v>5</v>
      </c>
      <c r="G72" s="370"/>
      <c r="H72" s="370"/>
      <c r="I72" s="370"/>
      <c r="J72" s="370"/>
      <c r="K72" s="370"/>
      <c r="L72" s="370"/>
      <c r="M72" s="370"/>
      <c r="N72" s="370"/>
    </row>
    <row r="73" spans="1:14" x14ac:dyDescent="0.2">
      <c r="A73" s="648"/>
      <c r="B73" s="370" t="s">
        <v>370</v>
      </c>
      <c r="C73" s="371">
        <v>6.83</v>
      </c>
      <c r="D73" s="372">
        <f>IF('&gt;Ordering NVL'!D69:E69&gt;0,10,0)</f>
        <v>0</v>
      </c>
      <c r="E73" s="362">
        <f t="shared" si="2"/>
        <v>0</v>
      </c>
      <c r="F73" s="370" t="s">
        <v>5</v>
      </c>
      <c r="G73" s="370"/>
      <c r="H73" s="370"/>
      <c r="I73" s="370"/>
      <c r="J73" s="370"/>
      <c r="K73" s="370"/>
      <c r="L73" s="370"/>
      <c r="M73" s="370"/>
      <c r="N73" s="370"/>
    </row>
    <row r="74" spans="1:14" x14ac:dyDescent="0.2">
      <c r="A74" s="648"/>
      <c r="B74" s="370" t="s">
        <v>371</v>
      </c>
      <c r="C74" s="371">
        <v>5.46</v>
      </c>
      <c r="D74" s="372">
        <f>IF('&gt;Ordering NVL'!D70:E70&gt;0,5,0)</f>
        <v>0</v>
      </c>
      <c r="E74" s="362">
        <f t="shared" si="2"/>
        <v>0</v>
      </c>
      <c r="F74" s="370" t="s">
        <v>5</v>
      </c>
      <c r="G74" s="370"/>
      <c r="H74" s="370"/>
      <c r="I74" s="370"/>
      <c r="J74" s="370"/>
      <c r="K74" s="370"/>
      <c r="L74" s="370"/>
      <c r="M74" s="370"/>
      <c r="N74" s="370"/>
    </row>
    <row r="75" spans="1:14" x14ac:dyDescent="0.2">
      <c r="A75" s="648"/>
      <c r="B75" s="370" t="s">
        <v>372</v>
      </c>
      <c r="C75" s="371">
        <v>2.74</v>
      </c>
      <c r="D75" s="372">
        <f>IF('&gt;Ordering NVL'!D71:E71&gt;0,25,0)</f>
        <v>0</v>
      </c>
      <c r="E75" s="362">
        <f t="shared" si="2"/>
        <v>0</v>
      </c>
      <c r="F75" s="370" t="s">
        <v>5</v>
      </c>
      <c r="G75" s="370"/>
      <c r="H75" s="370"/>
      <c r="I75" s="370"/>
      <c r="J75" s="370"/>
      <c r="K75" s="370"/>
      <c r="L75" s="370"/>
      <c r="M75" s="370"/>
      <c r="N75" s="370"/>
    </row>
    <row r="76" spans="1:14" x14ac:dyDescent="0.2">
      <c r="A76" s="648"/>
      <c r="B76" s="370" t="s">
        <v>373</v>
      </c>
      <c r="C76" s="371"/>
      <c r="D76" s="372">
        <f>IF('&gt;Ordering NVL'!D72:E72&gt;0,1,0)</f>
        <v>1</v>
      </c>
      <c r="E76" s="362">
        <f t="shared" si="2"/>
        <v>0</v>
      </c>
      <c r="F76" s="370" t="s">
        <v>5</v>
      </c>
      <c r="G76" s="370"/>
      <c r="H76" s="370"/>
      <c r="I76" s="370"/>
      <c r="J76" s="370"/>
      <c r="K76" s="370"/>
      <c r="L76" s="370"/>
      <c r="M76" s="370"/>
      <c r="N76" s="370"/>
    </row>
    <row r="77" spans="1:14" x14ac:dyDescent="0.2">
      <c r="A77" s="648"/>
      <c r="B77" s="373" t="s">
        <v>374</v>
      </c>
      <c r="C77" s="371">
        <v>3.0099999999999998E-2</v>
      </c>
      <c r="D77" s="372">
        <f>IF('&gt;Ordering NVL'!D73:E73&gt;0,1,0)</f>
        <v>0</v>
      </c>
      <c r="E77" s="362">
        <f t="shared" si="2"/>
        <v>0</v>
      </c>
      <c r="F77" s="370" t="s">
        <v>5</v>
      </c>
      <c r="G77" s="370"/>
      <c r="H77" s="370"/>
      <c r="I77" s="370"/>
      <c r="J77" s="370"/>
      <c r="K77" s="370"/>
      <c r="L77" s="370"/>
      <c r="M77" s="370"/>
      <c r="N77" s="370"/>
    </row>
    <row r="78" spans="1:14" x14ac:dyDescent="0.2">
      <c r="A78" s="648"/>
      <c r="B78" s="370" t="s">
        <v>375</v>
      </c>
      <c r="C78" s="371">
        <v>68.3</v>
      </c>
      <c r="D78" s="372">
        <f>IF('&gt;Ordering NVL'!D75:E75&gt;0,1,0)</f>
        <v>0</v>
      </c>
      <c r="E78" s="362">
        <f t="shared" si="2"/>
        <v>0</v>
      </c>
      <c r="F78" s="370" t="s">
        <v>5</v>
      </c>
      <c r="G78" s="370"/>
      <c r="H78" s="370"/>
      <c r="I78" s="370"/>
      <c r="J78" s="370"/>
      <c r="K78" s="370"/>
      <c r="L78" s="370"/>
      <c r="M78" s="370"/>
      <c r="N78" s="370"/>
    </row>
    <row r="79" spans="1:14" x14ac:dyDescent="0.2">
      <c r="A79" s="648"/>
      <c r="B79" s="370" t="s">
        <v>376</v>
      </c>
      <c r="C79" s="371">
        <v>125</v>
      </c>
      <c r="D79" s="372">
        <f>IF('&gt;Ordering NVL'!D76:E76&gt;0,1,0)</f>
        <v>0</v>
      </c>
      <c r="E79" s="362">
        <f t="shared" si="2"/>
        <v>0</v>
      </c>
      <c r="F79" s="370" t="s">
        <v>5</v>
      </c>
      <c r="G79" s="370"/>
      <c r="H79" s="370"/>
      <c r="I79" s="370"/>
      <c r="J79" s="370"/>
      <c r="K79" s="370"/>
      <c r="L79" s="370"/>
      <c r="M79" s="370"/>
      <c r="N79" s="370"/>
    </row>
    <row r="80" spans="1:14" x14ac:dyDescent="0.2">
      <c r="A80" s="648"/>
      <c r="B80" s="373" t="s">
        <v>377</v>
      </c>
      <c r="C80" s="371">
        <v>161</v>
      </c>
      <c r="D80" s="372">
        <f>IF('&gt;Ordering NVL'!D77:E77&gt;0,1,0)</f>
        <v>1</v>
      </c>
      <c r="E80" s="362">
        <f t="shared" si="2"/>
        <v>161</v>
      </c>
      <c r="F80" s="370" t="s">
        <v>5</v>
      </c>
      <c r="G80" s="370"/>
      <c r="H80" s="370"/>
      <c r="I80" s="370"/>
      <c r="J80" s="370"/>
      <c r="K80" s="370"/>
      <c r="L80" s="370"/>
      <c r="M80" s="370"/>
      <c r="N80" s="370"/>
    </row>
    <row r="81" spans="1:14" x14ac:dyDescent="0.2">
      <c r="A81" s="648"/>
      <c r="B81" s="370" t="s">
        <v>378</v>
      </c>
      <c r="C81" s="371">
        <v>195</v>
      </c>
      <c r="D81" s="372" t="e">
        <f>IF('&gt;Ordering NVL'!#REF!&gt;0,1,0)</f>
        <v>#REF!</v>
      </c>
      <c r="E81" s="362" t="e">
        <f t="shared" si="2"/>
        <v>#REF!</v>
      </c>
      <c r="F81" s="370" t="s">
        <v>5</v>
      </c>
      <c r="G81" s="370"/>
      <c r="H81" s="370"/>
      <c r="I81" s="370"/>
      <c r="J81" s="370"/>
      <c r="K81" s="370"/>
      <c r="L81" s="370"/>
      <c r="M81" s="370"/>
      <c r="N81" s="370"/>
    </row>
    <row r="82" spans="1:14" x14ac:dyDescent="0.2">
      <c r="A82" s="648"/>
      <c r="B82" s="370" t="s">
        <v>379</v>
      </c>
      <c r="C82" s="371">
        <v>215</v>
      </c>
      <c r="D82" s="372">
        <f>IF('&gt;Ordering NVL'!D80:E80&gt;0,1,0)</f>
        <v>0</v>
      </c>
      <c r="E82" s="362">
        <f t="shared" si="2"/>
        <v>0</v>
      </c>
      <c r="F82" s="370" t="s">
        <v>5</v>
      </c>
      <c r="G82" s="370"/>
      <c r="H82" s="370"/>
      <c r="I82" s="370"/>
      <c r="J82" s="370"/>
      <c r="K82" s="370"/>
      <c r="L82" s="370"/>
      <c r="M82" s="370"/>
      <c r="N82" s="370"/>
    </row>
    <row r="83" spans="1:14" x14ac:dyDescent="0.2">
      <c r="A83" s="648"/>
      <c r="B83" s="370" t="s">
        <v>380</v>
      </c>
      <c r="C83" s="371">
        <v>1.59</v>
      </c>
      <c r="D83" s="372">
        <f>IF('&gt;Ordering NVL'!D81:E81&gt;0,1,0)</f>
        <v>0</v>
      </c>
      <c r="E83" s="362">
        <f t="shared" si="2"/>
        <v>0</v>
      </c>
      <c r="F83" s="370" t="s">
        <v>5</v>
      </c>
      <c r="G83" s="370"/>
      <c r="H83" s="370"/>
      <c r="I83" s="370"/>
      <c r="J83" s="370"/>
      <c r="K83" s="370"/>
      <c r="L83" s="370"/>
      <c r="M83" s="370"/>
      <c r="N83" s="370"/>
    </row>
    <row r="84" spans="1:14" x14ac:dyDescent="0.2">
      <c r="A84" s="648"/>
      <c r="B84" s="370" t="s">
        <v>381</v>
      </c>
      <c r="C84" s="371">
        <v>13.19</v>
      </c>
      <c r="D84" s="372">
        <f>IF('&gt;Ordering NVL'!D82:E82&gt;0,4,0)</f>
        <v>4</v>
      </c>
      <c r="E84" s="362">
        <f t="shared" si="2"/>
        <v>52.76</v>
      </c>
      <c r="F84" s="370" t="s">
        <v>5</v>
      </c>
      <c r="G84" s="370"/>
      <c r="H84" s="370"/>
      <c r="I84" s="370"/>
      <c r="J84" s="370"/>
      <c r="K84" s="370"/>
      <c r="L84" s="370"/>
      <c r="M84" s="370"/>
      <c r="N84" s="370"/>
    </row>
    <row r="85" spans="1:14" x14ac:dyDescent="0.2">
      <c r="A85" s="648"/>
      <c r="B85" s="370" t="s">
        <v>382</v>
      </c>
      <c r="C85" s="371">
        <v>22</v>
      </c>
      <c r="D85" s="372">
        <f>'Data entry'!AK95</f>
        <v>0</v>
      </c>
      <c r="E85" s="362">
        <f t="shared" si="2"/>
        <v>0</v>
      </c>
      <c r="F85" s="370" t="s">
        <v>5</v>
      </c>
      <c r="G85" s="370"/>
      <c r="H85" s="370"/>
      <c r="I85" s="370"/>
      <c r="J85" s="370"/>
      <c r="K85" s="370"/>
      <c r="L85" s="370"/>
      <c r="M85" s="370"/>
      <c r="N85" s="370"/>
    </row>
    <row r="86" spans="1:14" x14ac:dyDescent="0.2">
      <c r="A86" s="648" t="s">
        <v>383</v>
      </c>
      <c r="B86" s="370" t="s">
        <v>384</v>
      </c>
      <c r="C86" s="371">
        <v>14.07</v>
      </c>
      <c r="D86" s="372">
        <f>IF('&gt;Ordering NVL'!D84:E84&gt;0,7,0)</f>
        <v>0</v>
      </c>
      <c r="E86" s="362">
        <f t="shared" si="2"/>
        <v>0</v>
      </c>
      <c r="F86" s="370" t="s">
        <v>5</v>
      </c>
      <c r="G86" s="370"/>
      <c r="H86" s="370"/>
      <c r="I86" s="370"/>
      <c r="J86" s="370"/>
      <c r="K86" s="370"/>
      <c r="L86" s="370"/>
      <c r="M86" s="370"/>
      <c r="N86" s="370"/>
    </row>
    <row r="87" spans="1:14" x14ac:dyDescent="0.2">
      <c r="A87" s="648"/>
      <c r="B87" s="374" t="s">
        <v>385</v>
      </c>
      <c r="C87" s="371">
        <v>2.59</v>
      </c>
      <c r="D87" s="372">
        <f>IF('Data entry'!Q80="yes",1,0)</f>
        <v>1</v>
      </c>
      <c r="E87" s="362">
        <f t="shared" si="2"/>
        <v>2.59</v>
      </c>
      <c r="F87" s="580"/>
      <c r="G87" s="580"/>
      <c r="H87" s="580"/>
      <c r="I87" s="370"/>
      <c r="J87" s="370"/>
      <c r="K87" s="370"/>
      <c r="L87" s="370"/>
      <c r="M87" s="370"/>
      <c r="N87" s="370"/>
    </row>
    <row r="88" spans="1:14" x14ac:dyDescent="0.2">
      <c r="A88" s="648"/>
      <c r="B88" s="373" t="s">
        <v>386</v>
      </c>
      <c r="C88" s="371">
        <v>90.75</v>
      </c>
      <c r="D88" s="372">
        <f>SUM('Wall Materials'!E22*8/100)</f>
        <v>3.32</v>
      </c>
      <c r="E88" s="362">
        <f t="shared" si="2"/>
        <v>301.28999999999996</v>
      </c>
      <c r="F88" s="370"/>
      <c r="G88" s="370"/>
      <c r="H88" s="370"/>
      <c r="I88" s="370"/>
      <c r="J88" s="370"/>
      <c r="K88" s="370"/>
      <c r="L88" s="370"/>
      <c r="M88" s="370"/>
      <c r="N88" s="370"/>
    </row>
    <row r="89" spans="1:14" x14ac:dyDescent="0.2">
      <c r="A89" s="648"/>
      <c r="B89" s="373" t="s">
        <v>387</v>
      </c>
      <c r="C89" s="371"/>
      <c r="D89" s="372">
        <v>1</v>
      </c>
      <c r="E89" s="362">
        <f t="shared" si="2"/>
        <v>0</v>
      </c>
      <c r="F89" s="370" t="s">
        <v>5</v>
      </c>
      <c r="G89" s="370"/>
      <c r="H89" s="370"/>
      <c r="I89" s="370"/>
      <c r="J89" s="370"/>
      <c r="K89" s="370"/>
      <c r="L89" s="370"/>
      <c r="M89" s="370"/>
      <c r="N89" s="370"/>
    </row>
    <row r="90" spans="1:14" x14ac:dyDescent="0.2">
      <c r="A90" s="648" t="s">
        <v>388</v>
      </c>
      <c r="B90" s="370" t="s">
        <v>389</v>
      </c>
      <c r="C90" s="371">
        <v>25.99</v>
      </c>
      <c r="D90" s="372">
        <f>IF('&gt;Ordering NVL'!D71:E71&gt;0,1,0)</f>
        <v>0</v>
      </c>
      <c r="E90" s="362">
        <f t="shared" si="2"/>
        <v>0</v>
      </c>
      <c r="F90" s="370" t="s">
        <v>5</v>
      </c>
      <c r="G90" s="370"/>
      <c r="H90" s="370"/>
      <c r="I90" s="370"/>
      <c r="J90" s="370"/>
      <c r="K90" s="370"/>
      <c r="L90" s="370"/>
      <c r="M90" s="370"/>
      <c r="N90" s="370"/>
    </row>
    <row r="91" spans="1:14" x14ac:dyDescent="0.2">
      <c r="A91" s="648"/>
      <c r="B91" s="370" t="s">
        <v>390</v>
      </c>
      <c r="C91" s="371">
        <v>28.15</v>
      </c>
      <c r="D91" s="372">
        <f>IF('&gt;Ordering NVL'!D72:E72&gt;0,2,0)</f>
        <v>2</v>
      </c>
      <c r="E91" s="362">
        <f t="shared" si="2"/>
        <v>56.3</v>
      </c>
      <c r="F91" s="370" t="s">
        <v>5</v>
      </c>
      <c r="G91" s="370"/>
      <c r="H91" s="370"/>
      <c r="I91" s="370"/>
      <c r="J91" s="370"/>
      <c r="K91" s="370"/>
      <c r="L91" s="370"/>
      <c r="M91" s="370"/>
      <c r="N91" s="370"/>
    </row>
    <row r="92" spans="1:14" x14ac:dyDescent="0.2">
      <c r="A92" s="648"/>
      <c r="B92" s="370" t="s">
        <v>391</v>
      </c>
      <c r="C92" s="371">
        <v>2.27</v>
      </c>
      <c r="D92" s="372">
        <f>IF('&gt;Ordering NVL'!D73:E73&gt;0,1,0)</f>
        <v>0</v>
      </c>
      <c r="E92" s="362">
        <f t="shared" si="2"/>
        <v>0</v>
      </c>
      <c r="F92" s="370" t="s">
        <v>5</v>
      </c>
      <c r="G92" s="370"/>
      <c r="H92" s="370"/>
      <c r="I92" s="370"/>
      <c r="J92" s="370"/>
      <c r="K92" s="370"/>
      <c r="L92" s="370"/>
      <c r="M92" s="370"/>
      <c r="N92" s="370"/>
    </row>
    <row r="93" spans="1:14" x14ac:dyDescent="0.2">
      <c r="A93" s="648"/>
      <c r="B93" s="373" t="s">
        <v>392</v>
      </c>
      <c r="C93" s="371">
        <v>28.15</v>
      </c>
      <c r="D93" s="372">
        <f>IF('Order sheet #2'!E37&gt;0,1,0)</f>
        <v>0</v>
      </c>
      <c r="E93" s="362">
        <f t="shared" si="2"/>
        <v>0</v>
      </c>
      <c r="F93" s="370"/>
      <c r="G93" s="370"/>
      <c r="H93" s="370"/>
      <c r="I93" s="370"/>
      <c r="J93" s="370"/>
      <c r="K93" s="370"/>
      <c r="L93" s="370"/>
      <c r="M93" s="370"/>
      <c r="N93" s="370"/>
    </row>
    <row r="94" spans="1:14" ht="13.5" thickBot="1" x14ac:dyDescent="0.25">
      <c r="A94" s="648"/>
      <c r="B94" s="370"/>
      <c r="C94" s="371"/>
      <c r="D94" s="372"/>
      <c r="E94" s="362">
        <f t="shared" si="2"/>
        <v>0</v>
      </c>
      <c r="F94" s="370"/>
      <c r="G94" s="370"/>
      <c r="H94" s="370"/>
      <c r="I94" s="370"/>
      <c r="J94" s="370"/>
      <c r="K94" s="370"/>
      <c r="L94" s="370"/>
      <c r="M94" s="370"/>
      <c r="N94" s="370"/>
    </row>
    <row r="95" spans="1:14" x14ac:dyDescent="0.2">
      <c r="A95" s="648" t="s">
        <v>393</v>
      </c>
      <c r="C95" s="375">
        <f>IF(F3=20,L95,IF(F3=25,L96,IF(F3=30,L97,IF(F3=35,L98,IF(F3&gt;39,L99,0)))))</f>
        <v>3938.8</v>
      </c>
      <c r="D95" s="376">
        <v>1</v>
      </c>
      <c r="E95" s="362">
        <f t="shared" si="2"/>
        <v>3938.8</v>
      </c>
      <c r="F95" s="373"/>
      <c r="G95" s="377" t="s">
        <v>394</v>
      </c>
      <c r="H95" s="378" t="s">
        <v>395</v>
      </c>
      <c r="I95" s="379">
        <v>2498.15</v>
      </c>
      <c r="J95" s="380">
        <v>3386.25</v>
      </c>
      <c r="K95">
        <v>20</v>
      </c>
      <c r="L95" s="381">
        <f>IF('Data entry'!Q14="galv.",I95,IF('Data entry'!Q14="non metal",0,IF('Data entry'!Q14=0,0,J95)))</f>
        <v>2498.15</v>
      </c>
      <c r="M95" s="373"/>
      <c r="N95" s="373"/>
    </row>
    <row r="96" spans="1:14" x14ac:dyDescent="0.2">
      <c r="A96" s="648" t="s">
        <v>396</v>
      </c>
      <c r="B96" t="s">
        <v>397</v>
      </c>
      <c r="C96" s="375"/>
      <c r="D96" s="376"/>
      <c r="E96" s="362">
        <f t="shared" si="2"/>
        <v>0</v>
      </c>
      <c r="F96" s="373"/>
      <c r="G96" s="382" t="s">
        <v>398</v>
      </c>
      <c r="H96" s="383" t="s">
        <v>395</v>
      </c>
      <c r="I96" s="384">
        <v>3589.1</v>
      </c>
      <c r="J96" s="385">
        <v>5473</v>
      </c>
      <c r="K96">
        <v>25</v>
      </c>
      <c r="L96" s="381">
        <f>IF('Data entry'!Q14="galv.",I96,IF('Data entry'!Q14="non metal",0,IF('Data entry'!Q14=0,0,J96)))</f>
        <v>3589.1</v>
      </c>
      <c r="M96" s="373"/>
      <c r="N96" s="585"/>
    </row>
    <row r="97" spans="1:14" x14ac:dyDescent="0.2">
      <c r="A97" s="648" t="s">
        <v>399</v>
      </c>
      <c r="B97" t="str">
        <f>'Data entry'!Q77</f>
        <v>5'</v>
      </c>
      <c r="C97" s="375">
        <v>4.25</v>
      </c>
      <c r="D97" s="386">
        <f>IF('Data entry'!S13=6,72,IF('Data entry'!S13=8,96,IF('Data entry'!S13=10,120,IF('Data entry'!S13=12,132,0))))</f>
        <v>132</v>
      </c>
      <c r="E97" s="362">
        <f t="shared" si="2"/>
        <v>561</v>
      </c>
      <c r="F97" s="373"/>
      <c r="G97" s="387" t="s">
        <v>400</v>
      </c>
      <c r="H97" s="388" t="s">
        <v>395</v>
      </c>
      <c r="I97" s="389">
        <v>3938.8</v>
      </c>
      <c r="J97" s="390">
        <v>6774.25</v>
      </c>
      <c r="K97">
        <v>30</v>
      </c>
      <c r="L97" s="381">
        <f>IF('Data entry'!Q14="galv.",I97,IF('Data entry'!Q14="non metal",0,IF('Data entry'!Q14=0,0,J97)))</f>
        <v>3938.8</v>
      </c>
      <c r="M97" s="373"/>
      <c r="N97" s="373"/>
    </row>
    <row r="98" spans="1:14" x14ac:dyDescent="0.2">
      <c r="A98" s="648" t="s">
        <v>401</v>
      </c>
      <c r="B98" t="s">
        <v>402</v>
      </c>
      <c r="C98" s="375">
        <v>1500</v>
      </c>
      <c r="D98" s="376">
        <v>1</v>
      </c>
      <c r="E98" s="362">
        <f t="shared" si="2"/>
        <v>1500</v>
      </c>
      <c r="F98" s="373"/>
      <c r="G98" s="382" t="s">
        <v>403</v>
      </c>
      <c r="H98" s="383" t="s">
        <v>395</v>
      </c>
      <c r="I98" s="384">
        <v>4451.7</v>
      </c>
      <c r="J98" s="385">
        <v>8851.9599999999991</v>
      </c>
      <c r="K98">
        <v>35</v>
      </c>
      <c r="L98" s="381">
        <f>IF('Data entry'!Q14="galv.",I98,IF('Data entry'!Q14="non metal",0,IF('Data entry'!Q14=0,0,J98)))</f>
        <v>4451.7</v>
      </c>
      <c r="M98" s="373"/>
      <c r="N98" s="585"/>
    </row>
    <row r="99" spans="1:14" ht="13.5" thickBot="1" x14ac:dyDescent="0.25">
      <c r="A99" s="648" t="s">
        <v>404</v>
      </c>
      <c r="B99" s="373" t="str">
        <f>IF('Data entry'!Q80="yes",'&gt;Ring Pallert'!L14)</f>
        <v>5'</v>
      </c>
      <c r="C99" s="375">
        <f>IF(B99="5'",25,IF(B99="6'",35," "))</f>
        <v>25</v>
      </c>
      <c r="D99" s="376">
        <v>1</v>
      </c>
      <c r="E99" s="362">
        <f t="shared" si="2"/>
        <v>25</v>
      </c>
      <c r="F99" s="373"/>
      <c r="G99" s="391" t="s">
        <v>405</v>
      </c>
      <c r="H99" s="392" t="s">
        <v>395</v>
      </c>
      <c r="I99" s="393">
        <v>5469.6</v>
      </c>
      <c r="J99" s="394">
        <v>13772.8</v>
      </c>
      <c r="K99">
        <v>41</v>
      </c>
      <c r="L99" s="381">
        <f>IF('Data entry'!Q14="galv.",I99,IF('Data entry'!Q14="non metal",0,IF('Data entry'!Q14=0,0,J99)))</f>
        <v>5469.6</v>
      </c>
      <c r="M99" s="373"/>
      <c r="N99" s="373"/>
    </row>
    <row r="100" spans="1:14" x14ac:dyDescent="0.2">
      <c r="A100" t="s">
        <v>406</v>
      </c>
      <c r="B100" t="s">
        <v>407</v>
      </c>
      <c r="C100" s="360">
        <v>115</v>
      </c>
      <c r="D100" s="361">
        <f>SUM('&gt;Hardware List'!P47/300)</f>
        <v>0.78666666666666663</v>
      </c>
      <c r="E100" s="362">
        <f t="shared" si="2"/>
        <v>90.466666666666669</v>
      </c>
      <c r="F100" t="s">
        <v>5</v>
      </c>
      <c r="G100" s="373"/>
      <c r="H100" s="373"/>
      <c r="I100" s="373"/>
      <c r="J100" s="373"/>
      <c r="K100" s="373"/>
      <c r="L100" s="373"/>
      <c r="M100" s="373"/>
      <c r="N100" s="373"/>
    </row>
    <row r="101" spans="1:14" x14ac:dyDescent="0.2">
      <c r="C101" s="360"/>
      <c r="D101" s="361"/>
      <c r="E101" s="362">
        <f t="shared" si="2"/>
        <v>0</v>
      </c>
      <c r="G101" t="s">
        <v>401</v>
      </c>
    </row>
    <row r="102" spans="1:14" x14ac:dyDescent="0.2">
      <c r="A102" t="s">
        <v>408</v>
      </c>
      <c r="C102" s="360"/>
      <c r="D102" s="361"/>
      <c r="E102" s="362">
        <f t="shared" si="2"/>
        <v>0</v>
      </c>
    </row>
    <row r="103" spans="1:14" x14ac:dyDescent="0.2">
      <c r="A103" t="s">
        <v>415</v>
      </c>
      <c r="C103" s="360"/>
      <c r="D103" s="366"/>
      <c r="E103" s="362">
        <f>SUM(C103*D103)</f>
        <v>0</v>
      </c>
    </row>
    <row r="104" spans="1:14" x14ac:dyDescent="0.2">
      <c r="B104" t="s">
        <v>423</v>
      </c>
      <c r="C104" s="360"/>
      <c r="D104" s="366"/>
      <c r="E104" s="362" t="e">
        <f>SUM(E7:E103)*1.1</f>
        <v>#REF!</v>
      </c>
    </row>
    <row r="105" spans="1:14" x14ac:dyDescent="0.2">
      <c r="C105" s="396"/>
      <c r="D105" s="397"/>
      <c r="E105" s="398"/>
    </row>
    <row r="106" spans="1:14" x14ac:dyDescent="0.2">
      <c r="A106" t="s">
        <v>426</v>
      </c>
      <c r="B106" t="s">
        <v>427</v>
      </c>
      <c r="C106" s="360"/>
      <c r="D106" s="361"/>
      <c r="E106" s="362">
        <f>M121</f>
        <v>10226.606400000001</v>
      </c>
    </row>
    <row r="107" spans="1:14" x14ac:dyDescent="0.2">
      <c r="A107" t="s">
        <v>429</v>
      </c>
      <c r="B107" t="s">
        <v>430</v>
      </c>
      <c r="C107" s="360">
        <f>SUM(F107/21)</f>
        <v>71.428571428571431</v>
      </c>
      <c r="D107" s="361">
        <f>J108</f>
        <v>4</v>
      </c>
      <c r="E107" s="362">
        <f>SUM(C107*D107)</f>
        <v>285.71428571428572</v>
      </c>
      <c r="F107" s="577">
        <v>1500</v>
      </c>
    </row>
    <row r="108" spans="1:14" x14ac:dyDescent="0.2">
      <c r="B108" t="s">
        <v>432</v>
      </c>
      <c r="C108" s="360">
        <v>5</v>
      </c>
      <c r="D108" s="361">
        <f>J108</f>
        <v>4</v>
      </c>
      <c r="E108" s="362">
        <f>SUM(C108*D108)</f>
        <v>20</v>
      </c>
      <c r="H108" s="729" t="s">
        <v>416</v>
      </c>
      <c r="I108" s="729"/>
      <c r="J108" s="395">
        <v>4</v>
      </c>
    </row>
    <row r="109" spans="1:14" x14ac:dyDescent="0.2">
      <c r="B109" t="s">
        <v>434</v>
      </c>
      <c r="C109" s="360">
        <v>10</v>
      </c>
      <c r="D109" s="361">
        <f>J108</f>
        <v>4</v>
      </c>
      <c r="E109" s="362">
        <v>100</v>
      </c>
      <c r="H109" s="649"/>
      <c r="I109" s="649"/>
      <c r="J109" s="649"/>
      <c r="K109" s="649" t="s">
        <v>417</v>
      </c>
      <c r="L109" s="649"/>
      <c r="M109" s="649"/>
    </row>
    <row r="110" spans="1:14" x14ac:dyDescent="0.2">
      <c r="B110" t="s">
        <v>436</v>
      </c>
      <c r="C110" s="360"/>
      <c r="D110" s="361"/>
      <c r="E110" s="362">
        <v>5</v>
      </c>
      <c r="H110" s="649"/>
      <c r="I110" s="649" t="s">
        <v>418</v>
      </c>
      <c r="J110" s="649" t="s">
        <v>419</v>
      </c>
      <c r="K110" s="649" t="s">
        <v>420</v>
      </c>
      <c r="L110" s="649" t="s">
        <v>421</v>
      </c>
      <c r="M110" s="649"/>
    </row>
    <row r="111" spans="1:14" x14ac:dyDescent="0.2">
      <c r="B111" t="s">
        <v>437</v>
      </c>
      <c r="C111" s="360"/>
      <c r="D111" s="361"/>
      <c r="E111" s="362">
        <v>50</v>
      </c>
      <c r="H111" s="649" t="s">
        <v>422</v>
      </c>
      <c r="I111" s="649">
        <v>50</v>
      </c>
      <c r="J111" s="649">
        <f t="shared" ref="J111:J120" si="3">SUM(I111*0.08)</f>
        <v>4</v>
      </c>
      <c r="K111" s="649"/>
      <c r="L111" s="649">
        <f>SUM(J108*8)</f>
        <v>32</v>
      </c>
      <c r="M111" s="649">
        <f t="shared" ref="M111:M120" si="4">SUM((I111+J111)*(K111+L111))</f>
        <v>1728</v>
      </c>
    </row>
    <row r="112" spans="1:14" x14ac:dyDescent="0.2">
      <c r="B112" t="s">
        <v>438</v>
      </c>
      <c r="C112" s="360"/>
      <c r="D112" s="361"/>
      <c r="E112" s="362">
        <v>50</v>
      </c>
      <c r="H112" s="649" t="s">
        <v>424</v>
      </c>
      <c r="I112" s="649">
        <v>37.340000000000003</v>
      </c>
      <c r="J112" s="649">
        <f t="shared" si="3"/>
        <v>2.9872000000000005</v>
      </c>
      <c r="K112" s="649"/>
      <c r="L112" s="649">
        <f>SUM(J108*8)</f>
        <v>32</v>
      </c>
      <c r="M112" s="649">
        <f t="shared" si="4"/>
        <v>1290.4704000000002</v>
      </c>
    </row>
    <row r="113" spans="2:13" x14ac:dyDescent="0.2">
      <c r="B113" t="s">
        <v>439</v>
      </c>
      <c r="C113" s="360"/>
      <c r="D113" s="361"/>
      <c r="E113" s="362">
        <v>100</v>
      </c>
      <c r="H113" s="649" t="s">
        <v>425</v>
      </c>
      <c r="I113" s="649">
        <v>38.340000000000003</v>
      </c>
      <c r="J113" s="649">
        <f t="shared" si="3"/>
        <v>3.0672000000000001</v>
      </c>
      <c r="K113" s="649"/>
      <c r="L113" s="649">
        <f>IF(J108&gt;4,((J108-1)*7.5),IF(J108&gt;9,(J108-2)*7.5,SUM(J108*7.5)))</f>
        <v>30</v>
      </c>
      <c r="M113" s="649">
        <f t="shared" si="4"/>
        <v>1242.2160000000001</v>
      </c>
    </row>
    <row r="114" spans="2:13" x14ac:dyDescent="0.2">
      <c r="B114" t="s">
        <v>440</v>
      </c>
      <c r="C114" s="360"/>
      <c r="D114" s="361"/>
      <c r="E114" s="362">
        <f>SUM(E106:E113)*0.1</f>
        <v>1083.7320685714287</v>
      </c>
      <c r="F114" s="381"/>
      <c r="H114" s="649" t="s">
        <v>428</v>
      </c>
      <c r="I114" s="649">
        <v>32</v>
      </c>
      <c r="J114" s="649">
        <f t="shared" si="3"/>
        <v>2.56</v>
      </c>
      <c r="K114" s="649">
        <v>0</v>
      </c>
      <c r="L114" s="649">
        <f>SUM(J108*8)</f>
        <v>32</v>
      </c>
      <c r="M114" s="649">
        <f t="shared" si="4"/>
        <v>1105.92</v>
      </c>
    </row>
    <row r="115" spans="2:13" x14ac:dyDescent="0.2">
      <c r="B115" t="s">
        <v>441</v>
      </c>
      <c r="C115" s="400"/>
      <c r="D115" s="401"/>
      <c r="E115" s="402">
        <f>SUM(E106:E114)</f>
        <v>11921.052754285716</v>
      </c>
      <c r="H115" s="649" t="s">
        <v>431</v>
      </c>
      <c r="I115" s="649">
        <v>30</v>
      </c>
      <c r="J115" s="649">
        <f t="shared" si="3"/>
        <v>2.4</v>
      </c>
      <c r="K115" s="649">
        <f>SUM($J$108*7.5)</f>
        <v>30</v>
      </c>
      <c r="L115" s="649"/>
      <c r="M115" s="649">
        <f t="shared" si="4"/>
        <v>972</v>
      </c>
    </row>
    <row r="116" spans="2:13" x14ac:dyDescent="0.2">
      <c r="C116" s="403"/>
      <c r="D116" s="365"/>
      <c r="E116" s="404"/>
      <c r="H116" s="649" t="s">
        <v>433</v>
      </c>
      <c r="I116" s="649">
        <v>30</v>
      </c>
      <c r="J116" s="649">
        <f t="shared" si="3"/>
        <v>2.4</v>
      </c>
      <c r="K116" s="649">
        <f>SUM($J$108*7.5)</f>
        <v>30</v>
      </c>
      <c r="L116" s="649"/>
      <c r="M116" s="649">
        <f t="shared" si="4"/>
        <v>972</v>
      </c>
    </row>
    <row r="117" spans="2:13" x14ac:dyDescent="0.2">
      <c r="B117" t="s">
        <v>442</v>
      </c>
      <c r="C117" s="403"/>
      <c r="D117" s="365"/>
      <c r="E117" s="405"/>
      <c r="H117" s="649" t="s">
        <v>762</v>
      </c>
      <c r="I117" s="649">
        <v>35</v>
      </c>
      <c r="J117" s="649">
        <f t="shared" si="3"/>
        <v>2.8000000000000003</v>
      </c>
      <c r="K117" s="649">
        <f t="shared" ref="K117:K118" si="5">SUM($J$108*7.5)</f>
        <v>30</v>
      </c>
      <c r="L117" s="649"/>
      <c r="M117" s="649">
        <f t="shared" si="4"/>
        <v>1134</v>
      </c>
    </row>
    <row r="118" spans="2:13" x14ac:dyDescent="0.2">
      <c r="B118" t="s">
        <v>443</v>
      </c>
      <c r="C118" s="403"/>
      <c r="D118" s="365"/>
      <c r="E118" s="405"/>
      <c r="H118" s="649" t="s">
        <v>761</v>
      </c>
      <c r="I118" s="649">
        <v>28</v>
      </c>
      <c r="J118" s="649">
        <f t="shared" si="3"/>
        <v>2.2400000000000002</v>
      </c>
      <c r="K118" s="649">
        <f t="shared" si="5"/>
        <v>30</v>
      </c>
      <c r="L118" s="649"/>
      <c r="M118" s="649">
        <f t="shared" si="4"/>
        <v>907.2</v>
      </c>
    </row>
    <row r="119" spans="2:13" x14ac:dyDescent="0.2">
      <c r="B119" t="s">
        <v>444</v>
      </c>
      <c r="C119" s="403"/>
      <c r="D119" s="365"/>
      <c r="E119" s="405"/>
      <c r="H119" s="649" t="s">
        <v>435</v>
      </c>
      <c r="I119" s="649">
        <v>27</v>
      </c>
      <c r="J119" s="649">
        <f t="shared" si="3"/>
        <v>2.16</v>
      </c>
      <c r="K119" s="649">
        <f>SUM($J$108*7.5)</f>
        <v>30</v>
      </c>
      <c r="L119" s="649"/>
      <c r="M119" s="649">
        <f t="shared" si="4"/>
        <v>874.8</v>
      </c>
    </row>
    <row r="120" spans="2:13" x14ac:dyDescent="0.2">
      <c r="B120" t="s">
        <v>445</v>
      </c>
      <c r="C120" s="403"/>
      <c r="D120" s="365"/>
      <c r="E120" s="405"/>
      <c r="H120" s="649" t="s">
        <v>707</v>
      </c>
      <c r="I120" s="649">
        <v>35</v>
      </c>
      <c r="J120" s="649">
        <f t="shared" si="3"/>
        <v>2.8000000000000003</v>
      </c>
      <c r="K120" s="649">
        <f>SUM($J$108*7.5)</f>
        <v>30</v>
      </c>
      <c r="L120" s="649"/>
      <c r="M120" s="649">
        <f t="shared" si="4"/>
        <v>1134</v>
      </c>
    </row>
    <row r="121" spans="2:13" x14ac:dyDescent="0.2">
      <c r="B121" t="s">
        <v>446</v>
      </c>
      <c r="C121" s="403"/>
      <c r="D121" s="365"/>
      <c r="E121" s="406">
        <f>SUM(E117:E120)</f>
        <v>0</v>
      </c>
      <c r="H121" s="649"/>
      <c r="I121" s="649"/>
      <c r="J121" s="649"/>
      <c r="K121" s="649"/>
      <c r="L121" s="649"/>
      <c r="M121" s="650">
        <f>SUM(M111:M119)</f>
        <v>10226.606400000001</v>
      </c>
    </row>
    <row r="122" spans="2:13" x14ac:dyDescent="0.2">
      <c r="C122" s="354"/>
    </row>
    <row r="123" spans="2:13" x14ac:dyDescent="0.2">
      <c r="C123" s="354"/>
    </row>
    <row r="124" spans="2:13" x14ac:dyDescent="0.2">
      <c r="B124" t="s">
        <v>447</v>
      </c>
      <c r="C124" s="354"/>
      <c r="E124" s="381" t="e">
        <f>SUM(E104+E115+E121)*1.1</f>
        <v>#REF!</v>
      </c>
    </row>
    <row r="125" spans="2:13" x14ac:dyDescent="0.2">
      <c r="C125" s="354"/>
    </row>
    <row r="126" spans="2:13" x14ac:dyDescent="0.2">
      <c r="C126" s="354"/>
      <c r="D126" t="s">
        <v>448</v>
      </c>
      <c r="F126" s="381" t="e">
        <f>SUM((C3+C4)-E124)</f>
        <v>#REF!</v>
      </c>
    </row>
    <row r="127" spans="2:13" x14ac:dyDescent="0.2">
      <c r="C127" s="354"/>
      <c r="D127" t="s">
        <v>672</v>
      </c>
      <c r="F127" s="579" t="e">
        <f>SUM(F126/(C3+C4))</f>
        <v>#REF!</v>
      </c>
    </row>
  </sheetData>
  <mergeCells count="2">
    <mergeCell ref="H60:N60"/>
    <mergeCell ref="H108:I108"/>
  </mergeCells>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IQ37"/>
  <sheetViews>
    <sheetView zoomScale="80" zoomScaleNormal="80" workbookViewId="0">
      <selection activeCell="B3" sqref="B3:AR22"/>
    </sheetView>
  </sheetViews>
  <sheetFormatPr defaultColWidth="11.5703125" defaultRowHeight="15" x14ac:dyDescent="0.25"/>
  <cols>
    <col min="1" max="1" width="14.5703125" style="551" customWidth="1"/>
    <col min="2" max="4" width="2.7109375" style="551" customWidth="1"/>
    <col min="5" max="5" width="6" style="551" customWidth="1"/>
    <col min="6" max="6" width="2.7109375" style="551" customWidth="1"/>
    <col min="7" max="7" width="4.85546875" style="551" customWidth="1"/>
    <col min="8" max="8" width="3.42578125" style="551" customWidth="1"/>
    <col min="9" max="9" width="4.7109375" style="551" customWidth="1"/>
    <col min="10" max="10" width="2.7109375" style="551" customWidth="1"/>
    <col min="11" max="11" width="5.28515625" style="551" customWidth="1"/>
    <col min="12" max="12" width="2.7109375" style="551" customWidth="1"/>
    <col min="13" max="13" width="3.85546875" style="551" customWidth="1"/>
    <col min="14" max="14" width="2.7109375" style="551" customWidth="1"/>
    <col min="15" max="15" width="7.5703125" style="551" customWidth="1"/>
    <col min="16" max="25" width="2.7109375" style="551" customWidth="1"/>
    <col min="26" max="26" width="3.42578125" style="551" customWidth="1"/>
    <col min="27" max="39" width="2.7109375" style="551" customWidth="1"/>
    <col min="40" max="56" width="3.140625" style="551" customWidth="1"/>
    <col min="57" max="251" width="14.5703125" style="551" customWidth="1"/>
    <col min="252" max="16384" width="11.5703125" style="18"/>
  </cols>
  <sheetData>
    <row r="2" spans="1:46" ht="15.75" thickBot="1" x14ac:dyDescent="0.3"/>
    <row r="3" spans="1:46" ht="32.25" thickBot="1" x14ac:dyDescent="0.55000000000000004">
      <c r="B3" s="1159" t="s">
        <v>225</v>
      </c>
      <c r="C3" s="1160"/>
      <c r="D3" s="1160"/>
      <c r="E3" s="1160"/>
      <c r="F3" s="1160"/>
      <c r="G3" s="1160"/>
      <c r="H3" s="1160"/>
      <c r="I3" s="1160"/>
      <c r="J3" s="1160"/>
      <c r="K3" s="1160"/>
      <c r="L3" s="1161"/>
      <c r="O3" s="1156" t="s">
        <v>450</v>
      </c>
      <c r="P3" s="1157"/>
      <c r="Q3" s="1157"/>
      <c r="R3" s="1157"/>
      <c r="S3" s="1157"/>
      <c r="T3" s="1157"/>
      <c r="U3" s="1157"/>
      <c r="V3" s="1157"/>
      <c r="W3" s="1157"/>
      <c r="X3" s="1157"/>
      <c r="Y3" s="1158"/>
      <c r="Z3" s="1151" t="str">
        <f>'Data entry'!L2</f>
        <v>Phillips</v>
      </c>
      <c r="AA3" s="1152"/>
      <c r="AB3" s="1152"/>
      <c r="AC3" s="1152"/>
      <c r="AD3" s="1152"/>
      <c r="AE3" s="1152"/>
      <c r="AF3" s="1152"/>
      <c r="AG3" s="1152"/>
      <c r="AH3" s="1152"/>
      <c r="AI3" s="1152"/>
      <c r="AJ3" s="1152"/>
      <c r="AK3" s="1152"/>
      <c r="AL3" s="1152"/>
      <c r="AM3" s="1152"/>
      <c r="AN3" s="1152"/>
      <c r="AO3" s="1152"/>
      <c r="AP3" s="1152"/>
      <c r="AQ3" s="1152"/>
      <c r="AR3" s="1153"/>
      <c r="AS3" s="624"/>
      <c r="AT3" s="624"/>
    </row>
    <row r="6" spans="1:46" ht="28.5" x14ac:dyDescent="0.45">
      <c r="A6" s="553" t="s">
        <v>552</v>
      </c>
      <c r="B6" s="1154" t="s">
        <v>451</v>
      </c>
      <c r="C6" s="1154"/>
      <c r="D6" s="1154"/>
      <c r="E6" s="1154"/>
      <c r="F6" s="1154"/>
      <c r="G6" s="1154"/>
      <c r="H6" s="552"/>
      <c r="I6" s="1155">
        <f>'Data entry'!Q10</f>
        <v>30</v>
      </c>
      <c r="J6" s="1155"/>
      <c r="K6" s="1155"/>
      <c r="S6" s="552"/>
    </row>
    <row r="7" spans="1:46" ht="18.75" x14ac:dyDescent="0.25">
      <c r="A7" s="554"/>
      <c r="B7" s="553"/>
    </row>
    <row r="9" spans="1:46" ht="28.5" x14ac:dyDescent="0.45">
      <c r="E9" s="1154" t="s">
        <v>606</v>
      </c>
      <c r="F9" s="1154"/>
      <c r="G9" s="1154"/>
      <c r="H9" s="1154"/>
      <c r="I9" s="1154"/>
      <c r="J9" s="1154"/>
      <c r="K9" s="1154"/>
      <c r="M9" s="555">
        <f>'Data entry'!Q13</f>
        <v>2</v>
      </c>
      <c r="N9" s="556" t="str">
        <f>'Data entry'!R13</f>
        <v>x</v>
      </c>
      <c r="O9" s="557">
        <f>'Data entry'!S13</f>
        <v>12</v>
      </c>
    </row>
    <row r="11" spans="1:46" ht="28.15" customHeight="1" x14ac:dyDescent="0.3">
      <c r="A11" s="558"/>
      <c r="B11" s="558"/>
      <c r="AC11" s="1149" t="s">
        <v>326</v>
      </c>
      <c r="AD11" s="1149"/>
      <c r="AE11" s="1149"/>
      <c r="AF11" s="1150" t="s">
        <v>607</v>
      </c>
      <c r="AG11" s="1150"/>
      <c r="AH11" s="1150"/>
    </row>
    <row r="12" spans="1:46" ht="17.25" customHeight="1" x14ac:dyDescent="0.3">
      <c r="A12" s="559"/>
      <c r="B12" s="558"/>
      <c r="F12" s="1144" t="s">
        <v>241</v>
      </c>
      <c r="G12" s="1144"/>
      <c r="H12" s="1144"/>
      <c r="I12" s="1144"/>
      <c r="J12" s="1144"/>
      <c r="K12" s="1144"/>
      <c r="L12" s="1144"/>
      <c r="AC12" s="1145" t="s">
        <v>215</v>
      </c>
      <c r="AD12" s="1145"/>
      <c r="AE12" s="1145"/>
      <c r="AF12" s="1145" t="s">
        <v>215</v>
      </c>
      <c r="AG12" s="1145"/>
      <c r="AH12" s="1145"/>
    </row>
    <row r="13" spans="1:46" ht="22.9" customHeight="1" thickBot="1" x14ac:dyDescent="0.4">
      <c r="A13" s="560"/>
      <c r="B13" s="560"/>
      <c r="C13" s="561"/>
      <c r="D13" s="562"/>
      <c r="E13" s="563">
        <f>'Order sheet #2'!E14</f>
        <v>0</v>
      </c>
      <c r="F13" s="563" t="s">
        <v>23</v>
      </c>
      <c r="G13" s="563">
        <v>2</v>
      </c>
      <c r="H13" s="564" t="s">
        <v>5</v>
      </c>
      <c r="I13" s="563">
        <f>'Order sheet #2'!J14</f>
        <v>10</v>
      </c>
      <c r="J13" s="564" t="s">
        <v>5</v>
      </c>
      <c r="K13" s="563">
        <f>'Order sheet #2'!L14</f>
        <v>12</v>
      </c>
      <c r="L13" s="565"/>
      <c r="M13" s="1148" t="s">
        <v>608</v>
      </c>
      <c r="N13" s="1148"/>
      <c r="O13" s="1148"/>
      <c r="P13" s="1148"/>
      <c r="Q13" s="1148"/>
      <c r="R13" s="1148"/>
      <c r="S13" s="1148"/>
      <c r="T13" s="1148"/>
      <c r="U13" s="1148"/>
      <c r="V13" s="1148"/>
      <c r="W13" s="1148"/>
      <c r="X13" s="1148"/>
      <c r="Y13" s="1148"/>
      <c r="Z13" s="1141" t="str">
        <f>IF(I6=20,"16",IF(I6=25,"20",IF(I6=30,"24",IF(I6=35,"27",IF(I6=41,"32")))))</f>
        <v>24</v>
      </c>
      <c r="AA13" s="1141"/>
      <c r="AB13" s="1141"/>
      <c r="AC13" s="1142"/>
      <c r="AD13" s="1142"/>
      <c r="AE13" s="1142"/>
      <c r="AF13" s="1142"/>
      <c r="AG13" s="1142"/>
      <c r="AH13" s="1142"/>
      <c r="AI13" s="561"/>
      <c r="AJ13" s="561"/>
      <c r="AK13" s="561"/>
      <c r="AL13" s="561"/>
    </row>
    <row r="14" spans="1:46" ht="21.75" thickBot="1" x14ac:dyDescent="0.4">
      <c r="C14" s="561"/>
      <c r="D14" s="566"/>
      <c r="E14" s="567">
        <f>'Order sheet #2'!E15</f>
        <v>6</v>
      </c>
      <c r="F14" s="625" t="s">
        <v>23</v>
      </c>
      <c r="G14" s="625">
        <v>2</v>
      </c>
      <c r="H14" s="625" t="s">
        <v>5</v>
      </c>
      <c r="I14" s="625">
        <f>'Order sheet #2'!J15</f>
        <v>10</v>
      </c>
      <c r="J14" s="625" t="s">
        <v>5</v>
      </c>
      <c r="K14" s="625">
        <f>'Order sheet #2'!L15</f>
        <v>16</v>
      </c>
      <c r="L14" s="568"/>
      <c r="M14" s="1148"/>
      <c r="N14" s="1148"/>
      <c r="O14" s="1148"/>
      <c r="P14" s="1148"/>
      <c r="Q14" s="1148"/>
      <c r="R14" s="1148"/>
      <c r="S14" s="1148"/>
      <c r="T14" s="1148"/>
      <c r="U14" s="1148"/>
      <c r="V14" s="1148"/>
      <c r="W14" s="1148"/>
      <c r="X14" s="1148"/>
      <c r="Y14" s="1148"/>
      <c r="Z14" s="1141"/>
      <c r="AA14" s="1141"/>
      <c r="AB14" s="1141"/>
      <c r="AC14" s="1142"/>
      <c r="AD14" s="1142"/>
      <c r="AE14" s="1142"/>
      <c r="AF14" s="1142"/>
      <c r="AG14" s="1142"/>
      <c r="AH14" s="1142"/>
      <c r="AI14" s="561"/>
      <c r="AJ14" s="561"/>
      <c r="AK14" s="561"/>
      <c r="AL14" s="561"/>
    </row>
    <row r="15" spans="1:46" ht="21.75" thickBot="1" x14ac:dyDescent="0.4">
      <c r="C15" s="561"/>
      <c r="D15" s="1141" t="s">
        <v>233</v>
      </c>
      <c r="E15" s="1141"/>
      <c r="F15" s="1141"/>
      <c r="G15" s="1141"/>
      <c r="H15" s="1141"/>
      <c r="I15" s="1141"/>
      <c r="J15" s="1141"/>
      <c r="K15" s="1141"/>
      <c r="L15" s="1141"/>
      <c r="M15" s="1146" t="s">
        <v>609</v>
      </c>
      <c r="N15" s="1146"/>
      <c r="O15" s="1146"/>
      <c r="P15" s="1146"/>
      <c r="Q15" s="1146"/>
      <c r="R15" s="1146"/>
      <c r="S15" s="1146"/>
      <c r="T15" s="1146"/>
      <c r="U15" s="1146"/>
      <c r="V15" s="1146"/>
      <c r="W15" s="1146"/>
      <c r="X15" s="1146"/>
      <c r="Y15" s="1146"/>
      <c r="Z15" s="1147">
        <f>SUM(2*$Z$13)</f>
        <v>48</v>
      </c>
      <c r="AA15" s="1147"/>
      <c r="AB15" s="1147"/>
      <c r="AC15" s="1142"/>
      <c r="AD15" s="1142"/>
      <c r="AE15" s="1142"/>
      <c r="AF15" s="1142"/>
      <c r="AG15" s="1142"/>
      <c r="AH15" s="1142"/>
      <c r="AI15" s="561"/>
      <c r="AJ15" s="561"/>
      <c r="AK15" s="561"/>
      <c r="AL15" s="561"/>
    </row>
    <row r="16" spans="1:46" ht="21.75" thickBot="1" x14ac:dyDescent="0.4">
      <c r="C16" s="561"/>
      <c r="D16" s="1141"/>
      <c r="E16" s="1141"/>
      <c r="F16" s="1141"/>
      <c r="G16" s="1141"/>
      <c r="H16" s="1141"/>
      <c r="I16" s="1141"/>
      <c r="J16" s="1141"/>
      <c r="K16" s="1141"/>
      <c r="L16" s="1141"/>
      <c r="M16" s="1146" t="s">
        <v>758</v>
      </c>
      <c r="N16" s="1146"/>
      <c r="O16" s="1146"/>
      <c r="P16" s="1146"/>
      <c r="Q16" s="1146"/>
      <c r="R16" s="1146"/>
      <c r="S16" s="1146"/>
      <c r="T16" s="1146"/>
      <c r="U16" s="1146"/>
      <c r="V16" s="1146"/>
      <c r="W16" s="1146"/>
      <c r="X16" s="1146"/>
      <c r="Y16" s="1146"/>
      <c r="Z16" s="1147">
        <f>SUM(2*$Z$13)</f>
        <v>48</v>
      </c>
      <c r="AA16" s="1147"/>
      <c r="AB16" s="1147"/>
      <c r="AC16" s="1142"/>
      <c r="AD16" s="1142"/>
      <c r="AE16" s="1142"/>
      <c r="AF16" s="1142"/>
      <c r="AG16" s="1142"/>
      <c r="AH16" s="1142"/>
      <c r="AI16" s="561"/>
      <c r="AJ16" s="561"/>
      <c r="AK16" s="561"/>
      <c r="AL16" s="561"/>
    </row>
    <row r="17" spans="3:50" ht="21.75" thickBot="1" x14ac:dyDescent="0.4">
      <c r="C17" s="561"/>
      <c r="D17" s="1141"/>
      <c r="E17" s="1141"/>
      <c r="F17" s="1141"/>
      <c r="G17" s="1141"/>
      <c r="H17" s="1141"/>
      <c r="I17" s="1141"/>
      <c r="J17" s="1141"/>
      <c r="K17" s="1141"/>
      <c r="L17" s="1141"/>
      <c r="M17" s="1162" t="s">
        <v>759</v>
      </c>
      <c r="N17" s="1163"/>
      <c r="O17" s="1163"/>
      <c r="P17" s="1163"/>
      <c r="Q17" s="1163"/>
      <c r="R17" s="1163"/>
      <c r="S17" s="1163"/>
      <c r="T17" s="1163"/>
      <c r="U17" s="1163"/>
      <c r="V17" s="1163"/>
      <c r="W17" s="1163"/>
      <c r="X17" s="1163"/>
      <c r="Y17" s="1164"/>
      <c r="Z17" s="1147">
        <f>SUM(2*$Z$13)</f>
        <v>48</v>
      </c>
      <c r="AA17" s="1147"/>
      <c r="AB17" s="1147"/>
      <c r="AC17" s="1142"/>
      <c r="AD17" s="1142"/>
      <c r="AE17" s="1142"/>
      <c r="AF17" s="1142"/>
      <c r="AG17" s="1142"/>
      <c r="AH17" s="1142"/>
      <c r="AI17" s="561"/>
      <c r="AJ17" s="561"/>
      <c r="AK17" s="561"/>
      <c r="AL17" s="561"/>
    </row>
    <row r="18" spans="3:50" ht="21.75" thickBot="1" x14ac:dyDescent="0.4">
      <c r="C18" s="561"/>
      <c r="D18" s="1141"/>
      <c r="E18" s="1141"/>
      <c r="F18" s="1141"/>
      <c r="G18" s="1141"/>
      <c r="H18" s="1141"/>
      <c r="I18" s="1141"/>
      <c r="J18" s="1141"/>
      <c r="K18" s="1141"/>
      <c r="L18" s="1141"/>
      <c r="M18" s="1146" t="s">
        <v>760</v>
      </c>
      <c r="N18" s="1146"/>
      <c r="O18" s="1146"/>
      <c r="P18" s="1146"/>
      <c r="Q18" s="1146"/>
      <c r="R18" s="1146"/>
      <c r="S18" s="1146"/>
      <c r="T18" s="1146"/>
      <c r="U18" s="1146"/>
      <c r="V18" s="1146"/>
      <c r="W18" s="1146"/>
      <c r="X18" s="1146"/>
      <c r="Y18" s="1146"/>
      <c r="Z18" s="1147">
        <f>SUM(2*$Z$13)</f>
        <v>48</v>
      </c>
      <c r="AA18" s="1147"/>
      <c r="AB18" s="1147"/>
      <c r="AC18" s="1142"/>
      <c r="AD18" s="1142"/>
      <c r="AE18" s="1142"/>
      <c r="AF18" s="1142"/>
      <c r="AG18" s="1142"/>
      <c r="AH18" s="1142"/>
      <c r="AI18" s="561"/>
      <c r="AJ18" s="561"/>
      <c r="AK18" s="561"/>
      <c r="AL18" s="561"/>
    </row>
    <row r="19" spans="3:50" ht="21.75" thickBot="1" x14ac:dyDescent="0.4">
      <c r="C19" s="561"/>
      <c r="D19" s="1141"/>
      <c r="E19" s="1141"/>
      <c r="F19" s="1141"/>
      <c r="G19" s="1141"/>
      <c r="H19" s="1141"/>
      <c r="I19" s="1141"/>
      <c r="J19" s="1141"/>
      <c r="K19" s="1141"/>
      <c r="L19" s="1141"/>
      <c r="M19" s="1162" t="str">
        <f>IF('Data entry'!W13=24,"#5 Eave"," ")</f>
        <v xml:space="preserve"> </v>
      </c>
      <c r="N19" s="1163"/>
      <c r="O19" s="1163"/>
      <c r="P19" s="1163"/>
      <c r="Q19" s="1163"/>
      <c r="R19" s="1163"/>
      <c r="S19" s="1163"/>
      <c r="T19" s="1163"/>
      <c r="U19" s="1163"/>
      <c r="V19" s="1163"/>
      <c r="W19" s="1163"/>
      <c r="X19" s="1163"/>
      <c r="Y19" s="1164"/>
      <c r="Z19" s="1147"/>
      <c r="AA19" s="1147"/>
      <c r="AB19" s="1147"/>
      <c r="AC19" s="1142"/>
      <c r="AD19" s="1142"/>
      <c r="AE19" s="1142"/>
      <c r="AF19" s="1142"/>
      <c r="AG19" s="1142"/>
      <c r="AH19" s="1142"/>
      <c r="AI19" s="561"/>
      <c r="AJ19" s="561"/>
      <c r="AK19" s="561"/>
      <c r="AL19" s="561"/>
    </row>
    <row r="20" spans="3:50" ht="21.75" thickBot="1" x14ac:dyDescent="0.4">
      <c r="C20" s="561"/>
      <c r="D20" s="1141"/>
      <c r="E20" s="1141"/>
      <c r="F20" s="1141"/>
      <c r="G20" s="1141"/>
      <c r="H20" s="1141"/>
      <c r="I20" s="1141"/>
      <c r="J20" s="1141"/>
      <c r="K20" s="1141"/>
      <c r="L20" s="1141"/>
      <c r="M20" s="1162" t="str">
        <f>IF('Data entry'!W13=24,"#6 Eave"," ")</f>
        <v xml:space="preserve"> </v>
      </c>
      <c r="N20" s="1163"/>
      <c r="O20" s="1163"/>
      <c r="P20" s="1163"/>
      <c r="Q20" s="1163"/>
      <c r="R20" s="1163"/>
      <c r="S20" s="1163"/>
      <c r="T20" s="1163"/>
      <c r="U20" s="1163"/>
      <c r="V20" s="1163"/>
      <c r="W20" s="1163"/>
      <c r="X20" s="1163"/>
      <c r="Y20" s="1164"/>
      <c r="Z20" s="1147"/>
      <c r="AA20" s="1147"/>
      <c r="AB20" s="1147"/>
      <c r="AC20" s="1142"/>
      <c r="AD20" s="1142"/>
      <c r="AE20" s="1142"/>
      <c r="AF20" s="1142"/>
      <c r="AG20" s="1142"/>
      <c r="AH20" s="1142"/>
      <c r="AI20" s="561"/>
      <c r="AJ20" s="561"/>
      <c r="AK20" s="561"/>
      <c r="AL20" s="561"/>
    </row>
    <row r="21" spans="3:50" ht="21.75" thickBot="1" x14ac:dyDescent="0.4">
      <c r="C21" s="561"/>
      <c r="D21" s="569"/>
      <c r="E21" s="563">
        <f>'Order sheet #2'!E12:G12</f>
        <v>0</v>
      </c>
      <c r="F21" s="570" t="s">
        <v>23</v>
      </c>
      <c r="G21" s="563">
        <v>2</v>
      </c>
      <c r="H21" s="564" t="s">
        <v>5</v>
      </c>
      <c r="I21" s="563">
        <f>'Order sheet #2'!J12</f>
        <v>10</v>
      </c>
      <c r="J21" s="564" t="s">
        <v>5</v>
      </c>
      <c r="K21" s="563">
        <f>'Order sheet #2'!L12</f>
        <v>12</v>
      </c>
      <c r="L21" s="571"/>
      <c r="M21" s="1140" t="s">
        <v>598</v>
      </c>
      <c r="N21" s="1140"/>
      <c r="O21" s="1140"/>
      <c r="P21" s="1140"/>
      <c r="Q21" s="1140"/>
      <c r="R21" s="1140"/>
      <c r="S21" s="1140"/>
      <c r="T21" s="1140"/>
      <c r="U21" s="1140"/>
      <c r="V21" s="1140"/>
      <c r="W21" s="1140"/>
      <c r="X21" s="1140"/>
      <c r="Y21" s="1140"/>
      <c r="Z21" s="1141">
        <f>SUM(2*$Z$13)</f>
        <v>48</v>
      </c>
      <c r="AA21" s="1141"/>
      <c r="AB21" s="1141"/>
      <c r="AC21" s="1142"/>
      <c r="AD21" s="1142"/>
      <c r="AE21" s="1142"/>
      <c r="AF21" s="1142"/>
      <c r="AG21" s="1142"/>
      <c r="AH21" s="1142"/>
      <c r="AI21" s="561"/>
      <c r="AJ21" s="561"/>
      <c r="AK21" s="561"/>
      <c r="AL21" s="561"/>
    </row>
    <row r="22" spans="3:50" ht="21" x14ac:dyDescent="0.35">
      <c r="C22" s="561"/>
      <c r="D22" s="572"/>
      <c r="E22" s="567">
        <f>'Order sheet #2'!E13</f>
        <v>6</v>
      </c>
      <c r="F22" s="573" t="str">
        <f>IF($E$22=" "," ","-")</f>
        <v>-</v>
      </c>
      <c r="G22" s="567" t="str">
        <f>IF($E$22=" "," ","2")</f>
        <v>2</v>
      </c>
      <c r="H22" s="567" t="str">
        <f>IF($E$22=" "," ","x")</f>
        <v>x</v>
      </c>
      <c r="I22" s="567">
        <f>'Order sheet #2'!J13</f>
        <v>10</v>
      </c>
      <c r="J22" s="567" t="str">
        <f>IF($E$22=" "," ","x")</f>
        <v>x</v>
      </c>
      <c r="K22" s="567">
        <f>'Order sheet #2'!L13</f>
        <v>16</v>
      </c>
      <c r="L22" s="574"/>
      <c r="M22" s="1143" t="s">
        <v>610</v>
      </c>
      <c r="N22" s="1143"/>
      <c r="O22" s="1143"/>
      <c r="P22" s="1143"/>
      <c r="Q22" s="1143"/>
      <c r="R22" s="1143"/>
      <c r="S22" s="1143"/>
      <c r="T22" s="1143"/>
      <c r="U22" s="1143"/>
      <c r="V22" s="1143"/>
      <c r="W22" s="1143"/>
      <c r="X22" s="1143"/>
      <c r="Y22" s="1143"/>
      <c r="Z22" s="1141"/>
      <c r="AA22" s="1141"/>
      <c r="AB22" s="1141"/>
      <c r="AC22" s="1142"/>
      <c r="AD22" s="1142"/>
      <c r="AE22" s="1142"/>
      <c r="AF22" s="1142"/>
      <c r="AG22" s="1142"/>
      <c r="AH22" s="1142"/>
      <c r="AI22" s="561"/>
      <c r="AJ22" s="561"/>
      <c r="AK22" s="561"/>
      <c r="AL22" s="561"/>
    </row>
    <row r="24" spans="3:50" ht="23.25" customHeight="1" x14ac:dyDescent="0.25">
      <c r="M24" s="1139"/>
      <c r="N24" s="1139"/>
      <c r="O24" s="1139"/>
      <c r="P24" s="1139"/>
      <c r="Q24" s="1139"/>
      <c r="R24" s="1139"/>
      <c r="S24" s="1139"/>
      <c r="T24" s="1139"/>
      <c r="U24" s="1139"/>
      <c r="V24" s="1139"/>
      <c r="W24" s="1139"/>
      <c r="X24" s="1139"/>
      <c r="Y24" s="1139"/>
    </row>
    <row r="25" spans="3:50" ht="41.65" customHeight="1" x14ac:dyDescent="0.25">
      <c r="G25" s="20"/>
      <c r="H25" s="38"/>
      <c r="I25" s="39"/>
      <c r="J25" s="737" t="s">
        <v>171</v>
      </c>
      <c r="K25" s="737"/>
      <c r="L25" s="737"/>
      <c r="M25" s="737"/>
      <c r="N25" s="737"/>
      <c r="O25" s="737"/>
      <c r="P25" s="737"/>
      <c r="Q25" s="737"/>
      <c r="R25" s="737"/>
      <c r="S25" s="737"/>
      <c r="T25" s="737"/>
      <c r="U25" s="737"/>
      <c r="V25" s="737"/>
      <c r="W25" s="737"/>
      <c r="X25" s="737"/>
      <c r="Y25" s="20"/>
      <c r="Z25" s="20"/>
    </row>
    <row r="27" spans="3:50" ht="25.15" customHeight="1" x14ac:dyDescent="0.25">
      <c r="E27" s="1137" t="str">
        <f>'Data entry'!C104</f>
        <v>ENTERED BY</v>
      </c>
      <c r="F27" s="1137"/>
      <c r="G27" s="1137"/>
      <c r="H27" s="1137"/>
      <c r="I27" s="1138" t="str">
        <f>'Data entry'!G104</f>
        <v>DATE</v>
      </c>
      <c r="J27" s="1138"/>
      <c r="K27" s="1138"/>
    </row>
    <row r="28" spans="3:50" x14ac:dyDescent="0.25">
      <c r="E28" s="1137" t="str">
        <f>'Data entry'!D105</f>
        <v xml:space="preserve"> </v>
      </c>
      <c r="F28" s="1137"/>
      <c r="G28" s="1137"/>
      <c r="H28" s="1137"/>
      <c r="I28" s="1138" t="str">
        <f>'Data entry'!G105</f>
        <v xml:space="preserve"> </v>
      </c>
      <c r="J28" s="1138"/>
      <c r="K28" s="1138"/>
      <c r="L28" s="1137">
        <f>'Data entry'!J105</f>
        <v>0</v>
      </c>
      <c r="M28" s="1137"/>
      <c r="N28" s="1137"/>
      <c r="O28" s="1137"/>
      <c r="P28" s="1137"/>
      <c r="Q28" s="1137"/>
      <c r="R28" s="1137"/>
      <c r="S28" s="1137"/>
      <c r="T28" s="1137"/>
      <c r="U28" s="1137"/>
      <c r="V28" s="1137"/>
      <c r="W28" s="1137"/>
      <c r="X28" s="1137"/>
      <c r="Y28" s="1137"/>
      <c r="Z28" s="1137"/>
      <c r="AA28" s="1137"/>
      <c r="AB28" s="1137"/>
      <c r="AC28" s="1137"/>
      <c r="AD28" s="1137"/>
      <c r="AE28" s="1137"/>
      <c r="AF28" s="1137"/>
      <c r="AG28" s="1137"/>
      <c r="AH28" s="1137"/>
      <c r="AI28" s="1137"/>
      <c r="AJ28" s="1137"/>
      <c r="AK28" s="1137"/>
      <c r="AL28" s="1137"/>
      <c r="AM28" s="1137"/>
      <c r="AN28" s="1137"/>
      <c r="AO28" s="1137"/>
      <c r="AP28" s="1137"/>
      <c r="AQ28" s="1137"/>
      <c r="AR28" s="1137"/>
      <c r="AS28" s="1137"/>
      <c r="AT28" s="1137"/>
      <c r="AU28" s="1137"/>
      <c r="AV28" s="1137"/>
      <c r="AW28" s="1137"/>
      <c r="AX28" s="1137"/>
    </row>
    <row r="29" spans="3:50" x14ac:dyDescent="0.25">
      <c r="E29" s="1137" t="str">
        <f>'Data entry'!D106</f>
        <v xml:space="preserve"> </v>
      </c>
      <c r="F29" s="1137"/>
      <c r="G29" s="1137"/>
      <c r="H29" s="1137"/>
      <c r="I29" s="1138" t="str">
        <f>'Data entry'!G106</f>
        <v xml:space="preserve"> </v>
      </c>
      <c r="J29" s="1138"/>
      <c r="K29" s="1138"/>
      <c r="L29" s="1137">
        <f>'Data entry'!J106</f>
        <v>0</v>
      </c>
      <c r="M29" s="1137"/>
      <c r="N29" s="1137"/>
      <c r="O29" s="1137"/>
      <c r="P29" s="1137"/>
      <c r="Q29" s="1137"/>
      <c r="R29" s="1137"/>
      <c r="S29" s="1137"/>
      <c r="T29" s="1137"/>
      <c r="U29" s="1137"/>
      <c r="V29" s="1137"/>
      <c r="W29" s="1137"/>
      <c r="X29" s="1137"/>
      <c r="Y29" s="1137"/>
      <c r="Z29" s="1137"/>
      <c r="AA29" s="1137"/>
      <c r="AB29" s="1137"/>
      <c r="AC29" s="1137"/>
      <c r="AD29" s="1137"/>
      <c r="AE29" s="1137"/>
      <c r="AF29" s="1137"/>
      <c r="AG29" s="1137"/>
      <c r="AH29" s="1137"/>
      <c r="AI29" s="1137"/>
      <c r="AJ29" s="1137"/>
      <c r="AK29" s="1137"/>
      <c r="AL29" s="1137"/>
      <c r="AM29" s="1137"/>
      <c r="AN29" s="1137"/>
      <c r="AO29" s="1137"/>
      <c r="AP29" s="1137"/>
      <c r="AQ29" s="1137"/>
      <c r="AR29" s="1137"/>
      <c r="AS29" s="1137"/>
      <c r="AT29" s="1137"/>
      <c r="AU29" s="1137"/>
      <c r="AV29" s="1137"/>
      <c r="AW29" s="1137"/>
      <c r="AX29" s="1137"/>
    </row>
    <row r="30" spans="3:50" x14ac:dyDescent="0.25">
      <c r="E30" s="1137" t="str">
        <f>'Data entry'!D107</f>
        <v xml:space="preserve"> </v>
      </c>
      <c r="F30" s="1137"/>
      <c r="G30" s="1137"/>
      <c r="H30" s="1137"/>
      <c r="I30" s="1138" t="str">
        <f>'Data entry'!G107</f>
        <v xml:space="preserve"> </v>
      </c>
      <c r="J30" s="1138"/>
      <c r="K30" s="1138"/>
      <c r="L30" s="1137">
        <f>'Data entry'!J107</f>
        <v>0</v>
      </c>
      <c r="M30" s="1137"/>
      <c r="N30" s="1137"/>
      <c r="O30" s="1137"/>
      <c r="P30" s="1137"/>
      <c r="Q30" s="1137"/>
      <c r="R30" s="1137"/>
      <c r="S30" s="1137"/>
      <c r="T30" s="1137"/>
      <c r="U30" s="1137"/>
      <c r="V30" s="1137"/>
      <c r="W30" s="1137"/>
      <c r="X30" s="1137"/>
      <c r="Y30" s="1137"/>
      <c r="Z30" s="1137"/>
      <c r="AA30" s="1137"/>
      <c r="AB30" s="1137"/>
      <c r="AC30" s="1137"/>
      <c r="AD30" s="1137"/>
      <c r="AE30" s="1137"/>
      <c r="AF30" s="1137"/>
      <c r="AG30" s="1137"/>
      <c r="AH30" s="1137"/>
      <c r="AI30" s="1137"/>
      <c r="AJ30" s="1137"/>
      <c r="AK30" s="1137"/>
      <c r="AL30" s="1137"/>
      <c r="AM30" s="1137"/>
      <c r="AN30" s="1137"/>
      <c r="AO30" s="1137"/>
      <c r="AP30" s="1137"/>
      <c r="AQ30" s="1137"/>
      <c r="AR30" s="1137"/>
      <c r="AS30" s="1137"/>
      <c r="AT30" s="1137"/>
      <c r="AU30" s="1137"/>
      <c r="AV30" s="1137"/>
      <c r="AW30" s="1137"/>
      <c r="AX30" s="1137"/>
    </row>
    <row r="31" spans="3:50" x14ac:dyDescent="0.25">
      <c r="E31" s="1137" t="str">
        <f>'Data entry'!D108</f>
        <v xml:space="preserve"> </v>
      </c>
      <c r="F31" s="1137"/>
      <c r="G31" s="1137"/>
      <c r="H31" s="1137"/>
      <c r="I31" s="1138" t="str">
        <f>'Data entry'!G108</f>
        <v xml:space="preserve"> </v>
      </c>
      <c r="J31" s="1138"/>
      <c r="K31" s="1138"/>
      <c r="L31" s="1137">
        <f>'Data entry'!J108</f>
        <v>0</v>
      </c>
      <c r="M31" s="1137"/>
      <c r="N31" s="1137"/>
      <c r="O31" s="1137"/>
      <c r="P31" s="1137"/>
      <c r="Q31" s="1137"/>
      <c r="R31" s="1137"/>
      <c r="S31" s="1137"/>
      <c r="T31" s="1137"/>
      <c r="U31" s="1137"/>
      <c r="V31" s="1137"/>
      <c r="W31" s="1137"/>
      <c r="X31" s="1137"/>
      <c r="Y31" s="1137"/>
      <c r="Z31" s="1137"/>
      <c r="AA31" s="1137"/>
      <c r="AB31" s="1137"/>
      <c r="AC31" s="1137"/>
      <c r="AD31" s="1137"/>
      <c r="AE31" s="1137"/>
      <c r="AF31" s="1137"/>
      <c r="AG31" s="1137"/>
      <c r="AH31" s="1137"/>
      <c r="AI31" s="1137"/>
      <c r="AJ31" s="1137"/>
      <c r="AK31" s="1137"/>
      <c r="AL31" s="1137"/>
      <c r="AM31" s="1137"/>
      <c r="AN31" s="1137"/>
      <c r="AO31" s="1137"/>
      <c r="AP31" s="1137"/>
      <c r="AQ31" s="1137"/>
      <c r="AR31" s="1137"/>
      <c r="AS31" s="1137"/>
      <c r="AT31" s="1137"/>
      <c r="AU31" s="1137"/>
      <c r="AV31" s="1137"/>
      <c r="AW31" s="1137"/>
      <c r="AX31" s="1137"/>
    </row>
    <row r="32" spans="3:50" x14ac:dyDescent="0.25">
      <c r="E32" s="1137" t="str">
        <f>'Data entry'!D109</f>
        <v xml:space="preserve"> </v>
      </c>
      <c r="F32" s="1137"/>
      <c r="G32" s="1137"/>
      <c r="H32" s="1137"/>
      <c r="I32" s="1138" t="str">
        <f>'Data entry'!G109</f>
        <v xml:space="preserve"> </v>
      </c>
      <c r="J32" s="1138"/>
      <c r="K32" s="1138"/>
      <c r="L32" s="1137">
        <f>'Data entry'!J109</f>
        <v>0</v>
      </c>
      <c r="M32" s="1137"/>
      <c r="N32" s="1137"/>
      <c r="O32" s="1137"/>
      <c r="P32" s="1137"/>
      <c r="Q32" s="1137"/>
      <c r="R32" s="1137"/>
      <c r="S32" s="1137"/>
      <c r="T32" s="1137"/>
      <c r="U32" s="1137"/>
      <c r="V32" s="1137"/>
      <c r="W32" s="1137"/>
      <c r="X32" s="1137"/>
      <c r="Y32" s="1137"/>
      <c r="Z32" s="1137"/>
      <c r="AA32" s="1137"/>
      <c r="AB32" s="1137"/>
      <c r="AC32" s="1137"/>
      <c r="AD32" s="1137"/>
      <c r="AE32" s="1137"/>
      <c r="AF32" s="1137"/>
      <c r="AG32" s="1137"/>
      <c r="AH32" s="1137"/>
      <c r="AI32" s="1137"/>
      <c r="AJ32" s="1137"/>
      <c r="AK32" s="1137"/>
      <c r="AL32" s="1137"/>
      <c r="AM32" s="1137"/>
      <c r="AN32" s="1137"/>
      <c r="AO32" s="1137"/>
      <c r="AP32" s="1137"/>
      <c r="AQ32" s="1137"/>
      <c r="AR32" s="1137"/>
      <c r="AS32" s="1137"/>
      <c r="AT32" s="1137"/>
      <c r="AU32" s="1137"/>
      <c r="AV32" s="1137"/>
      <c r="AW32" s="1137"/>
      <c r="AX32" s="1137"/>
    </row>
    <row r="33" spans="5:50" x14ac:dyDescent="0.25">
      <c r="E33" s="1137" t="str">
        <f>'Data entry'!D110</f>
        <v xml:space="preserve"> </v>
      </c>
      <c r="F33" s="1137"/>
      <c r="G33" s="1137"/>
      <c r="H33" s="1137"/>
      <c r="I33" s="1138" t="str">
        <f>'Data entry'!G110</f>
        <v xml:space="preserve"> </v>
      </c>
      <c r="J33" s="1138"/>
      <c r="K33" s="1138"/>
      <c r="L33" s="1137">
        <f>'Data entry'!J110</f>
        <v>0</v>
      </c>
      <c r="M33" s="1137"/>
      <c r="N33" s="1137"/>
      <c r="O33" s="1137"/>
      <c r="P33" s="1137"/>
      <c r="Q33" s="1137"/>
      <c r="R33" s="1137"/>
      <c r="S33" s="1137"/>
      <c r="T33" s="1137"/>
      <c r="U33" s="1137"/>
      <c r="V33" s="1137"/>
      <c r="W33" s="1137"/>
      <c r="X33" s="1137"/>
      <c r="Y33" s="1137"/>
      <c r="Z33" s="1137"/>
      <c r="AA33" s="1137"/>
      <c r="AB33" s="1137"/>
      <c r="AC33" s="1137"/>
      <c r="AD33" s="1137"/>
      <c r="AE33" s="1137"/>
      <c r="AF33" s="1137"/>
      <c r="AG33" s="1137"/>
      <c r="AH33" s="1137"/>
      <c r="AI33" s="1137"/>
      <c r="AJ33" s="1137"/>
      <c r="AK33" s="1137"/>
      <c r="AL33" s="1137"/>
      <c r="AM33" s="1137"/>
      <c r="AN33" s="1137"/>
      <c r="AO33" s="1137"/>
      <c r="AP33" s="1137"/>
      <c r="AQ33" s="1137"/>
      <c r="AR33" s="1137"/>
      <c r="AS33" s="1137"/>
      <c r="AT33" s="1137"/>
      <c r="AU33" s="1137"/>
      <c r="AV33" s="1137"/>
      <c r="AW33" s="1137"/>
      <c r="AX33" s="1137"/>
    </row>
    <row r="34" spans="5:50" x14ac:dyDescent="0.25">
      <c r="E34" s="1137" t="str">
        <f>'Data entry'!D111</f>
        <v xml:space="preserve"> </v>
      </c>
      <c r="F34" s="1137"/>
      <c r="G34" s="1137"/>
      <c r="H34" s="1137"/>
      <c r="I34" s="1138" t="str">
        <f>'Data entry'!G111</f>
        <v xml:space="preserve"> </v>
      </c>
      <c r="J34" s="1138"/>
      <c r="K34" s="1138"/>
      <c r="L34" s="1137">
        <f>'Data entry'!J111</f>
        <v>0</v>
      </c>
      <c r="M34" s="1137"/>
      <c r="N34" s="1137"/>
      <c r="O34" s="1137"/>
      <c r="P34" s="1137"/>
      <c r="Q34" s="1137"/>
      <c r="R34" s="1137"/>
      <c r="S34" s="1137"/>
      <c r="T34" s="1137"/>
      <c r="U34" s="1137"/>
      <c r="V34" s="1137"/>
      <c r="W34" s="1137"/>
      <c r="X34" s="1137"/>
      <c r="Y34" s="1137"/>
      <c r="Z34" s="1137"/>
      <c r="AA34" s="1137"/>
      <c r="AB34" s="1137"/>
      <c r="AC34" s="1137"/>
      <c r="AD34" s="1137"/>
      <c r="AE34" s="1137"/>
      <c r="AF34" s="1137"/>
      <c r="AG34" s="1137"/>
      <c r="AH34" s="1137"/>
      <c r="AI34" s="1137"/>
      <c r="AJ34" s="1137"/>
      <c r="AK34" s="1137"/>
      <c r="AL34" s="1137"/>
      <c r="AM34" s="1137"/>
      <c r="AN34" s="1137"/>
      <c r="AO34" s="1137"/>
      <c r="AP34" s="1137"/>
      <c r="AQ34" s="1137"/>
      <c r="AR34" s="1137"/>
      <c r="AS34" s="1137"/>
      <c r="AT34" s="1137"/>
      <c r="AU34" s="1137"/>
      <c r="AV34" s="1137"/>
      <c r="AW34" s="1137"/>
      <c r="AX34" s="1137"/>
    </row>
    <row r="35" spans="5:50" x14ac:dyDescent="0.25">
      <c r="E35" s="1137" t="str">
        <f>'Data entry'!D112</f>
        <v xml:space="preserve"> </v>
      </c>
      <c r="F35" s="1137"/>
      <c r="G35" s="1137"/>
      <c r="H35" s="1137"/>
      <c r="I35" s="1138" t="str">
        <f>'Data entry'!G112</f>
        <v xml:space="preserve"> </v>
      </c>
      <c r="J35" s="1138"/>
      <c r="K35" s="1138"/>
      <c r="L35" s="1137">
        <f>'Data entry'!J112</f>
        <v>0</v>
      </c>
      <c r="M35" s="1137"/>
      <c r="N35" s="1137"/>
      <c r="O35" s="1137"/>
      <c r="P35" s="1137"/>
      <c r="Q35" s="1137"/>
      <c r="R35" s="1137"/>
      <c r="S35" s="1137"/>
      <c r="T35" s="1137"/>
      <c r="U35" s="1137"/>
      <c r="V35" s="1137"/>
      <c r="W35" s="1137"/>
      <c r="X35" s="1137"/>
      <c r="Y35" s="1137"/>
      <c r="Z35" s="1137"/>
      <c r="AA35" s="1137"/>
      <c r="AB35" s="1137"/>
      <c r="AC35" s="1137"/>
      <c r="AD35" s="1137"/>
      <c r="AE35" s="1137"/>
      <c r="AF35" s="1137"/>
      <c r="AG35" s="1137"/>
      <c r="AH35" s="1137"/>
      <c r="AI35" s="1137"/>
      <c r="AJ35" s="1137"/>
      <c r="AK35" s="1137"/>
      <c r="AL35" s="1137"/>
      <c r="AM35" s="1137"/>
      <c r="AN35" s="1137"/>
      <c r="AO35" s="1137"/>
      <c r="AP35" s="1137"/>
      <c r="AQ35" s="1137"/>
      <c r="AR35" s="1137"/>
      <c r="AS35" s="1137"/>
      <c r="AT35" s="1137"/>
      <c r="AU35" s="1137"/>
      <c r="AV35" s="1137"/>
      <c r="AW35" s="1137"/>
      <c r="AX35" s="1137"/>
    </row>
    <row r="36" spans="5:50" x14ac:dyDescent="0.25">
      <c r="E36" s="1137" t="str">
        <f>'Data entry'!D113</f>
        <v xml:space="preserve"> </v>
      </c>
      <c r="F36" s="1137"/>
      <c r="G36" s="1137"/>
      <c r="H36" s="1137"/>
      <c r="I36" s="1138" t="str">
        <f>'Data entry'!G113</f>
        <v xml:space="preserve"> </v>
      </c>
      <c r="J36" s="1138"/>
      <c r="K36" s="1138"/>
      <c r="L36" s="1137">
        <f>'Data entry'!J113</f>
        <v>0</v>
      </c>
      <c r="M36" s="1137"/>
      <c r="N36" s="1137"/>
      <c r="O36" s="1137"/>
      <c r="P36" s="1137"/>
      <c r="Q36" s="1137"/>
      <c r="R36" s="1137"/>
      <c r="S36" s="1137"/>
      <c r="T36" s="1137"/>
      <c r="U36" s="1137"/>
      <c r="V36" s="1137"/>
      <c r="W36" s="1137"/>
      <c r="X36" s="1137"/>
      <c r="Y36" s="1137"/>
      <c r="Z36" s="1137"/>
      <c r="AA36" s="1137"/>
      <c r="AB36" s="1137"/>
      <c r="AC36" s="1137"/>
      <c r="AD36" s="1137"/>
      <c r="AE36" s="1137"/>
      <c r="AF36" s="1137"/>
      <c r="AG36" s="1137"/>
      <c r="AH36" s="1137"/>
      <c r="AI36" s="1137"/>
      <c r="AJ36" s="1137"/>
      <c r="AK36" s="1137"/>
      <c r="AL36" s="1137"/>
      <c r="AM36" s="1137"/>
      <c r="AN36" s="1137"/>
      <c r="AO36" s="1137"/>
      <c r="AP36" s="1137"/>
      <c r="AQ36" s="1137"/>
      <c r="AR36" s="1137"/>
      <c r="AS36" s="1137"/>
      <c r="AT36" s="1137"/>
      <c r="AU36" s="1137"/>
      <c r="AV36" s="1137"/>
      <c r="AW36" s="1137"/>
      <c r="AX36" s="1137"/>
    </row>
    <row r="37" spans="5:50" x14ac:dyDescent="0.25">
      <c r="E37" s="1137" t="str">
        <f>'Data entry'!D114</f>
        <v xml:space="preserve"> </v>
      </c>
      <c r="F37" s="1137"/>
      <c r="G37" s="1137"/>
      <c r="H37" s="1137"/>
      <c r="I37" s="1138" t="str">
        <f>'Data entry'!G114</f>
        <v xml:space="preserve"> </v>
      </c>
      <c r="J37" s="1138"/>
      <c r="K37" s="1138"/>
      <c r="L37" s="1137">
        <f>'Data entry'!J114</f>
        <v>0</v>
      </c>
      <c r="M37" s="1137"/>
      <c r="N37" s="1137"/>
      <c r="O37" s="1137"/>
      <c r="P37" s="1137"/>
      <c r="Q37" s="1137"/>
      <c r="R37" s="1137"/>
      <c r="S37" s="1137"/>
      <c r="T37" s="1137"/>
      <c r="U37" s="1137"/>
      <c r="V37" s="1137"/>
      <c r="W37" s="1137"/>
      <c r="X37" s="1137"/>
      <c r="Y37" s="1137"/>
      <c r="Z37" s="1137"/>
      <c r="AA37" s="1137"/>
      <c r="AB37" s="1137"/>
      <c r="AC37" s="1137"/>
      <c r="AD37" s="1137"/>
      <c r="AE37" s="1137"/>
      <c r="AF37" s="1137"/>
      <c r="AG37" s="1137"/>
      <c r="AH37" s="1137"/>
      <c r="AI37" s="1137"/>
      <c r="AJ37" s="1137"/>
      <c r="AK37" s="1137"/>
      <c r="AL37" s="1137"/>
      <c r="AM37" s="1137"/>
      <c r="AN37" s="1137"/>
      <c r="AO37" s="1137"/>
      <c r="AP37" s="1137"/>
      <c r="AQ37" s="1137"/>
      <c r="AR37" s="1137"/>
      <c r="AS37" s="1137"/>
      <c r="AT37" s="1137"/>
      <c r="AU37" s="1137"/>
      <c r="AV37" s="1137"/>
      <c r="AW37" s="1137"/>
      <c r="AX37" s="1137"/>
    </row>
  </sheetData>
  <sheetProtection selectLockedCells="1" selectUnlockedCells="1"/>
  <mergeCells count="79">
    <mergeCell ref="AF19:AH19"/>
    <mergeCell ref="Z19:AB19"/>
    <mergeCell ref="M19:Y19"/>
    <mergeCell ref="M20:Y20"/>
    <mergeCell ref="AC18:AE18"/>
    <mergeCell ref="AC19:AE19"/>
    <mergeCell ref="M17:Y17"/>
    <mergeCell ref="Z17:AB17"/>
    <mergeCell ref="AC17:AE17"/>
    <mergeCell ref="AF17:AH17"/>
    <mergeCell ref="Z18:AB18"/>
    <mergeCell ref="AF18:AH18"/>
    <mergeCell ref="Z3:AR3"/>
    <mergeCell ref="E9:K9"/>
    <mergeCell ref="B6:G6"/>
    <mergeCell ref="I6:K6"/>
    <mergeCell ref="O3:Y3"/>
    <mergeCell ref="B3:L3"/>
    <mergeCell ref="M13:Y14"/>
    <mergeCell ref="Z13:AB14"/>
    <mergeCell ref="AC13:AE14"/>
    <mergeCell ref="AF13:AH14"/>
    <mergeCell ref="AC11:AE11"/>
    <mergeCell ref="AF11:AH11"/>
    <mergeCell ref="F12:L12"/>
    <mergeCell ref="AC12:AE12"/>
    <mergeCell ref="AF12:AH12"/>
    <mergeCell ref="D15:L20"/>
    <mergeCell ref="M15:Y15"/>
    <mergeCell ref="Z15:AB15"/>
    <mergeCell ref="AC15:AE15"/>
    <mergeCell ref="AF15:AH15"/>
    <mergeCell ref="M16:Y16"/>
    <mergeCell ref="Z16:AB16"/>
    <mergeCell ref="AC16:AE16"/>
    <mergeCell ref="AF16:AH16"/>
    <mergeCell ref="M18:Y18"/>
    <mergeCell ref="Z20:AB20"/>
    <mergeCell ref="AC20:AE20"/>
    <mergeCell ref="AF20:AH20"/>
    <mergeCell ref="M21:Y21"/>
    <mergeCell ref="Z21:AB22"/>
    <mergeCell ref="AC21:AE22"/>
    <mergeCell ref="AF21:AH22"/>
    <mergeCell ref="M22:Y22"/>
    <mergeCell ref="M24:Y24"/>
    <mergeCell ref="J25:X25"/>
    <mergeCell ref="E27:H27"/>
    <mergeCell ref="I27:K27"/>
    <mergeCell ref="E28:H28"/>
    <mergeCell ref="I28:K28"/>
    <mergeCell ref="L28:AX28"/>
    <mergeCell ref="E29:H29"/>
    <mergeCell ref="I29:K29"/>
    <mergeCell ref="L29:AX29"/>
    <mergeCell ref="E30:H30"/>
    <mergeCell ref="I30:K30"/>
    <mergeCell ref="L30:AX30"/>
    <mergeCell ref="E31:H31"/>
    <mergeCell ref="I31:K31"/>
    <mergeCell ref="L31:AX31"/>
    <mergeCell ref="E32:H32"/>
    <mergeCell ref="I32:K32"/>
    <mergeCell ref="L32:AX32"/>
    <mergeCell ref="E33:H33"/>
    <mergeCell ref="I33:K33"/>
    <mergeCell ref="L33:AX33"/>
    <mergeCell ref="E34:H34"/>
    <mergeCell ref="I34:K34"/>
    <mergeCell ref="L34:AX34"/>
    <mergeCell ref="E37:H37"/>
    <mergeCell ref="I37:K37"/>
    <mergeCell ref="L37:AX37"/>
    <mergeCell ref="E35:H35"/>
    <mergeCell ref="I35:K35"/>
    <mergeCell ref="L35:AX35"/>
    <mergeCell ref="E36:H36"/>
    <mergeCell ref="I36:K36"/>
    <mergeCell ref="L36:AX36"/>
  </mergeCells>
  <pageMargins left="0.78749999999999998" right="0.78749999999999998" top="1.0527777777777778" bottom="1.0527777777777778" header="0.78749999999999998" footer="0.78749999999999998"/>
  <pageSetup scale="53" firstPageNumber="0" orientation="portrait" horizontalDpi="300" verticalDpi="300" r:id="rId1"/>
  <headerFooter alignWithMargins="0">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44"/>
  <sheetViews>
    <sheetView topLeftCell="A12" zoomScale="80" zoomScaleNormal="80" workbookViewId="0">
      <selection activeCell="D2" sqref="D2:AH43"/>
    </sheetView>
  </sheetViews>
  <sheetFormatPr defaultColWidth="11.5703125" defaultRowHeight="12.75" x14ac:dyDescent="0.2"/>
  <cols>
    <col min="1" max="9" width="3.42578125" style="18" customWidth="1"/>
    <col min="10" max="10" width="7.5703125" style="18" customWidth="1"/>
    <col min="11" max="15" width="3.42578125" style="18" customWidth="1"/>
    <col min="16" max="16" width="13" style="18" customWidth="1"/>
    <col min="17" max="17" width="6.140625" style="18" customWidth="1"/>
    <col min="18" max="29" width="3.42578125" style="18" customWidth="1"/>
    <col min="30" max="30" width="12.28515625" style="18" customWidth="1"/>
    <col min="31" max="74" width="3.42578125" style="18" customWidth="1"/>
    <col min="75" max="249" width="9" style="18" customWidth="1"/>
    <col min="250" max="16384" width="11.5703125" style="18"/>
  </cols>
  <sheetData>
    <row r="1" spans="1:49" ht="13.5" thickBot="1" x14ac:dyDescent="0.25"/>
    <row r="2" spans="1:49" ht="33.75" thickBot="1" x14ac:dyDescent="0.5">
      <c r="D2" s="1189" t="s">
        <v>239</v>
      </c>
      <c r="E2" s="1190"/>
      <c r="F2" s="1190"/>
      <c r="G2" s="1190"/>
      <c r="H2" s="1190"/>
      <c r="I2" s="1190"/>
      <c r="J2" s="1190"/>
      <c r="K2" s="1190"/>
      <c r="L2" s="1190"/>
      <c r="M2" s="1190"/>
      <c r="N2" s="1190"/>
      <c r="O2" s="1191"/>
      <c r="P2" s="1192" t="s">
        <v>259</v>
      </c>
      <c r="Q2" s="1193"/>
      <c r="R2" s="1193"/>
      <c r="S2" s="1193"/>
      <c r="T2" s="1193"/>
      <c r="U2" s="1194"/>
      <c r="V2" s="1184" t="str">
        <f>'Data entry'!L2</f>
        <v>Phillips</v>
      </c>
      <c r="W2" s="1185"/>
      <c r="X2" s="1185"/>
      <c r="Y2" s="1185"/>
      <c r="Z2" s="1185"/>
      <c r="AA2" s="1185"/>
      <c r="AB2" s="1185"/>
      <c r="AC2" s="1185"/>
      <c r="AD2" s="1185"/>
      <c r="AE2" s="1185"/>
      <c r="AF2" s="1185"/>
      <c r="AG2" s="1185"/>
      <c r="AH2" s="1186"/>
      <c r="AI2" s="623"/>
      <c r="AJ2" s="623"/>
      <c r="AK2" s="623"/>
      <c r="AL2" s="623"/>
      <c r="AM2" s="622"/>
    </row>
    <row r="4" spans="1:49" ht="20.25" customHeight="1" x14ac:dyDescent="0.2">
      <c r="M4" s="473"/>
    </row>
    <row r="5" spans="1:49" ht="27" x14ac:dyDescent="0.35">
      <c r="G5" s="1187" t="s">
        <v>260</v>
      </c>
      <c r="H5" s="1187"/>
      <c r="I5" s="1187"/>
      <c r="J5" s="1187"/>
      <c r="K5" s="1187"/>
      <c r="L5" s="1187"/>
      <c r="M5" s="1187"/>
      <c r="N5" s="1188">
        <f>'Data entry'!Q10</f>
        <v>30</v>
      </c>
      <c r="O5" s="1188"/>
      <c r="P5" s="1188"/>
    </row>
    <row r="7" spans="1:49" ht="21.95" customHeight="1" thickBot="1" x14ac:dyDescent="0.35">
      <c r="G7" s="837" t="s">
        <v>512</v>
      </c>
      <c r="H7" s="837"/>
      <c r="I7" s="837"/>
      <c r="J7" s="837"/>
      <c r="K7" s="837"/>
      <c r="L7" s="837"/>
      <c r="M7" s="837"/>
      <c r="N7" s="474"/>
      <c r="O7" s="475">
        <f>'Data entry'!Q13</f>
        <v>2</v>
      </c>
      <c r="P7" s="475" t="str">
        <f>'Data entry'!R13</f>
        <v>x</v>
      </c>
      <c r="Q7" s="476">
        <f>'Data entry'!S13</f>
        <v>12</v>
      </c>
      <c r="R7" s="477"/>
    </row>
    <row r="8" spans="1:49" ht="23.25" customHeight="1" thickBot="1" x14ac:dyDescent="0.25"/>
    <row r="9" spans="1:49" ht="22.5" customHeight="1" thickBot="1" x14ac:dyDescent="0.25">
      <c r="G9" s="973" t="s">
        <v>513</v>
      </c>
      <c r="H9" s="973"/>
      <c r="I9" s="973"/>
      <c r="J9" s="973"/>
      <c r="K9" s="973"/>
      <c r="L9" s="973"/>
      <c r="M9" s="973"/>
      <c r="N9" s="973" t="str">
        <f>IF(N10&gt;0,"1/4in"," ")</f>
        <v>1/4in</v>
      </c>
      <c r="O9" s="973"/>
      <c r="P9" s="973"/>
      <c r="Q9" s="973" t="s">
        <v>96</v>
      </c>
      <c r="R9" s="973"/>
      <c r="S9" s="973"/>
      <c r="T9" s="973" t="s">
        <v>97</v>
      </c>
      <c r="U9" s="973"/>
      <c r="V9" s="973"/>
      <c r="W9" s="973"/>
      <c r="X9" s="973"/>
      <c r="Y9" s="973"/>
    </row>
    <row r="10" spans="1:49" ht="24" customHeight="1" thickBot="1" x14ac:dyDescent="0.3">
      <c r="A10" s="478"/>
      <c r="G10" s="973"/>
      <c r="H10" s="973"/>
      <c r="I10" s="973"/>
      <c r="J10" s="973"/>
      <c r="K10" s="973"/>
      <c r="L10" s="973"/>
      <c r="M10" s="973"/>
      <c r="N10" s="973" t="str">
        <f>IF('Data entry'!S40&gt;0,'Data entry'!S40," ")</f>
        <v xml:space="preserve"> </v>
      </c>
      <c r="O10" s="973"/>
      <c r="P10" s="973"/>
      <c r="Q10" s="973">
        <f>IF('Data entry'!V40&gt;0,'Data entry'!V40," ")</f>
        <v>2</v>
      </c>
      <c r="R10" s="973"/>
      <c r="S10" s="973"/>
      <c r="T10" s="973" t="str">
        <f>IF('Data entry'!Y40&gt;0,'Data entry'!Y40," ")</f>
        <v xml:space="preserve"> </v>
      </c>
      <c r="U10" s="973"/>
      <c r="V10" s="973"/>
      <c r="W10" s="973" t="str">
        <f>IF('Data entry'!Z40&gt;0,'Data entry'!Z40," ")</f>
        <v xml:space="preserve"> </v>
      </c>
      <c r="X10" s="973"/>
      <c r="Y10" s="973"/>
      <c r="AT10" s="434">
        <f>IF(N10=" ",0,N10)</f>
        <v>0</v>
      </c>
      <c r="AU10" s="434">
        <f>IF(Q10=" ",0,Q10)</f>
        <v>2</v>
      </c>
      <c r="AV10" s="434">
        <f>IF(T10=" ",0,T10)</f>
        <v>0</v>
      </c>
      <c r="AW10" s="434">
        <f>IF(W10=" ",0,W10)</f>
        <v>0</v>
      </c>
    </row>
    <row r="11" spans="1:49" ht="24" customHeight="1" x14ac:dyDescent="0.25">
      <c r="A11" s="479"/>
      <c r="N11" s="1195" t="s">
        <v>514</v>
      </c>
      <c r="O11" s="1195"/>
      <c r="P11" s="1195"/>
      <c r="Q11" s="1195"/>
      <c r="R11" s="1195"/>
      <c r="S11" s="1195"/>
      <c r="T11" s="1195"/>
      <c r="U11" s="1195"/>
    </row>
    <row r="12" spans="1:49" ht="24" customHeight="1" thickBot="1" x14ac:dyDescent="0.3">
      <c r="A12" s="479"/>
    </row>
    <row r="13" spans="1:49" ht="24" customHeight="1" thickBot="1" x14ac:dyDescent="0.3">
      <c r="A13" s="479"/>
      <c r="G13" s="1182" t="s">
        <v>515</v>
      </c>
      <c r="H13" s="1182"/>
      <c r="I13" s="1182"/>
      <c r="J13" s="1182"/>
      <c r="K13" s="1182"/>
      <c r="L13" s="1182"/>
      <c r="M13" s="1182"/>
      <c r="N13" s="973">
        <f>IF('Data entry'!Q10&gt;39,64,IF('Data entry'!Q10=35,54,IF('Data entry'!Q10=30,48,IF('Data entry'!Q10=25,"40","32"))))</f>
        <v>48</v>
      </c>
      <c r="O13" s="973"/>
      <c r="P13" s="973"/>
      <c r="Q13" s="1183" t="s">
        <v>215</v>
      </c>
      <c r="R13" s="1183"/>
      <c r="S13" s="1183"/>
    </row>
    <row r="14" spans="1:49" ht="24" customHeight="1" thickBot="1" x14ac:dyDescent="0.3">
      <c r="A14" s="479"/>
      <c r="G14" s="1131" t="s">
        <v>516</v>
      </c>
      <c r="H14" s="1131"/>
      <c r="I14" s="1131"/>
      <c r="J14" s="1131"/>
      <c r="K14" s="1131"/>
      <c r="L14" s="1131"/>
      <c r="M14" s="1131"/>
      <c r="N14" s="973">
        <f>'Data entry'!Q41</f>
        <v>0</v>
      </c>
      <c r="O14" s="973"/>
      <c r="P14" s="973"/>
      <c r="Q14" s="856"/>
      <c r="R14" s="856"/>
      <c r="S14" s="856"/>
    </row>
    <row r="15" spans="1:49" ht="24" customHeight="1" thickBot="1" x14ac:dyDescent="0.3">
      <c r="A15" s="479"/>
      <c r="G15" s="1131" t="s">
        <v>517</v>
      </c>
      <c r="H15" s="1131"/>
      <c r="I15" s="1131"/>
      <c r="J15" s="1131"/>
      <c r="K15" s="1131"/>
      <c r="L15" s="1131"/>
      <c r="M15" s="1131"/>
      <c r="N15" s="973">
        <f>IF(N16&gt;0,SUM((N13-N14)-N16),IF(N14&gt;0,(N13-N14),N13))</f>
        <v>48</v>
      </c>
      <c r="O15" s="973"/>
      <c r="P15" s="973"/>
      <c r="Q15" s="856"/>
      <c r="R15" s="856"/>
      <c r="S15" s="856"/>
    </row>
    <row r="16" spans="1:49" ht="24" customHeight="1" thickBot="1" x14ac:dyDescent="0.3">
      <c r="A16" s="479"/>
      <c r="G16" s="1173" t="s">
        <v>518</v>
      </c>
      <c r="H16" s="1173"/>
      <c r="I16" s="1173"/>
      <c r="J16" s="1173"/>
      <c r="K16" s="1173"/>
      <c r="L16" s="1173"/>
      <c r="M16" s="1173"/>
      <c r="N16" s="1174">
        <f>IF('Data entry'!T42&gt;0,'Data entry'!T42,0)</f>
        <v>0</v>
      </c>
      <c r="O16" s="1174"/>
      <c r="P16" s="1174"/>
      <c r="Q16" s="1062"/>
      <c r="R16" s="1062"/>
      <c r="S16" s="1062"/>
    </row>
    <row r="17" spans="1:53" ht="24" customHeight="1" thickBot="1" x14ac:dyDescent="0.3">
      <c r="A17" s="479"/>
      <c r="G17" s="1176" t="s">
        <v>744</v>
      </c>
      <c r="H17" s="1177"/>
      <c r="I17" s="1177"/>
      <c r="J17" s="1177"/>
      <c r="K17" s="1177"/>
      <c r="L17" s="1177"/>
      <c r="M17" s="1178"/>
      <c r="N17" s="1179">
        <f>'Data entry'!W13</f>
        <v>16</v>
      </c>
      <c r="O17" s="1180"/>
      <c r="P17" s="1181"/>
      <c r="Q17" s="1125"/>
      <c r="R17" s="1126"/>
      <c r="S17" s="1127"/>
    </row>
    <row r="18" spans="1:53" ht="24" customHeight="1" thickBot="1" x14ac:dyDescent="0.3">
      <c r="A18" s="479"/>
      <c r="G18" s="281"/>
      <c r="H18" s="281"/>
      <c r="I18" s="281"/>
      <c r="J18" s="281"/>
      <c r="K18" s="281"/>
      <c r="L18" s="281"/>
      <c r="M18" s="281"/>
      <c r="N18" s="480"/>
      <c r="O18" s="480"/>
      <c r="P18" s="480"/>
      <c r="Q18" s="283"/>
      <c r="R18" s="283"/>
      <c r="S18" s="283"/>
    </row>
    <row r="19" spans="1:53" ht="24" customHeight="1" thickBot="1" x14ac:dyDescent="0.3">
      <c r="A19" s="479"/>
      <c r="G19" s="1165" t="s">
        <v>519</v>
      </c>
      <c r="H19" s="1165"/>
      <c r="I19" s="1165"/>
      <c r="J19" s="1165"/>
      <c r="K19" s="1165"/>
      <c r="L19" s="1165"/>
      <c r="M19" s="1165"/>
      <c r="N19" s="1165"/>
      <c r="O19" s="1165"/>
      <c r="P19" s="1165"/>
      <c r="Q19" s="1145" t="s">
        <v>215</v>
      </c>
      <c r="R19" s="1145"/>
      <c r="S19" s="1145"/>
    </row>
    <row r="20" spans="1:53" ht="22.9" customHeight="1" thickBot="1" x14ac:dyDescent="0.25">
      <c r="G20" s="1131" t="s">
        <v>520</v>
      </c>
      <c r="H20" s="1131"/>
      <c r="I20" s="1131"/>
      <c r="J20" s="1131"/>
      <c r="K20" s="1131"/>
      <c r="L20" s="1131"/>
      <c r="M20" s="1131"/>
      <c r="N20" s="1175">
        <f>SUM(N10:W10)</f>
        <v>2</v>
      </c>
      <c r="O20" s="1175"/>
      <c r="P20" s="1175"/>
      <c r="Q20" s="856"/>
      <c r="R20" s="856"/>
      <c r="S20" s="856"/>
    </row>
    <row r="21" spans="1:53" ht="22.9" customHeight="1" thickBot="1" x14ac:dyDescent="0.25">
      <c r="G21" s="1172" t="s">
        <v>521</v>
      </c>
      <c r="H21" s="1172"/>
      <c r="I21" s="1172"/>
      <c r="J21" s="1172"/>
      <c r="K21" s="1172"/>
      <c r="L21" s="1172"/>
      <c r="M21" s="1172"/>
      <c r="N21" s="1169">
        <f>IF(N5=20,(AT10*32)+(AU10*30)+(AV10*30)+(AW10*30),IF(N5=25,(AT10*40)+(AU10*38)+(AV10*38)+(AW10*38),IF(N5=30,(AT10*48)+(AU10*46)+(AV10*46)+(AW10*46),IF(N5=35,(AT10*54)+(AU10*52)+(AV10*52)+(AW10*52),IF(N5&gt;35,(AT10*64)+(AU10*62)+(AV10*62)+(AW10*62))))))</f>
        <v>92</v>
      </c>
      <c r="O21" s="1169"/>
      <c r="P21" s="1169"/>
      <c r="Q21" s="856"/>
      <c r="R21" s="856"/>
      <c r="S21" s="856"/>
      <c r="AF21" s="481"/>
      <c r="AG21" s="481"/>
      <c r="AH21" s="481"/>
      <c r="AI21" s="481"/>
      <c r="AJ21" s="481"/>
      <c r="AK21" s="481"/>
      <c r="AL21" s="481"/>
      <c r="AM21" s="481"/>
      <c r="AN21" s="481"/>
      <c r="AO21" s="481"/>
      <c r="AP21" s="481"/>
      <c r="AQ21" s="481"/>
      <c r="AR21" s="481"/>
      <c r="AS21" s="481"/>
      <c r="AT21" s="481"/>
      <c r="AU21" s="481"/>
      <c r="AV21" s="481"/>
      <c r="AW21" s="481"/>
      <c r="AX21" s="481"/>
      <c r="AY21" s="481"/>
      <c r="AZ21" s="481"/>
      <c r="BA21" s="481"/>
    </row>
    <row r="22" spans="1:53" ht="22.9" customHeight="1" thickBot="1" x14ac:dyDescent="0.35">
      <c r="A22" s="482"/>
      <c r="B22" s="482"/>
      <c r="G22" s="1131" t="s">
        <v>522</v>
      </c>
      <c r="H22" s="1131"/>
      <c r="I22" s="1131"/>
      <c r="J22" s="1131"/>
      <c r="K22" s="1131"/>
      <c r="L22" s="1131"/>
      <c r="M22" s="1131"/>
      <c r="N22" s="1169">
        <f>(AU10*2)+AV10+AW10</f>
        <v>4</v>
      </c>
      <c r="O22" s="1169"/>
      <c r="P22" s="1169"/>
      <c r="Q22" s="856"/>
      <c r="R22" s="856"/>
      <c r="S22" s="856"/>
    </row>
    <row r="23" spans="1:53" ht="22.9" customHeight="1" thickBot="1" x14ac:dyDescent="0.25">
      <c r="G23" s="1131" t="str">
        <f>IF(N23=" "," ","Plate")</f>
        <v xml:space="preserve"> </v>
      </c>
      <c r="H23" s="1131"/>
      <c r="I23" s="1131"/>
      <c r="J23" s="1131"/>
      <c r="K23" s="1131"/>
      <c r="L23" s="1131"/>
      <c r="M23" s="1131"/>
      <c r="N23" s="1169" t="str">
        <f>IF('Data entry'!Y40+'Data entry'!Z40&gt;0,4," ")</f>
        <v xml:space="preserve"> </v>
      </c>
      <c r="O23" s="1169"/>
      <c r="P23" s="1169"/>
      <c r="Q23" s="856"/>
      <c r="R23" s="856"/>
      <c r="S23" s="856"/>
    </row>
    <row r="24" spans="1:53" ht="17.100000000000001" customHeight="1" x14ac:dyDescent="0.3">
      <c r="A24" s="483"/>
    </row>
    <row r="25" spans="1:53" ht="17.100000000000001" customHeight="1" x14ac:dyDescent="0.25">
      <c r="G25" s="1170" t="s">
        <v>523</v>
      </c>
      <c r="H25" s="1170"/>
      <c r="I25" s="1170"/>
      <c r="J25" s="305"/>
      <c r="K25" s="305"/>
      <c r="L25" s="305"/>
      <c r="M25" s="305"/>
      <c r="N25" s="305"/>
      <c r="O25" s="305"/>
      <c r="P25" s="305"/>
      <c r="Q25" s="305"/>
      <c r="R25" s="305"/>
      <c r="S25" s="305"/>
      <c r="T25" s="305"/>
      <c r="U25" s="305"/>
      <c r="V25" s="305"/>
      <c r="W25" s="305"/>
      <c r="X25" s="305"/>
      <c r="Y25" s="305"/>
      <c r="Z25" s="305"/>
      <c r="AA25" s="305"/>
      <c r="AB25" s="305"/>
      <c r="AC25" s="305"/>
      <c r="AD25" s="305"/>
      <c r="AE25" s="305"/>
      <c r="AF25" s="305"/>
    </row>
    <row r="26" spans="1:53" ht="24" customHeight="1" x14ac:dyDescent="0.25">
      <c r="A26" s="484"/>
      <c r="G26" s="1170" t="s">
        <v>524</v>
      </c>
      <c r="H26" s="1170"/>
      <c r="I26" s="1170"/>
      <c r="J26" s="1170"/>
      <c r="K26" s="1170"/>
      <c r="L26" s="1170"/>
      <c r="M26" s="1170"/>
      <c r="N26" s="1170"/>
      <c r="O26" s="1170"/>
      <c r="P26" s="1170"/>
      <c r="Q26" s="1170"/>
      <c r="R26" s="1170"/>
      <c r="S26" s="1170"/>
      <c r="T26" s="1170"/>
      <c r="U26" s="1170"/>
      <c r="V26" s="1170"/>
      <c r="W26" s="1170"/>
      <c r="X26" s="305"/>
      <c r="Y26" s="305"/>
      <c r="Z26" s="305"/>
      <c r="AA26" s="305"/>
      <c r="AB26" s="305"/>
      <c r="AC26" s="305"/>
      <c r="AD26" s="305"/>
      <c r="AE26" s="305"/>
      <c r="AF26" s="305"/>
    </row>
    <row r="27" spans="1:53" ht="24" customHeight="1" x14ac:dyDescent="0.25">
      <c r="A27" s="484"/>
      <c r="G27" s="1170" t="s">
        <v>525</v>
      </c>
      <c r="H27" s="1170"/>
      <c r="I27" s="1170"/>
      <c r="J27" s="1170"/>
      <c r="K27" s="1170"/>
      <c r="L27" s="1170"/>
      <c r="M27" s="1170"/>
      <c r="N27" s="1170"/>
      <c r="O27" s="1170"/>
      <c r="P27" s="1170"/>
      <c r="Q27" s="1170"/>
      <c r="R27" s="1170"/>
      <c r="S27" s="1170"/>
      <c r="T27" s="1170"/>
      <c r="U27" s="1170"/>
      <c r="V27" s="1170"/>
      <c r="W27" s="1170"/>
      <c r="X27" s="1170"/>
      <c r="Y27" s="1170"/>
      <c r="Z27" s="1170"/>
      <c r="AA27" s="1170"/>
      <c r="AB27" s="1170"/>
      <c r="AC27" s="1170"/>
      <c r="AD27" s="305"/>
      <c r="AE27" s="305"/>
      <c r="AF27" s="305"/>
    </row>
    <row r="28" spans="1:53" ht="24" customHeight="1" x14ac:dyDescent="0.25">
      <c r="A28" s="484"/>
      <c r="G28" s="1170" t="s">
        <v>526</v>
      </c>
      <c r="H28" s="1170"/>
      <c r="I28" s="1170"/>
      <c r="J28" s="1170"/>
      <c r="K28" s="1170"/>
      <c r="L28" s="1170"/>
      <c r="M28" s="1170"/>
      <c r="N28" s="1170"/>
      <c r="O28" s="1170"/>
      <c r="P28" s="1170"/>
      <c r="Q28" s="1170"/>
      <c r="R28" s="1170"/>
      <c r="S28" s="1170"/>
      <c r="T28" s="1170"/>
      <c r="U28" s="1170"/>
      <c r="V28" s="1170"/>
      <c r="W28" s="1170"/>
      <c r="X28" s="1170"/>
      <c r="Y28" s="1170"/>
      <c r="Z28" s="1170"/>
      <c r="AA28" s="1170"/>
      <c r="AB28" s="1170"/>
      <c r="AC28" s="1170"/>
      <c r="AD28" s="1170"/>
      <c r="AE28" s="1170"/>
      <c r="AF28" s="305"/>
    </row>
    <row r="29" spans="1:53" ht="38.25" customHeight="1" x14ac:dyDescent="0.3">
      <c r="G29" s="1171" t="s">
        <v>527</v>
      </c>
      <c r="H29" s="1171"/>
      <c r="I29" s="1171"/>
      <c r="J29" s="1171"/>
      <c r="K29" s="1171"/>
      <c r="L29" s="1171"/>
      <c r="M29" s="1171"/>
      <c r="N29" s="1171"/>
      <c r="O29" s="1171"/>
      <c r="P29" s="1171"/>
      <c r="Q29" s="1171"/>
      <c r="R29" s="1171"/>
      <c r="S29" s="1171"/>
      <c r="T29" s="1171"/>
      <c r="U29" s="1171"/>
      <c r="V29" s="1171"/>
      <c r="W29" s="1171"/>
      <c r="X29" s="1171"/>
      <c r="Y29" s="1171"/>
      <c r="Z29" s="1171"/>
      <c r="AA29" s="1171"/>
      <c r="AB29" s="1171"/>
      <c r="AC29" s="1171"/>
      <c r="AD29" s="1171"/>
      <c r="AE29" s="1171"/>
      <c r="AF29" s="1171"/>
    </row>
    <row r="30" spans="1:53" ht="27" customHeight="1" x14ac:dyDescent="0.25">
      <c r="G30" s="485"/>
    </row>
    <row r="31" spans="1:53" ht="24.4" customHeight="1" x14ac:dyDescent="0.25">
      <c r="G31" s="485"/>
    </row>
    <row r="32" spans="1:53" ht="24.4" customHeight="1" x14ac:dyDescent="0.2">
      <c r="G32" s="486"/>
      <c r="N32" s="1168" t="s">
        <v>528</v>
      </c>
      <c r="O32" s="1168"/>
      <c r="P32" s="1168"/>
      <c r="Q32" s="1145" t="s">
        <v>215</v>
      </c>
      <c r="R32" s="1145"/>
      <c r="S32" s="1145"/>
    </row>
    <row r="33" spans="7:30" ht="24" customHeight="1" x14ac:dyDescent="0.2">
      <c r="G33" s="1165" t="s">
        <v>529</v>
      </c>
      <c r="H33" s="1165"/>
      <c r="I33" s="1165"/>
      <c r="J33" s="1165"/>
      <c r="K33" s="1165"/>
      <c r="L33" s="1165"/>
      <c r="M33" s="1165"/>
      <c r="N33" s="1165" t="str">
        <f>IF('Data entry'!Q81="electric","electric","manual")</f>
        <v>manual</v>
      </c>
      <c r="O33" s="1165"/>
      <c r="P33" s="1165"/>
      <c r="Q33" s="856"/>
      <c r="R33" s="856"/>
      <c r="S33" s="856"/>
    </row>
    <row r="34" spans="7:30" ht="24" customHeight="1" x14ac:dyDescent="0.2">
      <c r="G34" s="1165" t="s">
        <v>530</v>
      </c>
      <c r="H34" s="1165"/>
      <c r="I34" s="1165"/>
      <c r="J34" s="1165"/>
      <c r="K34" s="1165"/>
      <c r="L34" s="1165"/>
      <c r="M34" s="1165"/>
      <c r="N34" s="1165" t="str">
        <f>'Data entry'!Q82</f>
        <v>yes</v>
      </c>
      <c r="O34" s="1165"/>
      <c r="P34" s="1165"/>
      <c r="Q34" s="856"/>
      <c r="R34" s="856"/>
      <c r="S34" s="856"/>
    </row>
    <row r="35" spans="7:30" ht="24" customHeight="1" x14ac:dyDescent="0.2">
      <c r="G35" s="1165" t="s">
        <v>531</v>
      </c>
      <c r="H35" s="1165"/>
      <c r="I35" s="1165"/>
      <c r="J35" s="1165"/>
      <c r="K35" s="1165"/>
      <c r="L35" s="1165"/>
      <c r="M35" s="1165"/>
      <c r="N35" s="1165" t="str">
        <f>'Data entry'!Q45</f>
        <v>yes</v>
      </c>
      <c r="O35" s="1165"/>
      <c r="P35" s="1165"/>
      <c r="Q35" s="856"/>
      <c r="R35" s="856"/>
      <c r="S35" s="856"/>
      <c r="T35" s="1166" t="s">
        <v>532</v>
      </c>
      <c r="U35" s="1166"/>
      <c r="V35" s="1166"/>
      <c r="W35" s="1166"/>
      <c r="X35" s="1166"/>
      <c r="Y35" s="1166"/>
      <c r="Z35" s="1166"/>
      <c r="AA35" s="1166"/>
      <c r="AB35" s="1166"/>
      <c r="AC35" s="1166"/>
      <c r="AD35" s="1166"/>
    </row>
    <row r="36" spans="7:30" ht="21.95" customHeight="1" x14ac:dyDescent="0.2">
      <c r="G36" s="1165" t="s">
        <v>533</v>
      </c>
      <c r="H36" s="1165"/>
      <c r="I36" s="1165"/>
      <c r="J36" s="1165"/>
      <c r="K36" s="1165"/>
      <c r="L36" s="1165"/>
      <c r="M36" s="1165"/>
      <c r="N36" s="1167">
        <f>IF(N5=41,160,IF(N5=35,108,IF(N5=30,96,IF(N5=25,60,IF(N5=20,32)))))</f>
        <v>96</v>
      </c>
      <c r="O36" s="1167"/>
      <c r="P36" s="1167"/>
      <c r="Q36" s="856"/>
      <c r="R36" s="856"/>
      <c r="S36" s="856"/>
    </row>
    <row r="37" spans="7:30" ht="21.95" customHeight="1" x14ac:dyDescent="0.2"/>
    <row r="38" spans="7:30" ht="19.5" x14ac:dyDescent="0.2">
      <c r="Q38" s="1145" t="s">
        <v>215</v>
      </c>
      <c r="R38" s="1145"/>
      <c r="S38" s="1145"/>
    </row>
    <row r="39" spans="7:30" ht="21.95" customHeight="1" x14ac:dyDescent="0.2">
      <c r="G39" s="1131" t="s">
        <v>534</v>
      </c>
      <c r="H39" s="1131"/>
      <c r="I39" s="1131"/>
      <c r="J39" s="1131"/>
      <c r="K39" s="1131"/>
      <c r="L39" s="1131"/>
      <c r="M39" s="1131"/>
      <c r="N39" s="1131"/>
      <c r="O39" s="1131"/>
      <c r="P39" s="1131"/>
      <c r="Q39" s="856"/>
      <c r="R39" s="856"/>
      <c r="S39" s="856"/>
    </row>
    <row r="40" spans="7:30" ht="22.9" customHeight="1" x14ac:dyDescent="0.2">
      <c r="G40" s="1131" t="s">
        <v>535</v>
      </c>
      <c r="H40" s="1131"/>
      <c r="I40" s="1131"/>
      <c r="J40" s="1131"/>
      <c r="K40" s="1131"/>
      <c r="L40" s="1131"/>
      <c r="M40" s="1131"/>
      <c r="N40" s="1131"/>
      <c r="O40" s="1131"/>
      <c r="P40" s="1131"/>
      <c r="Q40" s="856"/>
      <c r="R40" s="856"/>
      <c r="S40" s="856"/>
    </row>
    <row r="41" spans="7:30" ht="22.9" customHeight="1" x14ac:dyDescent="0.2">
      <c r="G41" s="1131" t="s">
        <v>536</v>
      </c>
      <c r="H41" s="1131"/>
      <c r="I41" s="1131"/>
      <c r="J41" s="1131"/>
      <c r="K41" s="1131"/>
      <c r="L41" s="1131"/>
      <c r="M41" s="1131"/>
      <c r="N41" s="1131"/>
      <c r="O41" s="1131"/>
      <c r="P41" s="1131"/>
      <c r="Q41" s="856"/>
      <c r="R41" s="856"/>
      <c r="S41" s="856"/>
    </row>
    <row r="42" spans="7:30" ht="22.9" customHeight="1" x14ac:dyDescent="0.2">
      <c r="G42" s="1131" t="s">
        <v>537</v>
      </c>
      <c r="H42" s="1131"/>
      <c r="I42" s="1131"/>
      <c r="J42" s="1131"/>
      <c r="K42" s="1131"/>
      <c r="L42" s="1131"/>
      <c r="M42" s="1131"/>
      <c r="N42" s="1131"/>
      <c r="O42" s="1131"/>
      <c r="P42" s="1131"/>
      <c r="Q42" s="856"/>
      <c r="R42" s="856"/>
      <c r="S42" s="856"/>
    </row>
    <row r="43" spans="7:30" ht="22.9" customHeight="1" x14ac:dyDescent="0.2">
      <c r="G43" s="971" t="s">
        <v>538</v>
      </c>
      <c r="H43" s="971"/>
      <c r="I43" s="971"/>
      <c r="J43" s="971"/>
      <c r="K43" s="971"/>
      <c r="L43" s="971"/>
      <c r="M43" s="971"/>
      <c r="N43" s="971"/>
      <c r="O43" s="971"/>
      <c r="P43" s="971"/>
      <c r="Q43" s="856"/>
      <c r="R43" s="856"/>
      <c r="S43" s="856"/>
    </row>
    <row r="44" spans="7:30" ht="22.9" customHeight="1" x14ac:dyDescent="0.2"/>
  </sheetData>
  <sheetProtection selectLockedCells="1" selectUnlockedCells="1"/>
  <mergeCells count="75">
    <mergeCell ref="Q17:S17"/>
    <mergeCell ref="V2:AH2"/>
    <mergeCell ref="G7:M7"/>
    <mergeCell ref="G5:M5"/>
    <mergeCell ref="N5:P5"/>
    <mergeCell ref="D2:O2"/>
    <mergeCell ref="P2:U2"/>
    <mergeCell ref="G9:M10"/>
    <mergeCell ref="N9:P9"/>
    <mergeCell ref="Q9:S9"/>
    <mergeCell ref="T9:Y9"/>
    <mergeCell ref="N10:P10"/>
    <mergeCell ref="Q10:S10"/>
    <mergeCell ref="T10:V10"/>
    <mergeCell ref="W10:Y10"/>
    <mergeCell ref="N11:U11"/>
    <mergeCell ref="G13:M13"/>
    <mergeCell ref="N13:P13"/>
    <mergeCell ref="Q13:S13"/>
    <mergeCell ref="G14:M14"/>
    <mergeCell ref="N14:P14"/>
    <mergeCell ref="Q14:S14"/>
    <mergeCell ref="G21:M21"/>
    <mergeCell ref="N21:P21"/>
    <mergeCell ref="Q21:S21"/>
    <mergeCell ref="G15:M15"/>
    <mergeCell ref="N15:P15"/>
    <mergeCell ref="Q15:S15"/>
    <mergeCell ref="G16:M16"/>
    <mergeCell ref="N16:P16"/>
    <mergeCell ref="Q16:S16"/>
    <mergeCell ref="G19:P19"/>
    <mergeCell ref="Q19:S19"/>
    <mergeCell ref="G20:M20"/>
    <mergeCell ref="N20:P20"/>
    <mergeCell ref="Q20:S20"/>
    <mergeCell ref="G17:M17"/>
    <mergeCell ref="N17:P17"/>
    <mergeCell ref="N32:P32"/>
    <mergeCell ref="Q32:S32"/>
    <mergeCell ref="G22:M22"/>
    <mergeCell ref="N22:P22"/>
    <mergeCell ref="Q22:S22"/>
    <mergeCell ref="G23:M23"/>
    <mergeCell ref="N23:P23"/>
    <mergeCell ref="Q23:S23"/>
    <mergeCell ref="G25:I25"/>
    <mergeCell ref="G26:W26"/>
    <mergeCell ref="G27:AC27"/>
    <mergeCell ref="G28:AE28"/>
    <mergeCell ref="G29:AF29"/>
    <mergeCell ref="G33:M33"/>
    <mergeCell ref="N33:P33"/>
    <mergeCell ref="Q33:S33"/>
    <mergeCell ref="G34:M34"/>
    <mergeCell ref="N34:P34"/>
    <mergeCell ref="Q34:S34"/>
    <mergeCell ref="G35:M35"/>
    <mergeCell ref="N35:P35"/>
    <mergeCell ref="Q35:S35"/>
    <mergeCell ref="T35:AD35"/>
    <mergeCell ref="G36:M36"/>
    <mergeCell ref="N36:P36"/>
    <mergeCell ref="Q36:S36"/>
    <mergeCell ref="G42:P42"/>
    <mergeCell ref="Q42:S42"/>
    <mergeCell ref="G43:P43"/>
    <mergeCell ref="Q43:S43"/>
    <mergeCell ref="Q38:S38"/>
    <mergeCell ref="G39:P39"/>
    <mergeCell ref="Q39:S39"/>
    <mergeCell ref="G40:P40"/>
    <mergeCell ref="Q40:S40"/>
    <mergeCell ref="G41:P41"/>
    <mergeCell ref="Q41:S41"/>
  </mergeCells>
  <pageMargins left="0.78749999999999998" right="0.78749999999999998" top="1.0527777777777778" bottom="1.0527777777777778" header="0.78749999999999998" footer="0.78749999999999998"/>
  <pageSetup scale="46" firstPageNumber="0" orientation="portrait" horizontalDpi="300" verticalDpi="300" r:id="rId1"/>
  <headerFooter alignWithMargins="0">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3:L21"/>
  <sheetViews>
    <sheetView zoomScale="80" zoomScaleNormal="80" workbookViewId="0">
      <selection activeCell="L44" sqref="C1:L44"/>
    </sheetView>
  </sheetViews>
  <sheetFormatPr defaultColWidth="8.7109375" defaultRowHeight="12.75" x14ac:dyDescent="0.2"/>
  <cols>
    <col min="1" max="16384" width="8.7109375" style="18"/>
  </cols>
  <sheetData>
    <row r="3" spans="3:12" ht="30" x14ac:dyDescent="0.4">
      <c r="C3" s="1196" t="s">
        <v>450</v>
      </c>
      <c r="D3" s="1196"/>
      <c r="E3" s="1196"/>
      <c r="F3" s="1196"/>
      <c r="G3" s="1197" t="str">
        <f>'Data entry'!L2</f>
        <v>Phillips</v>
      </c>
      <c r="H3" s="1197"/>
      <c r="I3" s="1197"/>
      <c r="J3" s="1197"/>
      <c r="K3" s="1197"/>
      <c r="L3" s="1197"/>
    </row>
    <row r="6" spans="3:12" ht="30" x14ac:dyDescent="0.4">
      <c r="C6" s="1196" t="s">
        <v>335</v>
      </c>
      <c r="D6" s="1196"/>
      <c r="E6" s="487">
        <f>'Data entry'!Q10</f>
        <v>30</v>
      </c>
      <c r="H6" s="1198" t="str">
        <f>IF('Data entry'!Y44=0,"No Ceiling ",'Data entry'!Y44)</f>
        <v>Pine T&amp;G</v>
      </c>
      <c r="I6" s="1198"/>
      <c r="J6" s="1198"/>
      <c r="K6" s="1198"/>
    </row>
    <row r="9" spans="3:12" ht="23.25" customHeight="1" x14ac:dyDescent="0.2">
      <c r="C9" s="1199" t="s">
        <v>539</v>
      </c>
      <c r="D9" s="1199"/>
      <c r="E9" s="1199"/>
      <c r="F9" s="1199"/>
      <c r="G9" s="1199"/>
      <c r="H9" s="1199"/>
      <c r="I9" s="1199"/>
      <c r="J9" s="1199"/>
      <c r="K9" s="1199"/>
    </row>
    <row r="10" spans="3:12" ht="12.75" customHeight="1" x14ac:dyDescent="0.2">
      <c r="C10" s="1199"/>
      <c r="D10" s="1199"/>
      <c r="E10" s="1199"/>
      <c r="F10" s="1199"/>
      <c r="G10" s="1199"/>
      <c r="H10" s="1199"/>
      <c r="I10" s="1199"/>
      <c r="J10" s="1199"/>
      <c r="K10" s="1199"/>
    </row>
    <row r="11" spans="3:12" ht="12.75" customHeight="1" x14ac:dyDescent="0.2">
      <c r="C11" s="1199"/>
      <c r="D11" s="1199"/>
      <c r="E11" s="1199"/>
      <c r="F11" s="1199"/>
      <c r="G11" s="1199"/>
      <c r="H11" s="1199"/>
      <c r="I11" s="1199"/>
      <c r="J11" s="1199"/>
      <c r="K11" s="1199"/>
    </row>
    <row r="12" spans="3:12" ht="12.75" customHeight="1" x14ac:dyDescent="0.2">
      <c r="C12" s="1199"/>
      <c r="D12" s="1199"/>
      <c r="E12" s="1199"/>
      <c r="F12" s="1199"/>
      <c r="G12" s="1199"/>
      <c r="H12" s="1199"/>
      <c r="I12" s="1199"/>
      <c r="J12" s="1199"/>
      <c r="K12" s="1199"/>
    </row>
    <row r="13" spans="3:12" ht="12.75" customHeight="1" x14ac:dyDescent="0.2">
      <c r="C13" s="1199"/>
      <c r="D13" s="1199"/>
      <c r="E13" s="1199"/>
      <c r="F13" s="1199"/>
      <c r="G13" s="1199"/>
      <c r="H13" s="1199"/>
      <c r="I13" s="1199"/>
      <c r="J13" s="1199"/>
      <c r="K13" s="1199"/>
    </row>
    <row r="14" spans="3:12" ht="12.75" customHeight="1" x14ac:dyDescent="0.2">
      <c r="C14" s="1199"/>
      <c r="D14" s="1199"/>
      <c r="E14" s="1199"/>
      <c r="F14" s="1199"/>
      <c r="G14" s="1199"/>
      <c r="H14" s="1199"/>
      <c r="I14" s="1199"/>
      <c r="J14" s="1199"/>
      <c r="K14" s="1199"/>
    </row>
    <row r="15" spans="3:12" ht="12.75" customHeight="1" x14ac:dyDescent="0.2">
      <c r="C15" s="1199"/>
      <c r="D15" s="1199"/>
      <c r="E15" s="1199"/>
      <c r="F15" s="1199"/>
      <c r="G15" s="1199"/>
      <c r="H15" s="1199"/>
      <c r="I15" s="1199"/>
      <c r="J15" s="1199"/>
      <c r="K15" s="1199"/>
    </row>
    <row r="16" spans="3:12" ht="12.75" customHeight="1" x14ac:dyDescent="0.2">
      <c r="C16" s="1199"/>
      <c r="D16" s="1199"/>
      <c r="E16" s="1199"/>
      <c r="F16" s="1199"/>
      <c r="G16" s="1199"/>
      <c r="H16" s="1199"/>
      <c r="I16" s="1199"/>
      <c r="J16" s="1199"/>
      <c r="K16" s="1199"/>
    </row>
    <row r="17" spans="3:11" ht="12.75" customHeight="1" x14ac:dyDescent="0.2">
      <c r="C17" s="1199"/>
      <c r="D17" s="1199"/>
      <c r="E17" s="1199"/>
      <c r="F17" s="1199"/>
      <c r="G17" s="1199"/>
      <c r="H17" s="1199"/>
      <c r="I17" s="1199"/>
      <c r="J17" s="1199"/>
      <c r="K17" s="1199"/>
    </row>
    <row r="18" spans="3:11" x14ac:dyDescent="0.2">
      <c r="C18" s="1199"/>
      <c r="D18" s="1199"/>
      <c r="E18" s="1199"/>
      <c r="F18" s="1199"/>
      <c r="G18" s="1199"/>
      <c r="H18" s="1199"/>
      <c r="I18" s="1199"/>
      <c r="J18" s="1199"/>
      <c r="K18" s="1199"/>
    </row>
    <row r="19" spans="3:11" x14ac:dyDescent="0.2">
      <c r="C19" s="1199"/>
      <c r="D19" s="1199"/>
      <c r="E19" s="1199"/>
      <c r="F19" s="1199"/>
      <c r="G19" s="1199"/>
      <c r="H19" s="1199"/>
      <c r="I19" s="1199"/>
      <c r="J19" s="1199"/>
      <c r="K19" s="1199"/>
    </row>
    <row r="20" spans="3:11" x14ac:dyDescent="0.2">
      <c r="C20" s="1199"/>
      <c r="D20" s="1199"/>
      <c r="E20" s="1199"/>
      <c r="F20" s="1199"/>
      <c r="G20" s="1199"/>
      <c r="H20" s="1199"/>
      <c r="I20" s="1199"/>
      <c r="J20" s="1199"/>
      <c r="K20" s="1199"/>
    </row>
    <row r="21" spans="3:11" x14ac:dyDescent="0.2">
      <c r="C21" s="1199"/>
      <c r="D21" s="1199"/>
      <c r="E21" s="1199"/>
      <c r="F21" s="1199"/>
      <c r="G21" s="1199"/>
      <c r="H21" s="1199"/>
      <c r="I21" s="1199"/>
      <c r="J21" s="1199"/>
      <c r="K21" s="1199"/>
    </row>
  </sheetData>
  <sheetProtection selectLockedCells="1" selectUnlockedCells="1"/>
  <mergeCells count="5">
    <mergeCell ref="C3:F3"/>
    <mergeCell ref="G3:L3"/>
    <mergeCell ref="C6:D6"/>
    <mergeCell ref="H6:K6"/>
    <mergeCell ref="C9:K21"/>
  </mergeCells>
  <pageMargins left="0.7" right="0.7" top="0.75" bottom="0.75" header="0.51180555555555551" footer="0.51180555555555551"/>
  <pageSetup firstPageNumber="0" orientation="portrait" horizontalDpi="300" verticalDpi="300" r:id="rId1"/>
  <headerFooter alignWithMargins="0"/>
  <drawing r:id="rId2"/>
  <legacyDrawing r:id="rId3"/>
  <oleObjects>
    <mc:AlternateContent xmlns:mc="http://schemas.openxmlformats.org/markup-compatibility/2006">
      <mc:Choice Requires="x14">
        <oleObject progId="AutoSketch.Drawing.9" shapeId="16385" r:id="rId4">
          <objectPr defaultSize="0" autoPict="0" r:id="rId5">
            <anchor moveWithCells="1" sizeWithCells="1">
              <from>
                <xdr:col>21</xdr:col>
                <xdr:colOff>333375</xdr:colOff>
                <xdr:row>11</xdr:row>
                <xdr:rowOff>76200</xdr:rowOff>
              </from>
              <to>
                <xdr:col>27</xdr:col>
                <xdr:colOff>400050</xdr:colOff>
                <xdr:row>32</xdr:row>
                <xdr:rowOff>28575</xdr:rowOff>
              </to>
            </anchor>
          </objectPr>
        </oleObject>
      </mc:Choice>
      <mc:Fallback>
        <oleObject progId="AutoSketch.Drawing.9" shapeId="16385" r:id="rId4"/>
      </mc:Fallback>
    </mc:AlternateContent>
    <mc:AlternateContent xmlns:mc="http://schemas.openxmlformats.org/markup-compatibility/2006">
      <mc:Choice Requires="x14">
        <oleObject progId="AutoSketch.Drawing.9" shapeId="16386" r:id="rId6">
          <objectPr defaultSize="0" autoPict="0" r:id="rId7">
            <anchor moveWithCells="1">
              <from>
                <xdr:col>28</xdr:col>
                <xdr:colOff>533400</xdr:colOff>
                <xdr:row>11</xdr:row>
                <xdr:rowOff>76200</xdr:rowOff>
              </from>
              <to>
                <xdr:col>34</xdr:col>
                <xdr:colOff>114300</xdr:colOff>
                <xdr:row>32</xdr:row>
                <xdr:rowOff>38100</xdr:rowOff>
              </to>
            </anchor>
          </objectPr>
        </oleObject>
      </mc:Choice>
      <mc:Fallback>
        <oleObject progId="AutoSketch.Drawing.9" shapeId="16386" r:id="rId6"/>
      </mc:Fallback>
    </mc:AlternateContent>
    <mc:AlternateContent xmlns:mc="http://schemas.openxmlformats.org/markup-compatibility/2006">
      <mc:Choice Requires="x14">
        <oleObject progId="AutoSketch.Drawing.9" shapeId="16387" r:id="rId8">
          <objectPr defaultSize="0" autoPict="0" r:id="rId9">
            <anchor moveWithCells="1">
              <from>
                <xdr:col>22</xdr:col>
                <xdr:colOff>371475</xdr:colOff>
                <xdr:row>35</xdr:row>
                <xdr:rowOff>38100</xdr:rowOff>
              </from>
              <to>
                <xdr:col>27</xdr:col>
                <xdr:colOff>85725</xdr:colOff>
                <xdr:row>55</xdr:row>
                <xdr:rowOff>57150</xdr:rowOff>
              </to>
            </anchor>
          </objectPr>
        </oleObject>
      </mc:Choice>
      <mc:Fallback>
        <oleObject progId="AutoSketch.Drawing.9" shapeId="16387" r:id="rId8"/>
      </mc:Fallback>
    </mc:AlternateContent>
    <mc:AlternateContent xmlns:mc="http://schemas.openxmlformats.org/markup-compatibility/2006">
      <mc:Choice Requires="x14">
        <oleObject progId="AutoSketch.Drawing.9" shapeId="16388" r:id="rId10">
          <objectPr defaultSize="0" autoPict="0" r:id="rId11">
            <anchor moveWithCells="1">
              <from>
                <xdr:col>26</xdr:col>
                <xdr:colOff>0</xdr:colOff>
                <xdr:row>59</xdr:row>
                <xdr:rowOff>0</xdr:rowOff>
              </from>
              <to>
                <xdr:col>32</xdr:col>
                <xdr:colOff>200025</xdr:colOff>
                <xdr:row>76</xdr:row>
                <xdr:rowOff>76200</xdr:rowOff>
              </to>
            </anchor>
          </objectPr>
        </oleObject>
      </mc:Choice>
      <mc:Fallback>
        <oleObject progId="AutoSketch.Drawing.9" shapeId="16388" r:id="rId10"/>
      </mc:Fallback>
    </mc:AlternateContent>
    <mc:AlternateContent xmlns:mc="http://schemas.openxmlformats.org/markup-compatibility/2006">
      <mc:Choice Requires="x14">
        <oleObject progId="AutoSketch.Drawing.9" shapeId="16389" r:id="rId12">
          <objectPr defaultSize="0" autoPict="0" r:id="rId13">
            <anchor moveWithCells="1">
              <from>
                <xdr:col>13</xdr:col>
                <xdr:colOff>371475</xdr:colOff>
                <xdr:row>22</xdr:row>
                <xdr:rowOff>142875</xdr:rowOff>
              </from>
              <to>
                <xdr:col>21</xdr:col>
                <xdr:colOff>152400</xdr:colOff>
                <xdr:row>44</xdr:row>
                <xdr:rowOff>66675</xdr:rowOff>
              </to>
            </anchor>
          </objectPr>
        </oleObject>
      </mc:Choice>
      <mc:Fallback>
        <oleObject progId="AutoSketch.Drawing.9" shapeId="16389" r:id="rId12"/>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66"/>
  <sheetViews>
    <sheetView topLeftCell="A12" zoomScale="80" zoomScaleNormal="80" workbookViewId="0">
      <selection activeCell="B2" sqref="B2:J53"/>
    </sheetView>
  </sheetViews>
  <sheetFormatPr defaultColWidth="11.5703125" defaultRowHeight="12.75" x14ac:dyDescent="0.2"/>
  <cols>
    <col min="1" max="1" width="3" style="18" customWidth="1"/>
    <col min="2" max="2" width="9.42578125" style="18" customWidth="1"/>
    <col min="3" max="3" width="9.7109375" style="18" customWidth="1"/>
    <col min="4" max="4" width="10.28515625" style="18" customWidth="1"/>
    <col min="5" max="5" width="8.28515625" style="18" customWidth="1"/>
    <col min="6" max="7" width="7.85546875" style="18" customWidth="1"/>
    <col min="8" max="8" width="10.28515625" style="18" customWidth="1"/>
    <col min="9" max="9" width="46.28515625" style="18" customWidth="1"/>
    <col min="10" max="10" width="0.28515625" style="18" customWidth="1"/>
    <col min="11" max="11" width="0.140625" style="18" customWidth="1"/>
    <col min="12" max="12" width="3.85546875" style="18" customWidth="1"/>
    <col min="13" max="13" width="9.28515625" style="18" customWidth="1"/>
    <col min="14" max="14" width="18.7109375" style="18" customWidth="1"/>
    <col min="15" max="229" width="8.85546875" style="18" customWidth="1"/>
    <col min="230" max="16384" width="11.5703125" style="18"/>
  </cols>
  <sheetData>
    <row r="1" spans="2:17" ht="13.5" thickBot="1" x14ac:dyDescent="0.25"/>
    <row r="2" spans="2:17" ht="24" thickBot="1" x14ac:dyDescent="0.4">
      <c r="B2" s="1231" t="s">
        <v>450</v>
      </c>
      <c r="C2" s="1232"/>
      <c r="D2" s="1232"/>
      <c r="E2" s="1233"/>
      <c r="F2" s="489"/>
      <c r="G2" s="1231" t="str">
        <f>'Data entry'!L2</f>
        <v>Phillips</v>
      </c>
      <c r="H2" s="1232"/>
      <c r="I2" s="1232"/>
      <c r="J2" s="1233"/>
    </row>
    <row r="3" spans="2:17" ht="24" thickBot="1" x14ac:dyDescent="0.4">
      <c r="B3" s="488"/>
      <c r="C3" s="488"/>
      <c r="D3" s="488"/>
      <c r="E3" s="488"/>
      <c r="F3" s="489"/>
      <c r="G3" s="489"/>
      <c r="H3" s="489"/>
      <c r="I3" s="489"/>
    </row>
    <row r="4" spans="2:17" ht="24" thickBot="1" x14ac:dyDescent="0.4">
      <c r="B4" s="1235" t="s">
        <v>512</v>
      </c>
      <c r="C4" s="1235"/>
      <c r="D4" s="1235"/>
      <c r="E4" s="490">
        <f>'Data entry'!S13</f>
        <v>12</v>
      </c>
      <c r="F4" s="491"/>
      <c r="G4" s="491"/>
      <c r="H4" s="489"/>
      <c r="I4" s="489"/>
    </row>
    <row r="5" spans="2:17" ht="21" thickBot="1" x14ac:dyDescent="0.35">
      <c r="B5" s="1205" t="s">
        <v>540</v>
      </c>
      <c r="C5" s="1205"/>
      <c r="D5" s="1205"/>
      <c r="E5" s="492">
        <f>IF('Data entry'!S40&gt;0,'Data entry'!S40,0)</f>
        <v>0</v>
      </c>
      <c r="F5" s="493">
        <f>IF('Data entry'!V40&gt;0,'Data entry'!V40,0)</f>
        <v>2</v>
      </c>
      <c r="G5" s="493">
        <f>IF('Data entry'!Y40&gt;0,'Data entry'!Y40,0)</f>
        <v>0</v>
      </c>
      <c r="I5" s="670" t="s">
        <v>781</v>
      </c>
    </row>
    <row r="6" spans="2:17" ht="16.5" thickBot="1" x14ac:dyDescent="0.25">
      <c r="B6" s="1236" t="s">
        <v>541</v>
      </c>
      <c r="C6" s="1236"/>
      <c r="D6" s="1236"/>
      <c r="E6" s="494">
        <f>IF(E5=0,0,"5/16in")</f>
        <v>0</v>
      </c>
      <c r="F6" s="494" t="str">
        <f>IF(F5=0,0,"5/16in")</f>
        <v>5/16in</v>
      </c>
      <c r="G6" s="494">
        <f>IF(G5=0,0,"3/8in")</f>
        <v>0</v>
      </c>
      <c r="I6" s="1239" t="str">
        <f>'Data entry'!Q14</f>
        <v>Galv.</v>
      </c>
    </row>
    <row r="7" spans="2:17" ht="12.75" customHeight="1" thickBot="1" x14ac:dyDescent="0.25">
      <c r="B7" s="1205" t="str">
        <f>IF(E7=" "," ","Manual Skylight Opener ")</f>
        <v xml:space="preserve">Manual Skylight Opener </v>
      </c>
      <c r="C7" s="1205"/>
      <c r="D7" s="1205"/>
      <c r="E7" s="495">
        <f>IF('Data entry'!Q81="manual",1," ")</f>
        <v>1</v>
      </c>
      <c r="H7" s="277"/>
      <c r="I7" s="1240"/>
    </row>
    <row r="8" spans="2:17" ht="25.5" x14ac:dyDescent="0.35">
      <c r="B8" s="1205" t="str">
        <f>IF(E8=" "," ","Electric Skylight Opener")</f>
        <v xml:space="preserve"> </v>
      </c>
      <c r="C8" s="1205"/>
      <c r="D8" s="1205"/>
      <c r="E8" s="495" t="str">
        <f>IF('Data entry'!Q81="Electric",1," ")</f>
        <v xml:space="preserve"> </v>
      </c>
      <c r="H8" s="277"/>
      <c r="I8" s="283"/>
      <c r="N8" s="671"/>
    </row>
    <row r="9" spans="2:17" ht="16.5" thickBot="1" x14ac:dyDescent="0.3">
      <c r="B9" s="1205" t="s">
        <v>542</v>
      </c>
      <c r="C9" s="1205"/>
      <c r="D9" s="1205"/>
      <c r="E9" s="495">
        <f>IF('Data entry'!J95=0," ",'Data entry'!J95)</f>
        <v>1</v>
      </c>
      <c r="F9" s="491"/>
      <c r="G9" s="491"/>
      <c r="H9" s="277"/>
      <c r="I9" s="283"/>
    </row>
    <row r="10" spans="2:17" ht="16.5" thickBot="1" x14ac:dyDescent="0.3">
      <c r="B10" s="1205" t="str">
        <f>IF(E10=" "," ","Number of French Doors")</f>
        <v>Number of French Doors</v>
      </c>
      <c r="C10" s="1205"/>
      <c r="D10" s="1205"/>
      <c r="E10" s="490">
        <f>'Data entry'!AD98</f>
        <v>1</v>
      </c>
      <c r="F10" s="491"/>
      <c r="G10" s="491"/>
      <c r="H10" s="277"/>
    </row>
    <row r="11" spans="2:17" ht="33.75" thickBot="1" x14ac:dyDescent="0.5">
      <c r="B11" s="1205" t="str">
        <f>IF(E11=" "," ","Number of Addition Sections")</f>
        <v>Number of Addition Sections</v>
      </c>
      <c r="C11" s="1205"/>
      <c r="D11" s="1237"/>
      <c r="E11" s="711">
        <f>N11</f>
        <v>0</v>
      </c>
      <c r="F11" s="706" t="s">
        <v>807</v>
      </c>
      <c r="G11" s="708"/>
      <c r="H11" s="709"/>
      <c r="N11" s="248"/>
      <c r="O11" s="712"/>
      <c r="P11" s="248"/>
      <c r="Q11" s="248"/>
    </row>
    <row r="12" spans="2:17" ht="27" customHeight="1" thickBot="1" x14ac:dyDescent="0.45">
      <c r="B12" s="1238" t="s">
        <v>108</v>
      </c>
      <c r="C12" s="1238"/>
      <c r="D12" s="1238"/>
      <c r="E12" s="710">
        <v>0</v>
      </c>
      <c r="F12" s="707" t="s">
        <v>808</v>
      </c>
      <c r="N12" s="248"/>
      <c r="O12" s="713"/>
      <c r="P12" s="248"/>
      <c r="Q12" s="248"/>
    </row>
    <row r="13" spans="2:17" ht="23.25" customHeight="1" x14ac:dyDescent="0.25">
      <c r="B13" s="496"/>
      <c r="C13" s="496"/>
      <c r="D13" s="496"/>
      <c r="E13" s="497"/>
      <c r="F13" s="491"/>
      <c r="G13" s="491"/>
      <c r="H13" s="277"/>
    </row>
    <row r="14" spans="2:17" ht="24.75" customHeight="1" x14ac:dyDescent="0.35">
      <c r="F14" s="306">
        <f>'Data entry'!Q10</f>
        <v>30</v>
      </c>
      <c r="G14" s="199" t="s">
        <v>452</v>
      </c>
      <c r="H14" s="1234" t="s">
        <v>543</v>
      </c>
      <c r="I14" s="1234"/>
      <c r="J14" s="1234"/>
    </row>
    <row r="15" spans="2:17" ht="15" customHeight="1" thickBot="1" x14ac:dyDescent="0.3">
      <c r="B15" s="1218"/>
      <c r="C15" s="1218"/>
      <c r="D15" s="1218"/>
      <c r="E15" s="1218"/>
      <c r="F15" s="1218"/>
      <c r="G15" s="1218"/>
      <c r="H15" s="1218"/>
      <c r="I15" s="1218"/>
      <c r="J15" s="1218"/>
    </row>
    <row r="16" spans="2:17" ht="15" customHeight="1" x14ac:dyDescent="0.2">
      <c r="B16" s="498" t="s">
        <v>544</v>
      </c>
      <c r="C16" s="499" t="s">
        <v>329</v>
      </c>
      <c r="D16" s="499" t="s">
        <v>212</v>
      </c>
      <c r="E16" s="1219" t="s">
        <v>545</v>
      </c>
      <c r="F16" s="1219"/>
      <c r="G16" s="1219"/>
      <c r="H16" s="1219"/>
      <c r="I16" s="1219"/>
    </row>
    <row r="17" spans="1:20" ht="15" customHeight="1" x14ac:dyDescent="0.2">
      <c r="B17" s="500"/>
      <c r="C17" s="501">
        <v>1</v>
      </c>
      <c r="D17" s="501" t="s">
        <v>546</v>
      </c>
      <c r="E17" s="502" t="s">
        <v>547</v>
      </c>
      <c r="F17" s="502"/>
      <c r="G17" s="503"/>
      <c r="H17" s="504" t="str">
        <f>IF(F14=20,"67'",IF(F14=25,"83'",IF(F14=30,"99'",IF(F14=35,"111'","131'"))))</f>
        <v>99'</v>
      </c>
      <c r="I17" s="505"/>
      <c r="L17" s="762" t="s">
        <v>548</v>
      </c>
      <c r="M17" s="762"/>
      <c r="N17" s="762"/>
      <c r="O17" s="762"/>
      <c r="P17" s="762"/>
      <c r="Q17" s="762"/>
    </row>
    <row r="18" spans="1:20" ht="15" customHeight="1" x14ac:dyDescent="0.2">
      <c r="B18" s="500"/>
      <c r="C18" s="501" t="str">
        <f>IF(E5&gt;0,E5," ")</f>
        <v xml:space="preserve"> </v>
      </c>
      <c r="D18" s="501" t="str">
        <f>IF(C18=" "," ","1/4in")</f>
        <v xml:space="preserve"> </v>
      </c>
      <c r="E18" s="1220" t="str">
        <f>IF(C18=" "," ","     Rafter cable(s) 1/4in x")</f>
        <v xml:space="preserve"> </v>
      </c>
      <c r="F18" s="1220"/>
      <c r="G18" s="1220"/>
      <c r="H18" s="506" t="str">
        <f>IF(C18=" "," ",IF(F14=20,"67'",IF(F14=25,"83'",IF(F14=30,"99'",IF(F14=35,"110'","131'")))))</f>
        <v xml:space="preserve"> </v>
      </c>
      <c r="I18" s="506" t="str">
        <f>IF(C18=" "," "," with 6in turnbuckle and thimble")</f>
        <v xml:space="preserve"> </v>
      </c>
    </row>
    <row r="19" spans="1:20" ht="15" customHeight="1" x14ac:dyDescent="0.2">
      <c r="B19" s="500"/>
      <c r="C19" s="501">
        <f>IF(F5&gt;0,F5," ")</f>
        <v>2</v>
      </c>
      <c r="D19" s="501" t="str">
        <f>IF(C19=" "," ","5/16in")</f>
        <v>5/16in</v>
      </c>
      <c r="E19" s="1220" t="str">
        <f>IF(C19=" "," ","     Rafter cable(s) 5/16in x")</f>
        <v xml:space="preserve">     Rafter cable(s) 5/16in x</v>
      </c>
      <c r="F19" s="1220"/>
      <c r="G19" s="1220"/>
      <c r="H19" s="506" t="str">
        <f>IF(C19=" "," ",IF(F14=20,"67'",IF(F14=25,"83'",IF(F14=30,"99'",IF(F14=35,"110'","131'")))))</f>
        <v>99'</v>
      </c>
      <c r="I19" s="506" t="str">
        <f>IF(C19=" "," "," with 6in turnbuckle and thimble")</f>
        <v xml:space="preserve"> with 6in turnbuckle and thimble</v>
      </c>
    </row>
    <row r="20" spans="1:20" ht="15" customHeight="1" x14ac:dyDescent="0.2">
      <c r="B20" s="500"/>
      <c r="C20" s="501" t="str">
        <f>IF(G5&gt;0,G5," ")</f>
        <v xml:space="preserve"> </v>
      </c>
      <c r="D20" s="501" t="str">
        <f>IF(C20=" "," ","3/8in")</f>
        <v xml:space="preserve"> </v>
      </c>
      <c r="E20" s="1220" t="str">
        <f>IF(C20=" "," ","     Rafter cable(s) 3/8in x")</f>
        <v xml:space="preserve"> </v>
      </c>
      <c r="F20" s="1220"/>
      <c r="G20" s="1220"/>
      <c r="H20" s="506" t="str">
        <f>IF(C20=" "," ",IF(F14=20,"67'",IF(F14=25,"83'",IF(F14=30,"99'",IF(F14=35,"110'","131'")))))</f>
        <v xml:space="preserve"> </v>
      </c>
      <c r="I20" s="506" t="str">
        <f>IF(C20=" "," "," with 6in turnbuckle and thimble")</f>
        <v xml:space="preserve"> </v>
      </c>
    </row>
    <row r="21" spans="1:20" ht="15" customHeight="1" x14ac:dyDescent="0.2">
      <c r="B21" s="500"/>
      <c r="C21" s="501">
        <v>3</v>
      </c>
      <c r="D21" s="501" t="s">
        <v>549</v>
      </c>
      <c r="E21" s="1205" t="s">
        <v>550</v>
      </c>
      <c r="F21" s="1205"/>
      <c r="G21" s="1205"/>
      <c r="H21" s="1205"/>
      <c r="I21" s="1205"/>
    </row>
    <row r="22" spans="1:20" ht="15" customHeight="1" x14ac:dyDescent="0.2">
      <c r="B22" s="507"/>
      <c r="C22" s="508" t="str">
        <f>IF(E5=0," ",E5*3)</f>
        <v xml:space="preserve"> </v>
      </c>
      <c r="D22" s="508"/>
      <c r="E22" s="1205" t="str">
        <f>IF(C22=" "," ","      1/4in Rafter Cable Clamps (Crosby) - for 1/4in cables - 3 per cable")</f>
        <v xml:space="preserve"> </v>
      </c>
      <c r="F22" s="1205"/>
      <c r="G22" s="1205"/>
      <c r="H22" s="1205"/>
      <c r="I22" s="1205"/>
    </row>
    <row r="23" spans="1:20" ht="15" customHeight="1" x14ac:dyDescent="0.2">
      <c r="B23" s="507"/>
      <c r="C23" s="508">
        <f>IF(F5=0," ",F5*3)</f>
        <v>6</v>
      </c>
      <c r="D23" s="508"/>
      <c r="E23" s="1205" t="str">
        <f>IF(C23=" "," ","      5/16in Rafter Cable Clamps (Crosby) - for 5/16in cables - 3 per cable")</f>
        <v xml:space="preserve">      5/16in Rafter Cable Clamps (Crosby) - for 5/16in cables - 3 per cable</v>
      </c>
      <c r="F23" s="1205"/>
      <c r="G23" s="1205"/>
      <c r="H23" s="1205"/>
      <c r="I23" s="1205"/>
      <c r="P23" s="434">
        <f>IF(C19=" ",0,C19)</f>
        <v>2</v>
      </c>
    </row>
    <row r="24" spans="1:20" ht="15" customHeight="1" thickBot="1" x14ac:dyDescent="0.3">
      <c r="B24" s="509"/>
      <c r="C24" s="510" t="str">
        <f>IF(G5=0," ",G5*3)</f>
        <v xml:space="preserve"> </v>
      </c>
      <c r="D24" s="511"/>
      <c r="E24" s="1207" t="str">
        <f>IF(C24=" "," ","      3/8in Rafter Cable Clamps (Crosby) - for 3/8in cables - 3 per cable")</f>
        <v xml:space="preserve"> </v>
      </c>
      <c r="F24" s="1207"/>
      <c r="G24" s="1207"/>
      <c r="H24" s="1207"/>
      <c r="I24" s="1207"/>
      <c r="P24" s="434">
        <f>IF(C20=" ",0,C20)</f>
        <v>0</v>
      </c>
    </row>
    <row r="25" spans="1:20" ht="15" customHeight="1" thickTop="1" x14ac:dyDescent="0.2">
      <c r="B25" s="500"/>
      <c r="C25" s="501">
        <v>1</v>
      </c>
      <c r="D25" s="501"/>
      <c r="E25" s="521" t="str">
        <f>IF(F14&gt;35,"19'","17'")</f>
        <v>17'</v>
      </c>
      <c r="F25" s="1222" t="s">
        <v>555</v>
      </c>
      <c r="G25" s="1222"/>
      <c r="H25" s="1222"/>
      <c r="I25" s="1222"/>
    </row>
    <row r="26" spans="1:20" ht="15" customHeight="1" x14ac:dyDescent="0.2">
      <c r="A26" s="18" t="s">
        <v>552</v>
      </c>
      <c r="B26" s="500"/>
      <c r="C26" s="501">
        <v>1</v>
      </c>
      <c r="D26" s="501"/>
      <c r="E26" s="520" t="str">
        <f>IF(F14&gt;35,"19'","17'")</f>
        <v>17'</v>
      </c>
      <c r="F26" s="1221" t="s">
        <v>554</v>
      </c>
      <c r="G26" s="1221"/>
      <c r="H26" s="1221"/>
      <c r="I26" s="1221"/>
      <c r="N26" s="434">
        <f>IF(F14&lt;21," ",SUM(E10*5))</f>
        <v>5</v>
      </c>
    </row>
    <row r="27" spans="1:20" ht="15" customHeight="1" x14ac:dyDescent="0.2">
      <c r="B27" s="530"/>
      <c r="C27" s="518">
        <v>1</v>
      </c>
      <c r="D27" s="531"/>
      <c r="E27" s="532" t="str">
        <f>IF(F14&gt;35,"19'","17'")</f>
        <v>17'</v>
      </c>
      <c r="F27" s="1230" t="s">
        <v>567</v>
      </c>
      <c r="G27" s="1230"/>
      <c r="H27" s="1230"/>
      <c r="I27" s="1230"/>
      <c r="N27" s="515">
        <f>IF(F14=20,IF(E11&lt;=0,"24",24+E11*3+1),0)</f>
        <v>0</v>
      </c>
    </row>
    <row r="28" spans="1:20" ht="15" customHeight="1" thickBot="1" x14ac:dyDescent="0.25">
      <c r="B28" s="509"/>
      <c r="C28" s="510">
        <f>IF($F$14=20,70,IF($F$14=25,85,IF($F$14=30,100,IF($F$14=35,108,IF($F$14&gt;39,128)))))</f>
        <v>100</v>
      </c>
      <c r="D28" s="519"/>
      <c r="E28" s="1207" t="s">
        <v>556</v>
      </c>
      <c r="F28" s="1207"/>
      <c r="G28" s="1207"/>
      <c r="H28" s="1207"/>
      <c r="I28" s="1207"/>
      <c r="N28" s="515" t="str">
        <f>IF(F14&gt;20,IF(E11&lt;=0,"36",36+E11*3+1)," ")</f>
        <v>36</v>
      </c>
      <c r="O28" s="293"/>
    </row>
    <row r="29" spans="1:20" ht="15" customHeight="1" thickTop="1" thickBot="1" x14ac:dyDescent="0.25">
      <c r="B29" s="605"/>
      <c r="C29" s="607"/>
      <c r="D29" s="606"/>
      <c r="E29" s="1226"/>
      <c r="F29" s="1227"/>
      <c r="G29" s="1228"/>
      <c r="H29" s="1224"/>
      <c r="I29" s="1225"/>
      <c r="M29" s="293"/>
      <c r="N29" s="293"/>
      <c r="O29" s="293"/>
      <c r="P29" s="293"/>
      <c r="Q29" s="293"/>
      <c r="R29" s="293"/>
      <c r="S29" s="293"/>
      <c r="T29" s="293"/>
    </row>
    <row r="30" spans="1:20" ht="15" customHeight="1" x14ac:dyDescent="0.2">
      <c r="B30" s="500"/>
      <c r="C30" s="501">
        <f>IF(F14=20,66,IF(F14=25,82,IF(F14=30,98,IF(F14=35,110,IF(F14&gt;39,130)))))</f>
        <v>98</v>
      </c>
      <c r="D30" s="501" t="s">
        <v>551</v>
      </c>
      <c r="E30" s="1205" t="s">
        <v>810</v>
      </c>
      <c r="F30" s="1205"/>
      <c r="G30" s="1205"/>
      <c r="H30" s="1205"/>
      <c r="I30" s="1205"/>
      <c r="M30" s="293"/>
      <c r="N30" s="293"/>
      <c r="O30" s="293"/>
      <c r="P30" s="293"/>
      <c r="Q30" s="293"/>
      <c r="R30" s="293"/>
      <c r="S30" s="293"/>
      <c r="T30" s="293"/>
    </row>
    <row r="31" spans="1:20" ht="15" customHeight="1" thickBot="1" x14ac:dyDescent="0.25">
      <c r="B31" s="17"/>
      <c r="C31" s="512">
        <f>IF(E10&gt;0,N26," ")</f>
        <v>5</v>
      </c>
      <c r="D31" s="513"/>
      <c r="E31" s="1229" t="str">
        <f>IF(C31=" "," ","     4in Timber-Loc (French Doors only)  5 per door")</f>
        <v xml:space="preserve">     4in Timber-Loc (French Doors only)  5 per door</v>
      </c>
      <c r="F31" s="1229"/>
      <c r="G31" s="1229"/>
      <c r="H31" s="1229"/>
      <c r="I31" s="1229"/>
      <c r="M31" s="293"/>
      <c r="N31" s="293">
        <v>20</v>
      </c>
      <c r="O31" s="293">
        <v>25</v>
      </c>
      <c r="P31" s="293">
        <v>30</v>
      </c>
      <c r="Q31" s="293">
        <v>35</v>
      </c>
      <c r="R31" s="293">
        <v>41</v>
      </c>
      <c r="S31" s="293"/>
      <c r="T31" s="293"/>
    </row>
    <row r="32" spans="1:20" ht="15" customHeight="1" x14ac:dyDescent="0.2">
      <c r="B32" s="500"/>
      <c r="C32" s="517" t="str">
        <f>C20</f>
        <v xml:space="preserve"> </v>
      </c>
      <c r="D32" s="516"/>
      <c r="E32" s="1223" t="str">
        <f>IF(C32=" "," ","      Rafter Plate (1 for each - 3/8in cables)")</f>
        <v xml:space="preserve"> </v>
      </c>
      <c r="F32" s="1223"/>
      <c r="G32" s="1223"/>
      <c r="H32" s="1223"/>
      <c r="I32" s="1223"/>
      <c r="M32" s="293"/>
      <c r="N32" s="419">
        <v>144</v>
      </c>
      <c r="O32" s="419">
        <v>180</v>
      </c>
      <c r="P32" s="419">
        <v>216</v>
      </c>
      <c r="Q32" s="419">
        <v>250</v>
      </c>
      <c r="R32" s="419">
        <v>300</v>
      </c>
      <c r="S32" s="293"/>
      <c r="T32" s="293"/>
    </row>
    <row r="33" spans="1:20" ht="15" customHeight="1" x14ac:dyDescent="0.2">
      <c r="B33" s="500"/>
      <c r="C33" s="501"/>
      <c r="D33" s="501"/>
      <c r="E33" s="1205"/>
      <c r="F33" s="1205"/>
      <c r="G33" s="1205"/>
      <c r="H33" s="1205"/>
      <c r="I33" s="1205"/>
      <c r="M33" s="293"/>
      <c r="N33" s="419">
        <v>400</v>
      </c>
      <c r="O33" s="419">
        <v>500</v>
      </c>
      <c r="P33" s="419">
        <v>600</v>
      </c>
      <c r="Q33" s="419">
        <v>700</v>
      </c>
      <c r="R33" s="419">
        <v>830</v>
      </c>
      <c r="S33" s="293"/>
      <c r="T33" s="293"/>
    </row>
    <row r="34" spans="1:20" ht="15" customHeight="1" x14ac:dyDescent="0.2">
      <c r="B34" s="514"/>
      <c r="C34" s="518">
        <f>IF($F$14=20,48,IF($F$14=25,60,IF($F$14=30,72,IF($F$14=35,81,IF($F$14&gt;39,96)))))</f>
        <v>72</v>
      </c>
      <c r="D34" s="518"/>
      <c r="E34" s="1208" t="s">
        <v>749</v>
      </c>
      <c r="F34" s="1208"/>
      <c r="G34" s="1208"/>
      <c r="H34" s="1208"/>
      <c r="I34" s="1208"/>
      <c r="M34" s="293"/>
      <c r="N34" s="419">
        <v>200</v>
      </c>
      <c r="O34" s="419">
        <v>200</v>
      </c>
      <c r="P34" s="419">
        <v>200</v>
      </c>
      <c r="Q34" s="419">
        <v>200</v>
      </c>
      <c r="R34" s="419">
        <v>320</v>
      </c>
      <c r="S34" s="293"/>
      <c r="T34" s="293"/>
    </row>
    <row r="35" spans="1:20" ht="15" customHeight="1" x14ac:dyDescent="0.2">
      <c r="B35" s="514"/>
      <c r="C35" s="518"/>
      <c r="D35" s="518"/>
      <c r="E35" s="1200" t="str">
        <f>'Data entry'!Q14</f>
        <v>Galv.</v>
      </c>
      <c r="F35" s="1201"/>
      <c r="G35" s="1202"/>
      <c r="H35" s="1203" t="s">
        <v>784</v>
      </c>
      <c r="I35" s="1204"/>
      <c r="M35" s="293"/>
      <c r="N35" s="419"/>
      <c r="O35" s="419"/>
      <c r="P35" s="419"/>
      <c r="Q35" s="419"/>
      <c r="R35" s="419"/>
      <c r="S35" s="293"/>
      <c r="T35" s="293"/>
    </row>
    <row r="36" spans="1:20" ht="15" customHeight="1" thickBot="1" x14ac:dyDescent="0.25">
      <c r="B36" s="500"/>
      <c r="C36" s="501">
        <f>IF($F$14=20,575,IF($F$14=25,720,IF($F$14=30,860,IF($F$14=35,Q37,IF($F$14&gt;39,S37)))))+(((E12/12)+2)*3)+(E11+SUM(E11*18+(E12*20)))</f>
        <v>866</v>
      </c>
      <c r="D36" s="501"/>
      <c r="E36" s="1205" t="s">
        <v>775</v>
      </c>
      <c r="F36" s="1205"/>
      <c r="G36" s="1205"/>
      <c r="H36" s="1205"/>
      <c r="I36" s="1205"/>
      <c r="M36" s="293"/>
      <c r="N36" s="293"/>
      <c r="O36" s="293"/>
      <c r="P36" s="293"/>
      <c r="Q36" s="293"/>
      <c r="R36" s="293"/>
      <c r="S36" s="293"/>
      <c r="T36" s="293"/>
    </row>
    <row r="37" spans="1:20" ht="15" customHeight="1" thickBot="1" x14ac:dyDescent="0.25">
      <c r="B37" s="500"/>
      <c r="C37" s="501">
        <f>IF($F$14=20,864,IF($F$14=25,80,IF($F$14=30,96,IF($F$14=35,108,IF($F$14&gt;39,128)))))</f>
        <v>96</v>
      </c>
      <c r="D37" s="501"/>
      <c r="E37" s="1205" t="s">
        <v>774</v>
      </c>
      <c r="F37" s="1205"/>
      <c r="G37" s="1205"/>
      <c r="H37" s="1205"/>
      <c r="I37" s="1205"/>
      <c r="M37" s="293"/>
      <c r="N37" s="1211" t="s">
        <v>796</v>
      </c>
      <c r="O37" s="1212"/>
      <c r="P37" s="1213"/>
      <c r="Q37" s="682">
        <v>1580</v>
      </c>
      <c r="R37" s="293"/>
      <c r="S37" s="682">
        <f>IF('Data entry'!Q14:S14="GALV.",'&gt;Hardware List'!Q38,'&gt;Hardware List'!Q37)</f>
        <v>1580</v>
      </c>
      <c r="T37" s="293" t="s">
        <v>798</v>
      </c>
    </row>
    <row r="38" spans="1:20" ht="15" customHeight="1" thickBot="1" x14ac:dyDescent="0.25">
      <c r="B38" s="507"/>
      <c r="C38" s="508" t="str">
        <f>IF(N27&gt;" ",N27,N28)</f>
        <v>36</v>
      </c>
      <c r="D38" s="604"/>
      <c r="E38" s="1206" t="s">
        <v>553</v>
      </c>
      <c r="F38" s="1206"/>
      <c r="G38" s="1206"/>
      <c r="H38" s="1207"/>
      <c r="I38" s="1207"/>
      <c r="M38" s="293"/>
      <c r="N38" s="1211" t="s">
        <v>797</v>
      </c>
      <c r="O38" s="1212"/>
      <c r="P38" s="1213"/>
      <c r="Q38" s="682">
        <v>1180</v>
      </c>
      <c r="R38" s="293"/>
      <c r="S38" s="293"/>
      <c r="T38" s="293"/>
    </row>
    <row r="39" spans="1:20" ht="15" customHeight="1" thickTop="1" x14ac:dyDescent="0.2">
      <c r="B39" s="514"/>
      <c r="C39" s="518">
        <f>E7</f>
        <v>1</v>
      </c>
      <c r="D39" s="518"/>
      <c r="E39" s="1208" t="str">
        <f>IF(C39=" "," ","     Skylight  'Truth' opener")</f>
        <v xml:space="preserve">     Skylight  'Truth' opener</v>
      </c>
      <c r="F39" s="1208"/>
      <c r="G39" s="1208"/>
      <c r="H39" s="1205"/>
      <c r="I39" s="1205"/>
    </row>
    <row r="40" spans="1:20" ht="15" customHeight="1" x14ac:dyDescent="0.2">
      <c r="B40" s="507"/>
      <c r="C40" s="508">
        <f>E7</f>
        <v>1</v>
      </c>
      <c r="D40" s="508"/>
      <c r="E40" s="1209" t="str">
        <f>IF(C40=" "," ","      'D' attachment for opener crank (Check inside box)")</f>
        <v xml:space="preserve">      'D' attachment for opener crank (Check inside box)</v>
      </c>
      <c r="F40" s="1209"/>
      <c r="G40" s="1209"/>
      <c r="H40" s="1209"/>
      <c r="I40" s="1209"/>
    </row>
    <row r="41" spans="1:20" ht="16.5" thickBot="1" x14ac:dyDescent="0.25">
      <c r="A41" s="18" t="s">
        <v>552</v>
      </c>
      <c r="B41" s="609"/>
      <c r="C41" s="610" t="str">
        <f>IF(E8=" "," ",E8)</f>
        <v xml:space="preserve"> </v>
      </c>
      <c r="D41" s="610"/>
      <c r="E41" s="1210" t="str">
        <f>IF(C41=" "," ","      ELECTRIC OPENER w/ remote")</f>
        <v xml:space="preserve"> </v>
      </c>
      <c r="F41" s="1210"/>
      <c r="G41" s="1210"/>
      <c r="H41" s="1210"/>
      <c r="I41" s="1210"/>
    </row>
    <row r="42" spans="1:20" ht="15.75" x14ac:dyDescent="0.2">
      <c r="B42" s="514"/>
      <c r="C42" s="522">
        <v>5</v>
      </c>
      <c r="D42" s="522"/>
      <c r="E42" s="1208" t="s">
        <v>557</v>
      </c>
      <c r="F42" s="1208"/>
      <c r="G42" s="1208"/>
      <c r="H42" s="1208"/>
      <c r="I42" s="1208"/>
    </row>
    <row r="43" spans="1:20" ht="15.75" x14ac:dyDescent="0.2">
      <c r="B43" s="514"/>
      <c r="C43" s="522">
        <v>16</v>
      </c>
      <c r="D43" s="523"/>
      <c r="E43" s="1205" t="s">
        <v>558</v>
      </c>
      <c r="F43" s="1205"/>
      <c r="G43" s="1205"/>
      <c r="H43" s="1205"/>
      <c r="I43" s="1205"/>
    </row>
    <row r="44" spans="1:20" ht="15.75" x14ac:dyDescent="0.2">
      <c r="B44" s="500"/>
      <c r="C44" s="523">
        <v>2</v>
      </c>
      <c r="D44" s="523"/>
      <c r="E44" s="1205" t="s">
        <v>750</v>
      </c>
      <c r="F44" s="1205"/>
      <c r="G44" s="1205"/>
      <c r="H44" s="1205"/>
      <c r="I44" s="1205"/>
    </row>
    <row r="45" spans="1:20" ht="15.75" x14ac:dyDescent="0.2">
      <c r="B45" s="500"/>
      <c r="C45" s="523">
        <v>2</v>
      </c>
      <c r="D45" s="523"/>
      <c r="E45" s="1205" t="s">
        <v>755</v>
      </c>
      <c r="F45" s="1205"/>
      <c r="G45" s="1205"/>
      <c r="H45" s="1205"/>
      <c r="I45" s="1205"/>
    </row>
    <row r="46" spans="1:20" ht="15.75" x14ac:dyDescent="0.2">
      <c r="B46" s="507"/>
      <c r="C46" s="524">
        <v>2</v>
      </c>
      <c r="D46" s="524"/>
      <c r="E46" s="1216" t="s">
        <v>751</v>
      </c>
      <c r="F46" s="1216"/>
      <c r="G46" s="1216"/>
      <c r="H46" s="1216"/>
      <c r="I46" s="1216"/>
      <c r="P46" s="18" t="s">
        <v>452</v>
      </c>
      <c r="Q46" s="18" t="s">
        <v>706</v>
      </c>
    </row>
    <row r="47" spans="1:20" ht="15" customHeight="1" x14ac:dyDescent="0.2">
      <c r="B47" s="500"/>
      <c r="C47" s="523">
        <v>1</v>
      </c>
      <c r="D47" s="523"/>
      <c r="E47" s="1216" t="s">
        <v>559</v>
      </c>
      <c r="F47" s="1216"/>
      <c r="G47" s="1216"/>
      <c r="H47" s="1216"/>
      <c r="I47" s="1216"/>
      <c r="P47" s="601">
        <f>IF('Data entry'!Q10=20,'&gt;Hardware List'!O66,IF('Data entry'!Q10=25,'&gt;Hardware List'!P66,IF('Data entry'!Q10=30,'&gt;Hardware List'!Q66,IF('Data entry'!Q10=35,'&gt;Hardware List'!R66,'&gt;Hardware List'!S66))))</f>
        <v>236</v>
      </c>
      <c r="Q47" s="18">
        <f>SUM(P47/3)</f>
        <v>78.666666666666671</v>
      </c>
      <c r="R47" s="18">
        <v>0</v>
      </c>
    </row>
    <row r="48" spans="1:20" ht="15" customHeight="1" x14ac:dyDescent="0.2">
      <c r="B48" s="500"/>
      <c r="C48" s="523">
        <v>1</v>
      </c>
      <c r="D48" s="527"/>
      <c r="E48" s="1216" t="s">
        <v>565</v>
      </c>
      <c r="F48" s="1216"/>
      <c r="G48" s="1216"/>
      <c r="H48" s="1216"/>
      <c r="I48" s="1216"/>
    </row>
    <row r="49" spans="2:19" ht="15" customHeight="1" x14ac:dyDescent="0.2">
      <c r="B49" s="530"/>
      <c r="C49" s="518">
        <f>IF(F14&lt;39,40,50)</f>
        <v>40</v>
      </c>
      <c r="D49" s="531"/>
      <c r="E49" s="1216" t="s">
        <v>569</v>
      </c>
      <c r="F49" s="1216"/>
      <c r="G49" s="1216"/>
      <c r="H49" s="1216"/>
      <c r="I49" s="1216"/>
      <c r="N49" s="525" t="s">
        <v>335</v>
      </c>
      <c r="O49" s="526" t="s">
        <v>560</v>
      </c>
      <c r="P49" s="526" t="s">
        <v>561</v>
      </c>
      <c r="Q49" s="526" t="s">
        <v>562</v>
      </c>
      <c r="R49" s="526" t="s">
        <v>563</v>
      </c>
      <c r="S49" s="526" t="s">
        <v>564</v>
      </c>
    </row>
    <row r="50" spans="2:19" ht="16.5" customHeight="1" thickBot="1" x14ac:dyDescent="0.25">
      <c r="B50" s="533"/>
      <c r="C50" s="508">
        <v>4</v>
      </c>
      <c r="D50" s="519"/>
      <c r="E50" s="1214" t="s">
        <v>811</v>
      </c>
      <c r="F50" s="1214"/>
      <c r="G50" s="1214"/>
      <c r="H50" s="1214"/>
      <c r="I50" s="1214"/>
      <c r="N50" s="528" t="s">
        <v>566</v>
      </c>
      <c r="O50" s="529">
        <v>5</v>
      </c>
      <c r="P50" s="529">
        <v>5</v>
      </c>
      <c r="Q50" s="529">
        <v>7</v>
      </c>
      <c r="R50" s="529">
        <v>4</v>
      </c>
      <c r="S50" s="529">
        <v>9</v>
      </c>
    </row>
    <row r="51" spans="2:19" ht="16.5" customHeight="1" thickTop="1" thickBot="1" x14ac:dyDescent="0.25">
      <c r="B51" s="535"/>
      <c r="C51" s="602">
        <f>ROUNDUP(Q47,R47)</f>
        <v>79</v>
      </c>
      <c r="D51" s="601"/>
      <c r="E51" s="1217" t="s">
        <v>708</v>
      </c>
      <c r="F51" s="1217"/>
      <c r="G51" s="1217"/>
      <c r="H51" s="1217"/>
      <c r="I51" s="1217"/>
      <c r="N51" s="528" t="s">
        <v>568</v>
      </c>
      <c r="O51" s="529"/>
      <c r="P51" s="529"/>
      <c r="Q51" s="529"/>
      <c r="R51" s="528"/>
      <c r="S51" s="528"/>
    </row>
    <row r="52" spans="2:19" ht="16.5" customHeight="1" thickBot="1" x14ac:dyDescent="0.25">
      <c r="B52" s="536"/>
      <c r="C52" s="518">
        <v>1</v>
      </c>
      <c r="D52" s="537"/>
      <c r="E52" s="1215" t="s">
        <v>579</v>
      </c>
      <c r="F52" s="1215"/>
      <c r="G52" s="1215"/>
      <c r="H52" s="1215"/>
      <c r="I52" s="1215"/>
      <c r="N52" s="528" t="s">
        <v>570</v>
      </c>
      <c r="O52" s="529">
        <v>60</v>
      </c>
      <c r="P52" s="529">
        <v>140</v>
      </c>
      <c r="Q52" s="529">
        <v>160</v>
      </c>
      <c r="R52" s="529">
        <v>300</v>
      </c>
      <c r="S52" s="529">
        <v>460</v>
      </c>
    </row>
    <row r="53" spans="2:19" ht="20.25" customHeight="1" x14ac:dyDescent="0.2">
      <c r="B53" s="536"/>
      <c r="C53" s="518" t="str">
        <f>IF('Data entry'!Y44="Pine T&amp;G","yes"," ")</f>
        <v>yes</v>
      </c>
      <c r="D53" s="537"/>
      <c r="E53" s="1215" t="str">
        <f>IF('Data entry'!Y44="Pine T&amp;G","Needs Pine T&amp;G Instructions"," ")</f>
        <v>Needs Pine T&amp;G Instructions</v>
      </c>
      <c r="F53" s="1215"/>
      <c r="G53" s="1215"/>
      <c r="H53" s="1215"/>
      <c r="I53" s="1215"/>
      <c r="N53" s="528">
        <v>1</v>
      </c>
      <c r="O53" s="529" t="s">
        <v>571</v>
      </c>
      <c r="P53" s="529" t="s">
        <v>572</v>
      </c>
      <c r="Q53" s="529" t="s">
        <v>573</v>
      </c>
      <c r="R53" s="529" t="s">
        <v>574</v>
      </c>
      <c r="S53" s="534" t="s">
        <v>575</v>
      </c>
    </row>
    <row r="54" spans="2:19" ht="17.25" customHeight="1" x14ac:dyDescent="0.2">
      <c r="N54" s="528">
        <v>2</v>
      </c>
      <c r="O54" s="529" t="s">
        <v>5</v>
      </c>
      <c r="P54" s="529" t="s">
        <v>576</v>
      </c>
      <c r="Q54" s="529" t="s">
        <v>577</v>
      </c>
      <c r="R54" s="529" t="s">
        <v>578</v>
      </c>
      <c r="S54" s="529" t="s">
        <v>577</v>
      </c>
    </row>
    <row r="55" spans="2:19" x14ac:dyDescent="0.2">
      <c r="N55" s="528">
        <v>3</v>
      </c>
      <c r="O55" s="529" t="s">
        <v>5</v>
      </c>
      <c r="P55" s="529" t="s">
        <v>5</v>
      </c>
      <c r="Q55" s="529" t="s">
        <v>5</v>
      </c>
      <c r="R55" s="529" t="s">
        <v>580</v>
      </c>
      <c r="S55" s="529" t="s">
        <v>581</v>
      </c>
    </row>
    <row r="56" spans="2:19" x14ac:dyDescent="0.2">
      <c r="N56" s="528">
        <v>4</v>
      </c>
      <c r="O56" s="529" t="s">
        <v>5</v>
      </c>
      <c r="P56" s="529" t="s">
        <v>5</v>
      </c>
      <c r="Q56" s="529" t="s">
        <v>5</v>
      </c>
      <c r="R56" s="529" t="s">
        <v>5</v>
      </c>
      <c r="S56" s="529" t="s">
        <v>582</v>
      </c>
    </row>
    <row r="57" spans="2:19" x14ac:dyDescent="0.2">
      <c r="N57" s="528" t="s">
        <v>583</v>
      </c>
      <c r="O57" s="529"/>
      <c r="P57" s="529"/>
      <c r="Q57" s="529"/>
      <c r="R57" s="529"/>
      <c r="S57" s="528"/>
    </row>
    <row r="58" spans="2:19" x14ac:dyDescent="0.2">
      <c r="N58" s="528" t="s">
        <v>570</v>
      </c>
      <c r="O58" s="529">
        <v>175</v>
      </c>
      <c r="P58" s="529">
        <v>215</v>
      </c>
      <c r="Q58" s="529">
        <v>236</v>
      </c>
      <c r="R58" s="529">
        <v>272</v>
      </c>
      <c r="S58" s="529">
        <v>300</v>
      </c>
    </row>
    <row r="59" spans="2:19" x14ac:dyDescent="0.2">
      <c r="N59" s="528">
        <v>1</v>
      </c>
      <c r="O59" s="529" t="s">
        <v>584</v>
      </c>
      <c r="P59" s="529" t="s">
        <v>585</v>
      </c>
      <c r="Q59" s="529" t="s">
        <v>586</v>
      </c>
      <c r="R59" s="529" t="s">
        <v>587</v>
      </c>
      <c r="S59" s="529" t="s">
        <v>588</v>
      </c>
    </row>
    <row r="60" spans="2:19" x14ac:dyDescent="0.2">
      <c r="N60" s="528">
        <v>2</v>
      </c>
      <c r="O60" s="529" t="s">
        <v>589</v>
      </c>
      <c r="P60" s="529" t="s">
        <v>590</v>
      </c>
      <c r="Q60" s="529" t="s">
        <v>591</v>
      </c>
      <c r="R60" s="529" t="s">
        <v>574</v>
      </c>
      <c r="S60" s="534" t="s">
        <v>575</v>
      </c>
    </row>
    <row r="61" spans="2:19" x14ac:dyDescent="0.2">
      <c r="N61" s="528">
        <v>3</v>
      </c>
      <c r="O61" s="529" t="s">
        <v>5</v>
      </c>
      <c r="P61" s="529" t="s">
        <v>592</v>
      </c>
      <c r="Q61" s="529" t="s">
        <v>593</v>
      </c>
      <c r="R61" s="529" t="s">
        <v>578</v>
      </c>
      <c r="S61" s="529" t="s">
        <v>577</v>
      </c>
    </row>
    <row r="62" spans="2:19" x14ac:dyDescent="0.2">
      <c r="N62" s="528">
        <v>4</v>
      </c>
      <c r="O62" s="529" t="s">
        <v>5</v>
      </c>
      <c r="P62" s="529" t="s">
        <v>5</v>
      </c>
      <c r="Q62" s="529" t="s">
        <v>5</v>
      </c>
      <c r="R62" s="529" t="s">
        <v>580</v>
      </c>
      <c r="S62" s="529" t="s">
        <v>581</v>
      </c>
    </row>
    <row r="63" spans="2:19" x14ac:dyDescent="0.2">
      <c r="N63" s="528">
        <v>5</v>
      </c>
      <c r="O63" s="529" t="s">
        <v>5</v>
      </c>
      <c r="P63" s="529" t="s">
        <v>5</v>
      </c>
      <c r="Q63" s="529" t="s">
        <v>5</v>
      </c>
      <c r="R63" s="529" t="s">
        <v>5</v>
      </c>
      <c r="S63" s="529" t="s">
        <v>582</v>
      </c>
    </row>
    <row r="66" spans="15:19" x14ac:dyDescent="0.2">
      <c r="O66" s="18">
        <f>IF('Data entry'!Q$9="low",'&gt;Hardware List'!O52,'&gt;Hardware List'!O58)</f>
        <v>175</v>
      </c>
      <c r="P66" s="18">
        <f>IF('Data entry'!Q$9="low",'&gt;Hardware List'!P52,'&gt;Hardware List'!P58)</f>
        <v>215</v>
      </c>
      <c r="Q66" s="18">
        <f>IF('Data entry'!Q$9="low",'&gt;Hardware List'!Q52,'&gt;Hardware List'!Q58)</f>
        <v>236</v>
      </c>
      <c r="R66" s="18">
        <f>IF('Data entry'!Q$9="low",'&gt;Hardware List'!R52,'&gt;Hardware List'!R58)</f>
        <v>272</v>
      </c>
      <c r="S66" s="18">
        <f>IF('Data entry'!Q$9="low",'&gt;Hardware List'!S52,'&gt;Hardware List'!S58)</f>
        <v>300</v>
      </c>
    </row>
  </sheetData>
  <sheetProtection selectLockedCells="1" selectUnlockedCells="1"/>
  <mergeCells count="56">
    <mergeCell ref="G2:J2"/>
    <mergeCell ref="H14:J14"/>
    <mergeCell ref="B4:D4"/>
    <mergeCell ref="B5:D5"/>
    <mergeCell ref="B6:D6"/>
    <mergeCell ref="B7:D7"/>
    <mergeCell ref="B8:D8"/>
    <mergeCell ref="B9:D9"/>
    <mergeCell ref="B10:D10"/>
    <mergeCell ref="B11:D11"/>
    <mergeCell ref="B12:D12"/>
    <mergeCell ref="B2:E2"/>
    <mergeCell ref="I6:I7"/>
    <mergeCell ref="F26:I26"/>
    <mergeCell ref="F25:I25"/>
    <mergeCell ref="E32:I32"/>
    <mergeCell ref="E33:I33"/>
    <mergeCell ref="E34:I34"/>
    <mergeCell ref="H29:I29"/>
    <mergeCell ref="E29:G29"/>
    <mergeCell ref="E31:I31"/>
    <mergeCell ref="E30:I30"/>
    <mergeCell ref="F27:I27"/>
    <mergeCell ref="E28:I28"/>
    <mergeCell ref="E20:G20"/>
    <mergeCell ref="E21:I21"/>
    <mergeCell ref="E22:I22"/>
    <mergeCell ref="E23:I23"/>
    <mergeCell ref="E24:I24"/>
    <mergeCell ref="B15:J15"/>
    <mergeCell ref="E16:I16"/>
    <mergeCell ref="L17:Q17"/>
    <mergeCell ref="E18:G18"/>
    <mergeCell ref="E19:G19"/>
    <mergeCell ref="E50:I50"/>
    <mergeCell ref="E43:I43"/>
    <mergeCell ref="E44:I44"/>
    <mergeCell ref="E45:I45"/>
    <mergeCell ref="E53:I53"/>
    <mergeCell ref="E48:I48"/>
    <mergeCell ref="E51:I51"/>
    <mergeCell ref="E52:I52"/>
    <mergeCell ref="E46:I46"/>
    <mergeCell ref="E47:I47"/>
    <mergeCell ref="E49:I49"/>
    <mergeCell ref="E39:I39"/>
    <mergeCell ref="E40:I40"/>
    <mergeCell ref="E41:I41"/>
    <mergeCell ref="E42:I42"/>
    <mergeCell ref="N37:P37"/>
    <mergeCell ref="N38:P38"/>
    <mergeCell ref="E35:G35"/>
    <mergeCell ref="H35:I35"/>
    <mergeCell ref="E37:I37"/>
    <mergeCell ref="E38:I38"/>
    <mergeCell ref="E36:I36"/>
  </mergeCells>
  <pageMargins left="0.78749999999999998" right="0.78749999999999998" top="1.0249999999999999" bottom="1.0249999999999999" header="0.78749999999999998" footer="0.78749999999999998"/>
  <pageSetup scale="45" firstPageNumber="0" orientation="portrait" horizontalDpi="300" verticalDpi="300" r:id="rId1"/>
  <headerFooter alignWithMargins="0">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Q3"/>
  <sheetViews>
    <sheetView tabSelected="1" zoomScale="115" zoomScaleNormal="115" workbookViewId="0">
      <selection activeCell="A6" sqref="A6"/>
    </sheetView>
  </sheetViews>
  <sheetFormatPr defaultColWidth="8.7109375" defaultRowHeight="12.75" x14ac:dyDescent="0.2"/>
  <cols>
    <col min="1" max="16384" width="8.7109375" style="18"/>
  </cols>
  <sheetData>
    <row r="3" spans="1:17" ht="35.25" thickBot="1" x14ac:dyDescent="0.4">
      <c r="A3" s="1188" t="s">
        <v>192</v>
      </c>
      <c r="B3" s="1188"/>
      <c r="C3" s="1188"/>
      <c r="D3" s="1188"/>
      <c r="E3" s="1188"/>
      <c r="F3" s="1188"/>
      <c r="G3" s="1188"/>
      <c r="H3" s="1188"/>
      <c r="J3" s="187" t="s">
        <v>193</v>
      </c>
      <c r="K3" s="188" t="s">
        <v>194</v>
      </c>
      <c r="L3" s="189" t="s">
        <v>195</v>
      </c>
      <c r="Q3" s="190" t="s">
        <v>196</v>
      </c>
    </row>
  </sheetData>
  <sheetProtection selectLockedCells="1" selectUnlockedCells="1"/>
  <mergeCells count="1">
    <mergeCell ref="A3:H3"/>
  </mergeCells>
  <pageMargins left="0.7" right="0.7" top="0.75" bottom="0.75" header="0.51180555555555551" footer="0.51180555555555551"/>
  <pageSetup firstPageNumber="0" orientation="portrait" horizontalDpi="300" verticalDpi="300" r:id="rId1"/>
  <headerFooter alignWithMargins="0"/>
  <drawing r:id="rId2"/>
  <legacyDrawing r:id="rId3"/>
  <oleObjects>
    <mc:AlternateContent xmlns:mc="http://schemas.openxmlformats.org/markup-compatibility/2006">
      <mc:Choice Requires="x14">
        <oleObject progId="AutoSketch.Drawing.9" shapeId="30722" r:id="rId4">
          <objectPr defaultSize="0" r:id="rId5">
            <anchor moveWithCells="1">
              <from>
                <xdr:col>11</xdr:col>
                <xdr:colOff>0</xdr:colOff>
                <xdr:row>6</xdr:row>
                <xdr:rowOff>0</xdr:rowOff>
              </from>
              <to>
                <xdr:col>16</xdr:col>
                <xdr:colOff>438150</xdr:colOff>
                <xdr:row>34</xdr:row>
                <xdr:rowOff>38100</xdr:rowOff>
              </to>
            </anchor>
          </objectPr>
        </oleObject>
      </mc:Choice>
      <mc:Fallback>
        <oleObject progId="AutoSketch.Drawing.9" shapeId="30722" r:id="rId4"/>
      </mc:Fallback>
    </mc:AlternateContent>
    <mc:AlternateContent xmlns:mc="http://schemas.openxmlformats.org/markup-compatibility/2006">
      <mc:Choice Requires="x14">
        <oleObject progId="AutoSketch.Drawing.9" shapeId="30723" r:id="rId6">
          <objectPr defaultSize="0" r:id="rId7">
            <anchor moveWithCells="1">
              <from>
                <xdr:col>18</xdr:col>
                <xdr:colOff>0</xdr:colOff>
                <xdr:row>6</xdr:row>
                <xdr:rowOff>0</xdr:rowOff>
              </from>
              <to>
                <xdr:col>25</xdr:col>
                <xdr:colOff>133350</xdr:colOff>
                <xdr:row>42</xdr:row>
                <xdr:rowOff>66675</xdr:rowOff>
              </to>
            </anchor>
          </objectPr>
        </oleObject>
      </mc:Choice>
      <mc:Fallback>
        <oleObject progId="AutoSketch.Drawing.9" shapeId="30723" r:id="rId6"/>
      </mc:Fallback>
    </mc:AlternateContent>
    <mc:AlternateContent xmlns:mc="http://schemas.openxmlformats.org/markup-compatibility/2006">
      <mc:Choice Requires="x14">
        <oleObject progId="AutoSketch.Drawing.9" shapeId="30724" r:id="rId8">
          <objectPr defaultSize="0" r:id="rId9">
            <anchor moveWithCells="1">
              <from>
                <xdr:col>25</xdr:col>
                <xdr:colOff>0</xdr:colOff>
                <xdr:row>6</xdr:row>
                <xdr:rowOff>0</xdr:rowOff>
              </from>
              <to>
                <xdr:col>30</xdr:col>
                <xdr:colOff>390525</xdr:colOff>
                <xdr:row>34</xdr:row>
                <xdr:rowOff>38100</xdr:rowOff>
              </to>
            </anchor>
          </objectPr>
        </oleObject>
      </mc:Choice>
      <mc:Fallback>
        <oleObject progId="AutoSketch.Drawing.9" shapeId="30724" r:id="rId8"/>
      </mc:Fallback>
    </mc:AlternateContent>
    <mc:AlternateContent xmlns:mc="http://schemas.openxmlformats.org/markup-compatibility/2006">
      <mc:Choice Requires="x14">
        <oleObject progId="AutoSketch.Drawing.9" shapeId="30725" r:id="rId10">
          <objectPr defaultSize="0" r:id="rId11">
            <anchor moveWithCells="1">
              <from>
                <xdr:col>11</xdr:col>
                <xdr:colOff>0</xdr:colOff>
                <xdr:row>40</xdr:row>
                <xdr:rowOff>0</xdr:rowOff>
              </from>
              <to>
                <xdr:col>16</xdr:col>
                <xdr:colOff>390525</xdr:colOff>
                <xdr:row>68</xdr:row>
                <xdr:rowOff>38100</xdr:rowOff>
              </to>
            </anchor>
          </objectPr>
        </oleObject>
      </mc:Choice>
      <mc:Fallback>
        <oleObject progId="AutoSketch.Drawing.9" shapeId="30725" r:id="rId10"/>
      </mc:Fallback>
    </mc:AlternateContent>
    <mc:AlternateContent xmlns:mc="http://schemas.openxmlformats.org/markup-compatibility/2006">
      <mc:Choice Requires="x14">
        <oleObject progId="AutoSketch.Drawing.9" shapeId="30726" r:id="rId12">
          <objectPr defaultSize="0" r:id="rId13">
            <anchor moveWithCells="1">
              <from>
                <xdr:col>18</xdr:col>
                <xdr:colOff>0</xdr:colOff>
                <xdr:row>40</xdr:row>
                <xdr:rowOff>0</xdr:rowOff>
              </from>
              <to>
                <xdr:col>23</xdr:col>
                <xdr:colOff>352425</xdr:colOff>
                <xdr:row>68</xdr:row>
                <xdr:rowOff>38100</xdr:rowOff>
              </to>
            </anchor>
          </objectPr>
        </oleObject>
      </mc:Choice>
      <mc:Fallback>
        <oleObject progId="AutoSketch.Drawing.9" shapeId="30726" r:id="rId12"/>
      </mc:Fallback>
    </mc:AlternateContent>
    <mc:AlternateContent xmlns:mc="http://schemas.openxmlformats.org/markup-compatibility/2006">
      <mc:Choice Requires="x14">
        <oleObject progId="AutoSketch.Drawing.9" shapeId="30728" r:id="rId14">
          <objectPr defaultSize="0" r:id="rId15">
            <anchor moveWithCells="1">
              <from>
                <xdr:col>1</xdr:col>
                <xdr:colOff>0</xdr:colOff>
                <xdr:row>49</xdr:row>
                <xdr:rowOff>0</xdr:rowOff>
              </from>
              <to>
                <xdr:col>6</xdr:col>
                <xdr:colOff>323850</xdr:colOff>
                <xdr:row>77</xdr:row>
                <xdr:rowOff>38100</xdr:rowOff>
              </to>
            </anchor>
          </objectPr>
        </oleObject>
      </mc:Choice>
      <mc:Fallback>
        <oleObject progId="AutoSketch.Drawing.9" shapeId="30728" r:id="rId14"/>
      </mc:Fallback>
    </mc:AlternateContent>
    <mc:AlternateContent xmlns:mc="http://schemas.openxmlformats.org/markup-compatibility/2006">
      <mc:Choice Requires="x14">
        <oleObject progId="AutoSketch.Drawing.9" shapeId="30729" r:id="rId16">
          <objectPr defaultSize="0" autoPict="0" r:id="rId17">
            <anchor moveWithCells="1">
              <from>
                <xdr:col>0</xdr:col>
                <xdr:colOff>0</xdr:colOff>
                <xdr:row>5</xdr:row>
                <xdr:rowOff>0</xdr:rowOff>
              </from>
              <to>
                <xdr:col>6</xdr:col>
                <xdr:colOff>523875</xdr:colOff>
                <xdr:row>39</xdr:row>
                <xdr:rowOff>104775</xdr:rowOff>
              </to>
            </anchor>
          </objectPr>
        </oleObject>
      </mc:Choice>
      <mc:Fallback>
        <oleObject progId="AutoSketch.Drawing.9" shapeId="30729" r:id="rId16"/>
      </mc:Fallback>
    </mc:AlternateContent>
  </oleObjec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4:AV189"/>
  <sheetViews>
    <sheetView zoomScale="40" zoomScaleNormal="40" workbookViewId="0">
      <selection activeCell="BA102" sqref="BA102"/>
    </sheetView>
  </sheetViews>
  <sheetFormatPr defaultColWidth="8.7109375" defaultRowHeight="12.75" x14ac:dyDescent="0.2"/>
  <cols>
    <col min="1" max="16384" width="8.7109375" style="18"/>
  </cols>
  <sheetData>
    <row r="4" spans="3:48" x14ac:dyDescent="0.2">
      <c r="C4"/>
      <c r="D4"/>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row>
    <row r="5" spans="3:48" ht="27" x14ac:dyDescent="0.35">
      <c r="C5"/>
      <c r="D5"/>
      <c r="E5"/>
      <c r="F5"/>
      <c r="G5" s="191" t="s">
        <v>197</v>
      </c>
      <c r="H5"/>
      <c r="I5"/>
      <c r="J5"/>
      <c r="K5"/>
      <c r="L5"/>
      <c r="M5"/>
      <c r="N5"/>
      <c r="O5"/>
      <c r="P5"/>
      <c r="Q5"/>
      <c r="R5"/>
      <c r="S5"/>
      <c r="T5"/>
      <c r="U5"/>
      <c r="V5"/>
      <c r="W5"/>
      <c r="X5"/>
      <c r="Y5"/>
      <c r="Z5"/>
      <c r="AA5"/>
      <c r="AB5"/>
      <c r="AC5"/>
      <c r="AD5"/>
      <c r="AE5"/>
      <c r="AF5"/>
      <c r="AG5"/>
      <c r="AH5"/>
      <c r="AI5"/>
      <c r="AJ5"/>
      <c r="AK5"/>
      <c r="AL5"/>
      <c r="AM5"/>
      <c r="AN5"/>
      <c r="AO5"/>
      <c r="AP5"/>
      <c r="AQ5"/>
      <c r="AR5"/>
      <c r="AS5"/>
      <c r="AT5"/>
      <c r="AU5"/>
      <c r="AV5"/>
    </row>
    <row r="6" spans="3:48" x14ac:dyDescent="0.2">
      <c r="C6"/>
      <c r="D6"/>
      <c r="E6"/>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row>
    <row r="7" spans="3:48" x14ac:dyDescent="0.2">
      <c r="C7"/>
      <c r="D7"/>
      <c r="E7"/>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row>
    <row r="8" spans="3:48" x14ac:dyDescent="0.2">
      <c r="C8"/>
      <c r="D8"/>
      <c r="E8"/>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row>
    <row r="9" spans="3:48" x14ac:dyDescent="0.2">
      <c r="C9"/>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row>
    <row r="10" spans="3:48" x14ac:dyDescent="0.2">
      <c r="C10"/>
      <c r="D10"/>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row>
    <row r="11" spans="3:48" x14ac:dyDescent="0.2">
      <c r="C11"/>
      <c r="D11"/>
      <c r="E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row>
    <row r="12" spans="3:48" x14ac:dyDescent="0.2">
      <c r="C12"/>
      <c r="D12"/>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row>
    <row r="13" spans="3:48" x14ac:dyDescent="0.2">
      <c r="C13"/>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row>
    <row r="14" spans="3:48" x14ac:dyDescent="0.2">
      <c r="C14"/>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row>
    <row r="15" spans="3:48" x14ac:dyDescent="0.2">
      <c r="C15"/>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row>
    <row r="16" spans="3:48" x14ac:dyDescent="0.2">
      <c r="C16"/>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row>
    <row r="17" spans="3:48" x14ac:dyDescent="0.2">
      <c r="C17"/>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row>
    <row r="18" spans="3:48" x14ac:dyDescent="0.2">
      <c r="C18"/>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row>
    <row r="19" spans="3:48" ht="44.25" x14ac:dyDescent="0.55000000000000004">
      <c r="C19" s="192" t="s">
        <v>198</v>
      </c>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row>
    <row r="20" spans="3:48" x14ac:dyDescent="0.2">
      <c r="C20"/>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row>
    <row r="21" spans="3:48" x14ac:dyDescent="0.2">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row>
    <row r="22" spans="3:48" x14ac:dyDescent="0.2">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row>
    <row r="23" spans="3:48" x14ac:dyDescent="0.2">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row>
    <row r="24" spans="3:48" x14ac:dyDescent="0.2">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row>
    <row r="25" spans="3:48" x14ac:dyDescent="0.2">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row>
    <row r="26" spans="3:48" x14ac:dyDescent="0.2">
      <c r="C26"/>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row>
    <row r="27" spans="3:48" x14ac:dyDescent="0.2">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row>
    <row r="28" spans="3:48" x14ac:dyDescent="0.2">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row>
    <row r="29" spans="3:48" x14ac:dyDescent="0.2">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row>
    <row r="30" spans="3:48" x14ac:dyDescent="0.2">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row>
    <row r="31" spans="3:48" x14ac:dyDescent="0.2">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row>
    <row r="32" spans="3:48" x14ac:dyDescent="0.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row>
    <row r="33" spans="3:48" x14ac:dyDescent="0.2">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row>
    <row r="34" spans="3:48" x14ac:dyDescent="0.2">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row>
    <row r="35" spans="3:48" x14ac:dyDescent="0.2">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row>
    <row r="36" spans="3:48" x14ac:dyDescent="0.2">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row>
    <row r="37" spans="3:48" x14ac:dyDescent="0.2">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row>
    <row r="38" spans="3:48" x14ac:dyDescent="0.2">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row>
    <row r="39" spans="3:48" x14ac:dyDescent="0.2">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row>
    <row r="40" spans="3:48" x14ac:dyDescent="0.2">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row>
    <row r="41" spans="3:48" x14ac:dyDescent="0.2">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row>
    <row r="42" spans="3:48" x14ac:dyDescent="0.2">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row>
    <row r="43" spans="3:48" x14ac:dyDescent="0.2">
      <c r="C43"/>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row>
    <row r="44" spans="3:48" x14ac:dyDescent="0.2">
      <c r="C44"/>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row>
    <row r="45" spans="3:48" x14ac:dyDescent="0.2">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row>
    <row r="46" spans="3:48" x14ac:dyDescent="0.2">
      <c r="C46"/>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row>
    <row r="47" spans="3:48" x14ac:dyDescent="0.2">
      <c r="C47"/>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row>
    <row r="48" spans="3:48" x14ac:dyDescent="0.2">
      <c r="C48"/>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row>
    <row r="49" spans="3:48" x14ac:dyDescent="0.2">
      <c r="C49"/>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row>
    <row r="50" spans="3:48" x14ac:dyDescent="0.2">
      <c r="C50"/>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row>
    <row r="51" spans="3:48" ht="44.25" x14ac:dyDescent="0.55000000000000004">
      <c r="C51" s="192" t="s">
        <v>199</v>
      </c>
      <c r="D51"/>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row>
    <row r="52" spans="3:48" x14ac:dyDescent="0.2">
      <c r="C52"/>
      <c r="D52"/>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row>
    <row r="53" spans="3:48" x14ac:dyDescent="0.2">
      <c r="C53"/>
      <c r="D53"/>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row>
    <row r="54" spans="3:48" x14ac:dyDescent="0.2">
      <c r="C54"/>
      <c r="D54"/>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row>
    <row r="55" spans="3:48" x14ac:dyDescent="0.2">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row>
    <row r="56" spans="3:48" x14ac:dyDescent="0.2">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row>
    <row r="57" spans="3:48" x14ac:dyDescent="0.2">
      <c r="C57"/>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row>
    <row r="58" spans="3:48" x14ac:dyDescent="0.2">
      <c r="C58"/>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row>
    <row r="59" spans="3:48" x14ac:dyDescent="0.2">
      <c r="C59"/>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row>
    <row r="60" spans="3:48" x14ac:dyDescent="0.2">
      <c r="C60"/>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row>
    <row r="61" spans="3:48" x14ac:dyDescent="0.2">
      <c r="C61"/>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row>
    <row r="62" spans="3:48" x14ac:dyDescent="0.2">
      <c r="C62"/>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row>
    <row r="63" spans="3:48" x14ac:dyDescent="0.2">
      <c r="C63"/>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row>
    <row r="64" spans="3:48" x14ac:dyDescent="0.2">
      <c r="C64"/>
      <c r="D64"/>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row>
    <row r="65" spans="3:48" x14ac:dyDescent="0.2">
      <c r="C65"/>
      <c r="D65"/>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row>
    <row r="66" spans="3:48" x14ac:dyDescent="0.2">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row>
    <row r="67" spans="3:48" x14ac:dyDescent="0.2">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row>
    <row r="68" spans="3:48" x14ac:dyDescent="0.2">
      <c r="C68"/>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row>
    <row r="69" spans="3:48" x14ac:dyDescent="0.2">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row>
    <row r="70" spans="3:48" x14ac:dyDescent="0.2">
      <c r="C70"/>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row>
    <row r="71" spans="3:48" x14ac:dyDescent="0.2">
      <c r="C71"/>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row>
    <row r="72" spans="3:48" x14ac:dyDescent="0.2">
      <c r="C72"/>
      <c r="D72"/>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row>
    <row r="73" spans="3:48" x14ac:dyDescent="0.2">
      <c r="C73"/>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row>
    <row r="74" spans="3:48" x14ac:dyDescent="0.2">
      <c r="C74"/>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row>
    <row r="75" spans="3:48" x14ac:dyDescent="0.2">
      <c r="C75"/>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row>
    <row r="76" spans="3:48" x14ac:dyDescent="0.2">
      <c r="C76"/>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row>
    <row r="77" spans="3:48" x14ac:dyDescent="0.2">
      <c r="C77"/>
      <c r="D77"/>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row>
    <row r="78" spans="3:48" x14ac:dyDescent="0.2">
      <c r="C78"/>
      <c r="D78"/>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row>
    <row r="79" spans="3:48" x14ac:dyDescent="0.2">
      <c r="C79"/>
      <c r="D79"/>
      <c r="E79"/>
      <c r="F79"/>
      <c r="G79"/>
      <c r="H79"/>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row>
    <row r="80" spans="3:48" ht="44.25" x14ac:dyDescent="0.55000000000000004">
      <c r="C80" s="192" t="s">
        <v>200</v>
      </c>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row>
    <row r="81" spans="3:48" x14ac:dyDescent="0.2">
      <c r="C81"/>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row>
    <row r="82" spans="3:48" x14ac:dyDescent="0.2">
      <c r="C82"/>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row>
    <row r="83" spans="3:48" x14ac:dyDescent="0.2">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row>
    <row r="84" spans="3:48" x14ac:dyDescent="0.2">
      <c r="C84"/>
      <c r="D84"/>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row>
    <row r="85" spans="3:48" x14ac:dyDescent="0.2">
      <c r="C85"/>
      <c r="D85"/>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row>
    <row r="86" spans="3:48" x14ac:dyDescent="0.2">
      <c r="C86"/>
      <c r="D86"/>
      <c r="E86"/>
      <c r="F86"/>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row>
    <row r="87" spans="3:48" x14ac:dyDescent="0.2">
      <c r="C87"/>
      <c r="D87"/>
      <c r="E87"/>
      <c r="F87"/>
      <c r="G87"/>
      <c r="H87"/>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row>
    <row r="88" spans="3:48" x14ac:dyDescent="0.2">
      <c r="C88"/>
      <c r="D88"/>
      <c r="E88"/>
      <c r="F88"/>
      <c r="G88"/>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row>
    <row r="89" spans="3:48" x14ac:dyDescent="0.2">
      <c r="C89"/>
      <c r="D89"/>
      <c r="E89"/>
      <c r="F89"/>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row>
    <row r="90" spans="3:48" x14ac:dyDescent="0.2">
      <c r="C90"/>
      <c r="D90"/>
      <c r="E90"/>
      <c r="F90"/>
      <c r="G90"/>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row>
    <row r="91" spans="3:48" x14ac:dyDescent="0.2">
      <c r="C91"/>
      <c r="D91"/>
      <c r="E91"/>
      <c r="F91"/>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row>
    <row r="92" spans="3:48" x14ac:dyDescent="0.2">
      <c r="C92"/>
      <c r="D92"/>
      <c r="E92"/>
      <c r="F92"/>
      <c r="G92"/>
      <c r="H92"/>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row>
    <row r="93" spans="3:48" x14ac:dyDescent="0.2">
      <c r="C93"/>
      <c r="D93"/>
      <c r="E93"/>
      <c r="F93"/>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row>
    <row r="94" spans="3:48" x14ac:dyDescent="0.2">
      <c r="C94"/>
      <c r="D94"/>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row>
    <row r="95" spans="3:48" x14ac:dyDescent="0.2">
      <c r="C95"/>
      <c r="D95"/>
      <c r="E95"/>
      <c r="F95"/>
      <c r="G95"/>
      <c r="H95"/>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row>
    <row r="96" spans="3:48" x14ac:dyDescent="0.2">
      <c r="C96"/>
      <c r="D96"/>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row>
    <row r="97" spans="3:48" x14ac:dyDescent="0.2">
      <c r="C97"/>
      <c r="D97"/>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row>
    <row r="98" spans="3:48" x14ac:dyDescent="0.2">
      <c r="C98"/>
      <c r="D98"/>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row>
    <row r="99" spans="3:48" x14ac:dyDescent="0.2">
      <c r="C99"/>
      <c r="D99"/>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row>
    <row r="100" spans="3:48" x14ac:dyDescent="0.2">
      <c r="C100"/>
      <c r="D100"/>
      <c r="E100"/>
      <c r="F100"/>
      <c r="G100"/>
      <c r="H100"/>
      <c r="I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row>
    <row r="101" spans="3:48" x14ac:dyDescent="0.2">
      <c r="C101"/>
      <c r="D101"/>
      <c r="E101"/>
      <c r="F101"/>
      <c r="G101"/>
      <c r="H101"/>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row>
    <row r="102" spans="3:48" x14ac:dyDescent="0.2">
      <c r="C102"/>
      <c r="D102"/>
      <c r="E102"/>
      <c r="F102"/>
      <c r="G102"/>
      <c r="H102"/>
      <c r="I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row>
    <row r="103" spans="3:48" x14ac:dyDescent="0.2">
      <c r="C103"/>
      <c r="D103"/>
      <c r="E103"/>
      <c r="F103"/>
      <c r="G103"/>
      <c r="H103"/>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row>
    <row r="104" spans="3:48" x14ac:dyDescent="0.2">
      <c r="C104"/>
      <c r="D104"/>
      <c r="E104"/>
      <c r="F104"/>
      <c r="G104"/>
      <c r="H104"/>
      <c r="I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row>
    <row r="105" spans="3:48" x14ac:dyDescent="0.2">
      <c r="C105"/>
      <c r="D105"/>
      <c r="E105"/>
      <c r="F105"/>
      <c r="G105"/>
      <c r="H105"/>
      <c r="I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row>
    <row r="106" spans="3:48" x14ac:dyDescent="0.2">
      <c r="C106"/>
      <c r="D106"/>
      <c r="E106"/>
      <c r="F106"/>
      <c r="G106"/>
      <c r="H106"/>
      <c r="I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row>
    <row r="107" spans="3:48" x14ac:dyDescent="0.2">
      <c r="C107"/>
      <c r="D107"/>
      <c r="E107"/>
      <c r="F107"/>
      <c r="G107"/>
      <c r="H107"/>
      <c r="I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row>
    <row r="108" spans="3:48" x14ac:dyDescent="0.2">
      <c r="C108"/>
      <c r="D108"/>
      <c r="E108"/>
      <c r="F108"/>
      <c r="G108"/>
      <c r="H108"/>
      <c r="I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row>
    <row r="109" spans="3:48" x14ac:dyDescent="0.2">
      <c r="C109"/>
      <c r="D109"/>
      <c r="E109"/>
      <c r="F109"/>
      <c r="G109"/>
      <c r="H109"/>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row>
    <row r="110" spans="3:48" ht="44.25" x14ac:dyDescent="0.55000000000000004">
      <c r="C110" s="192" t="s">
        <v>201</v>
      </c>
      <c r="D110"/>
      <c r="E110"/>
      <c r="F110"/>
      <c r="G110"/>
      <c r="H110"/>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row>
    <row r="111" spans="3:48" x14ac:dyDescent="0.2">
      <c r="C111"/>
      <c r="D111"/>
      <c r="E111"/>
      <c r="F111"/>
      <c r="G111"/>
      <c r="H111"/>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row>
    <row r="112" spans="3:48" x14ac:dyDescent="0.2">
      <c r="C112"/>
      <c r="D112"/>
      <c r="E112"/>
      <c r="F112"/>
      <c r="G112"/>
      <c r="H112"/>
      <c r="I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row>
    <row r="113" spans="3:48" x14ac:dyDescent="0.2">
      <c r="C113"/>
      <c r="D113"/>
      <c r="E113"/>
      <c r="F113"/>
      <c r="G113"/>
      <c r="H113"/>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row>
    <row r="114" spans="3:48" x14ac:dyDescent="0.2">
      <c r="C114"/>
      <c r="D114"/>
      <c r="E114"/>
      <c r="F114"/>
      <c r="G114"/>
      <c r="H114"/>
      <c r="I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row>
    <row r="115" spans="3:48" x14ac:dyDescent="0.2">
      <c r="C115"/>
      <c r="D115"/>
      <c r="E115"/>
      <c r="F115"/>
      <c r="G115"/>
      <c r="H115"/>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row>
    <row r="116" spans="3:48" x14ac:dyDescent="0.2">
      <c r="C116"/>
      <c r="D116"/>
      <c r="E116"/>
      <c r="F116"/>
      <c r="G116"/>
      <c r="H116"/>
      <c r="I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row>
    <row r="117" spans="3:48" x14ac:dyDescent="0.2">
      <c r="C117"/>
      <c r="D117"/>
      <c r="E117"/>
      <c r="F117"/>
      <c r="G117"/>
      <c r="H117"/>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row>
    <row r="118" spans="3:48" x14ac:dyDescent="0.2">
      <c r="C118"/>
      <c r="D118"/>
      <c r="E118"/>
      <c r="F118"/>
      <c r="G118"/>
      <c r="H118"/>
      <c r="I11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row>
    <row r="119" spans="3:48" x14ac:dyDescent="0.2">
      <c r="C119"/>
      <c r="D119"/>
      <c r="E119"/>
      <c r="F119"/>
      <c r="G119"/>
      <c r="H119"/>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row>
    <row r="120" spans="3:48" x14ac:dyDescent="0.2">
      <c r="C120"/>
      <c r="D120"/>
      <c r="E120"/>
      <c r="F120"/>
      <c r="G120"/>
      <c r="H120"/>
      <c r="I120"/>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row>
    <row r="121" spans="3:48" x14ac:dyDescent="0.2">
      <c r="C121"/>
      <c r="D121"/>
      <c r="E121"/>
      <c r="F121"/>
      <c r="G121"/>
      <c r="H121"/>
      <c r="I121"/>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row>
    <row r="122" spans="3:48" x14ac:dyDescent="0.2">
      <c r="C122"/>
      <c r="D122"/>
      <c r="E122"/>
      <c r="F122"/>
      <c r="G122"/>
      <c r="H122"/>
      <c r="I122"/>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row>
    <row r="123" spans="3:48" x14ac:dyDescent="0.2">
      <c r="C123"/>
      <c r="D123"/>
      <c r="E123"/>
      <c r="F123"/>
      <c r="G123"/>
      <c r="H123"/>
      <c r="I123"/>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row>
    <row r="124" spans="3:48" x14ac:dyDescent="0.2">
      <c r="C124"/>
      <c r="D124"/>
      <c r="E124"/>
      <c r="F124"/>
      <c r="G124"/>
      <c r="H124"/>
      <c r="I124"/>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row>
    <row r="125" spans="3:48" x14ac:dyDescent="0.2">
      <c r="C125"/>
      <c r="D125"/>
      <c r="E125"/>
      <c r="F125"/>
      <c r="G125"/>
      <c r="H125"/>
      <c r="I125"/>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row>
    <row r="126" spans="3:48" x14ac:dyDescent="0.2">
      <c r="C126"/>
      <c r="D126"/>
      <c r="E126"/>
      <c r="F126"/>
      <c r="G126"/>
      <c r="H126"/>
      <c r="I126"/>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row>
    <row r="127" spans="3:48" x14ac:dyDescent="0.2">
      <c r="C127"/>
      <c r="D127"/>
      <c r="E127"/>
      <c r="F127"/>
      <c r="G127"/>
      <c r="H127"/>
      <c r="I127"/>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row>
    <row r="128" spans="3:48" x14ac:dyDescent="0.2">
      <c r="C128"/>
      <c r="D128"/>
      <c r="E128"/>
      <c r="F128"/>
      <c r="G128"/>
      <c r="H128"/>
      <c r="I128"/>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row>
    <row r="129" spans="3:48" x14ac:dyDescent="0.2">
      <c r="C129"/>
      <c r="D129"/>
      <c r="E129"/>
      <c r="F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row>
    <row r="130" spans="3:48" x14ac:dyDescent="0.2">
      <c r="C130"/>
      <c r="D130"/>
      <c r="E130"/>
      <c r="F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row>
    <row r="131" spans="3:48" x14ac:dyDescent="0.2">
      <c r="C131"/>
      <c r="D131"/>
      <c r="E131"/>
      <c r="F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row>
    <row r="132" spans="3:48" x14ac:dyDescent="0.2">
      <c r="C132"/>
      <c r="D132"/>
      <c r="E132"/>
      <c r="F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row>
    <row r="133" spans="3:48" x14ac:dyDescent="0.2">
      <c r="C133"/>
      <c r="D133"/>
      <c r="E133"/>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row>
    <row r="134" spans="3:48" x14ac:dyDescent="0.2">
      <c r="C134"/>
      <c r="D134"/>
      <c r="E134"/>
      <c r="F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row>
    <row r="135" spans="3:48" x14ac:dyDescent="0.2">
      <c r="C135"/>
      <c r="D135"/>
      <c r="E135"/>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row>
    <row r="136" spans="3:48" x14ac:dyDescent="0.2">
      <c r="C136"/>
      <c r="D136"/>
      <c r="E136"/>
      <c r="F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row>
    <row r="137" spans="3:48" x14ac:dyDescent="0.2">
      <c r="C137"/>
      <c r="D137"/>
      <c r="E137"/>
      <c r="F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row>
    <row r="138" spans="3:48" x14ac:dyDescent="0.2">
      <c r="C138"/>
      <c r="D138"/>
      <c r="E138"/>
      <c r="F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row>
    <row r="139" spans="3:48" x14ac:dyDescent="0.2">
      <c r="C139"/>
      <c r="D139"/>
      <c r="E139"/>
      <c r="F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row>
    <row r="140" spans="3:48" ht="44.25" x14ac:dyDescent="0.55000000000000004">
      <c r="C140" s="192" t="s">
        <v>202</v>
      </c>
      <c r="D140"/>
      <c r="E140"/>
      <c r="F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row>
    <row r="141" spans="3:48" x14ac:dyDescent="0.2">
      <c r="C141"/>
      <c r="D141"/>
      <c r="E141"/>
      <c r="F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row>
    <row r="142" spans="3:48" x14ac:dyDescent="0.2">
      <c r="C142"/>
      <c r="D142"/>
      <c r="E142"/>
      <c r="F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row>
    <row r="143" spans="3:48" x14ac:dyDescent="0.2">
      <c r="C143"/>
      <c r="D143"/>
      <c r="E143"/>
      <c r="F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row>
    <row r="144" spans="3:48" x14ac:dyDescent="0.2">
      <c r="C144"/>
      <c r="D144"/>
      <c r="E144"/>
      <c r="F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row>
    <row r="145" spans="3:48" x14ac:dyDescent="0.2">
      <c r="C145"/>
      <c r="D145"/>
      <c r="E145"/>
      <c r="F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row>
    <row r="146" spans="3:48" x14ac:dyDescent="0.2">
      <c r="C146"/>
      <c r="D146"/>
      <c r="E146"/>
      <c r="F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row>
    <row r="147" spans="3:48" x14ac:dyDescent="0.2">
      <c r="C147"/>
      <c r="D147"/>
      <c r="E147"/>
      <c r="F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row>
    <row r="148" spans="3:48" x14ac:dyDescent="0.2">
      <c r="C148"/>
      <c r="D148"/>
      <c r="E148"/>
      <c r="F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row>
    <row r="149" spans="3:48" x14ac:dyDescent="0.2">
      <c r="C149"/>
      <c r="D149"/>
      <c r="E149"/>
      <c r="F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row>
    <row r="150" spans="3:48" x14ac:dyDescent="0.2">
      <c r="C150"/>
      <c r="D150"/>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row>
    <row r="151" spans="3:48" x14ac:dyDescent="0.2">
      <c r="C151"/>
      <c r="D151"/>
      <c r="E151"/>
      <c r="F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row>
    <row r="152" spans="3:48" x14ac:dyDescent="0.2">
      <c r="C152"/>
      <c r="D152"/>
      <c r="E152"/>
      <c r="F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row>
    <row r="153" spans="3:48" x14ac:dyDescent="0.2">
      <c r="C153"/>
      <c r="D153"/>
      <c r="E153"/>
      <c r="F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row>
    <row r="154" spans="3:48" x14ac:dyDescent="0.2">
      <c r="C154"/>
      <c r="D154"/>
      <c r="E154"/>
      <c r="F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row>
    <row r="155" spans="3:48" x14ac:dyDescent="0.2">
      <c r="C155"/>
      <c r="D155"/>
      <c r="E155"/>
      <c r="F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row>
    <row r="156" spans="3:48" x14ac:dyDescent="0.2">
      <c r="C156"/>
      <c r="D156"/>
      <c r="E156"/>
      <c r="F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row>
    <row r="157" spans="3:48" x14ac:dyDescent="0.2">
      <c r="C157"/>
      <c r="D157"/>
      <c r="E157"/>
      <c r="F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row>
    <row r="158" spans="3:48" x14ac:dyDescent="0.2">
      <c r="C158"/>
      <c r="D158"/>
      <c r="E158"/>
      <c r="F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row>
    <row r="159" spans="3:48" x14ac:dyDescent="0.2">
      <c r="C159"/>
      <c r="D159"/>
      <c r="E159"/>
      <c r="F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row>
    <row r="160" spans="3:48" x14ac:dyDescent="0.2">
      <c r="C160"/>
      <c r="D160"/>
      <c r="E160"/>
      <c r="F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row>
    <row r="161" spans="3:48" x14ac:dyDescent="0.2">
      <c r="C161"/>
      <c r="D161"/>
      <c r="E161"/>
      <c r="F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row>
    <row r="162" spans="3:48" x14ac:dyDescent="0.2">
      <c r="C162"/>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row>
    <row r="163" spans="3:48" x14ac:dyDescent="0.2">
      <c r="C163"/>
      <c r="D163"/>
      <c r="E163"/>
      <c r="F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row>
    <row r="164" spans="3:48" x14ac:dyDescent="0.2">
      <c r="C164"/>
      <c r="D164"/>
      <c r="E164"/>
      <c r="F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row>
    <row r="165" spans="3:48" x14ac:dyDescent="0.2">
      <c r="C165"/>
      <c r="D165"/>
      <c r="E165"/>
      <c r="F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row>
    <row r="166" spans="3:48" x14ac:dyDescent="0.2">
      <c r="C166"/>
      <c r="D166"/>
      <c r="E166"/>
      <c r="F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row>
    <row r="167" spans="3:48" x14ac:dyDescent="0.2">
      <c r="C167"/>
      <c r="D167"/>
      <c r="E167"/>
      <c r="F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row>
    <row r="168" spans="3:48" x14ac:dyDescent="0.2">
      <c r="C168"/>
      <c r="D168"/>
      <c r="E168"/>
      <c r="F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row>
    <row r="169" spans="3:48" x14ac:dyDescent="0.2">
      <c r="C169"/>
      <c r="D169"/>
      <c r="E169"/>
      <c r="F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row>
    <row r="170" spans="3:48" x14ac:dyDescent="0.2">
      <c r="C170"/>
      <c r="D170"/>
      <c r="E170"/>
      <c r="F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row>
    <row r="171" spans="3:48" x14ac:dyDescent="0.2">
      <c r="C171"/>
      <c r="D171"/>
      <c r="E171"/>
      <c r="F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row>
    <row r="172" spans="3:48" x14ac:dyDescent="0.2">
      <c r="C172"/>
      <c r="D172"/>
      <c r="E172"/>
      <c r="F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row>
    <row r="173" spans="3:48" x14ac:dyDescent="0.2">
      <c r="C173"/>
      <c r="D173"/>
      <c r="E173"/>
      <c r="F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row>
    <row r="174" spans="3:48" x14ac:dyDescent="0.2">
      <c r="C174"/>
      <c r="D174"/>
      <c r="E174"/>
      <c r="F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row>
    <row r="175" spans="3:48" ht="44.25" x14ac:dyDescent="0.55000000000000004">
      <c r="C175" s="192" t="s">
        <v>203</v>
      </c>
      <c r="D175"/>
      <c r="E175"/>
      <c r="F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row>
    <row r="176" spans="3:48" x14ac:dyDescent="0.2">
      <c r="C176"/>
      <c r="D176"/>
      <c r="E176"/>
      <c r="F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row>
    <row r="177" spans="3:48" x14ac:dyDescent="0.2">
      <c r="C177"/>
      <c r="D177"/>
      <c r="E177"/>
      <c r="F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row>
    <row r="178" spans="3:48" x14ac:dyDescent="0.2">
      <c r="C178"/>
      <c r="D178"/>
      <c r="E178"/>
      <c r="F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row>
    <row r="179" spans="3:48" x14ac:dyDescent="0.2">
      <c r="C179"/>
      <c r="D179"/>
      <c r="E179"/>
      <c r="F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row>
    <row r="180" spans="3:48" x14ac:dyDescent="0.2">
      <c r="C180"/>
      <c r="D180"/>
      <c r="E180"/>
      <c r="F180"/>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row>
    <row r="181" spans="3:48" x14ac:dyDescent="0.2">
      <c r="C181"/>
      <c r="D181"/>
      <c r="E181"/>
      <c r="F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row>
    <row r="182" spans="3:48" x14ac:dyDescent="0.2">
      <c r="C182"/>
      <c r="D182"/>
      <c r="E182"/>
      <c r="F182"/>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row>
    <row r="183" spans="3:48" x14ac:dyDescent="0.2">
      <c r="C183"/>
      <c r="D183"/>
      <c r="E183"/>
      <c r="F183"/>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row>
    <row r="184" spans="3:48" x14ac:dyDescent="0.2">
      <c r="C184"/>
      <c r="D184"/>
      <c r="E184"/>
      <c r="F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row>
    <row r="185" spans="3:48" x14ac:dyDescent="0.2">
      <c r="C185"/>
      <c r="D185"/>
      <c r="E185"/>
      <c r="F185"/>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row>
    <row r="186" spans="3:48" x14ac:dyDescent="0.2">
      <c r="C186"/>
      <c r="D186"/>
      <c r="E186"/>
      <c r="F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row>
    <row r="187" spans="3:48" x14ac:dyDescent="0.2">
      <c r="C187"/>
      <c r="D187"/>
      <c r="E187"/>
      <c r="F187"/>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row>
    <row r="188" spans="3:48" x14ac:dyDescent="0.2">
      <c r="C188"/>
      <c r="D188"/>
      <c r="E188"/>
      <c r="F188"/>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row>
    <row r="189" spans="3:48" x14ac:dyDescent="0.2">
      <c r="C189"/>
      <c r="D189"/>
      <c r="E189"/>
      <c r="F189"/>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row>
  </sheetData>
  <sheetProtection selectLockedCells="1" selectUnlockedCells="1"/>
  <pageMargins left="0.7" right="0.7" top="0.75" bottom="0.75" header="0.51180555555555551" footer="0.51180555555555551"/>
  <pageSetup firstPageNumber="0" orientation="portrait" horizontalDpi="300" verticalDpi="300" r:id="rId1"/>
  <headerFooter alignWithMargins="0"/>
  <drawing r:id="rId2"/>
  <legacyDrawing r:id="rId3"/>
  <oleObjects>
    <mc:AlternateContent xmlns:mc="http://schemas.openxmlformats.org/markup-compatibility/2006">
      <mc:Choice Requires="x14">
        <oleObject progId="AutoSketch.Drawing.9" shapeId="6145" r:id="rId4">
          <objectPr defaultSize="0" autoPict="0" r:id="rId5">
            <anchor moveWithCells="1" sizeWithCells="1">
              <from>
                <xdr:col>12</xdr:col>
                <xdr:colOff>0</xdr:colOff>
                <xdr:row>8</xdr:row>
                <xdr:rowOff>0</xdr:rowOff>
              </from>
              <to>
                <xdr:col>15</xdr:col>
                <xdr:colOff>123825</xdr:colOff>
                <xdr:row>32</xdr:row>
                <xdr:rowOff>133350</xdr:rowOff>
              </to>
            </anchor>
          </objectPr>
        </oleObject>
      </mc:Choice>
      <mc:Fallback>
        <oleObject progId="AutoSketch.Drawing.9" shapeId="6145" r:id="rId4"/>
      </mc:Fallback>
    </mc:AlternateContent>
    <mc:AlternateContent xmlns:mc="http://schemas.openxmlformats.org/markup-compatibility/2006">
      <mc:Choice Requires="x14">
        <oleObject progId="AutoSketch.Drawing.9" shapeId="6146" r:id="rId6">
          <objectPr defaultSize="0" autoPict="0" r:id="rId7">
            <anchor moveWithCells="1" sizeWithCells="1">
              <from>
                <xdr:col>16</xdr:col>
                <xdr:colOff>0</xdr:colOff>
                <xdr:row>8</xdr:row>
                <xdr:rowOff>0</xdr:rowOff>
              </from>
              <to>
                <xdr:col>19</xdr:col>
                <xdr:colOff>123825</xdr:colOff>
                <xdr:row>32</xdr:row>
                <xdr:rowOff>133350</xdr:rowOff>
              </to>
            </anchor>
          </objectPr>
        </oleObject>
      </mc:Choice>
      <mc:Fallback>
        <oleObject progId="AutoSketch.Drawing.9" shapeId="6146" r:id="rId6"/>
      </mc:Fallback>
    </mc:AlternateContent>
    <mc:AlternateContent xmlns:mc="http://schemas.openxmlformats.org/markup-compatibility/2006">
      <mc:Choice Requires="x14">
        <oleObject progId="AutoSketch.Drawing.9" shapeId="6147" r:id="rId8">
          <objectPr defaultSize="0" autoPict="0" r:id="rId9">
            <anchor moveWithCells="1" sizeWithCells="1">
              <from>
                <xdr:col>4</xdr:col>
                <xdr:colOff>9525</xdr:colOff>
                <xdr:row>8</xdr:row>
                <xdr:rowOff>0</xdr:rowOff>
              </from>
              <to>
                <xdr:col>7</xdr:col>
                <xdr:colOff>123825</xdr:colOff>
                <xdr:row>32</xdr:row>
                <xdr:rowOff>133350</xdr:rowOff>
              </to>
            </anchor>
          </objectPr>
        </oleObject>
      </mc:Choice>
      <mc:Fallback>
        <oleObject progId="AutoSketch.Drawing.9" shapeId="6147" r:id="rId8"/>
      </mc:Fallback>
    </mc:AlternateContent>
    <mc:AlternateContent xmlns:mc="http://schemas.openxmlformats.org/markup-compatibility/2006">
      <mc:Choice Requires="x14">
        <oleObject progId="AutoSketch.Drawing.9" shapeId="6148" r:id="rId10">
          <objectPr defaultSize="0" autoPict="0" r:id="rId11">
            <anchor moveWithCells="1" sizeWithCells="1">
              <from>
                <xdr:col>20</xdr:col>
                <xdr:colOff>0</xdr:colOff>
                <xdr:row>8</xdr:row>
                <xdr:rowOff>0</xdr:rowOff>
              </from>
              <to>
                <xdr:col>23</xdr:col>
                <xdr:colOff>95250</xdr:colOff>
                <xdr:row>32</xdr:row>
                <xdr:rowOff>133350</xdr:rowOff>
              </to>
            </anchor>
          </objectPr>
        </oleObject>
      </mc:Choice>
      <mc:Fallback>
        <oleObject progId="AutoSketch.Drawing.9" shapeId="6148" r:id="rId10"/>
      </mc:Fallback>
    </mc:AlternateContent>
    <mc:AlternateContent xmlns:mc="http://schemas.openxmlformats.org/markup-compatibility/2006">
      <mc:Choice Requires="x14">
        <oleObject progId="AutoSketch.Drawing.9" shapeId="6149" r:id="rId12">
          <objectPr defaultSize="0" autoPict="0" r:id="rId13">
            <anchor moveWithCells="1" sizeWithCells="1">
              <from>
                <xdr:col>24</xdr:col>
                <xdr:colOff>0</xdr:colOff>
                <xdr:row>8</xdr:row>
                <xdr:rowOff>0</xdr:rowOff>
              </from>
              <to>
                <xdr:col>27</xdr:col>
                <xdr:colOff>123825</xdr:colOff>
                <xdr:row>32</xdr:row>
                <xdr:rowOff>133350</xdr:rowOff>
              </to>
            </anchor>
          </objectPr>
        </oleObject>
      </mc:Choice>
      <mc:Fallback>
        <oleObject progId="AutoSketch.Drawing.9" shapeId="6149" r:id="rId12"/>
      </mc:Fallback>
    </mc:AlternateContent>
    <mc:AlternateContent xmlns:mc="http://schemas.openxmlformats.org/markup-compatibility/2006">
      <mc:Choice Requires="x14">
        <oleObject progId="AutoSketch.Drawing.9" shapeId="6150" r:id="rId14">
          <objectPr defaultSize="0" autoPict="0" r:id="rId15">
            <anchor moveWithCells="1" sizeWithCells="1">
              <from>
                <xdr:col>28</xdr:col>
                <xdr:colOff>0</xdr:colOff>
                <xdr:row>8</xdr:row>
                <xdr:rowOff>0</xdr:rowOff>
              </from>
              <to>
                <xdr:col>33</xdr:col>
                <xdr:colOff>314325</xdr:colOff>
                <xdr:row>32</xdr:row>
                <xdr:rowOff>133350</xdr:rowOff>
              </to>
            </anchor>
          </objectPr>
        </oleObject>
      </mc:Choice>
      <mc:Fallback>
        <oleObject progId="AutoSketch.Drawing.9" shapeId="6150" r:id="rId14"/>
      </mc:Fallback>
    </mc:AlternateContent>
    <mc:AlternateContent xmlns:mc="http://schemas.openxmlformats.org/markup-compatibility/2006">
      <mc:Choice Requires="x14">
        <oleObject progId="AutoSketch.Drawing.9" shapeId="6151" r:id="rId16">
          <objectPr defaultSize="0" autoPict="0" r:id="rId17">
            <anchor moveWithCells="1" sizeWithCells="1">
              <from>
                <xdr:col>34</xdr:col>
                <xdr:colOff>0</xdr:colOff>
                <xdr:row>8</xdr:row>
                <xdr:rowOff>0</xdr:rowOff>
              </from>
              <to>
                <xdr:col>39</xdr:col>
                <xdr:colOff>190500</xdr:colOff>
                <xdr:row>32</xdr:row>
                <xdr:rowOff>133350</xdr:rowOff>
              </to>
            </anchor>
          </objectPr>
        </oleObject>
      </mc:Choice>
      <mc:Fallback>
        <oleObject progId="AutoSketch.Drawing.9" shapeId="6151" r:id="rId16"/>
      </mc:Fallback>
    </mc:AlternateContent>
    <mc:AlternateContent xmlns:mc="http://schemas.openxmlformats.org/markup-compatibility/2006">
      <mc:Choice Requires="x14">
        <oleObject progId="AutoSketch.Drawing.9" shapeId="6152" r:id="rId18">
          <objectPr defaultSize="0" autoPict="0" r:id="rId19">
            <anchor moveWithCells="1" sizeWithCells="1">
              <from>
                <xdr:col>8</xdr:col>
                <xdr:colOff>0</xdr:colOff>
                <xdr:row>8</xdr:row>
                <xdr:rowOff>0</xdr:rowOff>
              </from>
              <to>
                <xdr:col>11</xdr:col>
                <xdr:colOff>457200</xdr:colOff>
                <xdr:row>32</xdr:row>
                <xdr:rowOff>133350</xdr:rowOff>
              </to>
            </anchor>
          </objectPr>
        </oleObject>
      </mc:Choice>
      <mc:Fallback>
        <oleObject progId="AutoSketch.Drawing.9" shapeId="6152" r:id="rId18"/>
      </mc:Fallback>
    </mc:AlternateContent>
    <mc:AlternateContent xmlns:mc="http://schemas.openxmlformats.org/markup-compatibility/2006">
      <mc:Choice Requires="x14">
        <oleObject progId="AutoSketch.Drawing.9" shapeId="6153" r:id="rId20">
          <objectPr defaultSize="0" autoPict="0" r:id="rId21">
            <anchor moveWithCells="1" sizeWithCells="1">
              <from>
                <xdr:col>3</xdr:col>
                <xdr:colOff>409575</xdr:colOff>
                <xdr:row>39</xdr:row>
                <xdr:rowOff>104775</xdr:rowOff>
              </from>
              <to>
                <xdr:col>7</xdr:col>
                <xdr:colOff>104775</xdr:colOff>
                <xdr:row>65</xdr:row>
                <xdr:rowOff>38100</xdr:rowOff>
              </to>
            </anchor>
          </objectPr>
        </oleObject>
      </mc:Choice>
      <mc:Fallback>
        <oleObject progId="AutoSketch.Drawing.9" shapeId="6153" r:id="rId20"/>
      </mc:Fallback>
    </mc:AlternateContent>
    <mc:AlternateContent xmlns:mc="http://schemas.openxmlformats.org/markup-compatibility/2006">
      <mc:Choice Requires="x14">
        <oleObject progId="AutoSketch.Drawing.9" shapeId="6154" r:id="rId22">
          <objectPr defaultSize="0" autoPict="0" r:id="rId23">
            <anchor moveWithCells="1" sizeWithCells="1">
              <from>
                <xdr:col>7</xdr:col>
                <xdr:colOff>400050</xdr:colOff>
                <xdr:row>39</xdr:row>
                <xdr:rowOff>114300</xdr:rowOff>
              </from>
              <to>
                <xdr:col>11</xdr:col>
                <xdr:colOff>476250</xdr:colOff>
                <xdr:row>65</xdr:row>
                <xdr:rowOff>38100</xdr:rowOff>
              </to>
            </anchor>
          </objectPr>
        </oleObject>
      </mc:Choice>
      <mc:Fallback>
        <oleObject progId="AutoSketch.Drawing.9" shapeId="6154" r:id="rId22"/>
      </mc:Fallback>
    </mc:AlternateContent>
    <mc:AlternateContent xmlns:mc="http://schemas.openxmlformats.org/markup-compatibility/2006">
      <mc:Choice Requires="x14">
        <oleObject progId="AutoSketch.Drawing.9" shapeId="6155" r:id="rId24">
          <objectPr defaultSize="0" autoPict="0" r:id="rId25">
            <anchor moveWithCells="1" sizeWithCells="1">
              <from>
                <xdr:col>16</xdr:col>
                <xdr:colOff>190500</xdr:colOff>
                <xdr:row>38</xdr:row>
                <xdr:rowOff>95250</xdr:rowOff>
              </from>
              <to>
                <xdr:col>20</xdr:col>
                <xdr:colOff>0</xdr:colOff>
                <xdr:row>63</xdr:row>
                <xdr:rowOff>66675</xdr:rowOff>
              </to>
            </anchor>
          </objectPr>
        </oleObject>
      </mc:Choice>
      <mc:Fallback>
        <oleObject progId="AutoSketch.Drawing.9" shapeId="6155" r:id="rId24"/>
      </mc:Fallback>
    </mc:AlternateContent>
    <mc:AlternateContent xmlns:mc="http://schemas.openxmlformats.org/markup-compatibility/2006">
      <mc:Choice Requires="x14">
        <oleObject progId="AutoSketch.Drawing.9" shapeId="6156" r:id="rId26">
          <objectPr defaultSize="0" autoPict="0" r:id="rId27">
            <anchor moveWithCells="1" sizeWithCells="1">
              <from>
                <xdr:col>12</xdr:col>
                <xdr:colOff>114300</xdr:colOff>
                <xdr:row>39</xdr:row>
                <xdr:rowOff>133350</xdr:rowOff>
              </from>
              <to>
                <xdr:col>15</xdr:col>
                <xdr:colOff>381000</xdr:colOff>
                <xdr:row>65</xdr:row>
                <xdr:rowOff>57150</xdr:rowOff>
              </to>
            </anchor>
          </objectPr>
        </oleObject>
      </mc:Choice>
      <mc:Fallback>
        <oleObject progId="AutoSketch.Drawing.9" shapeId="6156" r:id="rId26"/>
      </mc:Fallback>
    </mc:AlternateContent>
    <mc:AlternateContent xmlns:mc="http://schemas.openxmlformats.org/markup-compatibility/2006">
      <mc:Choice Requires="x14">
        <oleObject progId="AutoSketch.Drawing.9" shapeId="6157" r:id="rId28">
          <objectPr defaultSize="0" autoPict="0" r:id="rId29">
            <anchor moveWithCells="1" sizeWithCells="1">
              <from>
                <xdr:col>20</xdr:col>
                <xdr:colOff>495300</xdr:colOff>
                <xdr:row>38</xdr:row>
                <xdr:rowOff>76200</xdr:rowOff>
              </from>
              <to>
                <xdr:col>23</xdr:col>
                <xdr:colOff>381000</xdr:colOff>
                <xdr:row>63</xdr:row>
                <xdr:rowOff>47625</xdr:rowOff>
              </to>
            </anchor>
          </objectPr>
        </oleObject>
      </mc:Choice>
      <mc:Fallback>
        <oleObject progId="AutoSketch.Drawing.9" shapeId="6157" r:id="rId28"/>
      </mc:Fallback>
    </mc:AlternateContent>
    <mc:AlternateContent xmlns:mc="http://schemas.openxmlformats.org/markup-compatibility/2006">
      <mc:Choice Requires="x14">
        <oleObject progId="AutoSketch.Drawing.9" shapeId="6158" r:id="rId30">
          <objectPr defaultSize="0" autoPict="0" r:id="rId31">
            <anchor moveWithCells="1" sizeWithCells="1">
              <from>
                <xdr:col>24</xdr:col>
                <xdr:colOff>190500</xdr:colOff>
                <xdr:row>38</xdr:row>
                <xdr:rowOff>76200</xdr:rowOff>
              </from>
              <to>
                <xdr:col>27</xdr:col>
                <xdr:colOff>171450</xdr:colOff>
                <xdr:row>63</xdr:row>
                <xdr:rowOff>47625</xdr:rowOff>
              </to>
            </anchor>
          </objectPr>
        </oleObject>
      </mc:Choice>
      <mc:Fallback>
        <oleObject progId="AutoSketch.Drawing.9" shapeId="6158" r:id="rId30"/>
      </mc:Fallback>
    </mc:AlternateContent>
    <mc:AlternateContent xmlns:mc="http://schemas.openxmlformats.org/markup-compatibility/2006">
      <mc:Choice Requires="x14">
        <oleObject progId="AutoSketch.Drawing.9" shapeId="6159" r:id="rId32">
          <objectPr defaultSize="0" autoPict="0" r:id="rId33">
            <anchor moveWithCells="1" sizeWithCells="1">
              <from>
                <xdr:col>28</xdr:col>
                <xdr:colOff>0</xdr:colOff>
                <xdr:row>38</xdr:row>
                <xdr:rowOff>76200</xdr:rowOff>
              </from>
              <to>
                <xdr:col>33</xdr:col>
                <xdr:colOff>523875</xdr:colOff>
                <xdr:row>63</xdr:row>
                <xdr:rowOff>47625</xdr:rowOff>
              </to>
            </anchor>
          </objectPr>
        </oleObject>
      </mc:Choice>
      <mc:Fallback>
        <oleObject progId="AutoSketch.Drawing.9" shapeId="6159" r:id="rId32"/>
      </mc:Fallback>
    </mc:AlternateContent>
    <mc:AlternateContent xmlns:mc="http://schemas.openxmlformats.org/markup-compatibility/2006">
      <mc:Choice Requires="x14">
        <oleObject progId="AutoSketch.Drawing.9" shapeId="6160" r:id="rId34">
          <objectPr defaultSize="0" autoPict="0" r:id="rId35">
            <anchor moveWithCells="1" sizeWithCells="1">
              <from>
                <xdr:col>34</xdr:col>
                <xdr:colOff>76200</xdr:colOff>
                <xdr:row>38</xdr:row>
                <xdr:rowOff>95250</xdr:rowOff>
              </from>
              <to>
                <xdr:col>40</xdr:col>
                <xdr:colOff>95250</xdr:colOff>
                <xdr:row>63</xdr:row>
                <xdr:rowOff>66675</xdr:rowOff>
              </to>
            </anchor>
          </objectPr>
        </oleObject>
      </mc:Choice>
      <mc:Fallback>
        <oleObject progId="AutoSketch.Drawing.9" shapeId="6160" r:id="rId34"/>
      </mc:Fallback>
    </mc:AlternateContent>
    <mc:AlternateContent xmlns:mc="http://schemas.openxmlformats.org/markup-compatibility/2006">
      <mc:Choice Requires="x14">
        <oleObject progId="AutoSketch.Drawing.9" shapeId="6161" r:id="rId36">
          <objectPr defaultSize="0" autoPict="0" r:id="rId37">
            <anchor moveWithCells="1" sizeWithCells="1">
              <from>
                <xdr:col>3</xdr:col>
                <xdr:colOff>476250</xdr:colOff>
                <xdr:row>66</xdr:row>
                <xdr:rowOff>19050</xdr:rowOff>
              </from>
              <to>
                <xdr:col>8</xdr:col>
                <xdr:colOff>47625</xdr:colOff>
                <xdr:row>90</xdr:row>
                <xdr:rowOff>133350</xdr:rowOff>
              </to>
            </anchor>
          </objectPr>
        </oleObject>
      </mc:Choice>
      <mc:Fallback>
        <oleObject progId="AutoSketch.Drawing.9" shapeId="6161" r:id="rId36"/>
      </mc:Fallback>
    </mc:AlternateContent>
    <mc:AlternateContent xmlns:mc="http://schemas.openxmlformats.org/markup-compatibility/2006">
      <mc:Choice Requires="x14">
        <oleObject progId="AutoSketch.Drawing.9" shapeId="6162" r:id="rId38">
          <objectPr defaultSize="0" autoPict="0" r:id="rId39">
            <anchor moveWithCells="1" sizeWithCells="1">
              <from>
                <xdr:col>3</xdr:col>
                <xdr:colOff>466725</xdr:colOff>
                <xdr:row>93</xdr:row>
                <xdr:rowOff>123825</xdr:rowOff>
              </from>
              <to>
                <xdr:col>8</xdr:col>
                <xdr:colOff>9525</xdr:colOff>
                <xdr:row>118</xdr:row>
                <xdr:rowOff>85725</xdr:rowOff>
              </to>
            </anchor>
          </objectPr>
        </oleObject>
      </mc:Choice>
      <mc:Fallback>
        <oleObject progId="AutoSketch.Drawing.9" shapeId="6162" r:id="rId38"/>
      </mc:Fallback>
    </mc:AlternateContent>
    <mc:AlternateContent xmlns:mc="http://schemas.openxmlformats.org/markup-compatibility/2006">
      <mc:Choice Requires="x14">
        <oleObject progId="AutoSketch.Drawing.9" shapeId="6163" r:id="rId40">
          <objectPr defaultSize="0" autoPict="0" r:id="rId41">
            <anchor moveWithCells="1" sizeWithCells="1">
              <from>
                <xdr:col>14</xdr:col>
                <xdr:colOff>342900</xdr:colOff>
                <xdr:row>93</xdr:row>
                <xdr:rowOff>114300</xdr:rowOff>
              </from>
              <to>
                <xdr:col>18</xdr:col>
                <xdr:colOff>361950</xdr:colOff>
                <xdr:row>118</xdr:row>
                <xdr:rowOff>85725</xdr:rowOff>
              </to>
            </anchor>
          </objectPr>
        </oleObject>
      </mc:Choice>
      <mc:Fallback>
        <oleObject progId="AutoSketch.Drawing.9" shapeId="6163" r:id="rId40"/>
      </mc:Fallback>
    </mc:AlternateContent>
    <mc:AlternateContent xmlns:mc="http://schemas.openxmlformats.org/markup-compatibility/2006">
      <mc:Choice Requires="x14">
        <oleObject progId="AutoSketch.Drawing.9" shapeId="6164" r:id="rId42">
          <objectPr defaultSize="0" autoPict="0" r:id="rId43">
            <anchor moveWithCells="1" sizeWithCells="1">
              <from>
                <xdr:col>8</xdr:col>
                <xdr:colOff>514350</xdr:colOff>
                <xdr:row>93</xdr:row>
                <xdr:rowOff>85725</xdr:rowOff>
              </from>
              <to>
                <xdr:col>13</xdr:col>
                <xdr:colOff>428625</xdr:colOff>
                <xdr:row>118</xdr:row>
                <xdr:rowOff>47625</xdr:rowOff>
              </to>
            </anchor>
          </objectPr>
        </oleObject>
      </mc:Choice>
      <mc:Fallback>
        <oleObject progId="AutoSketch.Drawing.9" shapeId="6164" r:id="rId42"/>
      </mc:Fallback>
    </mc:AlternateContent>
    <mc:AlternateContent xmlns:mc="http://schemas.openxmlformats.org/markup-compatibility/2006">
      <mc:Choice Requires="x14">
        <oleObject progId="AutoSketch.Drawing.9" shapeId="6165" r:id="rId44">
          <objectPr defaultSize="0" autoPict="0" r:id="rId45">
            <anchor moveWithCells="1" sizeWithCells="1">
              <from>
                <xdr:col>19</xdr:col>
                <xdr:colOff>333375</xdr:colOff>
                <xdr:row>93</xdr:row>
                <xdr:rowOff>85725</xdr:rowOff>
              </from>
              <to>
                <xdr:col>24</xdr:col>
                <xdr:colOff>47625</xdr:colOff>
                <xdr:row>118</xdr:row>
                <xdr:rowOff>47625</xdr:rowOff>
              </to>
            </anchor>
          </objectPr>
        </oleObject>
      </mc:Choice>
      <mc:Fallback>
        <oleObject progId="AutoSketch.Drawing.9" shapeId="6165" r:id="rId44"/>
      </mc:Fallback>
    </mc:AlternateContent>
    <mc:AlternateContent xmlns:mc="http://schemas.openxmlformats.org/markup-compatibility/2006">
      <mc:Choice Requires="x14">
        <oleObject progId="AutoSketch.Drawing.9" shapeId="6166" r:id="rId46">
          <objectPr defaultSize="0" autoPict="0" r:id="rId47">
            <anchor moveWithCells="1" sizeWithCells="1">
              <from>
                <xdr:col>25</xdr:col>
                <xdr:colOff>0</xdr:colOff>
                <xdr:row>93</xdr:row>
                <xdr:rowOff>76200</xdr:rowOff>
              </from>
              <to>
                <xdr:col>28</xdr:col>
                <xdr:colOff>238125</xdr:colOff>
                <xdr:row>118</xdr:row>
                <xdr:rowOff>47625</xdr:rowOff>
              </to>
            </anchor>
          </objectPr>
        </oleObject>
      </mc:Choice>
      <mc:Fallback>
        <oleObject progId="AutoSketch.Drawing.9" shapeId="6166" r:id="rId46"/>
      </mc:Fallback>
    </mc:AlternateContent>
    <mc:AlternateContent xmlns:mc="http://schemas.openxmlformats.org/markup-compatibility/2006">
      <mc:Choice Requires="x14">
        <oleObject progId="AutoSketch.Drawing.9" shapeId="6167" r:id="rId48">
          <objectPr defaultSize="0" autoPict="0" r:id="rId49">
            <anchor moveWithCells="1" sizeWithCells="1">
              <from>
                <xdr:col>29</xdr:col>
                <xdr:colOff>104775</xdr:colOff>
                <xdr:row>93</xdr:row>
                <xdr:rowOff>47625</xdr:rowOff>
              </from>
              <to>
                <xdr:col>32</xdr:col>
                <xdr:colOff>361950</xdr:colOff>
                <xdr:row>118</xdr:row>
                <xdr:rowOff>19050</xdr:rowOff>
              </to>
            </anchor>
          </objectPr>
        </oleObject>
      </mc:Choice>
      <mc:Fallback>
        <oleObject progId="AutoSketch.Drawing.9" shapeId="6167" r:id="rId48"/>
      </mc:Fallback>
    </mc:AlternateContent>
    <mc:AlternateContent xmlns:mc="http://schemas.openxmlformats.org/markup-compatibility/2006">
      <mc:Choice Requires="x14">
        <oleObject progId="AutoSketch.Drawing.9" shapeId="6169" r:id="rId50">
          <objectPr defaultSize="0" autoPict="0" r:id="rId51">
            <anchor moveWithCells="1" sizeWithCells="1">
              <from>
                <xdr:col>41</xdr:col>
                <xdr:colOff>0</xdr:colOff>
                <xdr:row>93</xdr:row>
                <xdr:rowOff>0</xdr:rowOff>
              </from>
              <to>
                <xdr:col>47</xdr:col>
                <xdr:colOff>409575</xdr:colOff>
                <xdr:row>117</xdr:row>
                <xdr:rowOff>133350</xdr:rowOff>
              </to>
            </anchor>
          </objectPr>
        </oleObject>
      </mc:Choice>
      <mc:Fallback>
        <oleObject progId="AutoSketch.Drawing.9" shapeId="6169" r:id="rId50"/>
      </mc:Fallback>
    </mc:AlternateContent>
    <mc:AlternateContent xmlns:mc="http://schemas.openxmlformats.org/markup-compatibility/2006">
      <mc:Choice Requires="x14">
        <oleObject progId="AutoSketch.Drawing.9" shapeId="6170" r:id="rId52">
          <objectPr defaultSize="0" autoPict="0" r:id="rId53">
            <anchor moveWithCells="1" sizeWithCells="1">
              <from>
                <xdr:col>25</xdr:col>
                <xdr:colOff>428625</xdr:colOff>
                <xdr:row>67</xdr:row>
                <xdr:rowOff>123825</xdr:rowOff>
              </from>
              <to>
                <xdr:col>29</xdr:col>
                <xdr:colOff>438150</xdr:colOff>
                <xdr:row>93</xdr:row>
                <xdr:rowOff>76200</xdr:rowOff>
              </to>
            </anchor>
          </objectPr>
        </oleObject>
      </mc:Choice>
      <mc:Fallback>
        <oleObject progId="AutoSketch.Drawing.9" shapeId="6170" r:id="rId52"/>
      </mc:Fallback>
    </mc:AlternateContent>
    <mc:AlternateContent xmlns:mc="http://schemas.openxmlformats.org/markup-compatibility/2006">
      <mc:Choice Requires="x14">
        <oleObject progId="AutoSketch.Drawing.9" shapeId="6171" r:id="rId54">
          <objectPr defaultSize="0" autoPict="0" r:id="rId55">
            <anchor moveWithCells="1" sizeWithCells="1">
              <from>
                <xdr:col>21</xdr:col>
                <xdr:colOff>266700</xdr:colOff>
                <xdr:row>67</xdr:row>
                <xdr:rowOff>104775</xdr:rowOff>
              </from>
              <to>
                <xdr:col>25</xdr:col>
                <xdr:colOff>285750</xdr:colOff>
                <xdr:row>93</xdr:row>
                <xdr:rowOff>28575</xdr:rowOff>
              </to>
            </anchor>
          </objectPr>
        </oleObject>
      </mc:Choice>
      <mc:Fallback>
        <oleObject progId="AutoSketch.Drawing.9" shapeId="6171" r:id="rId54"/>
      </mc:Fallback>
    </mc:AlternateContent>
    <mc:AlternateContent xmlns:mc="http://schemas.openxmlformats.org/markup-compatibility/2006">
      <mc:Choice Requires="x14">
        <oleObject progId="AutoSketch.Drawing.9" shapeId="6172" r:id="rId56">
          <objectPr defaultSize="0" autoPict="0" r:id="rId57">
            <anchor moveWithCells="1" sizeWithCells="1">
              <from>
                <xdr:col>7</xdr:col>
                <xdr:colOff>504825</xdr:colOff>
                <xdr:row>67</xdr:row>
                <xdr:rowOff>152400</xdr:rowOff>
              </from>
              <to>
                <xdr:col>12</xdr:col>
                <xdr:colOff>76200</xdr:colOff>
                <xdr:row>93</xdr:row>
                <xdr:rowOff>76200</xdr:rowOff>
              </to>
            </anchor>
          </objectPr>
        </oleObject>
      </mc:Choice>
      <mc:Fallback>
        <oleObject progId="AutoSketch.Drawing.9" shapeId="6172" r:id="rId56"/>
      </mc:Fallback>
    </mc:AlternateContent>
    <mc:AlternateContent xmlns:mc="http://schemas.openxmlformats.org/markup-compatibility/2006">
      <mc:Choice Requires="x14">
        <oleObject progId="AutoSketch.Drawing.9" shapeId="6173" r:id="rId58">
          <objectPr defaultSize="0" autoPict="0" r:id="rId59">
            <anchor moveWithCells="1" sizeWithCells="1">
              <from>
                <xdr:col>12</xdr:col>
                <xdr:colOff>133350</xdr:colOff>
                <xdr:row>68</xdr:row>
                <xdr:rowOff>0</xdr:rowOff>
              </from>
              <to>
                <xdr:col>16</xdr:col>
                <xdr:colOff>304800</xdr:colOff>
                <xdr:row>93</xdr:row>
                <xdr:rowOff>76200</xdr:rowOff>
              </to>
            </anchor>
          </objectPr>
        </oleObject>
      </mc:Choice>
      <mc:Fallback>
        <oleObject progId="AutoSketch.Drawing.9" shapeId="6173" r:id="rId58"/>
      </mc:Fallback>
    </mc:AlternateContent>
    <mc:AlternateContent xmlns:mc="http://schemas.openxmlformats.org/markup-compatibility/2006">
      <mc:Choice Requires="x14">
        <oleObject progId="AutoSketch.Drawing.9" shapeId="6174" r:id="rId60">
          <objectPr defaultSize="0" autoPict="0" r:id="rId61">
            <anchor moveWithCells="1" sizeWithCells="1">
              <from>
                <xdr:col>16</xdr:col>
                <xdr:colOff>428625</xdr:colOff>
                <xdr:row>67</xdr:row>
                <xdr:rowOff>152400</xdr:rowOff>
              </from>
              <to>
                <xdr:col>21</xdr:col>
                <xdr:colOff>19050</xdr:colOff>
                <xdr:row>93</xdr:row>
                <xdr:rowOff>76200</xdr:rowOff>
              </to>
            </anchor>
          </objectPr>
        </oleObject>
      </mc:Choice>
      <mc:Fallback>
        <oleObject progId="AutoSketch.Drawing.9" shapeId="6174" r:id="rId60"/>
      </mc:Fallback>
    </mc:AlternateContent>
    <mc:AlternateContent xmlns:mc="http://schemas.openxmlformats.org/markup-compatibility/2006">
      <mc:Choice Requires="x14">
        <oleObject progId="AutoSketch.Drawing.9" shapeId="6175" r:id="rId62">
          <objectPr defaultSize="0" autoPict="0" r:id="rId63">
            <anchor moveWithCells="1" sizeWithCells="1">
              <from>
                <xdr:col>31</xdr:col>
                <xdr:colOff>0</xdr:colOff>
                <xdr:row>66</xdr:row>
                <xdr:rowOff>0</xdr:rowOff>
              </from>
              <to>
                <xdr:col>37</xdr:col>
                <xdr:colOff>76200</xdr:colOff>
                <xdr:row>90</xdr:row>
                <xdr:rowOff>133350</xdr:rowOff>
              </to>
            </anchor>
          </objectPr>
        </oleObject>
      </mc:Choice>
      <mc:Fallback>
        <oleObject progId="AutoSketch.Drawing.9" shapeId="6175" r:id="rId62"/>
      </mc:Fallback>
    </mc:AlternateContent>
    <mc:AlternateContent xmlns:mc="http://schemas.openxmlformats.org/markup-compatibility/2006">
      <mc:Choice Requires="x14">
        <oleObject progId="AutoSketch.Drawing.9" shapeId="6176" r:id="rId64">
          <objectPr defaultSize="0" autoPict="0" r:id="rId65">
            <anchor moveWithCells="1" sizeWithCells="1">
              <from>
                <xdr:col>38</xdr:col>
                <xdr:colOff>0</xdr:colOff>
                <xdr:row>66</xdr:row>
                <xdr:rowOff>0</xdr:rowOff>
              </from>
              <to>
                <xdr:col>44</xdr:col>
                <xdr:colOff>47625</xdr:colOff>
                <xdr:row>90</xdr:row>
                <xdr:rowOff>133350</xdr:rowOff>
              </to>
            </anchor>
          </objectPr>
        </oleObject>
      </mc:Choice>
      <mc:Fallback>
        <oleObject progId="AutoSketch.Drawing.9" shapeId="6176" r:id="rId64"/>
      </mc:Fallback>
    </mc:AlternateContent>
    <mc:AlternateContent xmlns:mc="http://schemas.openxmlformats.org/markup-compatibility/2006">
      <mc:Choice Requires="x14">
        <oleObject progId="AutoSketch.Drawing.9" shapeId="6177" r:id="rId66">
          <objectPr defaultSize="0" autoPict="0" r:id="rId67">
            <anchor moveWithCells="1" sizeWithCells="1">
              <from>
                <xdr:col>3</xdr:col>
                <xdr:colOff>0</xdr:colOff>
                <xdr:row>126</xdr:row>
                <xdr:rowOff>0</xdr:rowOff>
              </from>
              <to>
                <xdr:col>7</xdr:col>
                <xdr:colOff>314325</xdr:colOff>
                <xdr:row>150</xdr:row>
                <xdr:rowOff>133350</xdr:rowOff>
              </to>
            </anchor>
          </objectPr>
        </oleObject>
      </mc:Choice>
      <mc:Fallback>
        <oleObject progId="AutoSketch.Drawing.9" shapeId="6177" r:id="rId66"/>
      </mc:Fallback>
    </mc:AlternateContent>
    <mc:AlternateContent xmlns:mc="http://schemas.openxmlformats.org/markup-compatibility/2006">
      <mc:Choice Requires="x14">
        <oleObject progId="AutoSketch.Drawing.9" shapeId="6179" r:id="rId68">
          <objectPr defaultSize="0" autoPict="0" r:id="rId69">
            <anchor moveWithCells="1" sizeWithCells="1">
              <from>
                <xdr:col>8</xdr:col>
                <xdr:colOff>381000</xdr:colOff>
                <xdr:row>126</xdr:row>
                <xdr:rowOff>0</xdr:rowOff>
              </from>
              <to>
                <xdr:col>13</xdr:col>
                <xdr:colOff>28575</xdr:colOff>
                <xdr:row>150</xdr:row>
                <xdr:rowOff>133350</xdr:rowOff>
              </to>
            </anchor>
          </objectPr>
        </oleObject>
      </mc:Choice>
      <mc:Fallback>
        <oleObject progId="AutoSketch.Drawing.9" shapeId="6179" r:id="rId68"/>
      </mc:Fallback>
    </mc:AlternateContent>
    <mc:AlternateContent xmlns:mc="http://schemas.openxmlformats.org/markup-compatibility/2006">
      <mc:Choice Requires="x14">
        <oleObject progId="AutoSketch.Drawing.9" shapeId="6180" r:id="rId70">
          <objectPr defaultSize="0" autoPict="0" r:id="rId71">
            <anchor moveWithCells="1" sizeWithCells="1">
              <from>
                <xdr:col>18</xdr:col>
                <xdr:colOff>0</xdr:colOff>
                <xdr:row>126</xdr:row>
                <xdr:rowOff>0</xdr:rowOff>
              </from>
              <to>
                <xdr:col>22</xdr:col>
                <xdr:colOff>171450</xdr:colOff>
                <xdr:row>150</xdr:row>
                <xdr:rowOff>133350</xdr:rowOff>
              </to>
            </anchor>
          </objectPr>
        </oleObject>
      </mc:Choice>
      <mc:Fallback>
        <oleObject progId="AutoSketch.Drawing.9" shapeId="6180" r:id="rId70"/>
      </mc:Fallback>
    </mc:AlternateContent>
    <mc:AlternateContent xmlns:mc="http://schemas.openxmlformats.org/markup-compatibility/2006">
      <mc:Choice Requires="x14">
        <oleObject progId="AutoSketch.Drawing.9" shapeId="6181" r:id="rId72">
          <objectPr defaultSize="0" autoPict="0" r:id="rId73">
            <anchor moveWithCells="1" sizeWithCells="1">
              <from>
                <xdr:col>23</xdr:col>
                <xdr:colOff>0</xdr:colOff>
                <xdr:row>126</xdr:row>
                <xdr:rowOff>0</xdr:rowOff>
              </from>
              <to>
                <xdr:col>27</xdr:col>
                <xdr:colOff>171450</xdr:colOff>
                <xdr:row>150</xdr:row>
                <xdr:rowOff>133350</xdr:rowOff>
              </to>
            </anchor>
          </objectPr>
        </oleObject>
      </mc:Choice>
      <mc:Fallback>
        <oleObject progId="AutoSketch.Drawing.9" shapeId="6181" r:id="rId72"/>
      </mc:Fallback>
    </mc:AlternateContent>
    <mc:AlternateContent xmlns:mc="http://schemas.openxmlformats.org/markup-compatibility/2006">
      <mc:Choice Requires="x14">
        <oleObject progId="AutoSketch.Drawing.9" shapeId="6182" r:id="rId74">
          <objectPr defaultSize="0" autoPict="0" r:id="rId75">
            <anchor moveWithCells="1" sizeWithCells="1">
              <from>
                <xdr:col>28</xdr:col>
                <xdr:colOff>0</xdr:colOff>
                <xdr:row>126</xdr:row>
                <xdr:rowOff>0</xdr:rowOff>
              </from>
              <to>
                <xdr:col>32</xdr:col>
                <xdr:colOff>171450</xdr:colOff>
                <xdr:row>150</xdr:row>
                <xdr:rowOff>133350</xdr:rowOff>
              </to>
            </anchor>
          </objectPr>
        </oleObject>
      </mc:Choice>
      <mc:Fallback>
        <oleObject progId="AutoSketch.Drawing.9" shapeId="6182" r:id="rId74"/>
      </mc:Fallback>
    </mc:AlternateContent>
    <mc:AlternateContent xmlns:mc="http://schemas.openxmlformats.org/markup-compatibility/2006">
      <mc:Choice Requires="x14">
        <oleObject progId="AutoSketch.Drawing.9" shapeId="6183" r:id="rId76">
          <objectPr defaultSize="0" autoPict="0" r:id="rId77">
            <anchor moveWithCells="1" sizeWithCells="1">
              <from>
                <xdr:col>33</xdr:col>
                <xdr:colOff>0</xdr:colOff>
                <xdr:row>126</xdr:row>
                <xdr:rowOff>0</xdr:rowOff>
              </from>
              <to>
                <xdr:col>39</xdr:col>
                <xdr:colOff>476250</xdr:colOff>
                <xdr:row>150</xdr:row>
                <xdr:rowOff>133350</xdr:rowOff>
              </to>
            </anchor>
          </objectPr>
        </oleObject>
      </mc:Choice>
      <mc:Fallback>
        <oleObject progId="AutoSketch.Drawing.9" shapeId="6183" r:id="rId76"/>
      </mc:Fallback>
    </mc:AlternateContent>
    <mc:AlternateContent xmlns:mc="http://schemas.openxmlformats.org/markup-compatibility/2006">
      <mc:Choice Requires="x14">
        <oleObject progId="AutoSketch.Drawing.9" shapeId="6184" r:id="rId78">
          <objectPr defaultSize="0" autoPict="0" r:id="rId79">
            <anchor moveWithCells="1" sizeWithCells="1">
              <from>
                <xdr:col>40</xdr:col>
                <xdr:colOff>0</xdr:colOff>
                <xdr:row>126</xdr:row>
                <xdr:rowOff>0</xdr:rowOff>
              </from>
              <to>
                <xdr:col>46</xdr:col>
                <xdr:colOff>504825</xdr:colOff>
                <xdr:row>150</xdr:row>
                <xdr:rowOff>133350</xdr:rowOff>
              </to>
            </anchor>
          </objectPr>
        </oleObject>
      </mc:Choice>
      <mc:Fallback>
        <oleObject progId="AutoSketch.Drawing.9" shapeId="6184" r:id="rId78"/>
      </mc:Fallback>
    </mc:AlternateContent>
    <mc:AlternateContent xmlns:mc="http://schemas.openxmlformats.org/markup-compatibility/2006">
      <mc:Choice Requires="x14">
        <oleObject progId="AutoSketch.Drawing.9" shapeId="6185" r:id="rId80">
          <objectPr defaultSize="0" autoPict="0" r:id="rId81">
            <anchor moveWithCells="1" sizeWithCells="1">
              <from>
                <xdr:col>4</xdr:col>
                <xdr:colOff>9525</xdr:colOff>
                <xdr:row>160</xdr:row>
                <xdr:rowOff>0</xdr:rowOff>
              </from>
              <to>
                <xdr:col>7</xdr:col>
                <xdr:colOff>238125</xdr:colOff>
                <xdr:row>184</xdr:row>
                <xdr:rowOff>133350</xdr:rowOff>
              </to>
            </anchor>
          </objectPr>
        </oleObject>
      </mc:Choice>
      <mc:Fallback>
        <oleObject progId="AutoSketch.Drawing.9" shapeId="6185" r:id="rId80"/>
      </mc:Fallback>
    </mc:AlternateContent>
    <mc:AlternateContent xmlns:mc="http://schemas.openxmlformats.org/markup-compatibility/2006">
      <mc:Choice Requires="x14">
        <oleObject progId="AutoSketch.Drawing.9" shapeId="6186" r:id="rId82">
          <objectPr defaultSize="0" autoPict="0" r:id="rId83">
            <anchor moveWithCells="1" sizeWithCells="1">
              <from>
                <xdr:col>8</xdr:col>
                <xdr:colOff>0</xdr:colOff>
                <xdr:row>160</xdr:row>
                <xdr:rowOff>0</xdr:rowOff>
              </from>
              <to>
                <xdr:col>12</xdr:col>
                <xdr:colOff>123825</xdr:colOff>
                <xdr:row>184</xdr:row>
                <xdr:rowOff>133350</xdr:rowOff>
              </to>
            </anchor>
          </objectPr>
        </oleObject>
      </mc:Choice>
      <mc:Fallback>
        <oleObject progId="AutoSketch.Drawing.9" shapeId="6186" r:id="rId82"/>
      </mc:Fallback>
    </mc:AlternateContent>
    <mc:AlternateContent xmlns:mc="http://schemas.openxmlformats.org/markup-compatibility/2006">
      <mc:Choice Requires="x14">
        <oleObject progId="AutoSketch.Drawing.9" shapeId="6187" r:id="rId84">
          <objectPr defaultSize="0" autoPict="0" r:id="rId85">
            <anchor moveWithCells="1" sizeWithCells="1">
              <from>
                <xdr:col>13</xdr:col>
                <xdr:colOff>0</xdr:colOff>
                <xdr:row>160</xdr:row>
                <xdr:rowOff>0</xdr:rowOff>
              </from>
              <to>
                <xdr:col>17</xdr:col>
                <xdr:colOff>142875</xdr:colOff>
                <xdr:row>184</xdr:row>
                <xdr:rowOff>133350</xdr:rowOff>
              </to>
            </anchor>
          </objectPr>
        </oleObject>
      </mc:Choice>
      <mc:Fallback>
        <oleObject progId="AutoSketch.Drawing.9" shapeId="6187" r:id="rId84"/>
      </mc:Fallback>
    </mc:AlternateContent>
    <mc:AlternateContent xmlns:mc="http://schemas.openxmlformats.org/markup-compatibility/2006">
      <mc:Choice Requires="x14">
        <oleObject progId="AutoSketch.Drawing.9" shapeId="6188" r:id="rId86">
          <objectPr defaultSize="0" autoPict="0" r:id="rId87">
            <anchor moveWithCells="1" sizeWithCells="1">
              <from>
                <xdr:col>18</xdr:col>
                <xdr:colOff>0</xdr:colOff>
                <xdr:row>160</xdr:row>
                <xdr:rowOff>0</xdr:rowOff>
              </from>
              <to>
                <xdr:col>22</xdr:col>
                <xdr:colOff>266700</xdr:colOff>
                <xdr:row>184</xdr:row>
                <xdr:rowOff>133350</xdr:rowOff>
              </to>
            </anchor>
          </objectPr>
        </oleObject>
      </mc:Choice>
      <mc:Fallback>
        <oleObject progId="AutoSketch.Drawing.9" shapeId="6188" r:id="rId86"/>
      </mc:Fallback>
    </mc:AlternateContent>
    <mc:AlternateContent xmlns:mc="http://schemas.openxmlformats.org/markup-compatibility/2006">
      <mc:Choice Requires="x14">
        <oleObject progId="AutoSketch.Drawing.9" shapeId="6189" r:id="rId88">
          <objectPr defaultSize="0" autoPict="0" r:id="rId89">
            <anchor moveWithCells="1" sizeWithCells="1">
              <from>
                <xdr:col>23</xdr:col>
                <xdr:colOff>28575</xdr:colOff>
                <xdr:row>160</xdr:row>
                <xdr:rowOff>28575</xdr:rowOff>
              </from>
              <to>
                <xdr:col>27</xdr:col>
                <xdr:colOff>219075</xdr:colOff>
                <xdr:row>186</xdr:row>
                <xdr:rowOff>47625</xdr:rowOff>
              </to>
            </anchor>
          </objectPr>
        </oleObject>
      </mc:Choice>
      <mc:Fallback>
        <oleObject progId="AutoSketch.Drawing.9" shapeId="6189" r:id="rId88"/>
      </mc:Fallback>
    </mc:AlternateContent>
    <mc:AlternateContent xmlns:mc="http://schemas.openxmlformats.org/markup-compatibility/2006">
      <mc:Choice Requires="x14">
        <oleObject progId="AutoSketch.Drawing.9" shapeId="6190" r:id="rId90">
          <objectPr defaultSize="0" autoPict="0" r:id="rId91">
            <anchor moveWithCells="1" sizeWithCells="1">
              <from>
                <xdr:col>28</xdr:col>
                <xdr:colOff>0</xdr:colOff>
                <xdr:row>160</xdr:row>
                <xdr:rowOff>0</xdr:rowOff>
              </from>
              <to>
                <xdr:col>35</xdr:col>
                <xdr:colOff>381000</xdr:colOff>
                <xdr:row>182</xdr:row>
                <xdr:rowOff>85725</xdr:rowOff>
              </to>
            </anchor>
          </objectPr>
        </oleObject>
      </mc:Choice>
      <mc:Fallback>
        <oleObject progId="AutoSketch.Drawing.9" shapeId="6190" r:id="rId90"/>
      </mc:Fallback>
    </mc:AlternateContent>
    <mc:AlternateContent xmlns:mc="http://schemas.openxmlformats.org/markup-compatibility/2006">
      <mc:Choice Requires="x14">
        <oleObject progId="AutoSketch.Drawing.9" shapeId="6191" r:id="rId92">
          <objectPr defaultSize="0" autoPict="0" r:id="rId93">
            <anchor moveWithCells="1" sizeWithCells="1">
              <from>
                <xdr:col>36</xdr:col>
                <xdr:colOff>152400</xdr:colOff>
                <xdr:row>158</xdr:row>
                <xdr:rowOff>19050</xdr:rowOff>
              </from>
              <to>
                <xdr:col>43</xdr:col>
                <xdr:colOff>76200</xdr:colOff>
                <xdr:row>182</xdr:row>
                <xdr:rowOff>133350</xdr:rowOff>
              </to>
            </anchor>
          </objectPr>
        </oleObject>
      </mc:Choice>
      <mc:Fallback>
        <oleObject progId="AutoSketch.Drawing.9" shapeId="6191" r:id="rId92"/>
      </mc:Fallback>
    </mc:AlternateContent>
    <mc:AlternateContent xmlns:mc="http://schemas.openxmlformats.org/markup-compatibility/2006">
      <mc:Choice Requires="x14">
        <oleObject progId="AutoSketch.Drawing.9" shapeId="6192" r:id="rId94">
          <objectPr defaultSize="0" autoPict="0" r:id="rId95">
            <anchor moveWithCells="1">
              <from>
                <xdr:col>34</xdr:col>
                <xdr:colOff>0</xdr:colOff>
                <xdr:row>93</xdr:row>
                <xdr:rowOff>0</xdr:rowOff>
              </from>
              <to>
                <xdr:col>40</xdr:col>
                <xdr:colOff>247650</xdr:colOff>
                <xdr:row>117</xdr:row>
                <xdr:rowOff>47625</xdr:rowOff>
              </to>
            </anchor>
          </objectPr>
        </oleObject>
      </mc:Choice>
      <mc:Fallback>
        <oleObject progId="AutoSketch.Drawing.9" shapeId="6192" r:id="rId94"/>
      </mc:Fallback>
    </mc:AlternateContent>
    <mc:AlternateContent xmlns:mc="http://schemas.openxmlformats.org/markup-compatibility/2006">
      <mc:Choice Requires="x14">
        <oleObject progId="AutoSketch.Drawing.9" shapeId="6193" r:id="rId96">
          <objectPr defaultSize="0" r:id="rId97">
            <anchor moveWithCells="1">
              <from>
                <xdr:col>44</xdr:col>
                <xdr:colOff>0</xdr:colOff>
                <xdr:row>39</xdr:row>
                <xdr:rowOff>95250</xdr:rowOff>
              </from>
              <to>
                <xdr:col>52</xdr:col>
                <xdr:colOff>428625</xdr:colOff>
                <xdr:row>73</xdr:row>
                <xdr:rowOff>85725</xdr:rowOff>
              </to>
            </anchor>
          </objectPr>
        </oleObject>
      </mc:Choice>
      <mc:Fallback>
        <oleObject progId="AutoSketch.Drawing.9" shapeId="6193" r:id="rId96"/>
      </mc:Fallback>
    </mc:AlternateContent>
    <mc:AlternateContent xmlns:mc="http://schemas.openxmlformats.org/markup-compatibility/2006">
      <mc:Choice Requires="x14">
        <oleObject progId="AutoSketch.Drawing.9" shapeId="6194" r:id="rId98">
          <objectPr defaultSize="0" r:id="rId99">
            <anchor moveWithCells="1">
              <from>
                <xdr:col>55</xdr:col>
                <xdr:colOff>0</xdr:colOff>
                <xdr:row>39</xdr:row>
                <xdr:rowOff>38100</xdr:rowOff>
              </from>
              <to>
                <xdr:col>60</xdr:col>
                <xdr:colOff>504825</xdr:colOff>
                <xdr:row>64</xdr:row>
                <xdr:rowOff>9525</xdr:rowOff>
              </to>
            </anchor>
          </objectPr>
        </oleObject>
      </mc:Choice>
      <mc:Fallback>
        <oleObject progId="AutoSketch.Drawing.9" shapeId="6194" r:id="rId98"/>
      </mc:Fallback>
    </mc:AlternateContent>
    <mc:AlternateContent xmlns:mc="http://schemas.openxmlformats.org/markup-compatibility/2006">
      <mc:Choice Requires="x14">
        <oleObject progId="AutoSketch.Drawing.9" shapeId="6195" r:id="rId100">
          <objectPr defaultSize="0" r:id="rId101">
            <anchor moveWithCells="1">
              <from>
                <xdr:col>64</xdr:col>
                <xdr:colOff>0</xdr:colOff>
                <xdr:row>39</xdr:row>
                <xdr:rowOff>19050</xdr:rowOff>
              </from>
              <to>
                <xdr:col>72</xdr:col>
                <xdr:colOff>428625</xdr:colOff>
                <xdr:row>73</xdr:row>
                <xdr:rowOff>9525</xdr:rowOff>
              </to>
            </anchor>
          </objectPr>
        </oleObject>
      </mc:Choice>
      <mc:Fallback>
        <oleObject progId="AutoSketch.Drawing.9" shapeId="6195" r:id="rId100"/>
      </mc:Fallback>
    </mc:AlternateContent>
  </oleObject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topLeftCell="A4" zoomScale="80" zoomScaleNormal="80" workbookViewId="0">
      <selection activeCell="T54" sqref="T54"/>
    </sheetView>
  </sheetViews>
  <sheetFormatPr defaultColWidth="8.7109375" defaultRowHeight="12.75" x14ac:dyDescent="0.2"/>
  <cols>
    <col min="1" max="16384" width="8.7109375" style="18"/>
  </cols>
  <sheetData/>
  <sheetProtection selectLockedCells="1" selectUnlockedCells="1"/>
  <pageMargins left="0.7" right="0.7" top="0.75" bottom="0.75" header="0.51180555555555551" footer="0.51180555555555551"/>
  <pageSetup firstPageNumber="0" orientation="portrait" horizontalDpi="300" verticalDpi="300" r:id="rId1"/>
  <headerFooter alignWithMargins="0"/>
  <drawing r:id="rId2"/>
  <legacyDrawing r:id="rId3"/>
  <oleObjects>
    <mc:AlternateContent xmlns:mc="http://schemas.openxmlformats.org/markup-compatibility/2006">
      <mc:Choice Requires="x14">
        <oleObject progId="AutoSketch.Drawing.9" shapeId="7170" r:id="rId4">
          <objectPr defaultSize="0" r:id="rId5">
            <anchor moveWithCells="1" sizeWithCells="1">
              <from>
                <xdr:col>1</xdr:col>
                <xdr:colOff>190500</xdr:colOff>
                <xdr:row>1</xdr:row>
                <xdr:rowOff>0</xdr:rowOff>
              </from>
              <to>
                <xdr:col>5</xdr:col>
                <xdr:colOff>533400</xdr:colOff>
                <xdr:row>28</xdr:row>
                <xdr:rowOff>47625</xdr:rowOff>
              </to>
            </anchor>
          </objectPr>
        </oleObject>
      </mc:Choice>
      <mc:Fallback>
        <oleObject progId="AutoSketch.Drawing.9" shapeId="7170" r:id="rId4"/>
      </mc:Fallback>
    </mc:AlternateContent>
    <mc:AlternateContent xmlns:mc="http://schemas.openxmlformats.org/markup-compatibility/2006">
      <mc:Choice Requires="x14">
        <oleObject progId="AutoSketch.Drawing.9" shapeId="7171" r:id="rId6">
          <objectPr defaultSize="0" r:id="rId7">
            <anchor moveWithCells="1" sizeWithCells="1">
              <from>
                <xdr:col>6</xdr:col>
                <xdr:colOff>0</xdr:colOff>
                <xdr:row>1</xdr:row>
                <xdr:rowOff>19050</xdr:rowOff>
              </from>
              <to>
                <xdr:col>10</xdr:col>
                <xdr:colOff>333375</xdr:colOff>
                <xdr:row>28</xdr:row>
                <xdr:rowOff>66675</xdr:rowOff>
              </to>
            </anchor>
          </objectPr>
        </oleObject>
      </mc:Choice>
      <mc:Fallback>
        <oleObject progId="AutoSketch.Drawing.9" shapeId="7171" r:id="rId6"/>
      </mc:Fallback>
    </mc:AlternateContent>
    <mc:AlternateContent xmlns:mc="http://schemas.openxmlformats.org/markup-compatibility/2006">
      <mc:Choice Requires="x14">
        <oleObject progId="AutoSketch.Drawing.9" shapeId="7172" r:id="rId8">
          <objectPr defaultSize="0" r:id="rId9">
            <anchor moveWithCells="1" sizeWithCells="1">
              <from>
                <xdr:col>10</xdr:col>
                <xdr:colOff>381000</xdr:colOff>
                <xdr:row>1</xdr:row>
                <xdr:rowOff>0</xdr:rowOff>
              </from>
              <to>
                <xdr:col>15</xdr:col>
                <xdr:colOff>123825</xdr:colOff>
                <xdr:row>28</xdr:row>
                <xdr:rowOff>47625</xdr:rowOff>
              </to>
            </anchor>
          </objectPr>
        </oleObject>
      </mc:Choice>
      <mc:Fallback>
        <oleObject progId="AutoSketch.Drawing.9" shapeId="7172" r:id="rId8"/>
      </mc:Fallback>
    </mc:AlternateContent>
    <mc:AlternateContent xmlns:mc="http://schemas.openxmlformats.org/markup-compatibility/2006">
      <mc:Choice Requires="x14">
        <oleObject progId="AutoSketch.Drawing.9" shapeId="7173" r:id="rId10">
          <objectPr defaultSize="0" r:id="rId11">
            <anchor moveWithCells="1" sizeWithCells="1">
              <from>
                <xdr:col>15</xdr:col>
                <xdr:colOff>228600</xdr:colOff>
                <xdr:row>1</xdr:row>
                <xdr:rowOff>9525</xdr:rowOff>
              </from>
              <to>
                <xdr:col>20</xdr:col>
                <xdr:colOff>95250</xdr:colOff>
                <xdr:row>28</xdr:row>
                <xdr:rowOff>57150</xdr:rowOff>
              </to>
            </anchor>
          </objectPr>
        </oleObject>
      </mc:Choice>
      <mc:Fallback>
        <oleObject progId="AutoSketch.Drawing.9" shapeId="7173" r:id="rId10"/>
      </mc:Fallback>
    </mc:AlternateContent>
    <mc:AlternateContent xmlns:mc="http://schemas.openxmlformats.org/markup-compatibility/2006">
      <mc:Choice Requires="x14">
        <oleObject progId="AutoSketch.Drawing.9" shapeId="7185" r:id="rId12">
          <objectPr defaultSize="0" r:id="rId13">
            <anchor moveWithCells="1">
              <from>
                <xdr:col>21</xdr:col>
                <xdr:colOff>0</xdr:colOff>
                <xdr:row>1</xdr:row>
                <xdr:rowOff>0</xdr:rowOff>
              </from>
              <to>
                <xdr:col>27</xdr:col>
                <xdr:colOff>190500</xdr:colOff>
                <xdr:row>37</xdr:row>
                <xdr:rowOff>66675</xdr:rowOff>
              </to>
            </anchor>
          </objectPr>
        </oleObject>
      </mc:Choice>
      <mc:Fallback>
        <oleObject progId="AutoSketch.Drawing.9" shapeId="7185" r:id="rId12"/>
      </mc:Fallback>
    </mc:AlternateContent>
  </oleObjec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C3:BK28"/>
  <sheetViews>
    <sheetView zoomScale="80" zoomScaleNormal="80" workbookViewId="0">
      <selection activeCell="V15" sqref="V15"/>
    </sheetView>
  </sheetViews>
  <sheetFormatPr defaultColWidth="8.85546875" defaultRowHeight="21" x14ac:dyDescent="0.2"/>
  <cols>
    <col min="1" max="1" width="6.7109375" style="464" customWidth="1"/>
    <col min="2" max="2" width="10.28515625" style="464" customWidth="1"/>
    <col min="3" max="3" width="15.42578125" style="464" customWidth="1"/>
    <col min="4" max="19" width="4.28515625" style="464" customWidth="1"/>
    <col min="20" max="20" width="5.85546875" style="464" customWidth="1"/>
    <col min="21" max="21" width="4.28515625" style="464" customWidth="1"/>
    <col min="22" max="22" width="12.85546875" style="464" customWidth="1"/>
    <col min="23" max="50" width="4.28515625" style="464" customWidth="1"/>
    <col min="51" max="51" width="8.7109375" style="464" customWidth="1"/>
    <col min="52" max="59" width="4.28515625" style="464" customWidth="1"/>
    <col min="60" max="16384" width="8.85546875" style="464"/>
  </cols>
  <sheetData>
    <row r="3" spans="3:63" ht="46.5" x14ac:dyDescent="0.2">
      <c r="C3" s="1244" t="s">
        <v>594</v>
      </c>
      <c r="D3" s="1244"/>
      <c r="E3" s="1244"/>
      <c r="F3" s="1244"/>
      <c r="G3" s="1244"/>
      <c r="H3" s="1244"/>
      <c r="I3" s="1244"/>
      <c r="J3" s="1244"/>
      <c r="K3" s="1244"/>
      <c r="L3" s="1244"/>
      <c r="M3" s="1244"/>
      <c r="N3" s="1244"/>
      <c r="O3" s="1244"/>
      <c r="P3" s="1244"/>
      <c r="Q3" s="1244"/>
      <c r="R3" s="1244"/>
      <c r="S3" s="1244"/>
      <c r="AA3" s="538"/>
      <c r="AB3" s="538"/>
      <c r="AC3" s="538"/>
      <c r="AD3" s="538"/>
      <c r="AE3" s="538"/>
      <c r="AF3" s="538"/>
    </row>
    <row r="5" spans="3:63" ht="46.5" x14ac:dyDescent="0.45">
      <c r="H5" s="1245" t="s">
        <v>595</v>
      </c>
      <c r="I5" s="1245"/>
      <c r="J5" s="1245"/>
      <c r="K5" s="1245"/>
      <c r="L5" s="1245"/>
      <c r="M5" s="1245"/>
      <c r="N5" s="1245"/>
      <c r="O5" s="1246" t="str">
        <f>'Data entry'!L2</f>
        <v>Phillips</v>
      </c>
      <c r="P5" s="1246"/>
      <c r="Q5" s="1246"/>
      <c r="R5" s="1246"/>
      <c r="S5" s="1246"/>
      <c r="T5" s="1246"/>
      <c r="U5" s="1246"/>
      <c r="V5" s="1246"/>
      <c r="W5" s="1246"/>
      <c r="X5" s="1246"/>
      <c r="Y5" s="1246"/>
      <c r="Z5" s="1246"/>
    </row>
    <row r="6" spans="3:63" ht="24.4" customHeight="1" x14ac:dyDescent="0.2"/>
    <row r="7" spans="3:63" s="539" customFormat="1" ht="34.5" customHeight="1" x14ac:dyDescent="0.2">
      <c r="C7" s="1247" t="s">
        <v>451</v>
      </c>
      <c r="D7" s="1247"/>
      <c r="E7" s="1247"/>
      <c r="F7" s="1247"/>
      <c r="G7" s="1248">
        <f>'Data entry'!Q10</f>
        <v>30</v>
      </c>
      <c r="H7" s="1248"/>
      <c r="I7" s="1248"/>
      <c r="P7" s="1249">
        <f>'Data entry'!Q13</f>
        <v>2</v>
      </c>
      <c r="Q7" s="1249"/>
      <c r="R7" s="1250" t="s">
        <v>5</v>
      </c>
      <c r="S7" s="1250"/>
      <c r="T7" s="1251">
        <f>'Data entry'!S13</f>
        <v>12</v>
      </c>
      <c r="U7" s="1251"/>
      <c r="V7" s="1252" t="s">
        <v>596</v>
      </c>
      <c r="W7" s="1252"/>
      <c r="X7" s="1252"/>
      <c r="Y7" s="1252"/>
      <c r="Z7" s="1252"/>
      <c r="AA7" s="1252"/>
      <c r="AB7" s="1252"/>
      <c r="AU7" s="540"/>
      <c r="AV7" s="540"/>
      <c r="AW7" s="540"/>
      <c r="AX7" s="540"/>
      <c r="AY7" s="540"/>
      <c r="AZ7" s="540"/>
      <c r="BA7" s="540"/>
      <c r="BB7" s="540"/>
      <c r="BC7" s="540"/>
      <c r="BD7" s="540"/>
      <c r="BE7" s="540"/>
      <c r="BF7" s="540"/>
      <c r="BG7" s="540"/>
      <c r="BH7" s="540"/>
      <c r="BI7" s="540"/>
      <c r="BJ7" s="540"/>
    </row>
    <row r="8" spans="3:63" ht="21.6" customHeight="1" x14ac:dyDescent="0.2">
      <c r="AV8" s="541"/>
      <c r="AW8" s="541"/>
      <c r="AX8" s="541"/>
      <c r="AY8" s="541"/>
      <c r="AZ8" s="541"/>
      <c r="BA8" s="541"/>
      <c r="BB8" s="541"/>
      <c r="BC8" s="541"/>
      <c r="BD8" s="541"/>
      <c r="BE8" s="541"/>
      <c r="BF8" s="541"/>
      <c r="BG8" s="541"/>
      <c r="BH8" s="541"/>
      <c r="BI8" s="541"/>
      <c r="BJ8" s="541"/>
      <c r="BK8" s="541"/>
    </row>
    <row r="9" spans="3:63" s="542" customFormat="1" ht="27" customHeight="1" x14ac:dyDescent="0.2">
      <c r="C9" s="965" t="s">
        <v>280</v>
      </c>
      <c r="D9" s="965"/>
      <c r="E9" s="965"/>
      <c r="F9" s="965"/>
      <c r="G9" s="965"/>
      <c r="H9" s="965"/>
      <c r="I9" s="965"/>
      <c r="J9" s="965"/>
      <c r="K9" s="965"/>
      <c r="L9" s="965" t="s">
        <v>501</v>
      </c>
      <c r="M9" s="965"/>
      <c r="N9" s="965"/>
      <c r="O9" s="965"/>
      <c r="P9" s="965"/>
      <c r="Q9" s="965"/>
      <c r="R9" s="965" t="s">
        <v>502</v>
      </c>
      <c r="S9" s="965"/>
      <c r="T9" s="965"/>
      <c r="U9" s="965"/>
      <c r="V9" s="965"/>
      <c r="W9" s="965"/>
      <c r="X9" s="965"/>
      <c r="Y9" s="965"/>
      <c r="Z9" s="965"/>
      <c r="AA9" s="965"/>
      <c r="AB9" s="965"/>
      <c r="AC9" s="965"/>
      <c r="AD9" s="965"/>
      <c r="AE9" s="965"/>
      <c r="AF9" s="965"/>
      <c r="AG9" s="965"/>
      <c r="AH9" s="965"/>
      <c r="AI9" s="965"/>
      <c r="AJ9" s="965"/>
      <c r="AV9" s="543"/>
      <c r="AW9" s="543"/>
      <c r="AX9" s="1243">
        <f>IF(T7=8,6,IF(T7=10,8,10))</f>
        <v>10</v>
      </c>
      <c r="AY9" s="1243"/>
      <c r="AZ9" s="544"/>
      <c r="BA9" s="543" t="s">
        <v>597</v>
      </c>
      <c r="BB9" s="543"/>
      <c r="BC9" s="543"/>
      <c r="BD9" s="543"/>
      <c r="BE9" s="543"/>
      <c r="BF9" s="543"/>
      <c r="BG9" s="543"/>
      <c r="BH9" s="543"/>
      <c r="BI9" s="543"/>
      <c r="BJ9" s="543"/>
      <c r="BK9" s="543"/>
    </row>
    <row r="10" spans="3:63" ht="27" customHeight="1" x14ac:dyDescent="0.2">
      <c r="C10" s="936" t="str">
        <f>IF(L10=" "," ","Bird Blocks")</f>
        <v>Bird Blocks</v>
      </c>
      <c r="D10" s="936"/>
      <c r="E10" s="936"/>
      <c r="F10" s="936"/>
      <c r="G10" s="936"/>
      <c r="H10" s="936"/>
      <c r="I10" s="936"/>
      <c r="J10" s="936"/>
      <c r="K10" s="936"/>
      <c r="L10" s="937">
        <f>IF(G7=35,1,0)</f>
        <v>0</v>
      </c>
      <c r="M10" s="937"/>
      <c r="N10" s="937"/>
      <c r="O10" s="937"/>
      <c r="P10" s="937"/>
      <c r="Q10" s="937"/>
      <c r="R10" s="460">
        <f>IF(L10=" "," ",2)</f>
        <v>2</v>
      </c>
      <c r="S10" s="545" t="str">
        <f>IF(L10=" "," ","x")</f>
        <v>x</v>
      </c>
      <c r="T10" s="545">
        <f>IF(L10=" "," ",AX9)</f>
        <v>10</v>
      </c>
      <c r="U10" s="545" t="str">
        <f>IF(L10=" "," ","x")</f>
        <v>x</v>
      </c>
      <c r="V10" s="462">
        <f>IF(L10=" "," ",12)</f>
        <v>12</v>
      </c>
      <c r="W10" s="937" t="str">
        <f>IF(L10=" "," "," FLAT &amp; Clean &amp; TK")</f>
        <v xml:space="preserve"> FLAT &amp; Clean &amp; TK</v>
      </c>
      <c r="X10" s="937"/>
      <c r="Y10" s="937"/>
      <c r="Z10" s="937"/>
      <c r="AA10" s="937"/>
      <c r="AB10" s="937"/>
      <c r="AC10" s="937"/>
      <c r="AD10" s="937"/>
      <c r="AE10" s="937"/>
      <c r="AF10" s="937"/>
      <c r="AG10" s="937"/>
      <c r="AH10" s="937"/>
      <c r="AI10" s="937"/>
      <c r="AJ10" s="937"/>
      <c r="AV10" s="541"/>
      <c r="AW10" s="541"/>
      <c r="AX10" s="1243"/>
      <c r="AY10" s="1243"/>
      <c r="AZ10" s="544"/>
      <c r="BA10" s="541"/>
      <c r="BB10" s="541"/>
      <c r="BC10" s="541"/>
      <c r="BD10" s="541"/>
      <c r="BE10" s="541"/>
      <c r="BF10" s="541"/>
      <c r="BG10" s="541"/>
      <c r="BH10" s="541"/>
      <c r="BI10" s="541"/>
      <c r="BJ10" s="541"/>
      <c r="BK10" s="541"/>
    </row>
    <row r="11" spans="3:63" ht="27" customHeight="1" x14ac:dyDescent="0.2">
      <c r="C11" s="936" t="s">
        <v>598</v>
      </c>
      <c r="D11" s="936"/>
      <c r="E11" s="936"/>
      <c r="F11" s="936"/>
      <c r="G11" s="936"/>
      <c r="H11" s="936"/>
      <c r="I11" s="936"/>
      <c r="J11" s="936"/>
      <c r="K11" s="936"/>
      <c r="L11" s="937">
        <f>IF(G7=20,4,IF(G7=25,5,IF(G7=30,6,IF(G7=35,6,IF(G7=41,8)))))</f>
        <v>6</v>
      </c>
      <c r="M11" s="937"/>
      <c r="N11" s="937"/>
      <c r="O11" s="937"/>
      <c r="P11" s="937"/>
      <c r="Q11" s="937"/>
      <c r="R11" s="460">
        <f>IF(L11=" "," ",2)</f>
        <v>2</v>
      </c>
      <c r="S11" s="545" t="str">
        <f>IF(L11=" "," ","x")</f>
        <v>x</v>
      </c>
      <c r="T11" s="545">
        <f>IF(L11=" "," ",AX9)</f>
        <v>10</v>
      </c>
      <c r="U11" s="545" t="str">
        <f>IF(L11=" "," ","x")</f>
        <v>x</v>
      </c>
      <c r="V11" s="462">
        <v>16</v>
      </c>
      <c r="W11" s="937" t="str">
        <f>IF(L11=" "," "," FLAT &amp; Clean &amp; TK")</f>
        <v xml:space="preserve"> FLAT &amp; Clean &amp; TK</v>
      </c>
      <c r="X11" s="937"/>
      <c r="Y11" s="937"/>
      <c r="Z11" s="937"/>
      <c r="AA11" s="937"/>
      <c r="AB11" s="937"/>
      <c r="AC11" s="937"/>
      <c r="AD11" s="937"/>
      <c r="AE11" s="937"/>
      <c r="AF11" s="937"/>
      <c r="AG11" s="937"/>
      <c r="AH11" s="937"/>
      <c r="AI11" s="937"/>
      <c r="AJ11" s="937"/>
      <c r="AV11" s="541"/>
      <c r="AW11" s="541"/>
      <c r="AX11" s="541"/>
      <c r="AY11" s="541"/>
      <c r="AZ11" s="541"/>
      <c r="BA11" s="541"/>
      <c r="BB11" s="541"/>
      <c r="BC11" s="541"/>
      <c r="BD11" s="541"/>
      <c r="BE11" s="541"/>
      <c r="BF11" s="541"/>
      <c r="BG11" s="541"/>
      <c r="BH11" s="541"/>
      <c r="BI11" s="541"/>
      <c r="BJ11" s="541"/>
      <c r="BK11" s="541"/>
    </row>
    <row r="12" spans="3:63" ht="27" customHeight="1" x14ac:dyDescent="0.2">
      <c r="C12" s="936" t="str">
        <f>IF(L12=" "," ","Top Plates")</f>
        <v>Top Plates</v>
      </c>
      <c r="D12" s="936"/>
      <c r="E12" s="936"/>
      <c r="F12" s="936"/>
      <c r="G12" s="936"/>
      <c r="H12" s="936"/>
      <c r="I12" s="936"/>
      <c r="J12" s="936"/>
      <c r="K12" s="936"/>
      <c r="L12" s="937">
        <f>IF(G7=35,1,0)</f>
        <v>0</v>
      </c>
      <c r="M12" s="937"/>
      <c r="N12" s="937"/>
      <c r="O12" s="937"/>
      <c r="P12" s="937"/>
      <c r="Q12" s="937"/>
      <c r="R12" s="460">
        <f>IF(L12=" "," ",2)</f>
        <v>2</v>
      </c>
      <c r="S12" s="545" t="str">
        <f>IF(L12=" "," ","x")</f>
        <v>x</v>
      </c>
      <c r="T12" s="545">
        <f>IF(L12=" "," ",IF(G7&gt;31,8,10))</f>
        <v>10</v>
      </c>
      <c r="U12" s="545" t="str">
        <f>IF(L12=" "," ","x")</f>
        <v>x</v>
      </c>
      <c r="V12" s="462">
        <f>IF(L12=" "," ",12)</f>
        <v>12</v>
      </c>
      <c r="W12" s="937" t="str">
        <f>IF(L12=" "," "," FLAT- NO TWIST - NO CUPPING")</f>
        <v xml:space="preserve"> FLAT- NO TWIST - NO CUPPING</v>
      </c>
      <c r="X12" s="937"/>
      <c r="Y12" s="937"/>
      <c r="Z12" s="937"/>
      <c r="AA12" s="937"/>
      <c r="AB12" s="937"/>
      <c r="AC12" s="937"/>
      <c r="AD12" s="937"/>
      <c r="AE12" s="937"/>
      <c r="AF12" s="937"/>
      <c r="AG12" s="937"/>
      <c r="AH12" s="937"/>
      <c r="AI12" s="937"/>
      <c r="AJ12" s="937"/>
      <c r="AV12" s="541"/>
      <c r="AW12" s="541"/>
      <c r="AX12" s="541"/>
      <c r="AY12" s="541"/>
      <c r="AZ12" s="541"/>
      <c r="BA12" s="541"/>
      <c r="BB12" s="541"/>
      <c r="BC12" s="541"/>
      <c r="BD12" s="541"/>
      <c r="BE12" s="541"/>
      <c r="BF12" s="541"/>
      <c r="BG12" s="541"/>
      <c r="BH12" s="541"/>
      <c r="BI12" s="541"/>
      <c r="BJ12" s="541"/>
      <c r="BK12" s="541"/>
    </row>
    <row r="13" spans="3:63" ht="27" customHeight="1" x14ac:dyDescent="0.2">
      <c r="C13" s="936" t="s">
        <v>599</v>
      </c>
      <c r="D13" s="936"/>
      <c r="E13" s="936"/>
      <c r="F13" s="936"/>
      <c r="G13" s="936"/>
      <c r="H13" s="936"/>
      <c r="I13" s="936"/>
      <c r="J13" s="936"/>
      <c r="K13" s="936"/>
      <c r="L13" s="937">
        <f>IF(G7=20,4,IF(G7=25,5,IF(G7=30,6,IF(G7=35,6,IF(G7=41,8)))))</f>
        <v>6</v>
      </c>
      <c r="M13" s="937"/>
      <c r="N13" s="937"/>
      <c r="O13" s="937"/>
      <c r="P13" s="937"/>
      <c r="Q13" s="937"/>
      <c r="R13" s="460">
        <f>IF(L13=" "," ",2)</f>
        <v>2</v>
      </c>
      <c r="S13" s="545" t="str">
        <f>IF(L13=" "," ","x")</f>
        <v>x</v>
      </c>
      <c r="T13" s="545">
        <f>IF(G7&gt;31,8,10)</f>
        <v>10</v>
      </c>
      <c r="U13" s="545" t="str">
        <f>IF(L13=" "," ","x")</f>
        <v>x</v>
      </c>
      <c r="V13" s="462">
        <v>16</v>
      </c>
      <c r="W13" s="937" t="str">
        <f>IF(L13=" "," "," FLAT- NO TWIST - NO CUPPING")</f>
        <v xml:space="preserve"> FLAT- NO TWIST - NO CUPPING</v>
      </c>
      <c r="X13" s="937"/>
      <c r="Y13" s="937"/>
      <c r="Z13" s="937"/>
      <c r="AA13" s="937"/>
      <c r="AB13" s="937"/>
      <c r="AC13" s="937"/>
      <c r="AD13" s="937"/>
      <c r="AE13" s="937"/>
      <c r="AF13" s="937"/>
      <c r="AG13" s="937"/>
      <c r="AH13" s="937"/>
      <c r="AI13" s="937"/>
      <c r="AJ13" s="937"/>
    </row>
    <row r="14" spans="3:63" ht="27" customHeight="1" x14ac:dyDescent="0.2">
      <c r="C14" s="958" t="s">
        <v>503</v>
      </c>
      <c r="D14" s="958"/>
      <c r="E14" s="958"/>
      <c r="F14" s="958"/>
      <c r="G14" s="958"/>
      <c r="H14" s="958"/>
      <c r="I14" s="958"/>
      <c r="J14" s="958"/>
      <c r="K14" s="958"/>
      <c r="L14" s="958"/>
      <c r="M14" s="958"/>
      <c r="N14" s="958"/>
      <c r="O14" s="958"/>
      <c r="P14" s="958"/>
      <c r="Q14" s="958"/>
      <c r="R14" s="958"/>
      <c r="S14" s="958"/>
      <c r="T14" s="958"/>
      <c r="U14" s="958"/>
      <c r="V14" s="958"/>
      <c r="W14" s="958"/>
      <c r="X14" s="958"/>
      <c r="Y14" s="958"/>
      <c r="Z14" s="958"/>
      <c r="AA14" s="958"/>
      <c r="AB14" s="958"/>
      <c r="AC14" s="958"/>
      <c r="AD14" s="958"/>
    </row>
    <row r="15" spans="3:63" ht="27" customHeight="1" x14ac:dyDescent="0.2">
      <c r="C15" s="936" t="s">
        <v>600</v>
      </c>
      <c r="D15" s="936"/>
      <c r="E15" s="936"/>
      <c r="F15" s="936"/>
      <c r="G15" s="936"/>
      <c r="H15" s="936"/>
      <c r="I15" s="936"/>
      <c r="J15" s="936"/>
      <c r="K15" s="936"/>
      <c r="L15" s="1242">
        <f>IF(G7=20,32,IF(G7=25,40,IF(G7=30,48,IF(G7=35,54,IF(G7=41,64)))))</f>
        <v>48</v>
      </c>
      <c r="M15" s="1242"/>
      <c r="N15" s="1242"/>
      <c r="O15" s="1242"/>
      <c r="P15" s="1242"/>
      <c r="Q15" s="1242"/>
      <c r="R15" s="546">
        <f>P7</f>
        <v>2</v>
      </c>
      <c r="S15" s="547" t="s">
        <v>5</v>
      </c>
      <c r="T15" s="547">
        <f>T7</f>
        <v>12</v>
      </c>
      <c r="U15" s="547" t="s">
        <v>5</v>
      </c>
      <c r="V15" s="547">
        <f>IF(G7=20,12,IF(G7=25,16,IF(G7=30,18,IF(G7=35,20,IF(G7=41,24)))))</f>
        <v>18</v>
      </c>
      <c r="W15" s="959" t="s">
        <v>504</v>
      </c>
      <c r="X15" s="959"/>
      <c r="Y15" s="959"/>
      <c r="Z15" s="959"/>
      <c r="AA15" s="959"/>
      <c r="AB15" s="959"/>
      <c r="AC15" s="959"/>
      <c r="AD15" s="959"/>
      <c r="AE15" s="959"/>
      <c r="AF15" s="959"/>
      <c r="AG15" s="959"/>
      <c r="AH15" s="959"/>
      <c r="AI15" s="959"/>
      <c r="AJ15" s="959"/>
    </row>
    <row r="16" spans="3:63" ht="27" customHeight="1" x14ac:dyDescent="0.2">
      <c r="C16" s="937" t="s">
        <v>601</v>
      </c>
      <c r="D16" s="937"/>
      <c r="E16" s="937"/>
      <c r="F16" s="937"/>
      <c r="G16" s="937"/>
      <c r="H16" s="937"/>
      <c r="I16" s="937"/>
      <c r="J16" s="937"/>
      <c r="K16" s="937"/>
      <c r="L16" s="937"/>
      <c r="M16" s="937"/>
      <c r="N16" s="937"/>
      <c r="O16" s="937"/>
      <c r="P16" s="937"/>
      <c r="Q16" s="937"/>
      <c r="R16" s="937"/>
      <c r="S16" s="937"/>
      <c r="T16" s="937"/>
      <c r="U16" s="937"/>
      <c r="V16" s="937"/>
      <c r="W16" s="937"/>
      <c r="X16" s="937"/>
      <c r="Y16" s="937"/>
      <c r="Z16" s="937"/>
      <c r="AA16" s="937"/>
      <c r="AB16" s="937"/>
      <c r="AC16" s="937"/>
      <c r="AD16" s="937"/>
    </row>
    <row r="17" spans="3:47" ht="27" customHeight="1" x14ac:dyDescent="0.2">
      <c r="C17" s="936" t="s">
        <v>490</v>
      </c>
      <c r="D17" s="936"/>
      <c r="E17" s="936"/>
      <c r="F17" s="936"/>
      <c r="G17" s="936"/>
      <c r="H17" s="936"/>
      <c r="I17" s="936"/>
      <c r="J17" s="936"/>
      <c r="K17" s="936"/>
      <c r="L17" s="937">
        <f>L15</f>
        <v>48</v>
      </c>
      <c r="M17" s="937"/>
      <c r="N17" s="937"/>
      <c r="O17" s="937"/>
      <c r="P17" s="937"/>
      <c r="Q17" s="937"/>
      <c r="R17" s="460">
        <v>1</v>
      </c>
      <c r="S17" s="545" t="s">
        <v>5</v>
      </c>
      <c r="T17" s="545">
        <v>3</v>
      </c>
      <c r="U17" s="545" t="s">
        <v>5</v>
      </c>
      <c r="V17" s="548">
        <f>IF(G7=20,10,IF(G7=25,12,IF(G7=30,16,IF(G7=35,18,IF(G7=41,20)))))</f>
        <v>16</v>
      </c>
      <c r="W17" s="937" t="s">
        <v>724</v>
      </c>
      <c r="X17" s="937"/>
      <c r="Y17" s="937"/>
      <c r="Z17" s="937"/>
      <c r="AA17" s="937"/>
      <c r="AB17" s="937"/>
      <c r="AC17" s="937"/>
      <c r="AD17" s="937"/>
      <c r="AE17" s="937"/>
      <c r="AF17" s="937"/>
      <c r="AG17" s="937"/>
      <c r="AH17" s="937"/>
      <c r="AI17" s="937"/>
      <c r="AJ17" s="937"/>
    </row>
    <row r="18" spans="3:47" ht="27" customHeight="1" x14ac:dyDescent="0.2">
      <c r="C18" s="936" t="s">
        <v>602</v>
      </c>
      <c r="D18" s="936"/>
      <c r="E18" s="936"/>
      <c r="F18" s="936"/>
      <c r="G18" s="936"/>
      <c r="H18" s="936"/>
      <c r="I18" s="936"/>
      <c r="J18" s="936"/>
      <c r="K18" s="936"/>
      <c r="L18" s="937">
        <f>IF('Data entry'!W13=16,(L17*3)/6,IF('Data entry'!W13=24,(L17*4.5)/6,0))</f>
        <v>24</v>
      </c>
      <c r="M18" s="937"/>
      <c r="N18" s="937"/>
      <c r="O18" s="937"/>
      <c r="P18" s="937"/>
      <c r="Q18" s="937"/>
      <c r="R18" s="460">
        <v>1</v>
      </c>
      <c r="S18" s="545" t="s">
        <v>5</v>
      </c>
      <c r="T18" s="545">
        <v>6</v>
      </c>
      <c r="U18" s="545" t="s">
        <v>5</v>
      </c>
      <c r="V18" s="548">
        <v>14</v>
      </c>
      <c r="W18" s="937" t="s">
        <v>506</v>
      </c>
      <c r="X18" s="937"/>
      <c r="Y18" s="937"/>
      <c r="Z18" s="937"/>
      <c r="AA18" s="937"/>
      <c r="AB18" s="937"/>
      <c r="AC18" s="937"/>
      <c r="AD18" s="937"/>
      <c r="AE18" s="937"/>
      <c r="AF18" s="937"/>
      <c r="AG18" s="937"/>
      <c r="AH18" s="937"/>
      <c r="AI18" s="937"/>
      <c r="AJ18" s="937"/>
    </row>
    <row r="19" spans="3:47" ht="27" customHeight="1" x14ac:dyDescent="0.2">
      <c r="C19" s="1241" t="s">
        <v>603</v>
      </c>
      <c r="D19" s="1241"/>
      <c r="E19" s="1241"/>
      <c r="F19" s="1241"/>
      <c r="G19" s="1241"/>
      <c r="H19" s="1241"/>
      <c r="I19" s="1241"/>
      <c r="J19" s="1241"/>
      <c r="K19" s="1241"/>
      <c r="L19" s="937">
        <f>IF(G7=20,32,IF(G7=25,40,IF(G7=30,96,IF(G7=35,108,IF(G7=41,128)))))</f>
        <v>96</v>
      </c>
      <c r="M19" s="937"/>
      <c r="N19" s="937"/>
      <c r="O19" s="937"/>
      <c r="P19" s="937"/>
      <c r="Q19" s="937"/>
      <c r="R19" s="460">
        <v>1</v>
      </c>
      <c r="S19" s="545" t="s">
        <v>5</v>
      </c>
      <c r="T19" s="545">
        <v>2</v>
      </c>
      <c r="U19" s="545" t="s">
        <v>5</v>
      </c>
      <c r="V19" s="548">
        <v>8</v>
      </c>
      <c r="W19" s="937" t="s">
        <v>604</v>
      </c>
      <c r="X19" s="937"/>
      <c r="Y19" s="937"/>
      <c r="Z19" s="937"/>
      <c r="AA19" s="937"/>
      <c r="AB19" s="937"/>
      <c r="AC19" s="937"/>
      <c r="AD19" s="937"/>
      <c r="AE19" s="937"/>
      <c r="AF19" s="937"/>
      <c r="AG19" s="937"/>
      <c r="AH19" s="937"/>
      <c r="AI19" s="937"/>
      <c r="AJ19" s="937"/>
    </row>
    <row r="20" spans="3:47" s="539" customFormat="1" ht="38.25" customHeight="1" x14ac:dyDescent="0.2">
      <c r="C20" s="937" t="s">
        <v>605</v>
      </c>
      <c r="D20" s="937"/>
      <c r="E20" s="937"/>
      <c r="F20" s="937"/>
      <c r="G20" s="937"/>
      <c r="H20" s="937"/>
      <c r="I20" s="937"/>
      <c r="J20" s="937"/>
      <c r="K20" s="937"/>
      <c r="L20" s="937"/>
      <c r="M20" s="937"/>
      <c r="N20" s="937"/>
      <c r="O20" s="937"/>
      <c r="P20" s="937"/>
      <c r="Q20" s="937"/>
      <c r="R20" s="937"/>
      <c r="S20" s="937"/>
      <c r="T20" s="937"/>
      <c r="U20" s="937"/>
      <c r="V20" s="937"/>
      <c r="W20" s="937"/>
      <c r="X20" s="937"/>
      <c r="Y20" s="937"/>
      <c r="Z20" s="937"/>
      <c r="AA20" s="937"/>
      <c r="AB20" s="937"/>
      <c r="AC20" s="937"/>
      <c r="AD20" s="937"/>
      <c r="AE20" s="937"/>
      <c r="AF20" s="937"/>
      <c r="AG20" s="937"/>
      <c r="AH20" s="937"/>
      <c r="AI20" s="937"/>
      <c r="AJ20" s="937"/>
      <c r="AK20" s="464"/>
      <c r="AL20" s="464"/>
      <c r="AM20" s="464"/>
      <c r="AN20" s="464"/>
      <c r="AO20" s="464"/>
      <c r="AP20" s="464"/>
    </row>
    <row r="21" spans="3:47" ht="27" customHeight="1" x14ac:dyDescent="0.2"/>
    <row r="22" spans="3:47" s="542" customFormat="1" ht="27" customHeight="1" x14ac:dyDescent="0.2"/>
    <row r="23" spans="3:47" ht="27" customHeight="1" x14ac:dyDescent="0.2">
      <c r="AT23" s="549"/>
      <c r="AU23" s="550"/>
    </row>
    <row r="24" spans="3:47" ht="27" customHeight="1" x14ac:dyDescent="0.2">
      <c r="AT24" s="550"/>
      <c r="AU24" s="550"/>
    </row>
    <row r="25" spans="3:47" ht="27" customHeight="1" x14ac:dyDescent="0.2"/>
    <row r="26" spans="3:47" ht="27" customHeight="1" x14ac:dyDescent="0.2"/>
    <row r="27" spans="3:47" ht="27" customHeight="1" x14ac:dyDescent="0.2"/>
    <row r="28" spans="3:47" ht="27" customHeight="1" x14ac:dyDescent="0.2"/>
  </sheetData>
  <sheetProtection selectLockedCells="1" selectUnlockedCells="1"/>
  <mergeCells count="40">
    <mergeCell ref="C3:S3"/>
    <mergeCell ref="H5:N5"/>
    <mergeCell ref="O5:Z5"/>
    <mergeCell ref="C7:F7"/>
    <mergeCell ref="G7:I7"/>
    <mergeCell ref="P7:Q7"/>
    <mergeCell ref="R7:S7"/>
    <mergeCell ref="T7:U7"/>
    <mergeCell ref="V7:AB7"/>
    <mergeCell ref="C9:K9"/>
    <mergeCell ref="L9:Q9"/>
    <mergeCell ref="R9:AJ9"/>
    <mergeCell ref="AX9:AY10"/>
    <mergeCell ref="C10:K10"/>
    <mergeCell ref="L10:Q10"/>
    <mergeCell ref="W10:AJ10"/>
    <mergeCell ref="C11:K11"/>
    <mergeCell ref="L11:Q11"/>
    <mergeCell ref="W11:AJ11"/>
    <mergeCell ref="C12:K12"/>
    <mergeCell ref="L12:Q12"/>
    <mergeCell ref="W12:AJ12"/>
    <mergeCell ref="C13:K13"/>
    <mergeCell ref="L13:Q13"/>
    <mergeCell ref="W13:AJ13"/>
    <mergeCell ref="C14:AD14"/>
    <mergeCell ref="C15:K15"/>
    <mergeCell ref="L15:Q15"/>
    <mergeCell ref="W15:AJ15"/>
    <mergeCell ref="C19:K19"/>
    <mergeCell ref="L19:Q19"/>
    <mergeCell ref="W19:AJ19"/>
    <mergeCell ref="C20:AJ20"/>
    <mergeCell ref="C16:AD16"/>
    <mergeCell ref="C17:K17"/>
    <mergeCell ref="L17:Q17"/>
    <mergeCell ref="W17:AJ17"/>
    <mergeCell ref="C18:K18"/>
    <mergeCell ref="L18:Q18"/>
    <mergeCell ref="W18:AJ18"/>
  </mergeCells>
  <pageMargins left="0.78749999999999998" right="0.78749999999999998" top="1.0249999999999999" bottom="1.0249999999999999" header="0.78749999999999998" footer="0.78749999999999998"/>
  <pageSetup firstPageNumber="0" orientation="portrait" horizontalDpi="300" verticalDpi="300"/>
  <headerFooter alignWithMargins="0">
    <oddHeader>&amp;C&amp;A</oddHeader>
    <oddFooter>&amp;CPage &amp;P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AX79"/>
  <sheetViews>
    <sheetView topLeftCell="A4" zoomScale="80" zoomScaleNormal="80" workbookViewId="0">
      <selection activeCell="Z28" sqref="Z28"/>
    </sheetView>
  </sheetViews>
  <sheetFormatPr defaultColWidth="11.5703125" defaultRowHeight="12.75" x14ac:dyDescent="0.2"/>
  <cols>
    <col min="1" max="3" width="4.7109375" style="18" customWidth="1"/>
    <col min="4" max="4" width="9.42578125" style="18" customWidth="1"/>
    <col min="5" max="6" width="4.7109375" style="18" customWidth="1"/>
    <col min="7" max="7" width="8.42578125" style="18" customWidth="1"/>
    <col min="8" max="8" width="5.7109375" style="18" customWidth="1"/>
    <col min="9" max="24" width="4.7109375" style="18" customWidth="1"/>
    <col min="25" max="34" width="4.140625" style="18" customWidth="1"/>
    <col min="35" max="35" width="4.85546875" style="18" customWidth="1"/>
    <col min="36" max="36" width="5.42578125" style="18" customWidth="1"/>
    <col min="37" max="37" width="4.140625" style="18" customWidth="1"/>
    <col min="38" max="41" width="4" style="18" customWidth="1"/>
    <col min="42" max="42" width="6" style="18" customWidth="1"/>
    <col min="43" max="44" width="7.5703125" style="18" customWidth="1"/>
    <col min="45" max="45" width="11.42578125" style="18" customWidth="1"/>
    <col min="46" max="46" width="7.140625" style="18" customWidth="1"/>
    <col min="47" max="49" width="7.5703125" style="18" customWidth="1"/>
    <col min="50" max="50" width="8.28515625" style="18" customWidth="1"/>
    <col min="51" max="51" width="7.42578125" style="18" customWidth="1"/>
    <col min="52" max="60" width="4.140625" style="18" customWidth="1"/>
    <col min="61" max="251" width="8.85546875" style="18" customWidth="1"/>
    <col min="252" max="16384" width="11.5703125" style="18"/>
  </cols>
  <sheetData>
    <row r="3" spans="2:37" s="407" customFormat="1" ht="31.5" x14ac:dyDescent="0.5">
      <c r="G3" s="1281" t="s">
        <v>449</v>
      </c>
      <c r="H3" s="1281"/>
      <c r="I3" s="1281"/>
      <c r="J3" s="1281"/>
      <c r="K3" s="1281"/>
      <c r="L3" s="1281"/>
      <c r="M3" s="1281"/>
      <c r="N3" s="1281"/>
      <c r="O3" s="1281"/>
      <c r="P3" s="1281"/>
      <c r="Q3" s="1281"/>
    </row>
    <row r="4" spans="2:37" s="407" customFormat="1" ht="23.25" x14ac:dyDescent="0.35">
      <c r="F4" s="408"/>
      <c r="G4" s="408"/>
      <c r="H4" s="408"/>
      <c r="I4" s="408"/>
      <c r="J4" s="408"/>
      <c r="K4" s="408"/>
      <c r="L4" s="408"/>
      <c r="M4" s="408"/>
      <c r="AA4" s="408"/>
      <c r="AB4" s="408"/>
      <c r="AC4" s="408"/>
      <c r="AD4" s="408"/>
      <c r="AE4" s="408"/>
      <c r="AF4" s="408"/>
      <c r="AG4" s="408"/>
      <c r="AH4" s="408"/>
      <c r="AI4" s="408"/>
      <c r="AJ4" s="408"/>
      <c r="AK4" s="408"/>
    </row>
    <row r="5" spans="2:37" ht="27" x14ac:dyDescent="0.35">
      <c r="D5" s="1188" t="s">
        <v>450</v>
      </c>
      <c r="E5" s="1188"/>
      <c r="F5" s="1188"/>
      <c r="G5" s="1188"/>
      <c r="H5" s="1188"/>
      <c r="I5" s="1188"/>
      <c r="J5" s="1188"/>
      <c r="K5" s="1188"/>
      <c r="L5" s="1188"/>
      <c r="M5" s="1282" t="str">
        <f>'Data entry'!L2</f>
        <v>Phillips</v>
      </c>
      <c r="N5" s="1282"/>
      <c r="O5" s="1282"/>
      <c r="P5" s="1282"/>
      <c r="Q5" s="1282"/>
      <c r="R5" s="1282"/>
      <c r="S5" s="1282"/>
      <c r="T5" s="1282"/>
    </row>
    <row r="7" spans="2:37" s="407" customFormat="1" ht="28.5" x14ac:dyDescent="0.45">
      <c r="G7" s="1283" t="s">
        <v>451</v>
      </c>
      <c r="H7" s="1283"/>
      <c r="I7" s="1283"/>
      <c r="J7" s="1283"/>
      <c r="K7" s="1284">
        <f>'Data entry'!Q10</f>
        <v>30</v>
      </c>
      <c r="L7" s="1284"/>
      <c r="O7" s="409">
        <v>2</v>
      </c>
      <c r="P7" s="410" t="s">
        <v>5</v>
      </c>
      <c r="Q7" s="410">
        <v>6</v>
      </c>
      <c r="R7" s="410" t="s">
        <v>5</v>
      </c>
      <c r="S7" s="411">
        <f>SUM('Data entry'!Q11/12)</f>
        <v>14</v>
      </c>
      <c r="T7" s="412" t="s">
        <v>452</v>
      </c>
      <c r="U7" s="1285" t="s">
        <v>453</v>
      </c>
      <c r="V7" s="1285"/>
      <c r="W7" s="1285"/>
      <c r="X7" s="1285"/>
      <c r="Y7" s="408"/>
    </row>
    <row r="8" spans="2:37" s="407" customFormat="1" ht="28.5" x14ac:dyDescent="0.45">
      <c r="G8" s="413"/>
      <c r="H8" s="413"/>
      <c r="I8" s="413"/>
      <c r="J8" s="413"/>
      <c r="K8" s="414"/>
      <c r="L8" s="414"/>
      <c r="O8" s="408"/>
      <c r="P8" s="415"/>
      <c r="Q8" s="415"/>
      <c r="R8" s="415"/>
      <c r="S8" s="416"/>
      <c r="T8" s="416"/>
      <c r="U8" s="408"/>
      <c r="V8" s="408"/>
      <c r="W8" s="408"/>
      <c r="X8" s="408"/>
      <c r="Y8" s="408"/>
    </row>
    <row r="9" spans="2:37" s="407" customFormat="1" ht="29.25" thickBot="1" x14ac:dyDescent="0.5">
      <c r="G9" s="413"/>
      <c r="H9" s="413"/>
      <c r="I9" s="413"/>
      <c r="J9" s="413"/>
      <c r="K9" s="414"/>
      <c r="L9" s="414"/>
      <c r="O9" s="408"/>
      <c r="P9" s="415"/>
      <c r="Q9" s="415"/>
      <c r="R9" s="415"/>
      <c r="S9" s="416"/>
      <c r="T9" s="416"/>
      <c r="U9" s="408"/>
      <c r="V9" s="408"/>
      <c r="W9" s="408"/>
      <c r="X9" s="408"/>
      <c r="Y9" s="408"/>
    </row>
    <row r="10" spans="2:37" s="407" customFormat="1" ht="31.5" customHeight="1" thickBot="1" x14ac:dyDescent="0.4">
      <c r="B10" s="1271" t="e">
        <f t="shared" ref="B10:B21" si="0">IF(E10=" "," ","MVL")</f>
        <v>#REF!</v>
      </c>
      <c r="C10" s="1271"/>
      <c r="D10" s="1271"/>
      <c r="E10" s="1273" t="e">
        <f>IF(Z21=" ",0,IF(Z21&lt;=8,AL21,AM21))</f>
        <v>#REF!</v>
      </c>
      <c r="F10" s="1273"/>
      <c r="G10" s="1273"/>
      <c r="H10" s="417" t="e">
        <f>IF(E10=" "," ","2")</f>
        <v>#REF!</v>
      </c>
      <c r="I10" s="212" t="e">
        <f>IF(E10=" "," ","X")</f>
        <v>#REF!</v>
      </c>
      <c r="J10" s="212" t="e">
        <f>IF(E10=" "," ","12")</f>
        <v>#REF!</v>
      </c>
      <c r="K10" s="212" t="e">
        <f>IF(E10=" "," ","X")</f>
        <v>#REF!</v>
      </c>
      <c r="L10" s="212" t="e">
        <f>IF(E10=" "," ",IF(Z21&lt;3,"8","12"))</f>
        <v>#REF!</v>
      </c>
      <c r="M10" s="952" t="e">
        <f>IF('Data entry'!#REF!+'Data entry'!#REF!&gt;0,"Addition Blocking"," ")</f>
        <v>#REF!</v>
      </c>
      <c r="N10" s="952"/>
      <c r="O10" s="952"/>
      <c r="P10" s="952"/>
      <c r="Q10" s="952"/>
      <c r="R10" s="952"/>
      <c r="S10" s="952"/>
      <c r="T10" s="952"/>
      <c r="U10" s="952"/>
      <c r="V10" s="952"/>
      <c r="AB10" s="1275">
        <f>IF('Data entry'!Q11=96," ",IF('Data entry'!Q11&lt;121,SUM(('Data entry'!Q31+2*('Data entry'!Q33+'Data entry'!Q34))/2),SUM('Data entry'!Q31+2*('Data entry'!Q33+'Data entry'!Q34))))</f>
        <v>17</v>
      </c>
      <c r="AC10" s="1275"/>
      <c r="AD10" s="1275"/>
    </row>
    <row r="11" spans="2:37" ht="30" customHeight="1" thickBot="1" x14ac:dyDescent="0.4">
      <c r="B11" s="1271" t="e">
        <f t="shared" si="0"/>
        <v>#REF!</v>
      </c>
      <c r="C11" s="1271"/>
      <c r="D11" s="1271"/>
      <c r="E11" s="1273" t="e">
        <f>IF(Z21=" ",0,IF(Z21&lt;=8,AL22,AM22))</f>
        <v>#REF!</v>
      </c>
      <c r="F11" s="1273"/>
      <c r="G11" s="1273"/>
      <c r="H11" s="417" t="e">
        <f>IF(E11=" "," ","2")</f>
        <v>#REF!</v>
      </c>
      <c r="I11" s="212" t="e">
        <f>IF(E11=" "," ","X")</f>
        <v>#REF!</v>
      </c>
      <c r="J11" s="212" t="e">
        <f>IF(E11=" "," ",12)</f>
        <v>#REF!</v>
      </c>
      <c r="K11" s="212" t="e">
        <f>IF(E11=" "," ","X")</f>
        <v>#REF!</v>
      </c>
      <c r="L11" s="212" t="e">
        <f>IF(E11=" "," ","16")</f>
        <v>#REF!</v>
      </c>
      <c r="M11" s="952"/>
      <c r="N11" s="952"/>
      <c r="O11" s="952"/>
      <c r="P11" s="952"/>
      <c r="Q11" s="952"/>
      <c r="R11" s="952"/>
      <c r="S11" s="952"/>
      <c r="T11" s="952"/>
      <c r="U11" s="952"/>
      <c r="V11" s="952"/>
      <c r="Z11" s="293"/>
      <c r="AA11" s="293"/>
      <c r="AB11" s="293"/>
      <c r="AC11" s="293"/>
      <c r="AD11" s="293"/>
      <c r="AE11" s="293"/>
      <c r="AF11" s="293"/>
      <c r="AG11" s="293"/>
      <c r="AH11" s="293"/>
      <c r="AI11" s="293"/>
    </row>
    <row r="12" spans="2:37" s="1" customFormat="1" ht="23.65" customHeight="1" x14ac:dyDescent="0.2">
      <c r="B12" s="1279" t="str">
        <f t="shared" si="0"/>
        <v>MVL</v>
      </c>
      <c r="C12" s="1279"/>
      <c r="D12" s="1279"/>
      <c r="E12" s="946">
        <f>'Data entry'!AB68/4</f>
        <v>10.5</v>
      </c>
      <c r="F12" s="946"/>
      <c r="G12" s="946"/>
      <c r="H12" s="1280" t="str">
        <f>IF(E12=" "," ","2x4x8' - taller Wall Blocking")</f>
        <v>2x4x8' - taller Wall Blocking</v>
      </c>
      <c r="I12" s="1280"/>
      <c r="J12" s="1280"/>
      <c r="K12" s="1280"/>
      <c r="L12" s="1280"/>
      <c r="M12" s="1280"/>
      <c r="N12" s="1280"/>
      <c r="O12" s="1280"/>
      <c r="P12" s="1280"/>
      <c r="Q12" s="1280"/>
      <c r="R12" s="1280"/>
      <c r="S12" s="1280"/>
      <c r="T12" s="1280"/>
      <c r="U12" s="1280"/>
      <c r="V12" s="1280"/>
      <c r="Z12" s="418"/>
      <c r="AA12" s="418"/>
      <c r="AB12" s="418" t="s">
        <v>454</v>
      </c>
      <c r="AC12" s="418"/>
      <c r="AD12" s="418"/>
      <c r="AE12" s="418"/>
      <c r="AF12" s="418"/>
      <c r="AG12" s="418"/>
      <c r="AH12" s="418"/>
      <c r="AI12" s="418"/>
    </row>
    <row r="13" spans="2:37" s="1" customFormat="1" ht="23.65" customHeight="1" x14ac:dyDescent="0.2">
      <c r="B13" s="1279" t="str">
        <f t="shared" si="0"/>
        <v>MVL</v>
      </c>
      <c r="C13" s="1279"/>
      <c r="D13" s="1279"/>
      <c r="E13" s="1286">
        <f>IF('Data entry'!Q27="cedar",SUM('Data entry'!Q35-('Data entry'!Q34))/4,0)</f>
        <v>0</v>
      </c>
      <c r="F13" s="1286"/>
      <c r="G13" s="1286"/>
      <c r="H13" s="946" t="str">
        <f>IF('Data entry'!Q27="cedar","2x6x16'    S4S    Cedar bottom plates"," ")</f>
        <v xml:space="preserve"> </v>
      </c>
      <c r="I13" s="946"/>
      <c r="J13" s="946"/>
      <c r="K13" s="946"/>
      <c r="L13" s="946"/>
      <c r="M13" s="946"/>
      <c r="N13" s="946"/>
      <c r="O13" s="946"/>
      <c r="P13" s="946"/>
      <c r="Q13" s="946"/>
      <c r="R13" s="946"/>
      <c r="S13" s="946"/>
      <c r="T13" s="946"/>
      <c r="U13" s="946"/>
      <c r="V13" s="946"/>
      <c r="Z13" s="418"/>
      <c r="AA13" s="418"/>
      <c r="AB13" s="51" t="s">
        <v>455</v>
      </c>
      <c r="AC13" s="51">
        <v>12</v>
      </c>
      <c r="AD13" s="51">
        <v>16</v>
      </c>
      <c r="AE13" s="418"/>
      <c r="AF13" s="418"/>
      <c r="AG13" s="418"/>
      <c r="AH13" s="418"/>
      <c r="AI13" s="418"/>
    </row>
    <row r="14" spans="2:37" s="1" customFormat="1" ht="23.65" customHeight="1" thickBot="1" x14ac:dyDescent="0.25">
      <c r="B14" s="1271" t="str">
        <f t="shared" si="0"/>
        <v>MVL</v>
      </c>
      <c r="C14" s="1271"/>
      <c r="D14" s="1271"/>
      <c r="E14" s="941">
        <f>'Data entry'!AI35</f>
        <v>34.72265625</v>
      </c>
      <c r="F14" s="941"/>
      <c r="G14" s="941"/>
      <c r="H14" s="971" t="s">
        <v>456</v>
      </c>
      <c r="I14" s="971"/>
      <c r="J14" s="971"/>
      <c r="K14" s="971"/>
      <c r="L14" s="971"/>
      <c r="M14" s="971"/>
      <c r="N14" s="971"/>
      <c r="O14" s="971"/>
      <c r="P14" s="971"/>
      <c r="Q14" s="971"/>
      <c r="R14" s="971"/>
      <c r="S14" s="971"/>
      <c r="T14" s="971"/>
      <c r="U14" s="971"/>
      <c r="V14" s="971"/>
      <c r="Z14" s="418"/>
      <c r="AA14" s="418"/>
      <c r="AB14" s="419">
        <v>1</v>
      </c>
      <c r="AC14" s="419">
        <v>1</v>
      </c>
      <c r="AD14" s="293"/>
      <c r="AE14" s="418"/>
      <c r="AF14" s="418"/>
      <c r="AG14" s="418"/>
      <c r="AH14" s="418"/>
      <c r="AI14" s="418"/>
    </row>
    <row r="15" spans="2:37" s="1" customFormat="1" ht="38.450000000000003" customHeight="1" thickBot="1" x14ac:dyDescent="0.25">
      <c r="B15" s="1271" t="str">
        <f>IF(AB10=" "," ","MVL")</f>
        <v>MVL</v>
      </c>
      <c r="C15" s="1271"/>
      <c r="D15" s="1271"/>
      <c r="E15" s="1276">
        <f>IF('Data entry'!Q8=22,'Wall Materials'!AB10,IF('Data entry'!Q8=16,2*'Wall Materials'!AB10))</f>
        <v>34</v>
      </c>
      <c r="F15" s="1277"/>
      <c r="G15" s="1278"/>
      <c r="H15" s="949" t="str">
        <f>IF('Data entry'!Q$11=96," ",IF('Data entry'!Q$11=108,"2x6x18",IF('Data entry'!Q$11=120,"2x6x20",IF('Data entry'!Q$11=132,"2x6x12",IF('Data entry'!Q$11=144,"2x6x12",IF('Data entry'!Q$11=168,"2x6x14"))))))</f>
        <v>2x6x14</v>
      </c>
      <c r="I15" s="949"/>
      <c r="J15" s="949"/>
      <c r="K15" s="972" t="str">
        <f>IF('Data entry'!Q11=96," ","Studs + King Studs")</f>
        <v>Studs + King Studs</v>
      </c>
      <c r="L15" s="972"/>
      <c r="M15" s="972"/>
      <c r="N15" s="972"/>
      <c r="O15" s="972"/>
      <c r="P15" s="972"/>
      <c r="Q15" s="212" t="s">
        <v>23</v>
      </c>
      <c r="R15" s="951" t="str">
        <f>IF('Data entry'!Q11=96," ",IF('Data entry'!Q11&lt;121,"2 pieces from 1 board","1 piece per board"))</f>
        <v>1 piece per board</v>
      </c>
      <c r="S15" s="951"/>
      <c r="T15" s="951"/>
      <c r="U15" s="951"/>
      <c r="V15" s="951"/>
      <c r="Z15" s="418"/>
      <c r="AA15" s="418"/>
      <c r="AB15" s="420">
        <v>2</v>
      </c>
      <c r="AC15" s="420">
        <v>1</v>
      </c>
      <c r="AD15" s="418"/>
      <c r="AE15" s="418"/>
      <c r="AF15" s="418"/>
      <c r="AG15" s="418"/>
      <c r="AH15" s="418"/>
      <c r="AI15" s="418"/>
    </row>
    <row r="16" spans="2:37" s="1" customFormat="1" ht="44.1" customHeight="1" thickBot="1" x14ac:dyDescent="0.25">
      <c r="B16" s="1271" t="str">
        <f t="shared" si="0"/>
        <v>MVL</v>
      </c>
      <c r="C16" s="1271"/>
      <c r="D16" s="1271"/>
      <c r="E16" s="907">
        <f>IF('Data entry'!Q11&lt;121,('Data entry'!Q35+(0.5*'Data entry'!Q34)),IF('Data entry'!Q11&gt;121,(2*'Data entry'!Q35)+'Data entry'!Q34))</f>
        <v>49</v>
      </c>
      <c r="F16" s="907"/>
      <c r="G16" s="907"/>
      <c r="H16" s="949" t="str">
        <f>IF('Data entry'!Q$11=96,"2x8x16 ",IF('Data entry'!Q$11=108,"2x8x18'",IF('Data entry'!Q$11=120,"2x8x20",IF('Data entry'!Q$11=132,"2x8x12",IF('Data entry'!Q$11=144,"2x8x12",IF('Data entry'!Q$11=168,"2x8x14"))))))</f>
        <v>2x8x14</v>
      </c>
      <c r="I16" s="949"/>
      <c r="J16" s="949"/>
      <c r="K16" s="950" t="s">
        <v>457</v>
      </c>
      <c r="L16" s="950"/>
      <c r="M16" s="950"/>
      <c r="N16" s="950"/>
      <c r="O16" s="950"/>
      <c r="P16" s="950"/>
      <c r="Q16" s="421" t="s">
        <v>23</v>
      </c>
      <c r="R16" s="951" t="str">
        <f>IF('Data entry'!Q12&lt;121,"2 pieces from 1 board","1 piece per board")</f>
        <v>1 piece per board</v>
      </c>
      <c r="S16" s="951"/>
      <c r="T16" s="951"/>
      <c r="U16" s="951"/>
      <c r="V16" s="951"/>
      <c r="Z16" s="418"/>
      <c r="AA16" s="418"/>
      <c r="AB16" s="420">
        <v>3</v>
      </c>
      <c r="AC16" s="420">
        <v>1</v>
      </c>
      <c r="AD16" s="418"/>
      <c r="AE16" s="418"/>
      <c r="AF16" s="418"/>
      <c r="AG16" s="418"/>
      <c r="AH16" s="418"/>
    </row>
    <row r="17" spans="2:50" s="1" customFormat="1" ht="31.5" customHeight="1" x14ac:dyDescent="0.35">
      <c r="B17" s="1271" t="str">
        <f t="shared" si="0"/>
        <v>MVL</v>
      </c>
      <c r="C17" s="1271"/>
      <c r="D17" s="1271"/>
      <c r="E17" s="1273">
        <v>4</v>
      </c>
      <c r="F17" s="1273"/>
      <c r="G17" s="1273"/>
      <c r="H17" s="417">
        <f>IF(E17=" "," ",'Data entry'!Q20)</f>
        <v>2</v>
      </c>
      <c r="I17" s="212" t="str">
        <f>IF(E17=" "," ","X")</f>
        <v>X</v>
      </c>
      <c r="J17" s="212">
        <f>IF(E17=" "," ",'Data entry'!S20)</f>
        <v>6</v>
      </c>
      <c r="K17" s="212" t="str">
        <f>IF(E17=" "," ","X")</f>
        <v>X</v>
      </c>
      <c r="L17" s="212" t="str">
        <f>IF(E17=" "," ",IF(Z17&lt;3,"8","12"))</f>
        <v>12</v>
      </c>
      <c r="M17" s="952" t="s">
        <v>458</v>
      </c>
      <c r="N17" s="952"/>
      <c r="O17" s="952"/>
      <c r="P17" s="952"/>
      <c r="Q17" s="952"/>
      <c r="R17" s="952"/>
      <c r="S17" s="952"/>
      <c r="T17" s="952"/>
      <c r="U17" s="952"/>
      <c r="V17" s="952"/>
      <c r="Z17" s="420">
        <f>'Data entry'!T20</f>
        <v>28</v>
      </c>
      <c r="AA17" s="418"/>
      <c r="AB17" s="419">
        <v>4</v>
      </c>
      <c r="AC17" s="419"/>
      <c r="AD17" s="419">
        <v>1</v>
      </c>
      <c r="AE17" s="418"/>
      <c r="AF17" s="418"/>
      <c r="AG17" s="418"/>
      <c r="AH17" s="418"/>
      <c r="AI17" s="422" t="str">
        <f>IF(Z17=1,AC14,IF(Z17=2,AC15,IF(Z17=3,AC16,IF(Z17=4,AC17,IF(Z17=5,AC18,IF(Z17=6,AC19,IF(Z17=7,AC20,IF(Z17=8,AC21," "))))))))</f>
        <v xml:space="preserve"> </v>
      </c>
      <c r="AJ17" s="422" t="str">
        <f>IF(Z17=9,AC22,IF(Z17=10,AC23,IF(Z17=11,AC24,IF(Z17=12,AC25,IF(Z17=13,AC26,IF(Z17=14,AC27,IF(Z17=15,AC28,IF(Z17=16,AC29," "))))))))&amp;IF(Z17=17,AC30,IF(Z17=18,AC31," "))</f>
        <v xml:space="preserve">  </v>
      </c>
      <c r="AL17" s="423" t="str">
        <f t="shared" ref="AL17:AM22" si="1">IF(AI17=0," ",AI17)</f>
        <v xml:space="preserve"> </v>
      </c>
      <c r="AM17" s="423" t="str">
        <f>IF(AJ17=0,0,AJ17)</f>
        <v xml:space="preserve">  </v>
      </c>
    </row>
    <row r="18" spans="2:50" s="1" customFormat="1" ht="31.5" customHeight="1" x14ac:dyDescent="0.35">
      <c r="B18" s="1271" t="str">
        <f t="shared" si="0"/>
        <v>MVL</v>
      </c>
      <c r="C18" s="1271"/>
      <c r="D18" s="1271"/>
      <c r="E18" s="1273">
        <v>4</v>
      </c>
      <c r="F18" s="1273"/>
      <c r="G18" s="1273"/>
      <c r="H18" s="417">
        <f>IF(E18=" "," ",'Data entry'!Q20)</f>
        <v>2</v>
      </c>
      <c r="I18" s="212" t="str">
        <f>IF(E18=" "," ","X")</f>
        <v>X</v>
      </c>
      <c r="J18" s="212">
        <f>IF(E18=" "," ",'Data entry'!S20)</f>
        <v>6</v>
      </c>
      <c r="K18" s="212" t="str">
        <f>IF(E18=" "," ","X")</f>
        <v>X</v>
      </c>
      <c r="L18" s="212" t="str">
        <f>IF(E18=" "," ","16")</f>
        <v>16</v>
      </c>
      <c r="M18" s="952"/>
      <c r="N18" s="952"/>
      <c r="O18" s="952"/>
      <c r="P18" s="952"/>
      <c r="Q18" s="952"/>
      <c r="R18" s="952"/>
      <c r="S18" s="952"/>
      <c r="T18" s="952"/>
      <c r="U18" s="952"/>
      <c r="V18" s="952"/>
      <c r="Z18" s="293"/>
      <c r="AA18" s="418"/>
      <c r="AB18" s="51">
        <v>5</v>
      </c>
      <c r="AC18" s="51">
        <v>2</v>
      </c>
      <c r="AD18" s="51">
        <v>0</v>
      </c>
      <c r="AE18" s="418"/>
      <c r="AF18" s="418"/>
      <c r="AG18" s="418"/>
      <c r="AH18" s="418"/>
      <c r="AI18" s="422" t="str">
        <f>IF(Z17=1,AD14,IF(Z17=2,AD15,IF(Z17=3,AD16,IF(Z17=4,AD17,IF(Z17=5,AD18,IF(Z17=6,AD19,IF(Z17=7,AD20,IF(Z17=8,AD21," "))))))))</f>
        <v xml:space="preserve"> </v>
      </c>
      <c r="AJ18" s="422" t="str">
        <f>IF(Z17=9,AD22,IF(Z17=10,AD23,IF(Z17=11,AD24,IF(Z17=12,AD25," "))))&amp;IF(Z17=13,AD26,IF(Z17=14,AD27,IF(Z17=15,AD28,IF(Z17=16,AD29,IF(Z17=17,AD30,IF(Z17=18,AD31," "))))))</f>
        <v xml:space="preserve">  </v>
      </c>
      <c r="AK18" s="424" t="str">
        <f>IF(AA18=9,AD23,IF(AA18=10,AD24,IF(AA18=11,AD25,IF(AA18=12,AD26," "))))</f>
        <v xml:space="preserve"> </v>
      </c>
      <c r="AL18" s="423" t="str">
        <f t="shared" si="1"/>
        <v xml:space="preserve"> </v>
      </c>
      <c r="AM18" s="423" t="str">
        <f t="shared" si="1"/>
        <v xml:space="preserve">  </v>
      </c>
    </row>
    <row r="19" spans="2:50" s="1" customFormat="1" ht="31.5" customHeight="1" x14ac:dyDescent="0.35">
      <c r="B19" s="1271" t="str">
        <f t="shared" si="0"/>
        <v xml:space="preserve"> </v>
      </c>
      <c r="C19" s="1271"/>
      <c r="D19" s="1271"/>
      <c r="E19" s="1273" t="str">
        <f>IF(Z19&lt;=8,AL19,AM19)</f>
        <v xml:space="preserve"> </v>
      </c>
      <c r="F19" s="1273"/>
      <c r="G19" s="1273"/>
      <c r="H19" s="417" t="str">
        <f>IF(E19=" "," ",'Data entry'!Q21)</f>
        <v xml:space="preserve"> </v>
      </c>
      <c r="I19" s="212" t="str">
        <f>IF(E19=" "," ","X")</f>
        <v xml:space="preserve"> </v>
      </c>
      <c r="J19" s="212" t="str">
        <f>IF(E19=" "," ",'Data entry'!S21)</f>
        <v xml:space="preserve"> </v>
      </c>
      <c r="K19" s="212" t="str">
        <f>IF(E19=" "," ","X")</f>
        <v xml:space="preserve"> </v>
      </c>
      <c r="L19" s="212" t="str">
        <f>IF(E19=" "," ",IF(Z19&lt;3,"8","12"))</f>
        <v xml:space="preserve"> </v>
      </c>
      <c r="M19" s="1274" t="str">
        <f>IF(Z19=0," ","Header Material per engineer H2")</f>
        <v xml:space="preserve"> </v>
      </c>
      <c r="N19" s="1274"/>
      <c r="O19" s="1274"/>
      <c r="P19" s="1274"/>
      <c r="Q19" s="1274"/>
      <c r="R19" s="1274"/>
      <c r="S19" s="1274"/>
      <c r="T19" s="1274"/>
      <c r="U19" s="1274"/>
      <c r="V19" s="1274"/>
      <c r="Z19" s="420">
        <f>'Data entry'!T21</f>
        <v>0</v>
      </c>
      <c r="AA19" s="418"/>
      <c r="AB19" s="51">
        <v>6</v>
      </c>
      <c r="AC19" s="51">
        <v>2</v>
      </c>
      <c r="AD19" s="51"/>
      <c r="AE19" s="418"/>
      <c r="AF19" s="418"/>
      <c r="AG19" s="418"/>
      <c r="AH19" s="418"/>
      <c r="AI19" s="422" t="str">
        <f>IF(Z19=1,AC14,IF(Z19=2,AC15,IF(Z19=3,AC16,IF(Z19=4,AC17,IF(Z19=5,AC18,IF(Z19=6,AC19,IF(Z19=7,AC20,IF(Z19=8,AC21," "))))))))</f>
        <v xml:space="preserve"> </v>
      </c>
      <c r="AJ19" s="422" t="str">
        <f>IF(Z19=9,AC22,IF(Z19=10,AC23,IF(Z19=11,AC24,IF(Z19=12,AC25," "))))&amp;IF(Z19=13,AC26,IF(Z19=14,AC27,IF(Z19=15,AC28,IF(Z19=16,AC29,IF(Z19=17,AC30,IF(Z19=18,AC31," "))))))</f>
        <v xml:space="preserve">  </v>
      </c>
      <c r="AL19" s="423" t="str">
        <f t="shared" si="1"/>
        <v xml:space="preserve"> </v>
      </c>
      <c r="AM19" s="423" t="str">
        <f t="shared" si="1"/>
        <v xml:space="preserve">  </v>
      </c>
    </row>
    <row r="20" spans="2:50" s="1" customFormat="1" ht="31.5" customHeight="1" x14ac:dyDescent="0.35">
      <c r="B20" s="1271" t="str">
        <f t="shared" si="0"/>
        <v xml:space="preserve"> </v>
      </c>
      <c r="C20" s="1271"/>
      <c r="D20" s="1271"/>
      <c r="E20" s="1273" t="str">
        <f>IF(Z19&lt;=8,AL20,AM20)</f>
        <v xml:space="preserve"> </v>
      </c>
      <c r="F20" s="1273"/>
      <c r="G20" s="1273"/>
      <c r="H20" s="417" t="str">
        <f>IF(E20=" "," ",'Data entry'!Q21)</f>
        <v xml:space="preserve"> </v>
      </c>
      <c r="I20" s="212" t="str">
        <f>IF(E20=" "," ","X")</f>
        <v xml:space="preserve"> </v>
      </c>
      <c r="J20" s="212" t="str">
        <f>IF(E20=" "," ",'Data entry'!S21)</f>
        <v xml:space="preserve"> </v>
      </c>
      <c r="K20" s="212" t="str">
        <f>IF(E20=" "," ","X")</f>
        <v xml:space="preserve"> </v>
      </c>
      <c r="L20" s="212" t="str">
        <f>IF(E20=" "," ","16")</f>
        <v xml:space="preserve"> </v>
      </c>
      <c r="M20" s="1274"/>
      <c r="N20" s="1274"/>
      <c r="O20" s="1274"/>
      <c r="P20" s="1274"/>
      <c r="Q20" s="1274"/>
      <c r="R20" s="1274"/>
      <c r="S20" s="1274"/>
      <c r="T20" s="1274"/>
      <c r="U20" s="1274"/>
      <c r="V20" s="1274"/>
      <c r="Z20" s="418" t="s">
        <v>459</v>
      </c>
      <c r="AA20" s="418"/>
      <c r="AB20" s="51">
        <v>7</v>
      </c>
      <c r="AC20" s="51">
        <v>1</v>
      </c>
      <c r="AD20" s="51">
        <v>1</v>
      </c>
      <c r="AE20" s="418"/>
      <c r="AF20" s="418"/>
      <c r="AG20" s="418"/>
      <c r="AH20" s="418"/>
      <c r="AI20" s="422" t="str">
        <f>IF(Z19=1,AD14,IF(Z19=2,AD15,IF(Z19=3,AD16,IF(Z19=4,AD17,IF(Z19=5,AD18,IF(Z19=6,AD19,IF(Z19=7,AD20,IF(Z19=8,AD21," "))))))))</f>
        <v xml:space="preserve"> </v>
      </c>
      <c r="AJ20" s="422" t="str">
        <f>IF(Z19=9,AD22,IF(Z19=10,AD23,IF(Z19=11,AD24,IF(Z19=12,AD25," "))))&amp;IF(Z19=13,AD26,IF(Z19=14,AD27,IF(Z19=15,AD28,IF(Z19=16,AD29,IF(Z19=17,AD30,IF(Z19=18,AD31," "))))))</f>
        <v xml:space="preserve">  </v>
      </c>
      <c r="AL20" s="423" t="str">
        <f t="shared" si="1"/>
        <v xml:space="preserve"> </v>
      </c>
      <c r="AM20" s="423" t="str">
        <f t="shared" si="1"/>
        <v xml:space="preserve">  </v>
      </c>
    </row>
    <row r="21" spans="2:50" s="1" customFormat="1" ht="31.5" customHeight="1" x14ac:dyDescent="0.2">
      <c r="B21" s="1271" t="str">
        <f t="shared" si="0"/>
        <v>MVL</v>
      </c>
      <c r="C21" s="1271"/>
      <c r="D21" s="1271"/>
      <c r="E21" s="907">
        <v>1</v>
      </c>
      <c r="F21" s="907"/>
      <c r="G21" s="907"/>
      <c r="H21" s="425">
        <f>IF('Data entry'!S22=0," ",'Data entry'!Q22)</f>
        <v>2</v>
      </c>
      <c r="I21" s="212" t="str">
        <f>IF(E21=" "," ","X")</f>
        <v>X</v>
      </c>
      <c r="J21" s="212">
        <f>IF('Data entry'!S22=0," ",'Data entry'!S22)</f>
        <v>12</v>
      </c>
      <c r="K21" s="212" t="str">
        <f>IF(E21=" "," ","X")</f>
        <v>X</v>
      </c>
      <c r="L21" s="212">
        <v>14</v>
      </c>
      <c r="M21" s="426" t="str">
        <f>IF('Data entry'!Q34&gt;0,"ft"," ")</f>
        <v>ft</v>
      </c>
      <c r="N21" s="953" t="str">
        <f>IF('Data entry'!Q34&gt;0,"French Door Header per engineer"," ")</f>
        <v>French Door Header per engineer</v>
      </c>
      <c r="O21" s="953"/>
      <c r="P21" s="953"/>
      <c r="Q21" s="953"/>
      <c r="R21" s="953"/>
      <c r="S21" s="953"/>
      <c r="T21" s="953"/>
      <c r="U21" s="953"/>
      <c r="V21" s="953"/>
      <c r="Z21" s="420" t="e">
        <f>'Data entry'!#REF!</f>
        <v>#REF!</v>
      </c>
      <c r="AA21" s="418"/>
      <c r="AB21" s="51">
        <v>8</v>
      </c>
      <c r="AC21" s="51"/>
      <c r="AD21" s="51">
        <v>2</v>
      </c>
      <c r="AE21" s="418"/>
      <c r="AF21" s="418"/>
      <c r="AG21" s="418"/>
      <c r="AH21" s="418"/>
      <c r="AI21" s="422" t="e">
        <f>IF(Z21=1,AC14,IF(Z21=2,AC15,IF(Z21=3,AC16,IF(Z21=4,AC17,IF(Z21=5,AC18,IF(Z21=6,AC19,IF(Z21=7,AC20,IF(Z21=8,AC21," "))))))))</f>
        <v>#REF!</v>
      </c>
      <c r="AJ21" s="422" t="e">
        <f>IF(Z21=9,AC22,IF(Z21=10,AC23,IF(Z21=11,AC24,IF(Z21=12,AC25," "))))&amp;IF(Z21=13,AC26,IF(Z21=14,AC27,IF(Z21=15,AC28,IF(Z21=16,AC29,IF(Z21=17,AC30,IF(Z21=18,AC31," "))))))</f>
        <v>#REF!</v>
      </c>
      <c r="AL21" s="423" t="e">
        <f t="shared" si="1"/>
        <v>#REF!</v>
      </c>
      <c r="AM21" s="423" t="e">
        <f t="shared" si="1"/>
        <v>#REF!</v>
      </c>
    </row>
    <row r="22" spans="2:50" s="1" customFormat="1" ht="31.5" customHeight="1" x14ac:dyDescent="0.2">
      <c r="B22" s="1260" t="str">
        <f>IF(E22=" "," ","NVL")</f>
        <v>NVL</v>
      </c>
      <c r="C22" s="1260"/>
      <c r="D22" s="1260"/>
      <c r="E22" s="1272">
        <f>IF('Data entry'!AI11&gt;1,SUM('Data entry'!AI11+0.5),0)</f>
        <v>41.5</v>
      </c>
      <c r="F22" s="1272"/>
      <c r="G22" s="1272"/>
      <c r="H22" s="425">
        <v>4</v>
      </c>
      <c r="I22" s="212" t="s">
        <v>5</v>
      </c>
      <c r="J22" s="212">
        <v>8</v>
      </c>
      <c r="K22" s="212" t="s">
        <v>5</v>
      </c>
      <c r="L22" s="427" t="s">
        <v>460</v>
      </c>
      <c r="M22" s="945" t="s">
        <v>358</v>
      </c>
      <c r="N22" s="945"/>
      <c r="O22" s="945"/>
      <c r="P22" s="945"/>
      <c r="Q22" s="945"/>
      <c r="R22" s="945"/>
      <c r="S22" s="945"/>
      <c r="T22" s="945"/>
      <c r="U22" s="945"/>
      <c r="V22" s="945"/>
      <c r="W22" s="945"/>
      <c r="X22" s="945"/>
      <c r="Y22" s="428"/>
      <c r="Z22" s="418"/>
      <c r="AA22" s="418"/>
      <c r="AB22" s="51">
        <v>9</v>
      </c>
      <c r="AC22" s="51">
        <v>3</v>
      </c>
      <c r="AD22" s="51"/>
      <c r="AE22" s="418"/>
      <c r="AF22" s="418"/>
      <c r="AG22" s="418"/>
      <c r="AH22" s="418"/>
      <c r="AI22" s="422" t="e">
        <f>IF(Z21=1,AD14,IF(Z21=2,AD15,IF(Z21=3,AD16,IF(Z21=4,AD17,IF(Z21=5,AD18,IF(Z21=6,AD19,IF(Z21=7,AD20,IF(Z21=8,AD21," "))))))))</f>
        <v>#REF!</v>
      </c>
      <c r="AJ22" s="422" t="e">
        <f>IF(Z21=9,AD22,IF(Z21=10,AD23,IF(Z21=11,AD24,IF(Z21=12,AD25," "))))&amp;IF(Z21=13,AD26,IF(Z21=14,AD27,IF(Z21=15,AD28,IF(Z21=16,AD29,IF(Z21=17,AD30,IF(Z21=18,AD31," "))))))</f>
        <v>#REF!</v>
      </c>
      <c r="AL22" s="423" t="e">
        <f t="shared" si="1"/>
        <v>#REF!</v>
      </c>
      <c r="AM22" s="423" t="e">
        <f t="shared" si="1"/>
        <v>#REF!</v>
      </c>
      <c r="AX22" s="429" t="s">
        <v>231</v>
      </c>
    </row>
    <row r="23" spans="2:50" s="1" customFormat="1" ht="17.25" customHeight="1" x14ac:dyDescent="0.2">
      <c r="B23" s="1260" t="str">
        <f>IF(E23=" "," ","NVL")</f>
        <v>NVL</v>
      </c>
      <c r="C23" s="1260"/>
      <c r="D23" s="1260"/>
      <c r="E23" s="907">
        <f>IF('Data entry'!Q46="no",0,IF(H50&gt;0,H50,0))</f>
        <v>0</v>
      </c>
      <c r="F23" s="907"/>
      <c r="G23" s="907"/>
      <c r="H23" s="1269" t="str">
        <f>IF('Data entry'!Q46="no"," ",IF(H50&gt;0,"1 x 3 x 6"," "))</f>
        <v xml:space="preserve"> </v>
      </c>
      <c r="I23" s="1269"/>
      <c r="J23" s="1269"/>
      <c r="K23" s="1269"/>
      <c r="L23" s="1269"/>
      <c r="M23" s="1270" t="str">
        <f>IF('Data entry'!Q46="no"," ",IF(H50&gt;0,"cedar - Window Edge Siding"," "))</f>
        <v xml:space="preserve"> </v>
      </c>
      <c r="N23" s="1270"/>
      <c r="O23" s="1270"/>
      <c r="P23" s="1270"/>
      <c r="Q23" s="1270"/>
      <c r="R23" s="1270"/>
      <c r="S23" s="1270"/>
      <c r="T23" s="1270"/>
      <c r="U23" s="1270"/>
      <c r="V23" s="1270"/>
      <c r="W23" s="1270"/>
      <c r="X23" s="1270"/>
      <c r="Y23" s="428"/>
      <c r="Z23" s="418"/>
      <c r="AA23" s="418"/>
      <c r="AB23" s="51">
        <v>10</v>
      </c>
      <c r="AC23" s="51">
        <v>2</v>
      </c>
      <c r="AD23" s="51">
        <v>1</v>
      </c>
      <c r="AE23" s="418"/>
      <c r="AF23" s="418"/>
      <c r="AG23" s="418"/>
      <c r="AH23" s="418"/>
      <c r="AI23" s="293"/>
      <c r="AX23" s="430">
        <f>SUM(AX24:AX68)</f>
        <v>0</v>
      </c>
    </row>
    <row r="24" spans="2:50" s="1" customFormat="1" ht="17.25" customHeight="1" x14ac:dyDescent="0.2">
      <c r="B24" s="1260" t="str">
        <f>IF(E24=" "," ","NVL")</f>
        <v>NVL</v>
      </c>
      <c r="C24" s="1260"/>
      <c r="D24" s="1260"/>
      <c r="E24" s="907">
        <f>IF('Data entry'!Q46="no",0,IF(J50&gt;0,J50,0))</f>
        <v>1</v>
      </c>
      <c r="F24" s="907"/>
      <c r="G24" s="907"/>
      <c r="H24" s="1269" t="str">
        <f>IF('Data entry'!Q46="no"," ",IF(J50&gt;0,"1 x 3 x 8"," "))</f>
        <v>1 x 3 x 8</v>
      </c>
      <c r="I24" s="1269"/>
      <c r="J24" s="1269"/>
      <c r="K24" s="1269"/>
      <c r="L24" s="1269"/>
      <c r="M24" s="1264" t="str">
        <f>IF('Data entry'!Q46="no"," ",IF(J50&gt;0,"cedar - Window Edge Siding"," "))</f>
        <v>cedar - Window Edge Siding</v>
      </c>
      <c r="N24" s="1264"/>
      <c r="O24" s="1264"/>
      <c r="P24" s="1264"/>
      <c r="Q24" s="1264"/>
      <c r="R24" s="1264"/>
      <c r="S24" s="1264"/>
      <c r="T24" s="1264"/>
      <c r="U24" s="1264"/>
      <c r="V24" s="1264"/>
      <c r="W24" s="1264"/>
      <c r="X24" s="1264"/>
      <c r="Y24" s="428"/>
      <c r="Z24" s="418"/>
      <c r="AA24" s="418"/>
      <c r="AB24" s="51">
        <v>11</v>
      </c>
      <c r="AC24" s="51">
        <v>1</v>
      </c>
      <c r="AD24" s="51">
        <v>2</v>
      </c>
      <c r="AE24" s="418"/>
      <c r="AF24" s="418"/>
      <c r="AG24" s="418"/>
      <c r="AH24" s="418"/>
      <c r="AI24" s="293"/>
    </row>
    <row r="25" spans="2:50" s="1" customFormat="1" ht="17.25" customHeight="1" x14ac:dyDescent="0.2">
      <c r="B25" s="1260" t="str">
        <f>IF(E25=" "," ","NVL")</f>
        <v>NVL</v>
      </c>
      <c r="C25" s="1260"/>
      <c r="D25" s="1260"/>
      <c r="E25" s="907">
        <f>IF('Data entry'!Q46="no",0,IF(L50&gt;0,L50,0))</f>
        <v>1</v>
      </c>
      <c r="F25" s="907"/>
      <c r="G25" s="907"/>
      <c r="H25" s="1269" t="str">
        <f>IF('Data entry'!Q46="no"," ",IF(L50&gt;0,"1 x 3 x 10"," "))</f>
        <v>1 x 3 x 10</v>
      </c>
      <c r="I25" s="1269"/>
      <c r="J25" s="1269"/>
      <c r="K25" s="1269"/>
      <c r="L25" s="1269"/>
      <c r="M25" s="1264" t="str">
        <f>IF('Data entry'!Q46="no"," ",IF(L50&gt;0,"cedar - Window Edge Siding"," "))</f>
        <v>cedar - Window Edge Siding</v>
      </c>
      <c r="N25" s="1264"/>
      <c r="O25" s="1264"/>
      <c r="P25" s="1264"/>
      <c r="Q25" s="1264"/>
      <c r="R25" s="1264"/>
      <c r="S25" s="1264"/>
      <c r="T25" s="1264"/>
      <c r="U25" s="1264"/>
      <c r="V25" s="1264"/>
      <c r="W25" s="1264"/>
      <c r="X25" s="1264"/>
      <c r="Y25" s="428"/>
      <c r="Z25" s="418"/>
      <c r="AA25" s="418"/>
      <c r="AB25" s="51">
        <v>12</v>
      </c>
      <c r="AC25" s="51"/>
      <c r="AD25" s="51">
        <v>3</v>
      </c>
      <c r="AE25" s="418"/>
      <c r="AF25" s="418"/>
      <c r="AG25" s="418"/>
      <c r="AH25" s="418"/>
      <c r="AI25" s="293"/>
    </row>
    <row r="26" spans="2:50" s="1" customFormat="1" ht="17.25" customHeight="1" x14ac:dyDescent="0.2">
      <c r="B26" s="1260" t="str">
        <f>IF(E26=" "," ","NVL")</f>
        <v>NVL</v>
      </c>
      <c r="C26" s="1260"/>
      <c r="D26" s="1260"/>
      <c r="E26" s="907">
        <f>IF('Data entry'!Q46="no",0,IF(N50&gt;0,N50,0))</f>
        <v>0</v>
      </c>
      <c r="F26" s="907"/>
      <c r="G26" s="907"/>
      <c r="H26" s="1269" t="str">
        <f>IF('Data entry'!Q46="no"," ",IF(N50&gt;0,"1 x 3 x 12"," "))</f>
        <v xml:space="preserve"> </v>
      </c>
      <c r="I26" s="1269"/>
      <c r="J26" s="1269"/>
      <c r="K26" s="1269"/>
      <c r="L26" s="1269"/>
      <c r="M26" s="1264" t="str">
        <f>IF('Data entry'!Q46="no"," ",IF(N50&gt;0,"cedar - Window Edge Siding"," "))</f>
        <v xml:space="preserve"> </v>
      </c>
      <c r="N26" s="1264"/>
      <c r="O26" s="1264"/>
      <c r="P26" s="1264"/>
      <c r="Q26" s="1264"/>
      <c r="R26" s="1264"/>
      <c r="S26" s="1264"/>
      <c r="T26" s="1264"/>
      <c r="U26" s="1264"/>
      <c r="V26" s="1264"/>
      <c r="W26" s="1264"/>
      <c r="X26" s="1264"/>
      <c r="Y26" s="428"/>
      <c r="Z26" s="418"/>
      <c r="AA26" s="418"/>
      <c r="AB26" s="51">
        <v>13</v>
      </c>
      <c r="AC26" s="51">
        <v>3</v>
      </c>
      <c r="AD26" s="51">
        <v>1</v>
      </c>
      <c r="AE26" s="418"/>
      <c r="AF26" s="418"/>
      <c r="AG26" s="418"/>
      <c r="AH26" s="418"/>
      <c r="AI26" s="293"/>
    </row>
    <row r="27" spans="2:50" s="1" customFormat="1" ht="17.25" customHeight="1" x14ac:dyDescent="0.2">
      <c r="B27" s="1260" t="str">
        <f>IF(E28=" "," ","NVL")</f>
        <v>NVL</v>
      </c>
      <c r="C27" s="1260"/>
      <c r="D27" s="1260"/>
      <c r="E27" s="907">
        <f>IF('Data entry'!Q46="no",0,IF(V43&gt;0,V43,0))</f>
        <v>2</v>
      </c>
      <c r="F27" s="907"/>
      <c r="G27" s="907"/>
      <c r="H27" s="1269" t="str">
        <f>IF('Data entry'!Q46="no"," ",IF(V43&gt;0,"1 x 6 x 6"," "))</f>
        <v>1 x 6 x 6</v>
      </c>
      <c r="I27" s="1269"/>
      <c r="J27" s="1269"/>
      <c r="K27" s="1269"/>
      <c r="L27" s="1269"/>
      <c r="M27" s="1264" t="str">
        <f>IF('Data entry'!Q46="no"," ",IF(V43&gt;0,"cedar - Casement Window Edge Siding"," "))</f>
        <v>cedar - Casement Window Edge Siding</v>
      </c>
      <c r="N27" s="1264"/>
      <c r="O27" s="1264"/>
      <c r="P27" s="1264"/>
      <c r="Q27" s="1264"/>
      <c r="R27" s="1264"/>
      <c r="S27" s="1264"/>
      <c r="T27" s="1264"/>
      <c r="U27" s="1264"/>
      <c r="V27" s="1264"/>
      <c r="W27" s="1264"/>
      <c r="X27" s="1264"/>
      <c r="Y27" s="428"/>
      <c r="Z27" s="418"/>
      <c r="AA27" s="418"/>
      <c r="AB27" s="51">
        <v>14</v>
      </c>
      <c r="AC27" s="51">
        <v>2</v>
      </c>
      <c r="AD27" s="51">
        <v>2</v>
      </c>
      <c r="AE27" s="418"/>
      <c r="AF27" s="418"/>
      <c r="AG27" s="418"/>
      <c r="AH27" s="418"/>
      <c r="AI27" s="293"/>
    </row>
    <row r="28" spans="2:50" s="1" customFormat="1" ht="17.25" customHeight="1" x14ac:dyDescent="0.2">
      <c r="B28" s="1260" t="str">
        <f>IF(E27=" "," ","NVL")</f>
        <v>NVL</v>
      </c>
      <c r="C28" s="1260"/>
      <c r="D28" s="1260"/>
      <c r="E28" s="907">
        <f>IF('Data entry'!Q46="no",0,IF(X43&gt;0,X43,0))</f>
        <v>10</v>
      </c>
      <c r="F28" s="907"/>
      <c r="G28" s="907"/>
      <c r="H28" s="1269" t="str">
        <f>IF('Data entry'!Q46="no"," ",IF(X43&gt;0,"1 x 6 x 8"," "))</f>
        <v>1 x 6 x 8</v>
      </c>
      <c r="I28" s="1269"/>
      <c r="J28" s="1269"/>
      <c r="K28" s="1269"/>
      <c r="L28" s="1269"/>
      <c r="M28" s="1264" t="str">
        <f>IF('Data entry'!Q46="no"," ",IF(X43&gt;0,"cedar - Casement Window Edge Siding"," "))</f>
        <v>cedar - Casement Window Edge Siding</v>
      </c>
      <c r="N28" s="1264"/>
      <c r="O28" s="1264"/>
      <c r="P28" s="1264"/>
      <c r="Q28" s="1264"/>
      <c r="R28" s="1264"/>
      <c r="S28" s="1264"/>
      <c r="T28" s="1264"/>
      <c r="U28" s="1264"/>
      <c r="V28" s="1264"/>
      <c r="W28" s="1264"/>
      <c r="X28" s="1264"/>
      <c r="Y28" s="428"/>
      <c r="Z28" s="418"/>
      <c r="AA28" s="418"/>
      <c r="AB28" s="51">
        <v>15</v>
      </c>
      <c r="AC28" s="51">
        <v>1</v>
      </c>
      <c r="AD28" s="51">
        <v>3</v>
      </c>
      <c r="AE28" s="418"/>
      <c r="AF28" s="418"/>
      <c r="AG28" s="418"/>
      <c r="AH28" s="418"/>
      <c r="AI28" s="293"/>
    </row>
    <row r="29" spans="2:50" s="1" customFormat="1" ht="17.25" customHeight="1" x14ac:dyDescent="0.2">
      <c r="B29" s="1260" t="str">
        <f>IF(E29=" "," ","NVL")</f>
        <v>NVL</v>
      </c>
      <c r="C29" s="1260"/>
      <c r="D29" s="1260"/>
      <c r="E29" s="907">
        <f>IF('Data entry'!Q46="no",0,IF(Z43&gt;0,Z43,0))</f>
        <v>0</v>
      </c>
      <c r="F29" s="907"/>
      <c r="G29" s="907"/>
      <c r="H29" s="1263" t="str">
        <f>IF('Data entry'!Q46="no"," ",IF(Z43&gt;0,"1 x 6 x 10"," "))</f>
        <v xml:space="preserve"> </v>
      </c>
      <c r="I29" s="1263"/>
      <c r="J29" s="1263"/>
      <c r="K29" s="1263"/>
      <c r="L29" s="1263"/>
      <c r="M29" s="1264" t="str">
        <f>IF('Data entry'!Q46="no"," ",IF(Z43&gt;0,"cedar - Casement Window Edge Siding"," "))</f>
        <v xml:space="preserve"> </v>
      </c>
      <c r="N29" s="1264"/>
      <c r="O29" s="1264"/>
      <c r="P29" s="1264"/>
      <c r="Q29" s="1264"/>
      <c r="R29" s="1264"/>
      <c r="S29" s="1264"/>
      <c r="T29" s="1264"/>
      <c r="U29" s="1264"/>
      <c r="V29" s="1264"/>
      <c r="W29" s="1264"/>
      <c r="X29" s="1264"/>
      <c r="Y29" s="428"/>
      <c r="Z29" s="418"/>
      <c r="AA29" s="418"/>
      <c r="AB29" s="51">
        <v>16</v>
      </c>
      <c r="AC29" s="51"/>
      <c r="AD29" s="51">
        <v>4</v>
      </c>
      <c r="AE29" s="418"/>
      <c r="AF29" s="418"/>
      <c r="AG29" s="418"/>
      <c r="AH29" s="418"/>
      <c r="AI29" s="293"/>
    </row>
    <row r="30" spans="2:50" s="1" customFormat="1" ht="17.25" customHeight="1" x14ac:dyDescent="0.2">
      <c r="B30" s="1265" t="str">
        <f>IF(E30=" "," ","NVL")</f>
        <v>NVL</v>
      </c>
      <c r="C30" s="1265"/>
      <c r="D30" s="1265"/>
      <c r="E30" s="1266">
        <f>IF('Data entry'!Q46="no",0,IF(AB43&gt;0,AB43,0))</f>
        <v>0</v>
      </c>
      <c r="F30" s="1266"/>
      <c r="G30" s="1266"/>
      <c r="H30" s="1267" t="str">
        <f>IF('Data entry'!Q46="no"," ",IF(AB43&gt;0,"1 x 6 x 12"," "))</f>
        <v xml:space="preserve"> </v>
      </c>
      <c r="I30" s="1267"/>
      <c r="J30" s="1267"/>
      <c r="K30" s="1267"/>
      <c r="L30" s="1267"/>
      <c r="M30" s="1268" t="str">
        <f>IF('Data entry'!Q46="no"," ",IF(AB43&gt;0,"cedar - Casement Window Edge Siding"," "))</f>
        <v xml:space="preserve"> </v>
      </c>
      <c r="N30" s="1268"/>
      <c r="O30" s="1268"/>
      <c r="P30" s="1268"/>
      <c r="Q30" s="1268"/>
      <c r="R30" s="1268"/>
      <c r="S30" s="1268"/>
      <c r="T30" s="1268"/>
      <c r="U30" s="1268"/>
      <c r="V30" s="1268"/>
      <c r="W30" s="1268"/>
      <c r="X30" s="1268"/>
      <c r="Y30" s="428"/>
      <c r="Z30" s="418"/>
      <c r="AA30" s="418"/>
      <c r="AB30" s="51">
        <v>17</v>
      </c>
      <c r="AC30" s="51">
        <v>3</v>
      </c>
      <c r="AD30" s="51">
        <v>2</v>
      </c>
      <c r="AE30" s="418"/>
      <c r="AF30" s="418"/>
      <c r="AG30" s="418"/>
      <c r="AH30" s="418"/>
      <c r="AI30" s="293"/>
      <c r="AQ30" s="1259" t="s">
        <v>461</v>
      </c>
    </row>
    <row r="31" spans="2:50" s="1" customFormat="1" ht="18.75" customHeight="1" x14ac:dyDescent="0.2">
      <c r="B31" s="1260" t="str">
        <f>IF(E31=" "," ","NVL")</f>
        <v>NVL</v>
      </c>
      <c r="C31" s="1260"/>
      <c r="D31" s="1260"/>
      <c r="E31" s="854">
        <f>IF('Data entry'!Q46="yes",IF(AT79&gt;0,SUM(AT79+(AT79*AW31))),0)</f>
        <v>689.01</v>
      </c>
      <c r="F31" s="854"/>
      <c r="G31" s="854"/>
      <c r="H31" s="906" t="str">
        <f>IF(E31=" "," ","1x6x47 3/4")</f>
        <v>1x6x47 3/4</v>
      </c>
      <c r="I31" s="906"/>
      <c r="J31" s="906"/>
      <c r="K31" s="906"/>
      <c r="L31" s="906"/>
      <c r="M31" s="971" t="str">
        <f>IF(E31=" "," ","T+G Cedar")</f>
        <v>T+G Cedar</v>
      </c>
      <c r="N31" s="971"/>
      <c r="O31" s="971"/>
      <c r="P31" s="971"/>
      <c r="Q31" s="971"/>
      <c r="R31" s="971"/>
      <c r="S31" s="971"/>
      <c r="T31" s="971"/>
      <c r="U31" s="971"/>
      <c r="V31" s="971"/>
      <c r="W31" s="971"/>
      <c r="X31" s="971"/>
      <c r="Z31" s="418"/>
      <c r="AA31" s="418"/>
      <c r="AB31" s="51">
        <v>18</v>
      </c>
      <c r="AC31" s="51">
        <v>2</v>
      </c>
      <c r="AD31" s="51">
        <v>3</v>
      </c>
      <c r="AE31" s="418"/>
      <c r="AF31" s="418"/>
      <c r="AG31" s="418"/>
      <c r="AH31" s="418"/>
      <c r="AI31" s="293"/>
      <c r="AQ31" s="1259"/>
      <c r="AR31" s="431">
        <v>5</v>
      </c>
      <c r="AU31" s="1" t="s">
        <v>462</v>
      </c>
      <c r="AW31" s="432">
        <v>0.05</v>
      </c>
    </row>
    <row r="32" spans="2:50" ht="17.25" customHeight="1" x14ac:dyDescent="0.2">
      <c r="B32" s="1261"/>
      <c r="C32" s="1261"/>
      <c r="D32" s="1261"/>
      <c r="E32" s="1261"/>
      <c r="F32" s="1261"/>
      <c r="G32" s="1261"/>
      <c r="H32" s="1"/>
      <c r="I32" s="1"/>
      <c r="J32" s="1"/>
      <c r="K32" s="1"/>
      <c r="L32" s="1"/>
      <c r="M32" s="1"/>
      <c r="N32" s="1"/>
      <c r="O32" s="1"/>
      <c r="P32" s="1"/>
      <c r="Q32" s="1"/>
      <c r="R32" s="1"/>
      <c r="S32" s="1"/>
      <c r="T32" s="1"/>
      <c r="U32" s="1"/>
      <c r="V32" s="1"/>
      <c r="W32" s="1"/>
      <c r="X32" s="1"/>
      <c r="Y32" s="1"/>
      <c r="Z32" s="293"/>
      <c r="AA32" s="293"/>
      <c r="AB32" s="636">
        <v>19</v>
      </c>
      <c r="AC32" s="636">
        <v>1</v>
      </c>
      <c r="AD32" s="636">
        <v>4</v>
      </c>
      <c r="AE32" s="293"/>
      <c r="AF32" s="293"/>
      <c r="AG32" s="293"/>
      <c r="AH32" s="293"/>
      <c r="AI32" s="293"/>
    </row>
    <row r="33" spans="2:46" ht="17.25" customHeight="1" x14ac:dyDescent="0.2">
      <c r="B33" s="1257"/>
      <c r="C33" s="1257"/>
      <c r="D33" s="1257"/>
      <c r="E33" s="1257"/>
      <c r="F33" s="1257"/>
      <c r="G33" s="1257"/>
      <c r="H33" s="293"/>
      <c r="I33" s="293"/>
      <c r="J33" s="293"/>
      <c r="K33" s="293"/>
      <c r="L33" s="293"/>
      <c r="M33" s="293"/>
      <c r="N33" s="293"/>
      <c r="O33" s="293"/>
      <c r="P33" s="293"/>
      <c r="Q33" s="293"/>
      <c r="R33" s="293"/>
      <c r="S33" s="293"/>
      <c r="T33" s="293"/>
      <c r="U33" s="293"/>
      <c r="V33" s="293"/>
      <c r="W33" s="293"/>
      <c r="X33" s="293"/>
      <c r="Y33" s="293"/>
      <c r="Z33" s="293"/>
      <c r="AA33" s="293"/>
      <c r="AB33" s="636">
        <v>20</v>
      </c>
      <c r="AC33" s="636"/>
      <c r="AD33" s="636">
        <v>5</v>
      </c>
      <c r="AE33" s="293"/>
      <c r="AF33" s="293"/>
      <c r="AG33" s="293"/>
      <c r="AP33" s="18" t="s">
        <v>463</v>
      </c>
      <c r="AQ33" s="18" t="s">
        <v>464</v>
      </c>
      <c r="AR33" s="18" t="s">
        <v>465</v>
      </c>
      <c r="AS33" s="18" t="s">
        <v>466</v>
      </c>
    </row>
    <row r="34" spans="2:46" ht="23.65" customHeight="1" x14ac:dyDescent="0.2">
      <c r="B34" s="293"/>
      <c r="C34" s="293"/>
      <c r="D34" s="293"/>
      <c r="E34" s="1257" t="s">
        <v>467</v>
      </c>
      <c r="F34" s="1257"/>
      <c r="G34" s="1257"/>
      <c r="H34" s="1258" t="s">
        <v>468</v>
      </c>
      <c r="I34" s="1258"/>
      <c r="J34" s="433" t="s">
        <v>235</v>
      </c>
      <c r="K34" s="433"/>
      <c r="L34" s="1258" t="s">
        <v>469</v>
      </c>
      <c r="M34" s="1258"/>
      <c r="N34" s="1258" t="s">
        <v>470</v>
      </c>
      <c r="O34" s="1258"/>
      <c r="P34" s="293"/>
      <c r="Q34" s="293"/>
      <c r="R34" s="293"/>
      <c r="S34" s="293" t="s">
        <v>471</v>
      </c>
      <c r="T34" s="293"/>
      <c r="U34" s="293"/>
      <c r="V34" s="1262" t="s">
        <v>472</v>
      </c>
      <c r="W34" s="1262"/>
      <c r="X34" s="1262" t="s">
        <v>229</v>
      </c>
      <c r="Y34" s="1262"/>
      <c r="Z34" s="1258" t="s">
        <v>230</v>
      </c>
      <c r="AA34" s="1258"/>
      <c r="AB34" s="1258" t="s">
        <v>231</v>
      </c>
      <c r="AC34" s="1258"/>
      <c r="AD34" s="293"/>
      <c r="AE34" s="293"/>
      <c r="AF34" s="293"/>
      <c r="AG34" s="293"/>
      <c r="AP34" s="434">
        <f>'Data entry'!P51</f>
        <v>1</v>
      </c>
      <c r="AQ34" s="434">
        <f>'Data entry'!L51</f>
        <v>57</v>
      </c>
      <c r="AR34" s="434">
        <f>'Data entry'!Q$11-1.5</f>
        <v>166.5</v>
      </c>
      <c r="AS34" s="434">
        <f t="shared" ref="AS34:AS52" si="2">IF(AQ34=0,0,((AR34-AQ34)/$AR$31))</f>
        <v>21.9</v>
      </c>
      <c r="AT34" s="434">
        <f t="shared" ref="AT34:AT68" si="3">SUM(AP34*AS34)</f>
        <v>21.9</v>
      </c>
    </row>
    <row r="35" spans="2:46" x14ac:dyDescent="0.2">
      <c r="B35" s="293"/>
      <c r="C35" s="293"/>
      <c r="D35" s="293"/>
      <c r="E35" s="296">
        <f>'Data entry'!L51</f>
        <v>57</v>
      </c>
      <c r="F35" s="296">
        <f>'Data entry'!P51</f>
        <v>1</v>
      </c>
      <c r="G35" s="293"/>
      <c r="H35" s="1254" t="str">
        <f t="shared" ref="H35:H49" si="4">IF(E35=0," ",IF($E35&lt;35,$F35," "))</f>
        <v xml:space="preserve"> </v>
      </c>
      <c r="I35" s="1254"/>
      <c r="J35" s="1254" t="str">
        <f t="shared" ref="J35:J49" si="5">IF(AND($E35&gt;=35,$E35&lt;=47),F35,IF(AND($E35&gt;=72,$E35&lt;=84),F35*2,IF(E35&lt;35," ",IF(AND(E35&gt;=48,E35&lt;=71)," "))))</f>
        <v xml:space="preserve"> </v>
      </c>
      <c r="K35" s="1254"/>
      <c r="L35" s="1254">
        <f t="shared" ref="L35:L49" si="6">IF(E35=0," ",IF(AND($E35&gt;=47,$E35&lt;=59),F35,IF(E35&gt;59.5," ",IF(E35&lt;47," "))))</f>
        <v>1</v>
      </c>
      <c r="M35" s="1254"/>
      <c r="N35" s="1254" t="str">
        <f t="shared" ref="N35:N48" si="7">IF(AND($E35&gt;=60,$E35&lt;=71),F35," ")</f>
        <v xml:space="preserve"> </v>
      </c>
      <c r="O35" s="1254"/>
      <c r="P35" s="293"/>
      <c r="Q35" s="293"/>
      <c r="R35" s="293"/>
      <c r="S35" s="296">
        <f>'Data entry'!L63</f>
        <v>30</v>
      </c>
      <c r="T35" s="296">
        <f>'Data entry'!P63</f>
        <v>1</v>
      </c>
      <c r="U35" s="293"/>
      <c r="V35" s="1254">
        <f t="shared" ref="V35:V42" si="8">IF(S35=0," ",IF($S35&lt;35,$T35," "))</f>
        <v>1</v>
      </c>
      <c r="W35" s="1254"/>
      <c r="X35" s="1254" t="str">
        <f t="shared" ref="X35:X42" si="9">IF(AND($S35&gt;=35,$S35&lt;=47),T35,IF(AND($S35&gt;=72,$S35&lt;=84),T35,IF(S35&lt;35," ",IF(AND(S35&gt;=48,S35&lt;=71)," "))))</f>
        <v xml:space="preserve"> </v>
      </c>
      <c r="Y35" s="1254"/>
      <c r="Z35" s="1254" t="str">
        <f t="shared" ref="Z35:Z42" si="10">IF(S35=0," ",IF(AND($S35&gt;=47,$S35&lt;=59),T35,IF(S35&gt;59.5," ",IF(S35&lt;47," "))))</f>
        <v xml:space="preserve"> </v>
      </c>
      <c r="AA35" s="1254"/>
      <c r="AB35" s="1254" t="str">
        <f t="shared" ref="AB35:AB42" si="11">IF(AND($S35&gt;=60,$S35&lt;=71),T35," ")</f>
        <v xml:space="preserve"> </v>
      </c>
      <c r="AC35" s="1254"/>
      <c r="AD35" s="293"/>
      <c r="AE35" s="293"/>
      <c r="AF35" s="293"/>
      <c r="AG35" s="293"/>
      <c r="AP35" s="434">
        <f>'Data entry'!P52</f>
        <v>0</v>
      </c>
      <c r="AQ35" s="434">
        <f>'Data entry'!L52</f>
        <v>0</v>
      </c>
      <c r="AR35" s="434">
        <f>'Data entry'!Q$11-1.5</f>
        <v>166.5</v>
      </c>
      <c r="AS35" s="434">
        <f t="shared" si="2"/>
        <v>0</v>
      </c>
      <c r="AT35" s="434">
        <f t="shared" si="3"/>
        <v>0</v>
      </c>
    </row>
    <row r="36" spans="2:46" x14ac:dyDescent="0.2">
      <c r="B36" s="293"/>
      <c r="C36" s="293"/>
      <c r="D36" s="293"/>
      <c r="E36" s="296">
        <f>'Data entry'!L52</f>
        <v>0</v>
      </c>
      <c r="F36" s="296">
        <f>'Data entry'!P52</f>
        <v>0</v>
      </c>
      <c r="G36" s="293"/>
      <c r="H36" s="1254" t="str">
        <f t="shared" si="4"/>
        <v xml:space="preserve"> </v>
      </c>
      <c r="I36" s="1254"/>
      <c r="J36" s="1254" t="str">
        <f t="shared" si="5"/>
        <v xml:space="preserve"> </v>
      </c>
      <c r="K36" s="1254"/>
      <c r="L36" s="1254" t="str">
        <f t="shared" si="6"/>
        <v xml:space="preserve"> </v>
      </c>
      <c r="M36" s="1254"/>
      <c r="N36" s="1254" t="str">
        <f t="shared" si="7"/>
        <v xml:space="preserve"> </v>
      </c>
      <c r="O36" s="1254"/>
      <c r="P36" s="293"/>
      <c r="Q36" s="293"/>
      <c r="R36" s="293"/>
      <c r="S36" s="296">
        <f>'Data entry'!L64</f>
        <v>42</v>
      </c>
      <c r="T36" s="296">
        <f>'Data entry'!P64</f>
        <v>2</v>
      </c>
      <c r="U36" s="293"/>
      <c r="V36" s="1254" t="str">
        <f t="shared" si="8"/>
        <v xml:space="preserve"> </v>
      </c>
      <c r="W36" s="1254"/>
      <c r="X36" s="1254">
        <f t="shared" si="9"/>
        <v>2</v>
      </c>
      <c r="Y36" s="1254"/>
      <c r="Z36" s="1254" t="str">
        <f t="shared" si="10"/>
        <v xml:space="preserve"> </v>
      </c>
      <c r="AA36" s="1254"/>
      <c r="AB36" s="1254" t="str">
        <f t="shared" si="11"/>
        <v xml:space="preserve"> </v>
      </c>
      <c r="AC36" s="1254"/>
      <c r="AD36" s="293"/>
      <c r="AE36" s="293"/>
      <c r="AF36" s="293"/>
      <c r="AG36" s="293"/>
      <c r="AP36" s="434">
        <f>'Data entry'!P53</f>
        <v>0</v>
      </c>
      <c r="AQ36" s="434">
        <f>'Data entry'!L53</f>
        <v>0</v>
      </c>
      <c r="AR36" s="434">
        <f>'Data entry'!Q$11-1.5</f>
        <v>166.5</v>
      </c>
      <c r="AS36" s="434">
        <f t="shared" si="2"/>
        <v>0</v>
      </c>
      <c r="AT36" s="434">
        <f t="shared" si="3"/>
        <v>0</v>
      </c>
    </row>
    <row r="37" spans="2:46" x14ac:dyDescent="0.2">
      <c r="B37" s="293"/>
      <c r="C37" s="293"/>
      <c r="D37" s="293"/>
      <c r="E37" s="296">
        <f>'Data entry'!L53</f>
        <v>0</v>
      </c>
      <c r="F37" s="296">
        <f>'Data entry'!P53</f>
        <v>0</v>
      </c>
      <c r="G37" s="293"/>
      <c r="H37" s="1254" t="str">
        <f t="shared" si="4"/>
        <v xml:space="preserve"> </v>
      </c>
      <c r="I37" s="1254"/>
      <c r="J37" s="1254" t="str">
        <f t="shared" si="5"/>
        <v xml:space="preserve"> </v>
      </c>
      <c r="K37" s="1254"/>
      <c r="L37" s="1254" t="str">
        <f t="shared" si="6"/>
        <v xml:space="preserve"> </v>
      </c>
      <c r="M37" s="1254"/>
      <c r="N37" s="1254" t="str">
        <f t="shared" si="7"/>
        <v xml:space="preserve"> </v>
      </c>
      <c r="O37" s="1254"/>
      <c r="P37" s="293"/>
      <c r="Q37" s="293"/>
      <c r="R37" s="293"/>
      <c r="S37" s="296">
        <f>'Data entry'!L65</f>
        <v>42</v>
      </c>
      <c r="T37" s="296">
        <f>'Data entry'!P65</f>
        <v>2</v>
      </c>
      <c r="U37" s="293"/>
      <c r="V37" s="1254" t="str">
        <f t="shared" si="8"/>
        <v xml:space="preserve"> </v>
      </c>
      <c r="W37" s="1254"/>
      <c r="X37" s="1254">
        <f t="shared" si="9"/>
        <v>2</v>
      </c>
      <c r="Y37" s="1254"/>
      <c r="Z37" s="1254" t="str">
        <f t="shared" si="10"/>
        <v xml:space="preserve"> </v>
      </c>
      <c r="AA37" s="1254"/>
      <c r="AB37" s="1254" t="str">
        <f t="shared" si="11"/>
        <v xml:space="preserve"> </v>
      </c>
      <c r="AC37" s="1254"/>
      <c r="AD37" s="293"/>
      <c r="AE37" s="293"/>
      <c r="AF37" s="293"/>
      <c r="AG37" s="293"/>
      <c r="AP37" s="434">
        <f>'Data entry'!P54</f>
        <v>0</v>
      </c>
      <c r="AQ37" s="434">
        <f>'Data entry'!L54</f>
        <v>0</v>
      </c>
      <c r="AR37" s="434">
        <f>'Data entry'!Q$11-1.5</f>
        <v>166.5</v>
      </c>
      <c r="AS37" s="434">
        <f t="shared" si="2"/>
        <v>0</v>
      </c>
      <c r="AT37" s="434">
        <f t="shared" si="3"/>
        <v>0</v>
      </c>
    </row>
    <row r="38" spans="2:46" x14ac:dyDescent="0.2">
      <c r="B38" s="293"/>
      <c r="C38" s="293"/>
      <c r="D38" s="293"/>
      <c r="E38" s="296">
        <f>'Data entry'!L54</f>
        <v>0</v>
      </c>
      <c r="F38" s="296">
        <f>'Data entry'!P54</f>
        <v>0</v>
      </c>
      <c r="G38" s="293"/>
      <c r="H38" s="1254" t="str">
        <f t="shared" si="4"/>
        <v xml:space="preserve"> </v>
      </c>
      <c r="I38" s="1254"/>
      <c r="J38" s="1254" t="str">
        <f t="shared" si="5"/>
        <v xml:space="preserve"> </v>
      </c>
      <c r="K38" s="1254"/>
      <c r="L38" s="1254" t="str">
        <f t="shared" si="6"/>
        <v xml:space="preserve"> </v>
      </c>
      <c r="M38" s="1254"/>
      <c r="N38" s="1254" t="str">
        <f t="shared" si="7"/>
        <v xml:space="preserve"> </v>
      </c>
      <c r="O38" s="1254"/>
      <c r="P38" s="293"/>
      <c r="Q38" s="293"/>
      <c r="R38" s="293"/>
      <c r="S38" s="296">
        <f>'Data entry'!L66</f>
        <v>36</v>
      </c>
      <c r="T38" s="296">
        <f>'Data entry'!P66</f>
        <v>1</v>
      </c>
      <c r="U38" s="293"/>
      <c r="V38" s="1254" t="str">
        <f t="shared" si="8"/>
        <v xml:space="preserve"> </v>
      </c>
      <c r="W38" s="1254"/>
      <c r="X38" s="1254">
        <f t="shared" si="9"/>
        <v>1</v>
      </c>
      <c r="Y38" s="1254"/>
      <c r="Z38" s="1254" t="str">
        <f t="shared" si="10"/>
        <v xml:space="preserve"> </v>
      </c>
      <c r="AA38" s="1254"/>
      <c r="AB38" s="1254" t="str">
        <f t="shared" si="11"/>
        <v xml:space="preserve"> </v>
      </c>
      <c r="AC38" s="1254"/>
      <c r="AD38" s="293"/>
      <c r="AE38" s="293"/>
      <c r="AF38" s="293"/>
      <c r="AG38" s="293"/>
      <c r="AP38" s="434">
        <f>'Data entry'!P55</f>
        <v>0</v>
      </c>
      <c r="AQ38" s="434">
        <f>'Data entry'!L55</f>
        <v>0</v>
      </c>
      <c r="AR38" s="434">
        <f>'Data entry'!Q$11-1.5</f>
        <v>166.5</v>
      </c>
      <c r="AS38" s="434">
        <f t="shared" si="2"/>
        <v>0</v>
      </c>
      <c r="AT38" s="434">
        <f t="shared" si="3"/>
        <v>0</v>
      </c>
    </row>
    <row r="39" spans="2:46" x14ac:dyDescent="0.2">
      <c r="B39" s="293"/>
      <c r="C39" s="293"/>
      <c r="D39" s="293"/>
      <c r="E39" s="296">
        <f>'Data entry'!L55</f>
        <v>0</v>
      </c>
      <c r="F39" s="296">
        <f>'Data entry'!P55</f>
        <v>0</v>
      </c>
      <c r="G39" s="293"/>
      <c r="H39" s="1254" t="str">
        <f t="shared" si="4"/>
        <v xml:space="preserve"> </v>
      </c>
      <c r="I39" s="1254"/>
      <c r="J39" s="1254" t="str">
        <f t="shared" si="5"/>
        <v xml:space="preserve"> </v>
      </c>
      <c r="K39" s="1254"/>
      <c r="L39" s="1254" t="str">
        <f t="shared" si="6"/>
        <v xml:space="preserve"> </v>
      </c>
      <c r="M39" s="1254"/>
      <c r="N39" s="1254" t="str">
        <f t="shared" si="7"/>
        <v xml:space="preserve"> </v>
      </c>
      <c r="O39" s="1254"/>
      <c r="P39" s="293"/>
      <c r="Q39" s="293"/>
      <c r="R39" s="293"/>
      <c r="S39" s="296">
        <f>'Data entry'!L67</f>
        <v>0</v>
      </c>
      <c r="T39" s="296">
        <f>'Data entry'!P67</f>
        <v>0</v>
      </c>
      <c r="U39" s="293"/>
      <c r="V39" s="1254" t="str">
        <f t="shared" si="8"/>
        <v xml:space="preserve"> </v>
      </c>
      <c r="W39" s="1254"/>
      <c r="X39" s="1254" t="str">
        <f t="shared" si="9"/>
        <v xml:space="preserve"> </v>
      </c>
      <c r="Y39" s="1254"/>
      <c r="Z39" s="1254" t="str">
        <f t="shared" si="10"/>
        <v xml:space="preserve"> </v>
      </c>
      <c r="AA39" s="1254"/>
      <c r="AB39" s="1254" t="str">
        <f t="shared" si="11"/>
        <v xml:space="preserve"> </v>
      </c>
      <c r="AC39" s="1254"/>
      <c r="AD39" s="293"/>
      <c r="AE39" s="293"/>
      <c r="AF39" s="293"/>
      <c r="AG39" s="293"/>
      <c r="AP39" s="434">
        <f>'Data entry'!P56</f>
        <v>0</v>
      </c>
      <c r="AQ39" s="434">
        <f>'Data entry'!L56</f>
        <v>0</v>
      </c>
      <c r="AR39" s="434">
        <f>'Data entry'!Q$11-1.5</f>
        <v>166.5</v>
      </c>
      <c r="AS39" s="434">
        <f t="shared" si="2"/>
        <v>0</v>
      </c>
      <c r="AT39" s="434">
        <f t="shared" si="3"/>
        <v>0</v>
      </c>
    </row>
    <row r="40" spans="2:46" x14ac:dyDescent="0.2">
      <c r="B40" s="293"/>
      <c r="C40" s="293"/>
      <c r="D40" s="293"/>
      <c r="E40" s="296">
        <f>'Data entry'!L56</f>
        <v>0</v>
      </c>
      <c r="F40" s="296">
        <f>'Data entry'!P56</f>
        <v>0</v>
      </c>
      <c r="G40" s="293"/>
      <c r="H40" s="1254" t="str">
        <f t="shared" si="4"/>
        <v xml:space="preserve"> </v>
      </c>
      <c r="I40" s="1254"/>
      <c r="J40" s="1254" t="str">
        <f t="shared" si="5"/>
        <v xml:space="preserve"> </v>
      </c>
      <c r="K40" s="1254"/>
      <c r="L40" s="1254" t="str">
        <f t="shared" si="6"/>
        <v xml:space="preserve"> </v>
      </c>
      <c r="M40" s="1254"/>
      <c r="N40" s="1254" t="str">
        <f t="shared" si="7"/>
        <v xml:space="preserve"> </v>
      </c>
      <c r="O40" s="1254"/>
      <c r="P40" s="293"/>
      <c r="Q40" s="293"/>
      <c r="R40" s="293"/>
      <c r="S40" s="296">
        <f>'Data entry'!L71</f>
        <v>39</v>
      </c>
      <c r="T40" s="296">
        <f>'Data entry'!P71</f>
        <v>5</v>
      </c>
      <c r="U40" s="293"/>
      <c r="V40" s="1254" t="str">
        <f t="shared" si="8"/>
        <v xml:space="preserve"> </v>
      </c>
      <c r="W40" s="1254"/>
      <c r="X40" s="1254">
        <f t="shared" si="9"/>
        <v>5</v>
      </c>
      <c r="Y40" s="1254"/>
      <c r="Z40" s="1254" t="str">
        <f t="shared" si="10"/>
        <v xml:space="preserve"> </v>
      </c>
      <c r="AA40" s="1254"/>
      <c r="AB40" s="1254" t="str">
        <f t="shared" si="11"/>
        <v xml:space="preserve"> </v>
      </c>
      <c r="AC40" s="1254"/>
      <c r="AD40" s="293"/>
      <c r="AE40" s="293"/>
      <c r="AF40" s="293"/>
      <c r="AG40" s="293"/>
      <c r="AP40" s="434">
        <f>'Data entry'!P57</f>
        <v>0</v>
      </c>
      <c r="AQ40" s="434">
        <f>'Data entry'!L57</f>
        <v>0</v>
      </c>
      <c r="AR40" s="434">
        <f>'Data entry'!Q$11-1.5</f>
        <v>166.5</v>
      </c>
      <c r="AS40" s="434">
        <f t="shared" si="2"/>
        <v>0</v>
      </c>
      <c r="AT40" s="434">
        <f t="shared" si="3"/>
        <v>0</v>
      </c>
    </row>
    <row r="41" spans="2:46" x14ac:dyDescent="0.2">
      <c r="B41" s="293"/>
      <c r="C41" s="293"/>
      <c r="D41" s="293"/>
      <c r="E41" s="296">
        <f>'Data entry'!L57</f>
        <v>0</v>
      </c>
      <c r="F41" s="296">
        <f>'Data entry'!P57</f>
        <v>0</v>
      </c>
      <c r="G41" s="293"/>
      <c r="H41" s="1254" t="str">
        <f t="shared" si="4"/>
        <v xml:space="preserve"> </v>
      </c>
      <c r="I41" s="1254"/>
      <c r="J41" s="1254" t="str">
        <f t="shared" si="5"/>
        <v xml:space="preserve"> </v>
      </c>
      <c r="K41" s="1254"/>
      <c r="L41" s="1254" t="str">
        <f t="shared" si="6"/>
        <v xml:space="preserve"> </v>
      </c>
      <c r="M41" s="1254"/>
      <c r="N41" s="1254" t="str">
        <f t="shared" si="7"/>
        <v xml:space="preserve"> </v>
      </c>
      <c r="O41" s="1254"/>
      <c r="P41" s="293"/>
      <c r="Q41" s="293"/>
      <c r="R41" s="293"/>
      <c r="S41" s="296">
        <f>'Data entry'!L72</f>
        <v>30</v>
      </c>
      <c r="T41" s="296">
        <f>'Data entry'!P72</f>
        <v>1</v>
      </c>
      <c r="U41" s="293"/>
      <c r="V41" s="1254">
        <f t="shared" si="8"/>
        <v>1</v>
      </c>
      <c r="W41" s="1254"/>
      <c r="X41" s="1254" t="str">
        <f t="shared" si="9"/>
        <v xml:space="preserve"> </v>
      </c>
      <c r="Y41" s="1254"/>
      <c r="Z41" s="1254" t="str">
        <f t="shared" si="10"/>
        <v xml:space="preserve"> </v>
      </c>
      <c r="AA41" s="1254"/>
      <c r="AB41" s="1254" t="str">
        <f t="shared" si="11"/>
        <v xml:space="preserve"> </v>
      </c>
      <c r="AC41" s="1254"/>
      <c r="AD41" s="293"/>
      <c r="AE41" s="293"/>
      <c r="AF41" s="293"/>
      <c r="AG41" s="293"/>
      <c r="AP41" s="434">
        <f>'Data entry'!P58</f>
        <v>0</v>
      </c>
      <c r="AQ41" s="434">
        <f>'Data entry'!L58</f>
        <v>0</v>
      </c>
      <c r="AR41" s="434">
        <f>'Data entry'!Q$11-1.5</f>
        <v>166.5</v>
      </c>
      <c r="AS41" s="434">
        <f t="shared" si="2"/>
        <v>0</v>
      </c>
      <c r="AT41" s="434">
        <f t="shared" si="3"/>
        <v>0</v>
      </c>
    </row>
    <row r="42" spans="2:46" x14ac:dyDescent="0.2">
      <c r="B42" s="293"/>
      <c r="C42" s="293"/>
      <c r="D42" s="293"/>
      <c r="E42" s="296">
        <f>'Data entry'!L58</f>
        <v>0</v>
      </c>
      <c r="F42" s="296">
        <f>'Data entry'!P58</f>
        <v>0</v>
      </c>
      <c r="G42" s="293"/>
      <c r="H42" s="1254" t="str">
        <f t="shared" si="4"/>
        <v xml:space="preserve"> </v>
      </c>
      <c r="I42" s="1254"/>
      <c r="J42" s="1254" t="str">
        <f t="shared" si="5"/>
        <v xml:space="preserve"> </v>
      </c>
      <c r="K42" s="1254"/>
      <c r="L42" s="1254" t="str">
        <f t="shared" si="6"/>
        <v xml:space="preserve"> </v>
      </c>
      <c r="M42" s="1254"/>
      <c r="N42" s="1254" t="str">
        <f t="shared" si="7"/>
        <v xml:space="preserve"> </v>
      </c>
      <c r="O42" s="1254"/>
      <c r="P42" s="293"/>
      <c r="Q42" s="293"/>
      <c r="R42" s="293"/>
      <c r="S42" s="296">
        <f>'Data entry'!L73</f>
        <v>0</v>
      </c>
      <c r="T42" s="296">
        <f>'Data entry'!P73</f>
        <v>0</v>
      </c>
      <c r="U42" s="293"/>
      <c r="V42" s="1256" t="str">
        <f t="shared" si="8"/>
        <v xml:space="preserve"> </v>
      </c>
      <c r="W42" s="1256"/>
      <c r="X42" s="1256" t="str">
        <f t="shared" si="9"/>
        <v xml:space="preserve"> </v>
      </c>
      <c r="Y42" s="1256"/>
      <c r="Z42" s="1254" t="str">
        <f t="shared" si="10"/>
        <v xml:space="preserve"> </v>
      </c>
      <c r="AA42" s="1254"/>
      <c r="AB42" s="1254" t="str">
        <f t="shared" si="11"/>
        <v xml:space="preserve"> </v>
      </c>
      <c r="AC42" s="1254"/>
      <c r="AD42" s="293"/>
      <c r="AE42" s="293"/>
      <c r="AF42" s="293"/>
      <c r="AG42" s="293"/>
      <c r="AP42" s="434">
        <f>'Data entry'!P59</f>
        <v>0</v>
      </c>
      <c r="AQ42" s="434">
        <f>'Data entry'!L59</f>
        <v>0</v>
      </c>
      <c r="AR42" s="434">
        <f>'Data entry'!Q$11-1.5</f>
        <v>166.5</v>
      </c>
      <c r="AS42" s="434">
        <f t="shared" si="2"/>
        <v>0</v>
      </c>
      <c r="AT42" s="434">
        <f t="shared" si="3"/>
        <v>0</v>
      </c>
    </row>
    <row r="43" spans="2:46" x14ac:dyDescent="0.2">
      <c r="B43" s="293"/>
      <c r="C43" s="293"/>
      <c r="D43" s="293"/>
      <c r="E43" s="296">
        <f>'Data entry'!L59</f>
        <v>0</v>
      </c>
      <c r="F43" s="296">
        <f>'Data entry'!P59</f>
        <v>0</v>
      </c>
      <c r="G43" s="293"/>
      <c r="H43" s="1254" t="str">
        <f t="shared" si="4"/>
        <v xml:space="preserve"> </v>
      </c>
      <c r="I43" s="1254"/>
      <c r="J43" s="1254" t="str">
        <f t="shared" si="5"/>
        <v xml:space="preserve"> </v>
      </c>
      <c r="K43" s="1254"/>
      <c r="L43" s="1254" t="str">
        <f t="shared" si="6"/>
        <v xml:space="preserve"> </v>
      </c>
      <c r="M43" s="1254"/>
      <c r="N43" s="1254" t="str">
        <f t="shared" si="7"/>
        <v xml:space="preserve"> </v>
      </c>
      <c r="O43" s="1254"/>
      <c r="P43" s="293"/>
      <c r="Q43" s="293"/>
      <c r="R43" s="293"/>
      <c r="S43" s="293"/>
      <c r="T43" s="293"/>
      <c r="U43" s="293"/>
      <c r="V43" s="1255">
        <f>SUM(V35:V42)</f>
        <v>2</v>
      </c>
      <c r="W43" s="1255"/>
      <c r="X43" s="1255">
        <f>SUM(X35:X42)</f>
        <v>10</v>
      </c>
      <c r="Y43" s="1255"/>
      <c r="Z43" s="1255">
        <f>SUM(Z35:Z42)</f>
        <v>0</v>
      </c>
      <c r="AA43" s="1255"/>
      <c r="AB43" s="1255">
        <f>SUM(AB35:AB42)</f>
        <v>0</v>
      </c>
      <c r="AC43" s="1255"/>
      <c r="AD43" s="293"/>
      <c r="AE43" s="293"/>
      <c r="AF43" s="293"/>
      <c r="AG43" s="293"/>
      <c r="AP43" s="434">
        <f>'Data entry'!P60</f>
        <v>0</v>
      </c>
      <c r="AQ43" s="434">
        <f>'Data entry'!L60</f>
        <v>0</v>
      </c>
      <c r="AR43" s="434">
        <f>'Data entry'!Q$11-1.5</f>
        <v>166.5</v>
      </c>
      <c r="AS43" s="434">
        <f t="shared" si="2"/>
        <v>0</v>
      </c>
      <c r="AT43" s="434">
        <f t="shared" si="3"/>
        <v>0</v>
      </c>
    </row>
    <row r="44" spans="2:46" x14ac:dyDescent="0.2">
      <c r="B44" s="293"/>
      <c r="C44" s="293"/>
      <c r="D44" s="293"/>
      <c r="E44" s="296">
        <f>'Data entry'!L60</f>
        <v>0</v>
      </c>
      <c r="F44" s="296">
        <f>'Data entry'!P60</f>
        <v>0</v>
      </c>
      <c r="G44" s="293"/>
      <c r="H44" s="1254" t="str">
        <f t="shared" si="4"/>
        <v xml:space="preserve"> </v>
      </c>
      <c r="I44" s="1254"/>
      <c r="J44" s="1254" t="str">
        <f t="shared" si="5"/>
        <v xml:space="preserve"> </v>
      </c>
      <c r="K44" s="1254"/>
      <c r="L44" s="1254" t="str">
        <f t="shared" si="6"/>
        <v xml:space="preserve"> </v>
      </c>
      <c r="M44" s="1254"/>
      <c r="N44" s="1254" t="str">
        <f t="shared" si="7"/>
        <v xml:space="preserve"> </v>
      </c>
      <c r="O44" s="1254"/>
      <c r="P44" s="293"/>
      <c r="Q44" s="293"/>
      <c r="R44" s="293"/>
      <c r="S44" s="293"/>
      <c r="T44" s="293"/>
      <c r="U44" s="293"/>
      <c r="V44" s="293"/>
      <c r="W44" s="293"/>
      <c r="X44" s="293"/>
      <c r="Y44" s="293"/>
      <c r="Z44" s="293"/>
      <c r="AA44" s="293"/>
      <c r="AB44" s="293"/>
      <c r="AC44" s="293"/>
      <c r="AD44" s="293"/>
      <c r="AE44" s="293"/>
      <c r="AF44" s="293"/>
      <c r="AG44" s="293"/>
      <c r="AP44" s="434">
        <f>'Data entry'!P61</f>
        <v>0</v>
      </c>
      <c r="AQ44" s="434">
        <f>'Data entry'!L61</f>
        <v>0</v>
      </c>
      <c r="AR44" s="434">
        <f>'Data entry'!Q$11-1.5</f>
        <v>166.5</v>
      </c>
      <c r="AS44" s="434">
        <f t="shared" si="2"/>
        <v>0</v>
      </c>
      <c r="AT44" s="434">
        <f t="shared" si="3"/>
        <v>0</v>
      </c>
    </row>
    <row r="45" spans="2:46" x14ac:dyDescent="0.2">
      <c r="B45" s="293"/>
      <c r="C45" s="293"/>
      <c r="D45" s="293"/>
      <c r="E45" s="296">
        <f>'Data entry'!L61</f>
        <v>0</v>
      </c>
      <c r="F45" s="296">
        <f>'Data entry'!P61</f>
        <v>0</v>
      </c>
      <c r="G45" s="293"/>
      <c r="H45" s="1254" t="str">
        <f t="shared" si="4"/>
        <v xml:space="preserve"> </v>
      </c>
      <c r="I45" s="1254"/>
      <c r="J45" s="1254" t="str">
        <f t="shared" si="5"/>
        <v xml:space="preserve"> </v>
      </c>
      <c r="K45" s="1254"/>
      <c r="L45" s="1254" t="str">
        <f t="shared" si="6"/>
        <v xml:space="preserve"> </v>
      </c>
      <c r="M45" s="1254"/>
      <c r="N45" s="1254" t="str">
        <f t="shared" si="7"/>
        <v xml:space="preserve"> </v>
      </c>
      <c r="O45" s="1254"/>
      <c r="P45" s="293"/>
      <c r="Q45" s="293"/>
      <c r="R45" s="293"/>
      <c r="S45" s="293"/>
      <c r="T45" s="293"/>
      <c r="U45" s="293"/>
      <c r="V45" s="293"/>
      <c r="W45" s="293"/>
      <c r="X45" s="293"/>
      <c r="Y45" s="293"/>
      <c r="Z45" s="293"/>
      <c r="AA45" s="293"/>
      <c r="AB45" s="293"/>
      <c r="AC45" s="293"/>
      <c r="AD45" s="293"/>
      <c r="AE45" s="293"/>
      <c r="AF45" s="293"/>
      <c r="AG45" s="293"/>
      <c r="AP45" s="434">
        <f>'Data entry'!P62</f>
        <v>0</v>
      </c>
      <c r="AQ45" s="434">
        <f>'Data entry'!L62</f>
        <v>0</v>
      </c>
      <c r="AR45" s="434">
        <f>'Data entry'!Q$11-1.5</f>
        <v>166.5</v>
      </c>
      <c r="AS45" s="434">
        <f t="shared" si="2"/>
        <v>0</v>
      </c>
      <c r="AT45" s="434">
        <f t="shared" si="3"/>
        <v>0</v>
      </c>
    </row>
    <row r="46" spans="2:46" x14ac:dyDescent="0.2">
      <c r="B46" s="293"/>
      <c r="C46" s="293"/>
      <c r="D46" s="293"/>
      <c r="E46" s="296">
        <f>'Data entry'!L62</f>
        <v>0</v>
      </c>
      <c r="F46" s="296">
        <f>'Data entry'!P62</f>
        <v>0</v>
      </c>
      <c r="G46" s="293"/>
      <c r="H46" s="1254" t="str">
        <f t="shared" si="4"/>
        <v xml:space="preserve"> </v>
      </c>
      <c r="I46" s="1254"/>
      <c r="J46" s="1254" t="str">
        <f t="shared" si="5"/>
        <v xml:space="preserve"> </v>
      </c>
      <c r="K46" s="1254"/>
      <c r="L46" s="1254" t="str">
        <f t="shared" si="6"/>
        <v xml:space="preserve"> </v>
      </c>
      <c r="M46" s="1254"/>
      <c r="N46" s="1254" t="str">
        <f t="shared" si="7"/>
        <v xml:space="preserve"> </v>
      </c>
      <c r="O46" s="1254"/>
      <c r="P46" s="293"/>
      <c r="Q46" s="293"/>
      <c r="R46" s="293"/>
      <c r="S46" s="293"/>
      <c r="T46" s="293"/>
      <c r="U46" s="293"/>
      <c r="V46" s="293"/>
      <c r="W46" s="293"/>
      <c r="X46" s="293"/>
      <c r="Y46" s="293"/>
      <c r="Z46" s="293"/>
      <c r="AA46" s="293"/>
      <c r="AB46" s="293"/>
      <c r="AC46" s="293"/>
      <c r="AD46" s="293"/>
      <c r="AE46" s="293"/>
      <c r="AF46" s="293"/>
      <c r="AG46" s="293"/>
      <c r="AP46" s="434">
        <f>'Data entry'!P63</f>
        <v>1</v>
      </c>
      <c r="AQ46" s="434">
        <f>'Data entry'!L63</f>
        <v>30</v>
      </c>
      <c r="AR46" s="434">
        <f>'Data entry'!Q$11-1.5</f>
        <v>166.5</v>
      </c>
      <c r="AS46" s="434">
        <f t="shared" si="2"/>
        <v>27.3</v>
      </c>
      <c r="AT46" s="434">
        <f t="shared" si="3"/>
        <v>27.3</v>
      </c>
    </row>
    <row r="47" spans="2:46" x14ac:dyDescent="0.2">
      <c r="B47" s="293"/>
      <c r="C47" s="293"/>
      <c r="D47" s="293"/>
      <c r="E47" s="296">
        <f>'Data entry'!L71</f>
        <v>39</v>
      </c>
      <c r="F47" s="296">
        <f>'Data entry'!P68</f>
        <v>1</v>
      </c>
      <c r="G47" s="293"/>
      <c r="H47" s="1254" t="str">
        <f t="shared" si="4"/>
        <v xml:space="preserve"> </v>
      </c>
      <c r="I47" s="1254"/>
      <c r="J47" s="1254">
        <f t="shared" si="5"/>
        <v>1</v>
      </c>
      <c r="K47" s="1254"/>
      <c r="L47" s="1254" t="str">
        <f t="shared" si="6"/>
        <v xml:space="preserve"> </v>
      </c>
      <c r="M47" s="1254"/>
      <c r="N47" s="1254" t="str">
        <f t="shared" si="7"/>
        <v xml:space="preserve"> </v>
      </c>
      <c r="O47" s="1254"/>
      <c r="P47" s="293"/>
      <c r="Q47" s="293"/>
      <c r="R47" s="293"/>
      <c r="S47" s="293"/>
      <c r="T47" s="293"/>
      <c r="U47" s="293"/>
      <c r="V47" s="293"/>
      <c r="W47" s="293"/>
      <c r="X47" s="293"/>
      <c r="Y47" s="293"/>
      <c r="Z47" s="293"/>
      <c r="AA47" s="293"/>
      <c r="AB47" s="293"/>
      <c r="AC47" s="293"/>
      <c r="AD47" s="293"/>
      <c r="AE47" s="293"/>
      <c r="AF47" s="293"/>
      <c r="AG47" s="293"/>
      <c r="AP47" s="434">
        <f>'Data entry'!P64</f>
        <v>2</v>
      </c>
      <c r="AQ47" s="434">
        <f>'Data entry'!L64</f>
        <v>42</v>
      </c>
      <c r="AR47" s="434">
        <f>'Data entry'!Q$11-1.5</f>
        <v>166.5</v>
      </c>
      <c r="AS47" s="434">
        <f t="shared" si="2"/>
        <v>24.9</v>
      </c>
      <c r="AT47" s="434">
        <f t="shared" si="3"/>
        <v>49.8</v>
      </c>
    </row>
    <row r="48" spans="2:46" x14ac:dyDescent="0.2">
      <c r="B48" s="293"/>
      <c r="C48" s="293"/>
      <c r="D48" s="293"/>
      <c r="E48" s="296">
        <f>'Data entry'!L72</f>
        <v>30</v>
      </c>
      <c r="F48" s="296">
        <f>'Data entry'!P69</f>
        <v>0</v>
      </c>
      <c r="G48" s="293"/>
      <c r="H48" s="1254">
        <f t="shared" si="4"/>
        <v>0</v>
      </c>
      <c r="I48" s="1254"/>
      <c r="J48" s="1254" t="str">
        <f t="shared" si="5"/>
        <v xml:space="preserve"> </v>
      </c>
      <c r="K48" s="1254"/>
      <c r="L48" s="1254" t="str">
        <f t="shared" si="6"/>
        <v xml:space="preserve"> </v>
      </c>
      <c r="M48" s="1254"/>
      <c r="N48" s="1254" t="str">
        <f t="shared" si="7"/>
        <v xml:space="preserve"> </v>
      </c>
      <c r="O48" s="1254"/>
      <c r="P48" s="293"/>
      <c r="Q48" s="293"/>
      <c r="R48" s="293"/>
      <c r="S48" s="293"/>
      <c r="T48" s="293"/>
      <c r="U48" s="293"/>
      <c r="V48" s="293"/>
      <c r="W48" s="293"/>
      <c r="X48" s="293"/>
      <c r="Y48" s="293"/>
      <c r="Z48" s="293"/>
      <c r="AA48" s="293"/>
      <c r="AB48" s="293"/>
      <c r="AC48" s="293"/>
      <c r="AD48" s="293"/>
      <c r="AE48" s="293"/>
      <c r="AF48" s="293"/>
      <c r="AG48" s="293"/>
      <c r="AP48" s="434">
        <f>'Data entry'!P65</f>
        <v>2</v>
      </c>
      <c r="AQ48" s="434">
        <f>'Data entry'!L65</f>
        <v>42</v>
      </c>
      <c r="AR48" s="434">
        <f>'Data entry'!Q$11-1.5</f>
        <v>166.5</v>
      </c>
      <c r="AS48" s="434">
        <f t="shared" si="2"/>
        <v>24.9</v>
      </c>
      <c r="AT48" s="434">
        <f t="shared" si="3"/>
        <v>49.8</v>
      </c>
    </row>
    <row r="49" spans="2:49" x14ac:dyDescent="0.2">
      <c r="B49" s="293"/>
      <c r="C49" s="293"/>
      <c r="D49" s="293"/>
      <c r="E49" s="296">
        <f>'Data entry'!L73</f>
        <v>0</v>
      </c>
      <c r="F49" s="296">
        <f>'Data entry'!P70</f>
        <v>0</v>
      </c>
      <c r="G49" s="293"/>
      <c r="H49" s="1254" t="str">
        <f t="shared" si="4"/>
        <v xml:space="preserve"> </v>
      </c>
      <c r="I49" s="1254"/>
      <c r="J49" s="1254" t="str">
        <f t="shared" si="5"/>
        <v xml:space="preserve"> </v>
      </c>
      <c r="K49" s="1254"/>
      <c r="L49" s="1254" t="str">
        <f t="shared" si="6"/>
        <v xml:space="preserve"> </v>
      </c>
      <c r="M49" s="1254"/>
      <c r="N49" s="1254"/>
      <c r="O49" s="1254"/>
      <c r="P49" s="293"/>
      <c r="Q49" s="293"/>
      <c r="R49" s="293"/>
      <c r="S49" s="293"/>
      <c r="T49" s="293"/>
      <c r="U49" s="293"/>
      <c r="V49" s="293"/>
      <c r="W49" s="293"/>
      <c r="X49" s="293"/>
      <c r="Y49" s="293"/>
      <c r="Z49" s="293"/>
      <c r="AA49" s="293"/>
      <c r="AB49" s="293"/>
      <c r="AC49" s="293"/>
      <c r="AD49" s="293"/>
      <c r="AE49" s="293"/>
      <c r="AF49" s="293"/>
      <c r="AG49" s="293"/>
      <c r="AP49" s="434">
        <f>'Data entry'!P66</f>
        <v>1</v>
      </c>
      <c r="AQ49" s="434">
        <f>'Data entry'!L66</f>
        <v>36</v>
      </c>
      <c r="AR49" s="434">
        <f>'Data entry'!Q$11-1.5</f>
        <v>166.5</v>
      </c>
      <c r="AS49" s="434">
        <f t="shared" si="2"/>
        <v>26.1</v>
      </c>
      <c r="AT49" s="434">
        <f t="shared" si="3"/>
        <v>26.1</v>
      </c>
    </row>
    <row r="50" spans="2:49" x14ac:dyDescent="0.2">
      <c r="B50" s="293"/>
      <c r="C50" s="293"/>
      <c r="D50" s="293"/>
      <c r="E50" s="293"/>
      <c r="F50" s="293"/>
      <c r="G50" s="293"/>
      <c r="H50" s="1255">
        <f t="shared" ref="H50:O50" si="12">SUM(H35:H49)</f>
        <v>0</v>
      </c>
      <c r="I50" s="1255">
        <f t="shared" si="12"/>
        <v>0</v>
      </c>
      <c r="J50" s="1255">
        <f t="shared" si="12"/>
        <v>1</v>
      </c>
      <c r="K50" s="1255">
        <f t="shared" si="12"/>
        <v>0</v>
      </c>
      <c r="L50" s="1255">
        <f t="shared" si="12"/>
        <v>1</v>
      </c>
      <c r="M50" s="1255">
        <f t="shared" si="12"/>
        <v>0</v>
      </c>
      <c r="N50" s="1255">
        <f t="shared" si="12"/>
        <v>0</v>
      </c>
      <c r="O50" s="1255">
        <f t="shared" si="12"/>
        <v>0</v>
      </c>
      <c r="P50" s="293"/>
      <c r="Q50" s="293"/>
      <c r="R50" s="293"/>
      <c r="S50" s="293"/>
      <c r="T50" s="293"/>
      <c r="U50" s="293"/>
      <c r="V50" s="293"/>
      <c r="W50" s="293"/>
      <c r="X50" s="293"/>
      <c r="Y50" s="293"/>
      <c r="Z50" s="293"/>
      <c r="AA50" s="293"/>
      <c r="AB50" s="293"/>
      <c r="AC50" s="293"/>
      <c r="AD50" s="293"/>
      <c r="AE50" s="293"/>
      <c r="AF50" s="293"/>
      <c r="AG50" s="293"/>
      <c r="AP50" s="434">
        <f>'Data entry'!P67</f>
        <v>0</v>
      </c>
      <c r="AQ50" s="434">
        <f>'Data entry'!L67</f>
        <v>0</v>
      </c>
      <c r="AR50" s="434">
        <f>'Data entry'!Q$11-1.5</f>
        <v>166.5</v>
      </c>
      <c r="AS50" s="434">
        <f t="shared" si="2"/>
        <v>0</v>
      </c>
      <c r="AT50" s="434">
        <f t="shared" si="3"/>
        <v>0</v>
      </c>
    </row>
    <row r="51" spans="2:49" x14ac:dyDescent="0.2">
      <c r="B51" s="293"/>
      <c r="C51" s="293"/>
      <c r="D51" s="293"/>
      <c r="E51" s="293"/>
      <c r="F51" s="293"/>
      <c r="G51" s="293"/>
      <c r="H51" s="293"/>
      <c r="I51" s="293"/>
      <c r="J51" s="293"/>
      <c r="K51" s="293"/>
      <c r="L51" s="293"/>
      <c r="M51" s="293"/>
      <c r="N51" s="293"/>
      <c r="O51" s="293"/>
      <c r="P51" s="293"/>
      <c r="Q51" s="293"/>
      <c r="R51" s="293"/>
      <c r="S51" s="293"/>
      <c r="T51" s="293"/>
      <c r="U51" s="293"/>
      <c r="V51" s="293"/>
      <c r="W51" s="293"/>
      <c r="X51" s="293"/>
      <c r="Y51" s="293"/>
      <c r="Z51" s="293"/>
      <c r="AA51" s="293"/>
      <c r="AB51" s="293"/>
      <c r="AC51" s="293"/>
      <c r="AD51" s="293"/>
      <c r="AE51" s="293"/>
      <c r="AF51" s="293"/>
      <c r="AG51" s="293"/>
      <c r="AP51" s="434">
        <f>'Data entry'!P68</f>
        <v>1</v>
      </c>
      <c r="AQ51" s="434">
        <f>'Data entry'!L68</f>
        <v>39</v>
      </c>
      <c r="AR51" s="434"/>
      <c r="AS51" s="434">
        <f t="shared" si="2"/>
        <v>-7.8</v>
      </c>
      <c r="AT51" s="434">
        <f t="shared" si="3"/>
        <v>-7.8</v>
      </c>
    </row>
    <row r="52" spans="2:49" x14ac:dyDescent="0.2">
      <c r="B52" s="293"/>
      <c r="C52" s="293"/>
      <c r="D52" s="293"/>
      <c r="E52" s="293"/>
      <c r="F52" s="293"/>
      <c r="G52" s="293"/>
      <c r="H52" s="293"/>
      <c r="I52" s="293"/>
      <c r="J52" s="293"/>
      <c r="K52" s="293"/>
      <c r="L52" s="293"/>
      <c r="M52" s="293"/>
      <c r="N52" s="293"/>
      <c r="O52" s="293"/>
      <c r="P52" s="293"/>
      <c r="Q52" s="293"/>
      <c r="R52" s="293"/>
      <c r="S52" s="293"/>
      <c r="T52" s="293"/>
      <c r="U52" s="293"/>
      <c r="V52" s="293"/>
      <c r="W52" s="293"/>
      <c r="X52" s="293"/>
      <c r="Y52" s="293"/>
      <c r="Z52" s="293"/>
      <c r="AA52" s="293"/>
      <c r="AB52" s="293"/>
      <c r="AC52" s="293"/>
      <c r="AD52" s="293"/>
      <c r="AE52" s="293"/>
      <c r="AF52" s="293"/>
      <c r="AG52" s="293"/>
      <c r="AP52" s="434">
        <f>'Data entry'!P69</f>
        <v>0</v>
      </c>
      <c r="AQ52" s="434">
        <f>'Data entry'!L69</f>
        <v>0</v>
      </c>
      <c r="AR52" s="434"/>
      <c r="AS52" s="434">
        <f t="shared" si="2"/>
        <v>0</v>
      </c>
      <c r="AT52" s="434">
        <f t="shared" si="3"/>
        <v>0</v>
      </c>
      <c r="AW52" s="435">
        <f>AK50</f>
        <v>0</v>
      </c>
    </row>
    <row r="53" spans="2:49" x14ac:dyDescent="0.2">
      <c r="AP53" s="434">
        <f>'Data entry'!P70</f>
        <v>0</v>
      </c>
      <c r="AQ53" s="434">
        <f>'Data entry'!L70</f>
        <v>0</v>
      </c>
      <c r="AR53" s="434"/>
      <c r="AS53" s="434">
        <f>IF(AQ53=0,0,((AR53-AQ53)/$AR$31))</f>
        <v>0</v>
      </c>
      <c r="AT53" s="434">
        <f t="shared" si="3"/>
        <v>0</v>
      </c>
    </row>
    <row r="54" spans="2:49" x14ac:dyDescent="0.2">
      <c r="AP54" s="434">
        <f>'Data entry'!P71</f>
        <v>5</v>
      </c>
      <c r="AQ54" s="434">
        <f>'Data entry'!L71</f>
        <v>39</v>
      </c>
      <c r="AR54" s="434"/>
      <c r="AS54" s="434">
        <f>IF(AQ54=0,0,((AR54-AQ54)/$AR$31))</f>
        <v>-7.8</v>
      </c>
      <c r="AT54" s="434">
        <f t="shared" si="3"/>
        <v>-39</v>
      </c>
    </row>
    <row r="55" spans="2:49" x14ac:dyDescent="0.2">
      <c r="AP55" s="434">
        <f>'Data entry'!P72</f>
        <v>1</v>
      </c>
      <c r="AQ55" s="434">
        <f>'Data entry'!L72</f>
        <v>30</v>
      </c>
      <c r="AR55" s="434"/>
      <c r="AS55" s="434">
        <f>IF(AQ55=0,0,((AR55-AQ55)/$AR$31))</f>
        <v>-6</v>
      </c>
      <c r="AT55" s="434">
        <f t="shared" si="3"/>
        <v>-6</v>
      </c>
    </row>
    <row r="56" spans="2:49" x14ac:dyDescent="0.2">
      <c r="L56" s="1253"/>
      <c r="M56" s="1253"/>
      <c r="N56" s="1253"/>
      <c r="O56" s="1253"/>
      <c r="P56" s="1253"/>
      <c r="Q56" s="1253"/>
      <c r="R56" s="1253"/>
      <c r="S56" s="1253"/>
      <c r="T56" s="1253"/>
      <c r="U56" s="1253"/>
      <c r="V56" s="1253"/>
      <c r="W56" s="1253"/>
      <c r="X56" s="1253"/>
      <c r="Y56" s="1253"/>
      <c r="Z56" s="1253"/>
      <c r="AP56" s="434">
        <f>'Data entry'!P73</f>
        <v>0</v>
      </c>
      <c r="AQ56" s="434">
        <f>'Data entry'!L73</f>
        <v>0</v>
      </c>
      <c r="AR56" s="434"/>
      <c r="AS56" s="434">
        <f>IF(AQ56=0,0,((AR56-AQ56)/$AR$31))</f>
        <v>0</v>
      </c>
      <c r="AT56" s="434">
        <f t="shared" si="3"/>
        <v>0</v>
      </c>
      <c r="AW56" s="435">
        <f>AK54</f>
        <v>0</v>
      </c>
    </row>
    <row r="57" spans="2:49" x14ac:dyDescent="0.2">
      <c r="L57" s="1253"/>
      <c r="M57" s="1253"/>
      <c r="N57" s="1253"/>
      <c r="O57" s="1253"/>
      <c r="P57" s="1253"/>
      <c r="Q57" s="1253"/>
      <c r="R57" s="1253"/>
      <c r="S57" s="1253"/>
      <c r="T57" s="283"/>
      <c r="U57" s="283"/>
      <c r="V57" s="1253"/>
      <c r="W57" s="1253"/>
      <c r="X57" s="1253"/>
      <c r="Y57" s="1253"/>
      <c r="Z57" s="1253"/>
      <c r="AP57" s="434">
        <f>'Data entry'!P74</f>
        <v>0</v>
      </c>
      <c r="AQ57" s="434">
        <f>'Data entry'!L74</f>
        <v>0</v>
      </c>
      <c r="AR57" s="434"/>
      <c r="AS57" s="434">
        <f>IF(AQ57=0,0,((AR57-AQ57)/$AR$31))</f>
        <v>0</v>
      </c>
      <c r="AT57" s="434">
        <f t="shared" si="3"/>
        <v>0</v>
      </c>
    </row>
    <row r="58" spans="2:49" x14ac:dyDescent="0.2">
      <c r="L58" s="1253"/>
      <c r="M58" s="1253"/>
      <c r="N58" s="1253"/>
      <c r="O58" s="1253"/>
      <c r="P58" s="1253"/>
      <c r="Q58" s="1253"/>
      <c r="R58" s="1253"/>
      <c r="S58" s="1253"/>
      <c r="T58" s="1253"/>
      <c r="U58" s="1253"/>
      <c r="V58" s="1253"/>
      <c r="W58" s="1253"/>
      <c r="X58" s="283"/>
      <c r="Y58" s="283"/>
      <c r="Z58" s="283"/>
      <c r="AP58" s="434"/>
      <c r="AQ58" s="434"/>
      <c r="AR58" s="434"/>
      <c r="AS58" s="434"/>
      <c r="AT58" s="434">
        <f t="shared" si="3"/>
        <v>0</v>
      </c>
    </row>
    <row r="59" spans="2:49" x14ac:dyDescent="0.2">
      <c r="AP59" s="434"/>
      <c r="AQ59" s="434"/>
      <c r="AR59" s="434"/>
      <c r="AS59" s="434"/>
      <c r="AT59" s="434">
        <f t="shared" si="3"/>
        <v>0</v>
      </c>
    </row>
    <row r="60" spans="2:49" x14ac:dyDescent="0.2">
      <c r="AP60" s="434"/>
      <c r="AQ60" s="434" t="s">
        <v>473</v>
      </c>
      <c r="AR60" s="434"/>
      <c r="AS60" s="434"/>
      <c r="AT60" s="434">
        <f t="shared" si="3"/>
        <v>0</v>
      </c>
      <c r="AW60" s="435"/>
    </row>
    <row r="61" spans="2:49" x14ac:dyDescent="0.2">
      <c r="AP61" s="434">
        <f>'Data entry'!J87</f>
        <v>1</v>
      </c>
      <c r="AQ61" s="434">
        <f>IF('Data entry'!N87=0,0,IF('Data entry'!N87="6'8",80,IF('Data entry'!N87="8'0",96)))</f>
        <v>80</v>
      </c>
      <c r="AR61" s="434">
        <f>'Data entry'!Q$11-1.5</f>
        <v>166.5</v>
      </c>
      <c r="AS61" s="434">
        <f t="shared" ref="AS61:AS67" si="13">IF(AQ61=0,0,((AR61-AQ61)/$AR$31))</f>
        <v>17.3</v>
      </c>
      <c r="AT61" s="434">
        <f t="shared" si="3"/>
        <v>17.3</v>
      </c>
    </row>
    <row r="62" spans="2:49" x14ac:dyDescent="0.2">
      <c r="AP62" s="434">
        <f>'Data entry'!J88</f>
        <v>0</v>
      </c>
      <c r="AQ62" s="434">
        <f>IF('Data entry'!N88=0,0,IF('Data entry'!N88="6'8",80,IF('Data entry'!N88="8'0",96)))</f>
        <v>0</v>
      </c>
      <c r="AR62" s="434">
        <f>'Data entry'!Q$11-1.5</f>
        <v>166.5</v>
      </c>
      <c r="AS62" s="434">
        <f t="shared" si="13"/>
        <v>0</v>
      </c>
      <c r="AT62" s="434">
        <f t="shared" si="3"/>
        <v>0</v>
      </c>
    </row>
    <row r="63" spans="2:49" x14ac:dyDescent="0.2">
      <c r="AP63" s="434">
        <f>'Data entry'!J89</f>
        <v>0</v>
      </c>
      <c r="AQ63" s="434">
        <f>IF('Data entry'!N89=0,0,IF('Data entry'!N89="6'8",80,IF('Data entry'!N89="8'0",96)))</f>
        <v>0</v>
      </c>
      <c r="AR63" s="434">
        <f>'Data entry'!Q$11-1.5</f>
        <v>166.5</v>
      </c>
      <c r="AS63" s="434">
        <f t="shared" si="13"/>
        <v>0</v>
      </c>
      <c r="AT63" s="434">
        <f t="shared" si="3"/>
        <v>0</v>
      </c>
    </row>
    <row r="64" spans="2:49" x14ac:dyDescent="0.2">
      <c r="AP64" s="434">
        <f>'Data entry'!J90</f>
        <v>0</v>
      </c>
      <c r="AQ64" s="434">
        <f>IF('Data entry'!N90=0,0,IF('Data entry'!N90="6'8",80,IF('Data entry'!N90="8'0",96)))</f>
        <v>0</v>
      </c>
      <c r="AR64" s="434">
        <f>'Data entry'!Q$11-1.5</f>
        <v>166.5</v>
      </c>
      <c r="AS64" s="434">
        <f t="shared" si="13"/>
        <v>0</v>
      </c>
      <c r="AT64" s="434">
        <f t="shared" si="3"/>
        <v>0</v>
      </c>
    </row>
    <row r="65" spans="42:46" x14ac:dyDescent="0.2">
      <c r="AP65" s="434">
        <f>'Data entry'!J91</f>
        <v>0</v>
      </c>
      <c r="AQ65" s="434">
        <f>IF('Data entry'!N91=0,0,IF('Data entry'!N91="6'8",80,IF('Data entry'!N91="8'0",96)))</f>
        <v>0</v>
      </c>
      <c r="AR65" s="434">
        <f>'Data entry'!Q$11-1.5</f>
        <v>166.5</v>
      </c>
      <c r="AS65" s="434">
        <f t="shared" si="13"/>
        <v>0</v>
      </c>
      <c r="AT65" s="434">
        <f t="shared" si="3"/>
        <v>0</v>
      </c>
    </row>
    <row r="66" spans="42:46" x14ac:dyDescent="0.2">
      <c r="AP66" s="434">
        <f>'Data entry'!J92</f>
        <v>0</v>
      </c>
      <c r="AQ66" s="434">
        <f>IF('Data entry'!N92=0,0,IF('Data entry'!N92="6'8",80,IF('Data entry'!N92="8'0",96)))</f>
        <v>0</v>
      </c>
      <c r="AR66" s="434">
        <f>'Data entry'!Q$11-1.5</f>
        <v>166.5</v>
      </c>
      <c r="AS66" s="434">
        <f t="shared" si="13"/>
        <v>0</v>
      </c>
      <c r="AT66" s="434">
        <f t="shared" si="3"/>
        <v>0</v>
      </c>
    </row>
    <row r="67" spans="42:46" x14ac:dyDescent="0.2">
      <c r="AP67" s="434">
        <f>'Data entry'!J93</f>
        <v>0</v>
      </c>
      <c r="AQ67" s="434">
        <f>IF('Data entry'!N93=0,0,IF('Data entry'!N93="6'8",80,IF('Data entry'!N93="8'0",96)))</f>
        <v>0</v>
      </c>
      <c r="AR67" s="434">
        <f>'Data entry'!Q$11-1.5</f>
        <v>166.5</v>
      </c>
      <c r="AS67" s="434">
        <f t="shared" si="13"/>
        <v>0</v>
      </c>
      <c r="AT67" s="434">
        <f t="shared" si="3"/>
        <v>0</v>
      </c>
    </row>
    <row r="68" spans="42:46" x14ac:dyDescent="0.2">
      <c r="AP68" s="434">
        <f>'Data entry'!P85</f>
        <v>0</v>
      </c>
      <c r="AQ68" s="434"/>
      <c r="AR68" s="434"/>
      <c r="AS68" s="434"/>
      <c r="AT68" s="434">
        <f t="shared" si="3"/>
        <v>0</v>
      </c>
    </row>
    <row r="69" spans="42:46" x14ac:dyDescent="0.2">
      <c r="AP69" s="434"/>
      <c r="AQ69" s="434"/>
      <c r="AR69" s="434"/>
      <c r="AS69" s="434"/>
      <c r="AT69" s="434"/>
    </row>
    <row r="70" spans="42:46" x14ac:dyDescent="0.2">
      <c r="AP70" s="434"/>
      <c r="AQ70" s="434" t="s">
        <v>474</v>
      </c>
      <c r="AR70" s="434"/>
      <c r="AS70" s="434"/>
      <c r="AT70" s="434"/>
    </row>
    <row r="71" spans="42:46" x14ac:dyDescent="0.2">
      <c r="AP71" s="434">
        <f>IF('Data entry'!Q46="yes",'Data entry'!V98+'Data entry'!N98,0)</f>
        <v>1</v>
      </c>
      <c r="AQ71" s="434"/>
      <c r="AR71" s="434">
        <f>'Data entry'!Q$11-1.5</f>
        <v>166.5</v>
      </c>
      <c r="AS71" s="434"/>
      <c r="AT71" s="434">
        <f>IF('Data entry'!N98+'Data entry'!V98&gt;0,SUM(AR71*2/AR31)+((AR71-80)/AR31)*AP71,0)</f>
        <v>83.899999999999991</v>
      </c>
    </row>
    <row r="72" spans="42:46" x14ac:dyDescent="0.2">
      <c r="AP72" s="434"/>
      <c r="AQ72" s="434"/>
      <c r="AR72" s="434">
        <f>'Data entry'!Q$11-1.5</f>
        <v>166.5</v>
      </c>
      <c r="AS72" s="434"/>
      <c r="AT72" s="434"/>
    </row>
    <row r="73" spans="42:46" x14ac:dyDescent="0.2">
      <c r="AP73" s="434"/>
      <c r="AQ73" s="434"/>
      <c r="AR73" s="434">
        <f>'Data entry'!Q$11-1.5</f>
        <v>166.5</v>
      </c>
      <c r="AS73" s="434"/>
      <c r="AT73" s="434"/>
    </row>
    <row r="74" spans="42:46" x14ac:dyDescent="0.2">
      <c r="AP74" s="434"/>
      <c r="AQ74" s="434"/>
      <c r="AR74" s="434">
        <f>'Data entry'!Q$11-1.5</f>
        <v>166.5</v>
      </c>
      <c r="AS74" s="434"/>
      <c r="AT74" s="434"/>
    </row>
    <row r="75" spans="42:46" x14ac:dyDescent="0.2">
      <c r="AP75" s="434"/>
      <c r="AQ75" s="434"/>
      <c r="AR75" s="434"/>
      <c r="AS75" s="434"/>
      <c r="AT75" s="434"/>
    </row>
    <row r="76" spans="42:46" x14ac:dyDescent="0.2">
      <c r="AP76" s="434"/>
      <c r="AQ76" s="434" t="s">
        <v>475</v>
      </c>
      <c r="AR76" s="434"/>
      <c r="AS76" s="434"/>
      <c r="AT76" s="434"/>
    </row>
    <row r="77" spans="42:46" x14ac:dyDescent="0.2">
      <c r="AP77" s="434">
        <f>'Data entry'!Q31</f>
        <v>13</v>
      </c>
      <c r="AQ77" s="434">
        <v>0</v>
      </c>
      <c r="AR77" s="434">
        <f>'Data entry'!Q$11-1.5</f>
        <v>166.5</v>
      </c>
      <c r="AS77" s="434"/>
      <c r="AT77" s="434">
        <f>SUM(AR77/AR31*AP77)</f>
        <v>432.9</v>
      </c>
    </row>
    <row r="78" spans="42:46" x14ac:dyDescent="0.2">
      <c r="AT78" s="434"/>
    </row>
    <row r="79" spans="42:46" x14ac:dyDescent="0.2">
      <c r="AT79" s="18">
        <f>SUM(AT34:AT77)</f>
        <v>656.2</v>
      </c>
    </row>
  </sheetData>
  <sheetProtection selectLockedCells="1" selectUnlockedCells="1"/>
  <mergeCells count="215">
    <mergeCell ref="G3:Q3"/>
    <mergeCell ref="D5:L5"/>
    <mergeCell ref="M5:T5"/>
    <mergeCell ref="G7:J7"/>
    <mergeCell ref="K7:L7"/>
    <mergeCell ref="U7:X7"/>
    <mergeCell ref="B13:D13"/>
    <mergeCell ref="E13:G13"/>
    <mergeCell ref="H13:V13"/>
    <mergeCell ref="B15:D15"/>
    <mergeCell ref="AB10:AD10"/>
    <mergeCell ref="H15:J15"/>
    <mergeCell ref="K15:P15"/>
    <mergeCell ref="R15:V15"/>
    <mergeCell ref="B16:D16"/>
    <mergeCell ref="E16:G16"/>
    <mergeCell ref="H16:J16"/>
    <mergeCell ref="K16:P16"/>
    <mergeCell ref="R16:V16"/>
    <mergeCell ref="E15:G15"/>
    <mergeCell ref="B14:D14"/>
    <mergeCell ref="E14:G14"/>
    <mergeCell ref="H14:V14"/>
    <mergeCell ref="B10:D10"/>
    <mergeCell ref="E10:G10"/>
    <mergeCell ref="M10:V11"/>
    <mergeCell ref="B11:D11"/>
    <mergeCell ref="E11:G11"/>
    <mergeCell ref="B12:D12"/>
    <mergeCell ref="E12:G12"/>
    <mergeCell ref="H12:V12"/>
    <mergeCell ref="B21:D21"/>
    <mergeCell ref="E21:G21"/>
    <mergeCell ref="N21:V21"/>
    <mergeCell ref="B22:D22"/>
    <mergeCell ref="E22:G22"/>
    <mergeCell ref="M22:X22"/>
    <mergeCell ref="B17:D17"/>
    <mergeCell ref="E17:G17"/>
    <mergeCell ref="M17:V18"/>
    <mergeCell ref="B18:D18"/>
    <mergeCell ref="E18:G18"/>
    <mergeCell ref="B19:D19"/>
    <mergeCell ref="E19:G19"/>
    <mergeCell ref="M19:V20"/>
    <mergeCell ref="B20:D20"/>
    <mergeCell ref="E20:G20"/>
    <mergeCell ref="B25:D25"/>
    <mergeCell ref="E25:G25"/>
    <mergeCell ref="H25:L25"/>
    <mergeCell ref="M25:X25"/>
    <mergeCell ref="B26:D26"/>
    <mergeCell ref="E26:G26"/>
    <mergeCell ref="H26:L26"/>
    <mergeCell ref="M26:X26"/>
    <mergeCell ref="B23:D23"/>
    <mergeCell ref="E23:G23"/>
    <mergeCell ref="H23:L23"/>
    <mergeCell ref="M23:X23"/>
    <mergeCell ref="B24:D24"/>
    <mergeCell ref="E24:G24"/>
    <mergeCell ref="H24:L24"/>
    <mergeCell ref="M24:X24"/>
    <mergeCell ref="B29:D29"/>
    <mergeCell ref="E29:G29"/>
    <mergeCell ref="H29:L29"/>
    <mergeCell ref="M29:X29"/>
    <mergeCell ref="B30:D30"/>
    <mergeCell ref="E30:G30"/>
    <mergeCell ref="H30:L30"/>
    <mergeCell ref="M30:X30"/>
    <mergeCell ref="B27:D27"/>
    <mergeCell ref="E27:G27"/>
    <mergeCell ref="H27:L27"/>
    <mergeCell ref="M27:X27"/>
    <mergeCell ref="B28:D28"/>
    <mergeCell ref="E28:G28"/>
    <mergeCell ref="H28:L28"/>
    <mergeCell ref="M28:X28"/>
    <mergeCell ref="B33:D33"/>
    <mergeCell ref="E33:G33"/>
    <mergeCell ref="E34:G34"/>
    <mergeCell ref="H34:I34"/>
    <mergeCell ref="L34:M34"/>
    <mergeCell ref="N34:O34"/>
    <mergeCell ref="AQ30:AQ31"/>
    <mergeCell ref="B31:D31"/>
    <mergeCell ref="E31:G31"/>
    <mergeCell ref="H31:L31"/>
    <mergeCell ref="M31:X31"/>
    <mergeCell ref="B32:D32"/>
    <mergeCell ref="E32:G32"/>
    <mergeCell ref="V34:W34"/>
    <mergeCell ref="X34:Y34"/>
    <mergeCell ref="Z34:AA34"/>
    <mergeCell ref="AB34:AC34"/>
    <mergeCell ref="H35:I35"/>
    <mergeCell ref="J35:K35"/>
    <mergeCell ref="L35:M35"/>
    <mergeCell ref="N35:O35"/>
    <mergeCell ref="V35:W35"/>
    <mergeCell ref="X35:Y35"/>
    <mergeCell ref="Z35:AA35"/>
    <mergeCell ref="AB35:AC35"/>
    <mergeCell ref="H36:I36"/>
    <mergeCell ref="J36:K36"/>
    <mergeCell ref="L36:M36"/>
    <mergeCell ref="N36:O36"/>
    <mergeCell ref="V36:W36"/>
    <mergeCell ref="X36:Y36"/>
    <mergeCell ref="Z36:AA36"/>
    <mergeCell ref="AB36:AC36"/>
    <mergeCell ref="Z37:AA37"/>
    <mergeCell ref="AB37:AC37"/>
    <mergeCell ref="H38:I38"/>
    <mergeCell ref="J38:K38"/>
    <mergeCell ref="L38:M38"/>
    <mergeCell ref="N38:O38"/>
    <mergeCell ref="V38:W38"/>
    <mergeCell ref="X38:Y38"/>
    <mergeCell ref="Z38:AA38"/>
    <mergeCell ref="AB38:AC38"/>
    <mergeCell ref="H37:I37"/>
    <mergeCell ref="J37:K37"/>
    <mergeCell ref="L37:M37"/>
    <mergeCell ref="N37:O37"/>
    <mergeCell ref="V37:W37"/>
    <mergeCell ref="X37:Y37"/>
    <mergeCell ref="Z39:AA39"/>
    <mergeCell ref="AB39:AC39"/>
    <mergeCell ref="H40:I40"/>
    <mergeCell ref="J40:K40"/>
    <mergeCell ref="L40:M40"/>
    <mergeCell ref="N40:O40"/>
    <mergeCell ref="V40:W40"/>
    <mergeCell ref="X40:Y40"/>
    <mergeCell ref="Z40:AA40"/>
    <mergeCell ref="AB40:AC40"/>
    <mergeCell ref="H39:I39"/>
    <mergeCell ref="J39:K39"/>
    <mergeCell ref="L39:M39"/>
    <mergeCell ref="N39:O39"/>
    <mergeCell ref="V39:W39"/>
    <mergeCell ref="X39:Y39"/>
    <mergeCell ref="Z41:AA41"/>
    <mergeCell ref="AB41:AC41"/>
    <mergeCell ref="H42:I42"/>
    <mergeCell ref="J42:K42"/>
    <mergeCell ref="L42:M42"/>
    <mergeCell ref="N42:O42"/>
    <mergeCell ref="V42:W42"/>
    <mergeCell ref="X42:Y42"/>
    <mergeCell ref="Z42:AA42"/>
    <mergeCell ref="AB42:AC42"/>
    <mergeCell ref="H41:I41"/>
    <mergeCell ref="J41:K41"/>
    <mergeCell ref="L41:M41"/>
    <mergeCell ref="N41:O41"/>
    <mergeCell ref="V41:W41"/>
    <mergeCell ref="X41:Y41"/>
    <mergeCell ref="AB43:AC43"/>
    <mergeCell ref="H44:I44"/>
    <mergeCell ref="J44:K44"/>
    <mergeCell ref="L44:M44"/>
    <mergeCell ref="N44:O44"/>
    <mergeCell ref="H43:I43"/>
    <mergeCell ref="J43:K43"/>
    <mergeCell ref="L43:M43"/>
    <mergeCell ref="N43:O43"/>
    <mergeCell ref="V43:W43"/>
    <mergeCell ref="X43:Y43"/>
    <mergeCell ref="H45:I45"/>
    <mergeCell ref="J45:K45"/>
    <mergeCell ref="L45:M45"/>
    <mergeCell ref="N45:O45"/>
    <mergeCell ref="H46:I46"/>
    <mergeCell ref="J46:K46"/>
    <mergeCell ref="L46:M46"/>
    <mergeCell ref="N46:O46"/>
    <mergeCell ref="Z43:AA43"/>
    <mergeCell ref="H49:I49"/>
    <mergeCell ref="J49:K49"/>
    <mergeCell ref="L49:M49"/>
    <mergeCell ref="N49:O49"/>
    <mergeCell ref="H50:I50"/>
    <mergeCell ref="J50:K50"/>
    <mergeCell ref="L50:M50"/>
    <mergeCell ref="N50:O50"/>
    <mergeCell ref="H47:I47"/>
    <mergeCell ref="J47:K47"/>
    <mergeCell ref="L47:M47"/>
    <mergeCell ref="N47:O47"/>
    <mergeCell ref="H48:I48"/>
    <mergeCell ref="J48:K48"/>
    <mergeCell ref="L48:M48"/>
    <mergeCell ref="N48:O48"/>
    <mergeCell ref="L58:M58"/>
    <mergeCell ref="N58:O58"/>
    <mergeCell ref="P58:Q58"/>
    <mergeCell ref="R58:S58"/>
    <mergeCell ref="T58:U58"/>
    <mergeCell ref="V58:W58"/>
    <mergeCell ref="X56:Z56"/>
    <mergeCell ref="L57:M57"/>
    <mergeCell ref="N57:O57"/>
    <mergeCell ref="P57:Q57"/>
    <mergeCell ref="R57:S57"/>
    <mergeCell ref="V57:W57"/>
    <mergeCell ref="X57:Z57"/>
    <mergeCell ref="L56:M56"/>
    <mergeCell ref="N56:O56"/>
    <mergeCell ref="P56:Q56"/>
    <mergeCell ref="R56:S56"/>
    <mergeCell ref="T56:U56"/>
    <mergeCell ref="V56:W56"/>
  </mergeCell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80" zoomScaleNormal="80" workbookViewId="0">
      <selection activeCell="Q2" sqref="Q2"/>
    </sheetView>
  </sheetViews>
  <sheetFormatPr defaultColWidth="8.7109375" defaultRowHeight="12.75" x14ac:dyDescent="0.2"/>
  <cols>
    <col min="1" max="16384" width="8.7109375" style="18"/>
  </cols>
  <sheetData/>
  <sheetProtection selectLockedCells="1" selectUnlockedCells="1"/>
  <pageMargins left="0.7" right="0.7" top="0.75" bottom="0.75"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34"/>
  <sheetViews>
    <sheetView topLeftCell="B115" zoomScaleNormal="100" workbookViewId="0">
      <selection activeCell="C4" sqref="C4"/>
    </sheetView>
  </sheetViews>
  <sheetFormatPr defaultColWidth="11.5703125" defaultRowHeight="12.75" x14ac:dyDescent="0.2"/>
  <cols>
    <col min="1" max="1" width="19.140625" customWidth="1"/>
    <col min="2" max="2" width="41" customWidth="1"/>
    <col min="3" max="3" width="11.5703125" style="354"/>
    <col min="4" max="4" width="11.28515625" customWidth="1"/>
    <col min="7" max="7" width="13.42578125" customWidth="1"/>
    <col min="8" max="8" width="14.140625" customWidth="1"/>
  </cols>
  <sheetData>
    <row r="1" spans="1:8" x14ac:dyDescent="0.2">
      <c r="H1" t="s">
        <v>333</v>
      </c>
    </row>
    <row r="2" spans="1:8" ht="20.25" x14ac:dyDescent="0.3">
      <c r="B2" s="355" t="str">
        <f>'Data entry'!L2</f>
        <v>Phillips</v>
      </c>
    </row>
    <row r="3" spans="1:8" ht="18" x14ac:dyDescent="0.25">
      <c r="B3" s="356" t="s">
        <v>334</v>
      </c>
      <c r="C3" s="578">
        <v>83000</v>
      </c>
      <c r="E3" t="s">
        <v>335</v>
      </c>
      <c r="F3" s="357">
        <f>'Data entry'!Q10</f>
        <v>30</v>
      </c>
      <c r="G3" s="358"/>
      <c r="H3" s="358"/>
    </row>
    <row r="4" spans="1:8" ht="18" x14ac:dyDescent="0.25">
      <c r="B4" s="356" t="s">
        <v>673</v>
      </c>
      <c r="C4" s="603">
        <f>'[2]DATA ENTRY FORM'!$R$7</f>
        <v>0</v>
      </c>
    </row>
    <row r="6" spans="1:8" x14ac:dyDescent="0.2">
      <c r="B6" s="359" t="s">
        <v>336</v>
      </c>
      <c r="C6" s="354" t="s">
        <v>337</v>
      </c>
      <c r="D6" t="s">
        <v>338</v>
      </c>
      <c r="E6" t="s">
        <v>339</v>
      </c>
    </row>
    <row r="7" spans="1:8" x14ac:dyDescent="0.2">
      <c r="A7" t="s">
        <v>340</v>
      </c>
      <c r="B7" t="s">
        <v>341</v>
      </c>
      <c r="C7" s="715">
        <v>2.25</v>
      </c>
      <c r="D7" s="716">
        <f>'&gt;Ordering NVL'!D48</f>
        <v>55</v>
      </c>
      <c r="E7" s="717">
        <f t="shared" ref="E7:E17" si="0">SUM(C7*D7)</f>
        <v>123.75</v>
      </c>
      <c r="F7" s="718">
        <v>1.41</v>
      </c>
    </row>
    <row r="8" spans="1:8" x14ac:dyDescent="0.2">
      <c r="A8" t="s">
        <v>342</v>
      </c>
      <c r="B8" t="s">
        <v>343</v>
      </c>
      <c r="C8" s="715">
        <v>11.67</v>
      </c>
      <c r="D8" s="716">
        <f>SUM('PALLET MATERIALS'!J57+'Wall Materials'!E12)</f>
        <v>14.5</v>
      </c>
      <c r="E8" s="717">
        <f t="shared" si="0"/>
        <v>169.215</v>
      </c>
      <c r="F8" t="s">
        <v>5</v>
      </c>
    </row>
    <row r="9" spans="1:8" x14ac:dyDescent="0.2">
      <c r="B9">
        <v>10</v>
      </c>
      <c r="C9" s="360">
        <v>6.65</v>
      </c>
      <c r="D9" s="361">
        <v>0</v>
      </c>
      <c r="E9" s="362">
        <f t="shared" si="0"/>
        <v>0</v>
      </c>
      <c r="F9" t="s">
        <v>5</v>
      </c>
    </row>
    <row r="10" spans="1:8" x14ac:dyDescent="0.2">
      <c r="B10">
        <v>12</v>
      </c>
      <c r="C10" s="360">
        <v>7.99</v>
      </c>
      <c r="D10" s="361">
        <v>0</v>
      </c>
      <c r="E10" s="362">
        <f t="shared" si="0"/>
        <v>0</v>
      </c>
      <c r="F10" t="s">
        <v>5</v>
      </c>
    </row>
    <row r="11" spans="1:8" x14ac:dyDescent="0.2">
      <c r="B11" s="586" t="s">
        <v>676</v>
      </c>
      <c r="C11" s="360">
        <v>9.33</v>
      </c>
      <c r="D11" s="361">
        <v>0</v>
      </c>
      <c r="E11" s="362">
        <f t="shared" si="0"/>
        <v>0</v>
      </c>
      <c r="F11" t="s">
        <v>5</v>
      </c>
    </row>
    <row r="12" spans="1:8" x14ac:dyDescent="0.2">
      <c r="B12" t="s">
        <v>344</v>
      </c>
      <c r="C12" s="360">
        <v>7.46</v>
      </c>
      <c r="D12" s="361">
        <f>IF('Data entry'!Q11=144,SUM('Data entry'!Q31+(2*'Data entry'!Q34)+(2*'Data entry'!Q33)),IF('Data entry'!Q11=132,SUM('Data entry'!Q31+(2*'Data entry'!Q34)+(2*'Data entry'!Q33)),0))</f>
        <v>0</v>
      </c>
      <c r="E12" s="362">
        <f t="shared" si="0"/>
        <v>0</v>
      </c>
      <c r="F12" t="s">
        <v>5</v>
      </c>
    </row>
    <row r="13" spans="1:8" x14ac:dyDescent="0.2">
      <c r="B13">
        <v>14</v>
      </c>
      <c r="C13" s="715">
        <v>33.21</v>
      </c>
      <c r="D13" s="716">
        <f>IF('Data entry'!Q11=168,SUM('Data entry'!Q31+(2*'Data entry'!Q34)+(2*'Data entry'!Q33)),0)</f>
        <v>17</v>
      </c>
      <c r="E13" s="717">
        <f t="shared" si="0"/>
        <v>564.57000000000005</v>
      </c>
      <c r="F13" s="718">
        <v>8.75</v>
      </c>
    </row>
    <row r="14" spans="1:8" x14ac:dyDescent="0.2">
      <c r="B14">
        <v>16</v>
      </c>
      <c r="C14" s="715">
        <v>33.21</v>
      </c>
      <c r="D14" s="716">
        <f>IF('Data entry'!Q11=96,SUM(('Data entry'!Q31/2)+'Data entry'!Q33+'Data entry'!Q34+'Wall Materials'!E14),'Wall Materials'!E14)</f>
        <v>34.72265625</v>
      </c>
      <c r="E14" s="717">
        <f t="shared" si="0"/>
        <v>1153.1394140625</v>
      </c>
      <c r="F14" s="718">
        <v>10.76</v>
      </c>
    </row>
    <row r="15" spans="1:8" x14ac:dyDescent="0.2">
      <c r="B15">
        <v>18</v>
      </c>
      <c r="C15" s="360">
        <v>16.16</v>
      </c>
      <c r="D15" s="361">
        <f>IF('Data entry'!Q11=108,SUM(('Data entry'!Q31/2)+'Data entry'!Q33+'Data entry'!Q34),0)</f>
        <v>0</v>
      </c>
      <c r="E15" s="362">
        <f t="shared" si="0"/>
        <v>0</v>
      </c>
      <c r="F15" t="s">
        <v>5</v>
      </c>
    </row>
    <row r="16" spans="1:8" x14ac:dyDescent="0.2">
      <c r="B16">
        <v>20</v>
      </c>
      <c r="C16" s="360">
        <v>17.96</v>
      </c>
      <c r="D16" s="361">
        <f>IF('Data entry'!Q11=120,SUM(('Data entry'!Q31/2)+'Data entry'!Q33+'Data entry'!Q34),0)</f>
        <v>0</v>
      </c>
      <c r="E16" s="362">
        <f t="shared" si="0"/>
        <v>0</v>
      </c>
      <c r="F16" t="s">
        <v>5</v>
      </c>
    </row>
    <row r="17" spans="2:8" x14ac:dyDescent="0.2">
      <c r="B17" t="s">
        <v>345</v>
      </c>
      <c r="C17" s="360">
        <v>9.77</v>
      </c>
      <c r="D17" s="361">
        <f>'&gt;Trim Materials'!AQ38</f>
        <v>0</v>
      </c>
      <c r="E17" s="362">
        <f t="shared" si="0"/>
        <v>0</v>
      </c>
    </row>
    <row r="18" spans="2:8" x14ac:dyDescent="0.2">
      <c r="B18">
        <v>12</v>
      </c>
      <c r="C18" s="360">
        <v>12.32</v>
      </c>
      <c r="D18" s="361">
        <v>0</v>
      </c>
      <c r="E18" s="362">
        <f>IF(D18&gt;0,SUM(C18*D18),0)</f>
        <v>0</v>
      </c>
      <c r="F18" t="s">
        <v>5</v>
      </c>
    </row>
    <row r="19" spans="2:8" x14ac:dyDescent="0.2">
      <c r="B19">
        <v>14</v>
      </c>
      <c r="C19" s="715">
        <v>40.840000000000003</v>
      </c>
      <c r="D19" s="716">
        <f>IF('Data entry'!Q11=168,'Wall Materials'!E16,0)</f>
        <v>49</v>
      </c>
      <c r="E19" s="717">
        <f>SUM(C19*D19)</f>
        <v>2001.16</v>
      </c>
      <c r="F19" s="718">
        <v>16.88</v>
      </c>
    </row>
    <row r="20" spans="2:8" x14ac:dyDescent="0.2">
      <c r="B20">
        <v>16</v>
      </c>
      <c r="C20" s="715">
        <v>44</v>
      </c>
      <c r="D20" s="716">
        <v>7</v>
      </c>
      <c r="E20" s="717">
        <f>IF(D20&gt;0,SUM(C20*D20),0)</f>
        <v>308</v>
      </c>
      <c r="F20" s="718">
        <v>16.62</v>
      </c>
    </row>
    <row r="21" spans="2:8" x14ac:dyDescent="0.2">
      <c r="B21">
        <v>18</v>
      </c>
      <c r="C21" s="360">
        <v>21.96</v>
      </c>
      <c r="D21" s="361">
        <f>IF('Data entry'!Q11=108,'Wall Materials'!E16,0)</f>
        <v>0</v>
      </c>
      <c r="E21" s="362">
        <f>SUM(C21*D21)</f>
        <v>0</v>
      </c>
      <c r="F21" t="s">
        <v>5</v>
      </c>
    </row>
    <row r="22" spans="2:8" x14ac:dyDescent="0.2">
      <c r="B22">
        <v>20</v>
      </c>
      <c r="C22" s="360">
        <v>20.7</v>
      </c>
      <c r="D22" s="361">
        <f>IF('Data entry'!Q11=120,'Wall Materials'!E16,0)</f>
        <v>0</v>
      </c>
      <c r="E22" s="362">
        <f>SUM(C22*D22)</f>
        <v>0</v>
      </c>
      <c r="F22" t="s">
        <v>5</v>
      </c>
    </row>
    <row r="23" spans="2:8" x14ac:dyDescent="0.2">
      <c r="B23" t="s">
        <v>346</v>
      </c>
      <c r="C23" s="360">
        <v>16.739999999999998</v>
      </c>
      <c r="D23" s="361">
        <f>IF('&gt;Roof Kit Materials'!T15+'&gt;Roof Kit Materials'!V15=22,'&gt;Roof Kit Materials'!L15,IF(AND('&gt;Roof Kit Materials'!G7=35,'&gt;Roof Kit Materials'!T15=12),SUM('&gt;Roof Kit Materials'!L10+'&gt;Roof Kit Materials'!L12),'&gt;Roof Kit Materials'!L12))</f>
        <v>0</v>
      </c>
      <c r="E23" s="362">
        <f>IF(D23&gt;0,SUM(C23*D23),0)</f>
        <v>0</v>
      </c>
      <c r="F23" t="s">
        <v>5</v>
      </c>
      <c r="H23" s="631">
        <f>SUM(C23/12)</f>
        <v>1.3949999999999998</v>
      </c>
    </row>
    <row r="24" spans="2:8" x14ac:dyDescent="0.2">
      <c r="B24">
        <v>14</v>
      </c>
      <c r="C24" s="360">
        <v>28</v>
      </c>
      <c r="D24" s="361">
        <f>IF(AND('&gt;Roof Kit Materials'!T15=10,'&gt;Roof Kit Materials'!V15=14),'&gt;Roof Kit Materials'!L15,0)</f>
        <v>0</v>
      </c>
      <c r="E24" s="362">
        <f>SUM(C24*D24)</f>
        <v>0</v>
      </c>
      <c r="F24" t="s">
        <v>5</v>
      </c>
      <c r="H24" s="631">
        <f>SUM(C24/B24)</f>
        <v>2</v>
      </c>
    </row>
    <row r="25" spans="2:8" x14ac:dyDescent="0.2">
      <c r="B25">
        <v>16</v>
      </c>
      <c r="C25" s="715">
        <v>56.66</v>
      </c>
      <c r="D25" s="716">
        <v>12</v>
      </c>
      <c r="E25" s="717">
        <f>SUM(C25*D25)</f>
        <v>679.92</v>
      </c>
      <c r="F25" s="718">
        <v>22.32</v>
      </c>
      <c r="H25" s="631">
        <f>SUM(C25/B25)</f>
        <v>3.5412499999999998</v>
      </c>
    </row>
    <row r="26" spans="2:8" x14ac:dyDescent="0.2">
      <c r="B26">
        <v>18</v>
      </c>
      <c r="C26" s="360">
        <v>33.380000000000003</v>
      </c>
      <c r="D26" s="361">
        <f>IF(AND('&gt;Roof Kit Materials'!T15=10,'&gt;Roof Kit Materials'!V15=18),'&gt;Roof Kit Materials'!L15,0)</f>
        <v>0</v>
      </c>
      <c r="E26" s="362">
        <f>SUM(C26*D26)</f>
        <v>0</v>
      </c>
      <c r="F26" t="s">
        <v>330</v>
      </c>
      <c r="H26" s="631">
        <f>SUM(C26/B26)</f>
        <v>1.8544444444444446</v>
      </c>
    </row>
    <row r="27" spans="2:8" x14ac:dyDescent="0.2">
      <c r="B27">
        <v>20</v>
      </c>
      <c r="C27" s="360">
        <v>37</v>
      </c>
      <c r="D27" s="361">
        <f>IF(AND('&gt;Roof Kit Materials'!T15=10,'&gt;Roof Kit Materials'!V15=20),'&gt;Roof Kit Materials'!L15,0)</f>
        <v>0</v>
      </c>
      <c r="E27" s="362">
        <f>SUM(C27*D27)</f>
        <v>0</v>
      </c>
      <c r="F27" t="s">
        <v>330</v>
      </c>
      <c r="H27" s="631">
        <f>SUM(C27/B27)</f>
        <v>1.85</v>
      </c>
    </row>
    <row r="28" spans="2:8" x14ac:dyDescent="0.2">
      <c r="B28">
        <v>24</v>
      </c>
      <c r="C28" s="360">
        <v>57.5</v>
      </c>
      <c r="D28" s="361">
        <f>IF(AND('&gt;Roof Kit Materials'!T15=10,'&gt;Roof Kit Materials'!V15=24),'&gt;Roof Kit Materials'!L15,0)</f>
        <v>0</v>
      </c>
      <c r="E28" s="362">
        <f>SUM(C28*D28)</f>
        <v>0</v>
      </c>
      <c r="F28" t="s">
        <v>330</v>
      </c>
      <c r="H28" s="631">
        <f>SUM(C28/B28)</f>
        <v>2.3958333333333335</v>
      </c>
    </row>
    <row r="29" spans="2:8" x14ac:dyDescent="0.2">
      <c r="B29" t="s">
        <v>347</v>
      </c>
      <c r="C29" s="360">
        <v>29.69</v>
      </c>
      <c r="D29" s="361">
        <f>IF(AND('&gt;Roof Kit Materials'!T15=12,'&gt;Roof Kit Materials'!V15=12),SUM('&gt;Roof Kit Materials'!L15),0)</f>
        <v>0</v>
      </c>
      <c r="E29" s="362">
        <f>IF(D29&gt;0,SUM(C29*D29),0)</f>
        <v>0</v>
      </c>
      <c r="F29" t="s">
        <v>330</v>
      </c>
      <c r="H29" s="631">
        <f>SUM(C29/12)</f>
        <v>2.4741666666666666</v>
      </c>
    </row>
    <row r="30" spans="2:8" x14ac:dyDescent="0.2">
      <c r="B30">
        <v>14</v>
      </c>
      <c r="C30" s="715">
        <v>64.75</v>
      </c>
      <c r="D30" s="716">
        <v>1</v>
      </c>
      <c r="E30" s="717">
        <f>SUM(C30*D30)</f>
        <v>64.75</v>
      </c>
      <c r="F30" s="718">
        <v>34.299999999999997</v>
      </c>
      <c r="H30" s="631">
        <f>SUM(C30/B30)</f>
        <v>4.625</v>
      </c>
    </row>
    <row r="31" spans="2:8" x14ac:dyDescent="0.2">
      <c r="B31">
        <v>16</v>
      </c>
      <c r="C31" s="360">
        <v>39.200000000000003</v>
      </c>
      <c r="D31" s="361">
        <f>IF(AND('&gt;Roof Kit Materials'!T$15=12,'&gt;Roof Kit Materials'!V$15=16),SUM('&gt;Roof Kit Materials'!L$15),0)</f>
        <v>0</v>
      </c>
      <c r="E31" s="362">
        <f>IF(D31&gt;0,SUM(C31*D31),0)</f>
        <v>0</v>
      </c>
      <c r="F31" t="s">
        <v>330</v>
      </c>
      <c r="H31" s="631">
        <f>SUM(C31/B31)</f>
        <v>2.4500000000000002</v>
      </c>
    </row>
    <row r="32" spans="2:8" x14ac:dyDescent="0.2">
      <c r="B32">
        <v>18</v>
      </c>
      <c r="C32" s="715">
        <v>83.26</v>
      </c>
      <c r="D32" s="716">
        <f>IF(AND('&gt;Roof Kit Materials'!T$15=12,'&gt;Roof Kit Materials'!V$15=18),'&gt;Roof Kit Materials'!L$15,0)</f>
        <v>48</v>
      </c>
      <c r="E32" s="717">
        <f t="shared" ref="E32:E47" si="1">SUM(C32*D32)</f>
        <v>3996.4800000000005</v>
      </c>
      <c r="F32" s="718">
        <v>44.1</v>
      </c>
      <c r="H32" s="631">
        <f>SUM(C32/B32)</f>
        <v>4.6255555555555556</v>
      </c>
    </row>
    <row r="33" spans="1:8" x14ac:dyDescent="0.2">
      <c r="B33">
        <v>20</v>
      </c>
      <c r="C33" s="360">
        <v>49</v>
      </c>
      <c r="D33" s="361">
        <f>IF(AND('&gt;Roof Kit Materials'!T$15=12,'&gt;Roof Kit Materials'!V$15=20),'&gt;Roof Kit Materials'!L$15,0)</f>
        <v>0</v>
      </c>
      <c r="E33" s="362">
        <f t="shared" si="1"/>
        <v>0</v>
      </c>
      <c r="F33" t="s">
        <v>330</v>
      </c>
      <c r="H33" s="631">
        <f>SUM(C33/B33)</f>
        <v>2.4500000000000002</v>
      </c>
    </row>
    <row r="34" spans="1:8" x14ac:dyDescent="0.2">
      <c r="B34">
        <v>24</v>
      </c>
      <c r="C34" s="360">
        <v>62.98</v>
      </c>
      <c r="D34" s="361">
        <f>IF(AND('&gt;Roof Kit Materials'!T$15=12,'&gt;Roof Kit Materials'!V$15=24),'&gt;Roof Kit Materials'!L$15,0)</f>
        <v>0</v>
      </c>
      <c r="E34" s="362">
        <f t="shared" si="1"/>
        <v>0</v>
      </c>
      <c r="F34" t="s">
        <v>330</v>
      </c>
      <c r="H34" s="631">
        <f>SUM(C34/B34)</f>
        <v>2.6241666666666665</v>
      </c>
    </row>
    <row r="35" spans="1:8" x14ac:dyDescent="0.2">
      <c r="A35" t="s">
        <v>348</v>
      </c>
      <c r="B35" s="363" t="s">
        <v>349</v>
      </c>
      <c r="C35" s="360">
        <f>SUM(G35*8)</f>
        <v>5.2</v>
      </c>
      <c r="D35" s="361">
        <f>IF('&gt;Ordering NVL'!K$15=8,'&gt;Ordering NVL'!D$15,0)</f>
        <v>0</v>
      </c>
      <c r="E35" s="362">
        <f t="shared" si="1"/>
        <v>0</v>
      </c>
      <c r="F35" t="s">
        <v>330</v>
      </c>
      <c r="G35" s="364">
        <v>0.65</v>
      </c>
    </row>
    <row r="36" spans="1:8" x14ac:dyDescent="0.2">
      <c r="B36">
        <v>10</v>
      </c>
      <c r="C36" s="360">
        <f>SUM($G$35*B36)</f>
        <v>6.5</v>
      </c>
      <c r="D36" s="361">
        <f>IF('&gt;Ordering NVL'!K$15=10,'&gt;Ordering NVL'!D$15,0)</f>
        <v>0</v>
      </c>
      <c r="E36" s="362">
        <f t="shared" si="1"/>
        <v>0</v>
      </c>
      <c r="F36" t="s">
        <v>330</v>
      </c>
    </row>
    <row r="37" spans="1:8" x14ac:dyDescent="0.2">
      <c r="B37">
        <v>12</v>
      </c>
      <c r="C37" s="360">
        <f>SUM($G$35*B37)</f>
        <v>7.8000000000000007</v>
      </c>
      <c r="D37" s="361">
        <f>IF('&gt;Ordering NVL'!K$15=12,'&gt;Ordering NVL'!D$15,0)</f>
        <v>0</v>
      </c>
      <c r="E37" s="362">
        <f t="shared" si="1"/>
        <v>0</v>
      </c>
      <c r="F37" t="s">
        <v>330</v>
      </c>
    </row>
    <row r="38" spans="1:8" x14ac:dyDescent="0.2">
      <c r="B38">
        <v>16</v>
      </c>
      <c r="C38" s="360">
        <f>SUM($G$35*B38)</f>
        <v>10.4</v>
      </c>
      <c r="D38" s="361">
        <v>0</v>
      </c>
      <c r="E38" s="362">
        <f t="shared" si="1"/>
        <v>0</v>
      </c>
      <c r="F38" t="s">
        <v>330</v>
      </c>
    </row>
    <row r="39" spans="1:8" x14ac:dyDescent="0.2">
      <c r="A39" t="s">
        <v>726</v>
      </c>
      <c r="B39">
        <v>10</v>
      </c>
      <c r="C39" s="360">
        <f>B39*A40</f>
        <v>13.799999999999999</v>
      </c>
      <c r="D39" s="361">
        <f>IF(C2=20,32,0)</f>
        <v>0</v>
      </c>
      <c r="E39" s="362">
        <f t="shared" si="1"/>
        <v>0</v>
      </c>
      <c r="F39" t="s">
        <v>5</v>
      </c>
      <c r="G39" s="364">
        <v>1.01</v>
      </c>
    </row>
    <row r="40" spans="1:8" x14ac:dyDescent="0.2">
      <c r="A40" s="632">
        <v>1.38</v>
      </c>
      <c r="B40">
        <v>12</v>
      </c>
      <c r="C40" s="360">
        <f>SUM(B40*A40)</f>
        <v>16.559999999999999</v>
      </c>
      <c r="D40" s="361">
        <f>IF(C2=25,40,0)</f>
        <v>0</v>
      </c>
      <c r="E40" s="362">
        <f t="shared" si="1"/>
        <v>0</v>
      </c>
      <c r="F40" t="s">
        <v>5</v>
      </c>
    </row>
    <row r="41" spans="1:8" x14ac:dyDescent="0.2">
      <c r="B41">
        <v>16</v>
      </c>
      <c r="C41" s="715">
        <f>B41*A40</f>
        <v>22.08</v>
      </c>
      <c r="D41" s="716">
        <v>48</v>
      </c>
      <c r="E41" s="717">
        <f t="shared" si="1"/>
        <v>1059.8399999999999</v>
      </c>
      <c r="F41" s="718" t="s">
        <v>5</v>
      </c>
    </row>
    <row r="42" spans="1:8" x14ac:dyDescent="0.2">
      <c r="B42">
        <v>18</v>
      </c>
      <c r="C42" s="360">
        <f>B42*A40</f>
        <v>24.839999999999996</v>
      </c>
      <c r="D42" s="361">
        <f>IF(C2=35,52,0)</f>
        <v>0</v>
      </c>
      <c r="E42" s="362">
        <f t="shared" si="1"/>
        <v>0</v>
      </c>
      <c r="F42" t="s">
        <v>5</v>
      </c>
    </row>
    <row r="43" spans="1:8" x14ac:dyDescent="0.2">
      <c r="B43">
        <v>20</v>
      </c>
      <c r="C43" s="360">
        <f>B43*A40</f>
        <v>27.599999999999998</v>
      </c>
      <c r="D43" s="361">
        <f>IF(C2&gt;35,64,0)</f>
        <v>0</v>
      </c>
      <c r="E43" s="362">
        <f t="shared" si="1"/>
        <v>0</v>
      </c>
      <c r="F43" t="s">
        <v>5</v>
      </c>
    </row>
    <row r="44" spans="1:8" x14ac:dyDescent="0.2">
      <c r="A44" t="s">
        <v>348</v>
      </c>
      <c r="B44" t="s">
        <v>350</v>
      </c>
      <c r="C44" s="715">
        <v>4.99</v>
      </c>
      <c r="D44" s="716">
        <v>5</v>
      </c>
      <c r="E44" s="717">
        <f t="shared" si="1"/>
        <v>24.950000000000003</v>
      </c>
      <c r="F44" s="719">
        <v>4.2699999999999996</v>
      </c>
    </row>
    <row r="45" spans="1:8" x14ac:dyDescent="0.2">
      <c r="B45">
        <v>10</v>
      </c>
      <c r="C45" s="715">
        <v>6.24</v>
      </c>
      <c r="D45" s="716">
        <f>'&gt;Trim Materials'!D13:F13</f>
        <v>48</v>
      </c>
      <c r="E45" s="717">
        <f t="shared" si="1"/>
        <v>299.52</v>
      </c>
      <c r="F45" s="718">
        <v>5.33</v>
      </c>
    </row>
    <row r="46" spans="1:8" x14ac:dyDescent="0.2">
      <c r="B46">
        <v>12</v>
      </c>
      <c r="C46" s="360">
        <v>6.4</v>
      </c>
      <c r="D46" s="361">
        <v>0</v>
      </c>
      <c r="E46" s="362">
        <f t="shared" si="1"/>
        <v>0</v>
      </c>
      <c r="F46" t="s">
        <v>5</v>
      </c>
    </row>
    <row r="47" spans="1:8" x14ac:dyDescent="0.2">
      <c r="B47" t="s">
        <v>351</v>
      </c>
      <c r="C47" s="715">
        <v>10.31</v>
      </c>
      <c r="D47" s="720">
        <f>IF('&gt;Ordering NVL'!D25=" ",'&gt;Trim Materials'!D15,SUM('&gt;Ordering NVL'!D25+'&gt;Trim Materials'!D15))</f>
        <v>16.5</v>
      </c>
      <c r="E47" s="717">
        <f t="shared" si="1"/>
        <v>170.11500000000001</v>
      </c>
      <c r="F47" s="719">
        <v>4.84</v>
      </c>
    </row>
    <row r="48" spans="1:8" x14ac:dyDescent="0.2">
      <c r="B48">
        <v>10</v>
      </c>
      <c r="C48" s="360">
        <v>6.05</v>
      </c>
      <c r="D48" s="361">
        <f>'Wall Materials'!E25</f>
        <v>1</v>
      </c>
      <c r="E48" s="362">
        <f>IF(D48&gt;" ",SUM(C48*D48),0)</f>
        <v>0</v>
      </c>
      <c r="F48" t="s">
        <v>5</v>
      </c>
    </row>
    <row r="49" spans="1:14" x14ac:dyDescent="0.2">
      <c r="B49">
        <v>16</v>
      </c>
      <c r="C49" s="715">
        <v>20</v>
      </c>
      <c r="D49" s="716">
        <v>48</v>
      </c>
      <c r="E49" s="717">
        <f>IF(D49&gt;0,SUM(C49*D49),0)</f>
        <v>960</v>
      </c>
      <c r="F49" s="719">
        <v>10</v>
      </c>
    </row>
    <row r="50" spans="1:14" x14ac:dyDescent="0.2">
      <c r="B50" t="s">
        <v>352</v>
      </c>
      <c r="C50" s="715">
        <v>18.13</v>
      </c>
      <c r="D50" s="716">
        <f>'Wall Materials'!E28</f>
        <v>10</v>
      </c>
      <c r="E50" s="717">
        <f>IF(D50&gt;0,SUM(C50*D50),0)</f>
        <v>181.29999999999998</v>
      </c>
      <c r="F50" s="719">
        <v>8.1</v>
      </c>
    </row>
    <row r="51" spans="1:14" x14ac:dyDescent="0.2">
      <c r="B51">
        <v>12</v>
      </c>
      <c r="C51" s="715">
        <v>27.19</v>
      </c>
      <c r="D51" s="716">
        <v>1</v>
      </c>
      <c r="E51" s="717">
        <f>IF(D51&gt;0,SUM(C51*D51),0)</f>
        <v>27.19</v>
      </c>
      <c r="F51" s="718">
        <v>12.14</v>
      </c>
    </row>
    <row r="52" spans="1:14" x14ac:dyDescent="0.2">
      <c r="B52">
        <v>16</v>
      </c>
      <c r="C52" s="715">
        <v>36.75</v>
      </c>
      <c r="D52" s="716">
        <f>'&gt;Trim Materials'!D18:F18</f>
        <v>1</v>
      </c>
      <c r="E52" s="717">
        <f>SUM(C52*D52)</f>
        <v>36.75</v>
      </c>
      <c r="F52" s="719">
        <v>16.16</v>
      </c>
    </row>
    <row r="53" spans="1:14" x14ac:dyDescent="0.2">
      <c r="B53" t="s">
        <v>353</v>
      </c>
      <c r="C53" s="360"/>
      <c r="D53" s="361">
        <f>'&gt;Trim Materials'!D19:F19</f>
        <v>0</v>
      </c>
      <c r="E53" s="362">
        <f>SUM(C53*D53)</f>
        <v>0</v>
      </c>
      <c r="F53" t="s">
        <v>5</v>
      </c>
    </row>
    <row r="54" spans="1:14" x14ac:dyDescent="0.2">
      <c r="B54" t="s">
        <v>354</v>
      </c>
      <c r="C54" s="715">
        <v>7.65</v>
      </c>
      <c r="D54" s="716">
        <f>'Wall Materials'!E31</f>
        <v>689.01</v>
      </c>
      <c r="E54" s="717">
        <f>IF(D54&gt;0,SUM(C54*D54),0)</f>
        <v>5270.9265000000005</v>
      </c>
      <c r="F54" s="718">
        <v>5.16</v>
      </c>
    </row>
    <row r="55" spans="1:14" x14ac:dyDescent="0.2">
      <c r="B55">
        <v>7</v>
      </c>
      <c r="C55" s="715">
        <v>5.25</v>
      </c>
      <c r="D55" s="721">
        <f>IF(H55=16,H56*2.67,H56*4)</f>
        <v>64.08</v>
      </c>
      <c r="E55" s="717">
        <f>SUM(C55*D55)</f>
        <v>336.42</v>
      </c>
      <c r="F55" s="718" t="s">
        <v>5</v>
      </c>
      <c r="G55" s="672" t="s">
        <v>785</v>
      </c>
      <c r="H55" s="672">
        <f>'Data entry'!$W$13</f>
        <v>16</v>
      </c>
    </row>
    <row r="56" spans="1:14" x14ac:dyDescent="0.2">
      <c r="B56">
        <v>10</v>
      </c>
      <c r="C56" s="360"/>
      <c r="D56" s="366"/>
      <c r="E56" s="362"/>
      <c r="G56" t="s">
        <v>786</v>
      </c>
      <c r="H56">
        <f>IF($F$3=20,16,IF($F$3=25,20,IF($F$3=30,24,IF($F$3=35,27,32))))</f>
        <v>24</v>
      </c>
    </row>
    <row r="57" spans="1:14" x14ac:dyDescent="0.2">
      <c r="B57">
        <v>16</v>
      </c>
      <c r="C57" s="360">
        <v>21.82</v>
      </c>
      <c r="D57" s="366"/>
      <c r="E57" s="362">
        <f>SUM(C57*D57)</f>
        <v>0</v>
      </c>
      <c r="F57" t="s">
        <v>5</v>
      </c>
    </row>
    <row r="58" spans="1:14" x14ac:dyDescent="0.2">
      <c r="B58" t="s">
        <v>355</v>
      </c>
      <c r="C58" s="715">
        <v>25.8</v>
      </c>
      <c r="D58" s="716">
        <f>'&gt;Trim Materials'!D16:F16</f>
        <v>1</v>
      </c>
      <c r="E58" s="717">
        <f>SUM(C58*D58)</f>
        <v>25.8</v>
      </c>
      <c r="F58" s="718">
        <v>4.67</v>
      </c>
    </row>
    <row r="59" spans="1:14" x14ac:dyDescent="0.2">
      <c r="B59" t="s">
        <v>83</v>
      </c>
      <c r="C59" s="360">
        <v>50.98</v>
      </c>
      <c r="D59" s="361">
        <f>'Order sheet #2'!E21</f>
        <v>0</v>
      </c>
      <c r="E59" s="362">
        <f>IF(D59&gt;0,SUM(C59*D59),0)</f>
        <v>0</v>
      </c>
      <c r="F59" t="s">
        <v>5</v>
      </c>
    </row>
    <row r="60" spans="1:14" ht="18" x14ac:dyDescent="0.25">
      <c r="A60" t="s">
        <v>356</v>
      </c>
      <c r="B60" t="s">
        <v>357</v>
      </c>
      <c r="C60" s="360">
        <v>21.55</v>
      </c>
      <c r="D60" s="361">
        <f>'Order sheet #2'!E32</f>
        <v>0</v>
      </c>
      <c r="E60" s="362">
        <f>SUM(C60*D60)</f>
        <v>0</v>
      </c>
      <c r="F60" t="s">
        <v>5</v>
      </c>
      <c r="H60" s="728" t="s">
        <v>686</v>
      </c>
      <c r="I60" s="728"/>
      <c r="J60" s="728"/>
      <c r="K60" s="728"/>
      <c r="L60" s="728"/>
      <c r="M60" s="728"/>
      <c r="N60" s="728"/>
    </row>
    <row r="61" spans="1:14" x14ac:dyDescent="0.2">
      <c r="A61" t="s">
        <v>358</v>
      </c>
      <c r="B61" t="s">
        <v>359</v>
      </c>
      <c r="C61" s="715">
        <v>64.150000000000006</v>
      </c>
      <c r="D61" s="716">
        <f>'Wall Materials'!E22</f>
        <v>41.5</v>
      </c>
      <c r="E61" s="717">
        <f>SUM(C61*D61)</f>
        <v>2662.2250000000004</v>
      </c>
      <c r="F61" s="718">
        <v>20.43</v>
      </c>
    </row>
    <row r="62" spans="1:14" ht="15.75" thickBot="1" x14ac:dyDescent="0.3">
      <c r="B62" t="s">
        <v>360</v>
      </c>
      <c r="C62" s="360">
        <v>33.590000000000003</v>
      </c>
      <c r="D62" s="361">
        <f>'Order sheet #2'!E34</f>
        <v>0</v>
      </c>
      <c r="E62" s="362">
        <f>IF(D62&gt;0,SUM(C62*D62),0)</f>
        <v>0</v>
      </c>
      <c r="F62" t="s">
        <v>5</v>
      </c>
      <c r="H62" s="588" t="s">
        <v>2</v>
      </c>
      <c r="I62" s="588"/>
      <c r="J62" s="589">
        <v>20</v>
      </c>
      <c r="K62" s="589">
        <v>25</v>
      </c>
      <c r="L62" s="589">
        <v>30</v>
      </c>
      <c r="M62" s="589">
        <v>35</v>
      </c>
      <c r="N62" s="589">
        <v>41</v>
      </c>
    </row>
    <row r="63" spans="1:14" x14ac:dyDescent="0.2">
      <c r="A63" t="s">
        <v>361</v>
      </c>
      <c r="B63" t="s">
        <v>362</v>
      </c>
      <c r="C63" s="715">
        <v>9.1199999999999992</v>
      </c>
      <c r="D63" s="716">
        <f>'&gt;Ordering NVL'!D59</f>
        <v>238</v>
      </c>
      <c r="E63" s="717">
        <f t="shared" ref="E63:E94" si="2">SUM(C63*D63)</f>
        <v>2170.56</v>
      </c>
      <c r="F63" s="718">
        <v>5.44</v>
      </c>
      <c r="H63" s="590" t="s">
        <v>687</v>
      </c>
      <c r="I63" s="591"/>
      <c r="J63" s="592">
        <v>32</v>
      </c>
      <c r="K63" s="592">
        <v>40</v>
      </c>
      <c r="L63" s="592">
        <v>48</v>
      </c>
      <c r="M63" s="592">
        <v>54</v>
      </c>
      <c r="N63" s="593">
        <v>64</v>
      </c>
    </row>
    <row r="64" spans="1:14" x14ac:dyDescent="0.2">
      <c r="B64" t="s">
        <v>363</v>
      </c>
      <c r="C64" s="360">
        <v>3.45</v>
      </c>
      <c r="D64" s="361">
        <f>'&gt;Ordering NVL'!D42:G42</f>
        <v>2</v>
      </c>
      <c r="E64" s="362">
        <f t="shared" si="2"/>
        <v>6.9</v>
      </c>
      <c r="F64" t="s">
        <v>5</v>
      </c>
      <c r="H64" s="594" t="s">
        <v>688</v>
      </c>
      <c r="I64" s="595"/>
      <c r="J64" s="596">
        <v>21</v>
      </c>
      <c r="K64" s="596">
        <v>28</v>
      </c>
      <c r="L64" s="596">
        <v>35</v>
      </c>
      <c r="M64" s="596">
        <v>40</v>
      </c>
      <c r="N64" s="597">
        <v>47</v>
      </c>
    </row>
    <row r="65" spans="1:17" x14ac:dyDescent="0.2">
      <c r="B65">
        <v>10</v>
      </c>
      <c r="C65" s="360">
        <v>4.3099999999999996</v>
      </c>
      <c r="D65" s="361">
        <f>'&gt;Ordering NVL'!D43:G43</f>
        <v>7</v>
      </c>
      <c r="E65" s="362">
        <f>SUM(C65*D65)</f>
        <v>30.169999999999998</v>
      </c>
      <c r="F65" t="s">
        <v>5</v>
      </c>
      <c r="H65" s="594" t="s">
        <v>689</v>
      </c>
      <c r="I65" s="595"/>
      <c r="J65" s="596">
        <f>J63*J64</f>
        <v>672</v>
      </c>
      <c r="K65" s="596">
        <f>K63*K64</f>
        <v>1120</v>
      </c>
      <c r="L65" s="596">
        <f>L63*L64</f>
        <v>1680</v>
      </c>
      <c r="M65" s="596">
        <f>M63*M64</f>
        <v>2160</v>
      </c>
      <c r="N65" s="597">
        <f>N63*N64</f>
        <v>3008</v>
      </c>
    </row>
    <row r="66" spans="1:17" s="367" customFormat="1" x14ac:dyDescent="0.2">
      <c r="B66" s="363">
        <v>12</v>
      </c>
      <c r="C66" s="368">
        <v>5.23</v>
      </c>
      <c r="D66" s="369">
        <f>'&gt;Ordering NVL'!D44:G44</f>
        <v>1</v>
      </c>
      <c r="E66" s="362">
        <f t="shared" si="2"/>
        <v>5.23</v>
      </c>
      <c r="F66" s="367" t="s">
        <v>5</v>
      </c>
      <c r="H66" s="594" t="s">
        <v>690</v>
      </c>
      <c r="I66" s="595"/>
      <c r="J66" s="598">
        <f>SUM(J78*1.1)</f>
        <v>0</v>
      </c>
      <c r="K66" s="598">
        <f>SUM(K78*1.1)</f>
        <v>0</v>
      </c>
      <c r="L66" s="598">
        <f>SUM(L78*1.1)</f>
        <v>0</v>
      </c>
      <c r="M66" s="598">
        <f>SUM(M78*1.1)</f>
        <v>0</v>
      </c>
      <c r="N66" s="599">
        <f>SUM(N78*1.1)</f>
        <v>0</v>
      </c>
    </row>
    <row r="67" spans="1:17" x14ac:dyDescent="0.2">
      <c r="B67">
        <v>16</v>
      </c>
      <c r="C67" s="715">
        <v>10.5</v>
      </c>
      <c r="D67" s="716">
        <f>'&gt;Ordering NVL'!D45:G45</f>
        <v>4</v>
      </c>
      <c r="E67" s="717">
        <f t="shared" si="2"/>
        <v>42</v>
      </c>
      <c r="F67" t="s">
        <v>5</v>
      </c>
      <c r="H67" s="600" t="s">
        <v>691</v>
      </c>
      <c r="I67" s="595"/>
      <c r="J67" s="598">
        <v>97</v>
      </c>
      <c r="K67" s="598">
        <v>160</v>
      </c>
      <c r="L67" s="598">
        <v>238</v>
      </c>
      <c r="M67" s="598">
        <v>305</v>
      </c>
      <c r="N67" s="598">
        <v>414</v>
      </c>
    </row>
    <row r="68" spans="1:17" s="363" customFormat="1" x14ac:dyDescent="0.2">
      <c r="A68" s="363" t="s">
        <v>364</v>
      </c>
      <c r="B68" s="370" t="s">
        <v>365</v>
      </c>
      <c r="C68" s="722">
        <v>52.33</v>
      </c>
      <c r="D68" s="723">
        <f>IF('&gt;Ordering NVL'!D64&gt;0,4,0)</f>
        <v>4</v>
      </c>
      <c r="E68" s="717">
        <f t="shared" ref="E68:E93" si="3">SUM(C68*D68)</f>
        <v>209.32</v>
      </c>
      <c r="F68" s="724">
        <v>65.5</v>
      </c>
      <c r="G68" s="370"/>
      <c r="H68" s="370"/>
      <c r="I68" s="370"/>
      <c r="J68" s="370"/>
      <c r="K68" s="370"/>
      <c r="L68" s="370"/>
      <c r="M68" s="370"/>
      <c r="N68" s="370"/>
      <c r="O68" s="370"/>
      <c r="P68" s="370"/>
      <c r="Q68" s="370"/>
    </row>
    <row r="69" spans="1:17" s="363" customFormat="1" x14ac:dyDescent="0.2">
      <c r="B69" s="370" t="s">
        <v>366</v>
      </c>
      <c r="C69" s="371">
        <v>53.79</v>
      </c>
      <c r="D69" s="372">
        <f>IF('&gt;Ordering NVL'!D65:E65&gt;0,1,0)</f>
        <v>0</v>
      </c>
      <c r="E69" s="362">
        <f t="shared" si="3"/>
        <v>0</v>
      </c>
      <c r="F69" s="370" t="s">
        <v>5</v>
      </c>
      <c r="G69" s="370"/>
      <c r="H69" s="370"/>
      <c r="I69" s="370"/>
      <c r="J69" s="370"/>
      <c r="K69" s="370"/>
      <c r="L69" s="370"/>
      <c r="M69" s="370"/>
      <c r="N69" s="370"/>
      <c r="O69" s="370"/>
      <c r="P69" s="370"/>
      <c r="Q69" s="370"/>
    </row>
    <row r="70" spans="1:17" s="363" customFormat="1" x14ac:dyDescent="0.2">
      <c r="B70" s="370" t="s">
        <v>367</v>
      </c>
      <c r="C70" s="371">
        <v>56.05</v>
      </c>
      <c r="D70" s="372">
        <f>IF('&gt;Ordering NVL'!D66:E66&gt;0,1,0)</f>
        <v>0</v>
      </c>
      <c r="E70" s="362">
        <f t="shared" si="3"/>
        <v>0</v>
      </c>
      <c r="F70" s="370" t="s">
        <v>5</v>
      </c>
      <c r="G70" s="370"/>
      <c r="H70" s="370"/>
      <c r="I70" s="370"/>
      <c r="J70" s="370"/>
      <c r="K70" s="370"/>
      <c r="L70" s="370"/>
      <c r="M70" s="370"/>
      <c r="N70" s="370"/>
      <c r="O70" s="370"/>
      <c r="P70" s="370"/>
    </row>
    <row r="71" spans="1:17" s="363" customFormat="1" x14ac:dyDescent="0.2">
      <c r="B71" s="370" t="s">
        <v>368</v>
      </c>
      <c r="C71" s="371">
        <v>39.6</v>
      </c>
      <c r="D71" s="372">
        <f>IF('&gt;Ordering NVL'!D67:E67&gt;0,1,0)</f>
        <v>0</v>
      </c>
      <c r="E71" s="362">
        <f t="shared" si="3"/>
        <v>0</v>
      </c>
      <c r="F71" s="370" t="s">
        <v>5</v>
      </c>
      <c r="G71" s="370"/>
      <c r="H71" s="370"/>
      <c r="I71" s="370"/>
      <c r="J71" s="370"/>
      <c r="K71" s="370"/>
      <c r="L71" s="370"/>
      <c r="M71" s="370"/>
      <c r="N71" s="370"/>
      <c r="O71" s="370"/>
      <c r="P71" s="370"/>
    </row>
    <row r="72" spans="1:17" s="363" customFormat="1" x14ac:dyDescent="0.2">
      <c r="B72" s="370" t="s">
        <v>369</v>
      </c>
      <c r="C72" s="722">
        <v>5.27</v>
      </c>
      <c r="D72" s="723">
        <f>IF('&gt;Ordering NVL'!D68:E68&gt;0,2,0)</f>
        <v>2</v>
      </c>
      <c r="E72" s="717">
        <f t="shared" si="3"/>
        <v>10.54</v>
      </c>
      <c r="F72" s="724">
        <v>6.69</v>
      </c>
      <c r="G72" s="370"/>
      <c r="H72" s="370"/>
      <c r="I72" s="370"/>
      <c r="J72" s="370"/>
      <c r="K72" s="370"/>
      <c r="L72" s="370"/>
      <c r="M72" s="370"/>
      <c r="N72" s="370"/>
      <c r="O72" s="370"/>
      <c r="P72" s="370"/>
    </row>
    <row r="73" spans="1:17" s="363" customFormat="1" x14ac:dyDescent="0.2">
      <c r="B73" s="370" t="s">
        <v>370</v>
      </c>
      <c r="C73" s="371">
        <v>6.83</v>
      </c>
      <c r="D73" s="372">
        <f>IF('&gt;Ordering NVL'!D69:E69&gt;0,10,0)</f>
        <v>0</v>
      </c>
      <c r="E73" s="362">
        <f t="shared" si="3"/>
        <v>0</v>
      </c>
      <c r="F73" s="370" t="s">
        <v>5</v>
      </c>
      <c r="G73" s="370"/>
      <c r="H73" s="370"/>
      <c r="I73" s="370"/>
      <c r="J73" s="370"/>
      <c r="K73" s="370"/>
      <c r="L73" s="370"/>
      <c r="M73" s="370"/>
      <c r="N73" s="370"/>
      <c r="O73" s="370"/>
      <c r="P73" s="370"/>
    </row>
    <row r="74" spans="1:17" s="363" customFormat="1" x14ac:dyDescent="0.2">
      <c r="B74" s="370" t="s">
        <v>371</v>
      </c>
      <c r="C74" s="371">
        <v>5.46</v>
      </c>
      <c r="D74" s="372">
        <f>IF('&gt;Ordering NVL'!D70:E70&gt;0,5,0)</f>
        <v>0</v>
      </c>
      <c r="E74" s="362">
        <f t="shared" si="3"/>
        <v>0</v>
      </c>
      <c r="F74" s="370" t="s">
        <v>5</v>
      </c>
      <c r="G74" s="370"/>
      <c r="H74" s="370"/>
      <c r="I74" s="370"/>
      <c r="J74" s="370"/>
      <c r="K74" s="370"/>
      <c r="L74" s="370"/>
      <c r="M74" s="370"/>
      <c r="N74" s="370"/>
      <c r="O74" s="370"/>
      <c r="P74" s="370"/>
    </row>
    <row r="75" spans="1:17" s="363" customFormat="1" x14ac:dyDescent="0.2">
      <c r="B75" s="370" t="s">
        <v>372</v>
      </c>
      <c r="C75" s="371">
        <v>2.74</v>
      </c>
      <c r="D75" s="372">
        <f>IF('&gt;Ordering NVL'!D71:E71&gt;0,25,0)</f>
        <v>0</v>
      </c>
      <c r="E75" s="362">
        <f t="shared" si="3"/>
        <v>0</v>
      </c>
      <c r="F75" s="370" t="s">
        <v>5</v>
      </c>
      <c r="G75" s="370"/>
      <c r="H75" s="370"/>
      <c r="I75" s="370"/>
      <c r="J75" s="370"/>
      <c r="K75" s="370"/>
      <c r="L75" s="370"/>
      <c r="M75" s="370"/>
      <c r="N75" s="370"/>
      <c r="O75" s="370"/>
      <c r="P75" s="370"/>
    </row>
    <row r="76" spans="1:17" s="363" customFormat="1" x14ac:dyDescent="0.2">
      <c r="B76" s="370" t="s">
        <v>373</v>
      </c>
      <c r="C76" s="722">
        <v>8.5</v>
      </c>
      <c r="D76" s="723">
        <v>20</v>
      </c>
      <c r="E76" s="717">
        <f t="shared" si="3"/>
        <v>170</v>
      </c>
      <c r="F76" s="370" t="s">
        <v>5</v>
      </c>
      <c r="G76" s="370"/>
      <c r="H76" s="370"/>
      <c r="I76" s="370"/>
      <c r="J76" s="370"/>
      <c r="K76" s="370"/>
      <c r="L76" s="370"/>
      <c r="M76" s="370"/>
      <c r="N76" s="370"/>
      <c r="O76" s="370"/>
      <c r="P76" s="370"/>
    </row>
    <row r="77" spans="1:17" s="363" customFormat="1" x14ac:dyDescent="0.2">
      <c r="B77" s="373" t="s">
        <v>374</v>
      </c>
      <c r="C77" s="371">
        <v>3.0099999999999998E-2</v>
      </c>
      <c r="D77" s="372">
        <f>IF('&gt;Ordering NVL'!D73:E73&gt;0,1,0)</f>
        <v>0</v>
      </c>
      <c r="E77" s="362">
        <f t="shared" si="3"/>
        <v>0</v>
      </c>
      <c r="F77" s="370" t="s">
        <v>5</v>
      </c>
      <c r="G77" s="370"/>
      <c r="H77" s="370"/>
      <c r="I77" s="370"/>
      <c r="J77" s="370"/>
      <c r="K77" s="370"/>
      <c r="L77" s="370"/>
      <c r="M77" s="370"/>
      <c r="N77" s="370"/>
      <c r="O77" s="370"/>
      <c r="P77" s="370"/>
    </row>
    <row r="78" spans="1:17" s="363" customFormat="1" x14ac:dyDescent="0.2">
      <c r="B78" s="370" t="s">
        <v>375</v>
      </c>
      <c r="C78" s="371">
        <v>68.3</v>
      </c>
      <c r="D78" s="372">
        <f>IF('&gt;Ordering NVL'!D75:E75&gt;0,1,0)</f>
        <v>0</v>
      </c>
      <c r="E78" s="362">
        <f t="shared" si="3"/>
        <v>0</v>
      </c>
      <c r="F78" s="370" t="s">
        <v>5</v>
      </c>
      <c r="G78" s="370"/>
      <c r="H78" s="370"/>
      <c r="I78" s="370"/>
      <c r="J78" s="370"/>
      <c r="K78" s="370"/>
      <c r="L78" s="370"/>
      <c r="M78" s="370"/>
      <c r="N78" s="370"/>
      <c r="O78" s="370"/>
      <c r="P78" s="370"/>
    </row>
    <row r="79" spans="1:17" s="363" customFormat="1" x14ac:dyDescent="0.2">
      <c r="B79" s="370" t="s">
        <v>376</v>
      </c>
      <c r="C79" s="371">
        <v>125</v>
      </c>
      <c r="D79" s="372">
        <f>IF('&gt;Ordering NVL'!D76:E76&gt;0,1,0)</f>
        <v>0</v>
      </c>
      <c r="E79" s="362">
        <f t="shared" si="3"/>
        <v>0</v>
      </c>
      <c r="F79" s="370" t="s">
        <v>5</v>
      </c>
      <c r="G79" s="370"/>
      <c r="H79" s="370"/>
      <c r="I79" s="370"/>
      <c r="J79" s="370"/>
      <c r="K79" s="370"/>
      <c r="L79" s="370"/>
      <c r="M79" s="370"/>
      <c r="N79" s="370"/>
      <c r="O79" s="370"/>
      <c r="P79" s="370"/>
    </row>
    <row r="80" spans="1:17" s="363" customFormat="1" x14ac:dyDescent="0.2">
      <c r="B80" s="373" t="s">
        <v>824</v>
      </c>
      <c r="C80" s="722">
        <v>0.8</v>
      </c>
      <c r="D80" s="723">
        <v>250</v>
      </c>
      <c r="E80" s="717">
        <f t="shared" si="3"/>
        <v>200</v>
      </c>
      <c r="F80" s="370" t="s">
        <v>5</v>
      </c>
      <c r="G80" s="370"/>
      <c r="H80" s="370"/>
      <c r="I80" s="370"/>
      <c r="J80" s="370"/>
      <c r="K80" s="370"/>
      <c r="L80" s="370"/>
      <c r="M80" s="370"/>
      <c r="N80" s="370"/>
      <c r="O80" s="370"/>
      <c r="P80" s="370"/>
    </row>
    <row r="81" spans="1:19" s="363" customFormat="1" x14ac:dyDescent="0.2">
      <c r="B81" s="370" t="s">
        <v>378</v>
      </c>
      <c r="C81" s="371">
        <v>195</v>
      </c>
      <c r="D81" s="372">
        <v>0</v>
      </c>
      <c r="E81" s="362">
        <f t="shared" si="3"/>
        <v>0</v>
      </c>
      <c r="F81" s="370" t="s">
        <v>5</v>
      </c>
      <c r="G81" s="370"/>
      <c r="H81" s="370"/>
      <c r="I81" s="370"/>
      <c r="J81" s="370"/>
      <c r="K81" s="370"/>
      <c r="L81" s="370"/>
      <c r="M81" s="370"/>
      <c r="N81" s="370"/>
      <c r="O81" s="370"/>
      <c r="P81" s="370"/>
    </row>
    <row r="82" spans="1:19" s="363" customFormat="1" x14ac:dyDescent="0.2">
      <c r="B82" s="370" t="s">
        <v>379</v>
      </c>
      <c r="C82" s="371">
        <v>215</v>
      </c>
      <c r="D82" s="372">
        <f>IF('&gt;Ordering NVL'!D80:E80&gt;0,1,0)</f>
        <v>0</v>
      </c>
      <c r="E82" s="362">
        <f t="shared" si="3"/>
        <v>0</v>
      </c>
      <c r="F82" s="370" t="s">
        <v>5</v>
      </c>
      <c r="G82" s="370"/>
      <c r="H82" s="370"/>
      <c r="I82" s="370"/>
      <c r="J82" s="370"/>
      <c r="K82" s="370"/>
      <c r="L82" s="370"/>
      <c r="M82" s="370"/>
      <c r="N82" s="370"/>
      <c r="O82" s="370"/>
      <c r="P82" s="370"/>
    </row>
    <row r="83" spans="1:19" s="363" customFormat="1" x14ac:dyDescent="0.2">
      <c r="B83" s="370" t="s">
        <v>380</v>
      </c>
      <c r="C83" s="371">
        <v>1.59</v>
      </c>
      <c r="D83" s="372">
        <f>IF('&gt;Ordering NVL'!D81:E81&gt;0,1,0)</f>
        <v>0</v>
      </c>
      <c r="E83" s="362">
        <f t="shared" si="3"/>
        <v>0</v>
      </c>
      <c r="F83" s="370" t="s">
        <v>5</v>
      </c>
      <c r="G83" s="370"/>
      <c r="H83" s="370"/>
      <c r="I83" s="370"/>
      <c r="J83" s="370"/>
      <c r="K83" s="370"/>
      <c r="L83" s="370"/>
      <c r="M83" s="370"/>
      <c r="N83" s="370"/>
      <c r="O83" s="370"/>
      <c r="P83" s="370"/>
    </row>
    <row r="84" spans="1:19" s="363" customFormat="1" x14ac:dyDescent="0.2">
      <c r="B84" s="370" t="s">
        <v>381</v>
      </c>
      <c r="C84" s="371">
        <v>13.19</v>
      </c>
      <c r="D84" s="372">
        <f>IF('&gt;Ordering NVL'!D82:E82&gt;0,4,0)</f>
        <v>4</v>
      </c>
      <c r="E84" s="362">
        <f t="shared" si="3"/>
        <v>52.76</v>
      </c>
      <c r="F84" s="370" t="s">
        <v>5</v>
      </c>
      <c r="G84" s="370"/>
      <c r="H84" s="370"/>
      <c r="I84" s="370"/>
      <c r="J84" s="370"/>
      <c r="K84" s="370"/>
      <c r="L84" s="370"/>
      <c r="M84" s="370"/>
      <c r="N84" s="370"/>
      <c r="O84" s="370"/>
      <c r="P84" s="370"/>
    </row>
    <row r="85" spans="1:19" s="363" customFormat="1" x14ac:dyDescent="0.2">
      <c r="B85" s="370" t="s">
        <v>382</v>
      </c>
      <c r="C85" s="371">
        <v>22</v>
      </c>
      <c r="D85" s="372">
        <f>'Data entry'!AK95</f>
        <v>0</v>
      </c>
      <c r="E85" s="362">
        <f t="shared" si="3"/>
        <v>0</v>
      </c>
      <c r="F85" s="370" t="s">
        <v>5</v>
      </c>
      <c r="G85" s="370"/>
      <c r="H85" s="370"/>
      <c r="I85" s="370"/>
      <c r="J85" s="370"/>
      <c r="K85" s="370"/>
      <c r="L85" s="370"/>
      <c r="M85" s="370"/>
      <c r="N85" s="370"/>
      <c r="O85" s="370"/>
      <c r="P85" s="370"/>
    </row>
    <row r="86" spans="1:19" s="363" customFormat="1" ht="13.5" thickBot="1" x14ac:dyDescent="0.25">
      <c r="A86" s="363" t="s">
        <v>383</v>
      </c>
      <c r="B86" s="370" t="s">
        <v>384</v>
      </c>
      <c r="C86" s="371">
        <v>14.07</v>
      </c>
      <c r="D86" s="372">
        <f>IF('&gt;Ordering NVL'!D84:E84&gt;0,7,0)</f>
        <v>0</v>
      </c>
      <c r="E86" s="362">
        <f t="shared" si="3"/>
        <v>0</v>
      </c>
      <c r="F86" s="370" t="s">
        <v>5</v>
      </c>
      <c r="G86" s="370"/>
      <c r="H86" s="370" t="s">
        <v>792</v>
      </c>
      <c r="I86" s="714" t="s">
        <v>793</v>
      </c>
      <c r="J86" s="370" t="s">
        <v>794</v>
      </c>
      <c r="K86" s="370" t="s">
        <v>445</v>
      </c>
      <c r="L86" s="370" t="s">
        <v>795</v>
      </c>
      <c r="M86" s="370"/>
      <c r="N86" s="370"/>
      <c r="O86" s="370"/>
      <c r="P86" s="370"/>
    </row>
    <row r="87" spans="1:19" s="363" customFormat="1" ht="13.5" thickBot="1" x14ac:dyDescent="0.25">
      <c r="B87" s="374" t="s">
        <v>385</v>
      </c>
      <c r="C87" s="371">
        <v>2.59</v>
      </c>
      <c r="D87" s="372">
        <f>IF('Data entry'!Q80="yes",1,0)</f>
        <v>1</v>
      </c>
      <c r="E87" s="362">
        <f t="shared" si="3"/>
        <v>2.59</v>
      </c>
      <c r="F87" s="580"/>
      <c r="G87" s="580"/>
      <c r="H87" s="580">
        <v>1617</v>
      </c>
      <c r="I87" s="370">
        <v>0</v>
      </c>
      <c r="J87" s="370">
        <v>0</v>
      </c>
      <c r="K87" s="370">
        <v>84</v>
      </c>
      <c r="L87" s="370">
        <v>33.5</v>
      </c>
      <c r="M87" s="678">
        <v>1734.5</v>
      </c>
      <c r="N87" s="370"/>
      <c r="O87" s="370"/>
      <c r="P87" s="370"/>
    </row>
    <row r="88" spans="1:19" s="363" customFormat="1" x14ac:dyDescent="0.2">
      <c r="B88" s="373" t="s">
        <v>386</v>
      </c>
      <c r="C88" s="371">
        <v>90.75</v>
      </c>
      <c r="D88" s="372">
        <f>SUM('Wall Materials'!E22*8/100)</f>
        <v>3.32</v>
      </c>
      <c r="E88" s="362">
        <f t="shared" si="3"/>
        <v>301.28999999999996</v>
      </c>
      <c r="F88" s="370"/>
      <c r="G88" s="370"/>
      <c r="H88" s="370"/>
      <c r="I88" s="370"/>
      <c r="J88" s="370"/>
      <c r="K88" s="370"/>
      <c r="L88" s="370"/>
      <c r="M88" s="370"/>
      <c r="N88" s="370"/>
      <c r="O88" s="370"/>
      <c r="P88" s="370"/>
    </row>
    <row r="89" spans="1:19" s="363" customFormat="1" x14ac:dyDescent="0.2">
      <c r="B89" s="373" t="s">
        <v>387</v>
      </c>
      <c r="C89" s="371"/>
      <c r="D89" s="372">
        <v>1</v>
      </c>
      <c r="E89" s="362">
        <f t="shared" si="3"/>
        <v>0</v>
      </c>
      <c r="F89" s="370" t="s">
        <v>5</v>
      </c>
      <c r="G89" t="s">
        <v>401</v>
      </c>
      <c r="H89" s="370"/>
      <c r="I89" s="370"/>
      <c r="J89" s="370"/>
      <c r="K89" s="370" t="s">
        <v>790</v>
      </c>
      <c r="L89" s="370" t="s">
        <v>791</v>
      </c>
      <c r="M89" s="370"/>
      <c r="N89" s="370"/>
      <c r="O89" s="370"/>
      <c r="P89" s="370"/>
    </row>
    <row r="90" spans="1:19" s="363" customFormat="1" x14ac:dyDescent="0.2">
      <c r="A90" s="363" t="s">
        <v>388</v>
      </c>
      <c r="B90" s="370" t="s">
        <v>389</v>
      </c>
      <c r="C90" s="371">
        <v>25.99</v>
      </c>
      <c r="D90" s="372">
        <f>IF('&gt;Ordering NVL'!D71:E71&gt;0,1,0)</f>
        <v>0</v>
      </c>
      <c r="E90" s="362">
        <f t="shared" si="3"/>
        <v>0</v>
      </c>
      <c r="F90" s="370" t="s">
        <v>5</v>
      </c>
      <c r="G90" s="370" t="s">
        <v>788</v>
      </c>
      <c r="H90" s="370" t="s">
        <v>787</v>
      </c>
      <c r="I90" s="370" t="s">
        <v>445</v>
      </c>
      <c r="J90" s="370" t="s">
        <v>789</v>
      </c>
      <c r="K90" s="676">
        <v>155</v>
      </c>
      <c r="L90" s="676">
        <v>225</v>
      </c>
      <c r="M90" s="370" t="s">
        <v>630</v>
      </c>
      <c r="N90" s="370"/>
      <c r="O90" s="370"/>
      <c r="P90" s="370"/>
    </row>
    <row r="91" spans="1:19" s="363" customFormat="1" x14ac:dyDescent="0.2">
      <c r="B91" s="370" t="s">
        <v>390</v>
      </c>
      <c r="C91" s="722">
        <v>28.15</v>
      </c>
      <c r="D91" s="723">
        <v>3</v>
      </c>
      <c r="E91" s="717">
        <f t="shared" si="3"/>
        <v>84.449999999999989</v>
      </c>
      <c r="F91" s="370" t="s">
        <v>5</v>
      </c>
      <c r="G91" s="676">
        <v>2421</v>
      </c>
      <c r="H91" s="677">
        <v>1617</v>
      </c>
      <c r="I91" s="677">
        <v>84</v>
      </c>
      <c r="J91" s="677">
        <v>33.5</v>
      </c>
      <c r="K91" s="675">
        <v>155</v>
      </c>
      <c r="L91" s="370"/>
      <c r="M91" s="674">
        <v>245</v>
      </c>
      <c r="N91" s="370"/>
      <c r="O91" s="370"/>
      <c r="P91" s="370"/>
    </row>
    <row r="92" spans="1:19" s="363" customFormat="1" x14ac:dyDescent="0.2">
      <c r="B92" s="370" t="s">
        <v>391</v>
      </c>
      <c r="C92" s="371">
        <v>2.27</v>
      </c>
      <c r="D92" s="372">
        <f>IF('&gt;Ordering NVL'!D73:E73&gt;0,1,0)</f>
        <v>0</v>
      </c>
      <c r="E92" s="362">
        <f t="shared" si="3"/>
        <v>0</v>
      </c>
      <c r="F92" s="370" t="s">
        <v>5</v>
      </c>
      <c r="G92" s="370"/>
      <c r="H92" s="370"/>
      <c r="I92" s="370"/>
      <c r="J92" s="370"/>
      <c r="K92" s="370"/>
      <c r="L92" s="370"/>
      <c r="M92" s="370"/>
      <c r="N92" s="370"/>
      <c r="O92" s="370"/>
      <c r="P92" s="370"/>
    </row>
    <row r="93" spans="1:19" s="363" customFormat="1" x14ac:dyDescent="0.2">
      <c r="B93" s="373" t="s">
        <v>392</v>
      </c>
      <c r="C93" s="371">
        <v>28.15</v>
      </c>
      <c r="D93" s="372">
        <f>IF('Order sheet #2'!E37&gt;0,1,0)</f>
        <v>0</v>
      </c>
      <c r="E93" s="362">
        <f t="shared" si="3"/>
        <v>0</v>
      </c>
      <c r="F93" s="370"/>
      <c r="G93" s="370"/>
      <c r="H93" s="370"/>
      <c r="I93" s="370"/>
      <c r="J93" s="370"/>
      <c r="K93" s="370"/>
      <c r="L93" s="370"/>
      <c r="M93" s="370"/>
      <c r="N93" s="370"/>
      <c r="O93" s="370"/>
      <c r="P93" s="370"/>
    </row>
    <row r="94" spans="1:19" s="363" customFormat="1" ht="13.5" thickBot="1" x14ac:dyDescent="0.25">
      <c r="B94" s="370"/>
      <c r="C94" s="371"/>
      <c r="D94" s="372"/>
      <c r="E94" s="362">
        <f t="shared" si="2"/>
        <v>0</v>
      </c>
      <c r="F94" s="370"/>
      <c r="G94" s="370"/>
      <c r="H94" s="370"/>
      <c r="I94" s="370" t="s">
        <v>765</v>
      </c>
      <c r="J94" s="370" t="s">
        <v>766</v>
      </c>
      <c r="K94" s="370" t="s">
        <v>763</v>
      </c>
      <c r="L94" s="370" t="s">
        <v>764</v>
      </c>
      <c r="M94" s="370"/>
      <c r="N94" s="370"/>
      <c r="O94" s="370"/>
      <c r="P94" s="370"/>
    </row>
    <row r="95" spans="1:19" s="363" customFormat="1" x14ac:dyDescent="0.2">
      <c r="A95" s="363" t="s">
        <v>393</v>
      </c>
      <c r="B95"/>
      <c r="C95" s="375">
        <f>IF(F3=20,N95,IF(F3=25,N96,IF(F3=30,N97,IF(F3=35,N98,IF(F3&gt;39,N99,0)))))</f>
        <v>5722.3</v>
      </c>
      <c r="D95" s="376">
        <v>1</v>
      </c>
      <c r="E95" s="362">
        <f t="shared" ref="E95:E102" si="4">SUM(C95*D95)</f>
        <v>5722.3</v>
      </c>
      <c r="F95" s="373"/>
      <c r="G95" s="377" t="s">
        <v>552</v>
      </c>
      <c r="H95" s="378" t="s">
        <v>395</v>
      </c>
      <c r="I95" s="379">
        <v>3493.8</v>
      </c>
      <c r="J95" s="651">
        <v>3465.3</v>
      </c>
      <c r="K95" s="659">
        <v>3178.8</v>
      </c>
      <c r="L95" s="655">
        <v>4927.3500000000004</v>
      </c>
      <c r="M95">
        <v>20</v>
      </c>
      <c r="N95" s="381">
        <f>IF('Data entry'!Q14="galv.",I95,IF('Data entry'!Q14="non metal",0,IF('Data entry'!Q14=0,0,J95)))</f>
        <v>3493.8</v>
      </c>
      <c r="O95" s="373"/>
      <c r="P95" s="373"/>
    </row>
    <row r="96" spans="1:19" s="363" customFormat="1" x14ac:dyDescent="0.2">
      <c r="A96" s="363" t="s">
        <v>396</v>
      </c>
      <c r="B96" t="s">
        <v>397</v>
      </c>
      <c r="C96" s="375"/>
      <c r="D96" s="376"/>
      <c r="E96" s="362">
        <f t="shared" si="4"/>
        <v>0</v>
      </c>
      <c r="F96" s="373"/>
      <c r="G96" s="382" t="s">
        <v>398</v>
      </c>
      <c r="H96" s="383" t="s">
        <v>395</v>
      </c>
      <c r="I96" s="384">
        <v>4633.3</v>
      </c>
      <c r="J96" s="652">
        <v>7650.85</v>
      </c>
      <c r="K96" s="660">
        <v>5012.3</v>
      </c>
      <c r="L96" s="656">
        <v>8278.2000000000007</v>
      </c>
      <c r="M96">
        <v>25</v>
      </c>
      <c r="N96" s="381">
        <f>IF('Data entry'!Q14="galv.",I96,IF('Data entry'!Q14="non metal",0,IF('Data entry'!Q14=0,0,J96)))</f>
        <v>4633.3</v>
      </c>
      <c r="O96" s="373"/>
      <c r="P96" s="585"/>
      <c r="Q96" s="373"/>
      <c r="R96" s="373"/>
      <c r="S96" s="373"/>
    </row>
    <row r="97" spans="1:18" s="363" customFormat="1" x14ac:dyDescent="0.2">
      <c r="A97" s="363" t="s">
        <v>399</v>
      </c>
      <c r="B97" t="str">
        <f>'Data entry'!Q77</f>
        <v>5'</v>
      </c>
      <c r="C97" s="375">
        <v>4.25</v>
      </c>
      <c r="D97" s="386">
        <f>IF('Data entry'!S13=6,72,IF('Data entry'!S13=8,96,IF('Data entry'!S13=10,120,IF('Data entry'!S13=12,132,0))))</f>
        <v>132</v>
      </c>
      <c r="E97" s="362">
        <f t="shared" si="4"/>
        <v>561</v>
      </c>
      <c r="F97" s="373"/>
      <c r="G97" s="387" t="s">
        <v>400</v>
      </c>
      <c r="H97" s="388" t="s">
        <v>395</v>
      </c>
      <c r="I97" s="389">
        <v>5722.3</v>
      </c>
      <c r="J97" s="653">
        <v>8122.75</v>
      </c>
      <c r="K97" s="661">
        <v>5366.4</v>
      </c>
      <c r="L97" s="657">
        <v>9910.7000000000007</v>
      </c>
      <c r="M97">
        <v>30</v>
      </c>
      <c r="N97" s="381">
        <f>IF('Data entry'!Q14="galv.",I97,IF('Data entry'!Q14="non metal",0,IF('Data entry'!Q14=0,0,J97)))</f>
        <v>5722.3</v>
      </c>
      <c r="O97" s="373"/>
      <c r="P97" s="373"/>
      <c r="Q97" s="373"/>
      <c r="R97" s="373"/>
    </row>
    <row r="98" spans="1:18" s="363" customFormat="1" x14ac:dyDescent="0.2">
      <c r="A98" s="363" t="s">
        <v>401</v>
      </c>
      <c r="B98" t="s">
        <v>402</v>
      </c>
      <c r="C98" s="375">
        <f>M87</f>
        <v>1734.5</v>
      </c>
      <c r="D98" s="376">
        <v>1</v>
      </c>
      <c r="E98" s="362">
        <f t="shared" si="4"/>
        <v>1734.5</v>
      </c>
      <c r="F98" s="373"/>
      <c r="G98" s="382" t="s">
        <v>403</v>
      </c>
      <c r="H98" s="383" t="s">
        <v>395</v>
      </c>
      <c r="I98" s="384">
        <v>6530.75</v>
      </c>
      <c r="J98" s="652">
        <v>11038.6</v>
      </c>
      <c r="K98" s="660">
        <v>6556.25</v>
      </c>
      <c r="L98" s="656">
        <v>13431.55</v>
      </c>
      <c r="M98">
        <v>35</v>
      </c>
      <c r="N98" s="381">
        <f>IF('Data entry'!Q14="galv.",I98,IF('Data entry'!Q14="non metal",0,IF('Data entry'!Q14=0,0,J98)))</f>
        <v>6530.75</v>
      </c>
      <c r="O98" s="373"/>
      <c r="P98" s="585"/>
      <c r="Q98" s="373"/>
      <c r="R98" s="373"/>
    </row>
    <row r="99" spans="1:18" s="363" customFormat="1" ht="13.5" thickBot="1" x14ac:dyDescent="0.25">
      <c r="A99" s="363" t="s">
        <v>404</v>
      </c>
      <c r="B99" s="373" t="str">
        <f>IF('Data entry'!Q80="yes",'&gt;Ring Pallert'!L14)</f>
        <v>5'</v>
      </c>
      <c r="C99" s="375">
        <f>IF(B99="5'",25,IF(B99="6'",35," "))</f>
        <v>25</v>
      </c>
      <c r="D99" s="376">
        <v>0</v>
      </c>
      <c r="E99" s="362">
        <f t="shared" si="4"/>
        <v>0</v>
      </c>
      <c r="F99" s="373"/>
      <c r="G99" s="391" t="s">
        <v>405</v>
      </c>
      <c r="H99" s="392" t="s">
        <v>395</v>
      </c>
      <c r="I99" s="393">
        <v>8594.5</v>
      </c>
      <c r="J99" s="654">
        <v>14124.85</v>
      </c>
      <c r="K99" s="662">
        <v>8444.2000000000007</v>
      </c>
      <c r="L99" s="658">
        <v>14902.15</v>
      </c>
      <c r="M99">
        <v>41</v>
      </c>
      <c r="N99" s="381">
        <f>IF('Data entry'!Q14="galv.",I99,IF('Data entry'!Q14="non metal",0,IF('Data entry'!Q14=0,0,J99)))</f>
        <v>8594.5</v>
      </c>
      <c r="O99" s="373"/>
      <c r="P99" s="373"/>
      <c r="Q99" s="373"/>
      <c r="R99" s="373"/>
    </row>
    <row r="100" spans="1:18" s="363" customFormat="1" x14ac:dyDescent="0.2">
      <c r="A100" t="s">
        <v>406</v>
      </c>
      <c r="B100" t="s">
        <v>407</v>
      </c>
      <c r="C100" s="715">
        <v>125</v>
      </c>
      <c r="D100" s="716">
        <f>SUM('&gt;Hardware List'!P47/300)</f>
        <v>0.78666666666666663</v>
      </c>
      <c r="E100" s="717">
        <f t="shared" si="4"/>
        <v>98.333333333333329</v>
      </c>
      <c r="F100" s="718" t="s">
        <v>5</v>
      </c>
      <c r="G100" s="373"/>
      <c r="H100" s="373"/>
      <c r="I100" s="373"/>
      <c r="J100" s="373"/>
      <c r="K100" s="373"/>
      <c r="L100" s="373"/>
      <c r="M100" s="373"/>
      <c r="N100" s="373"/>
      <c r="O100" s="373"/>
      <c r="P100" s="373"/>
    </row>
    <row r="101" spans="1:18" x14ac:dyDescent="0.2">
      <c r="C101" s="360"/>
      <c r="D101" s="361"/>
      <c r="E101" s="362">
        <f t="shared" si="4"/>
        <v>0</v>
      </c>
    </row>
    <row r="102" spans="1:18" x14ac:dyDescent="0.2">
      <c r="A102" t="s">
        <v>408</v>
      </c>
      <c r="C102" s="360"/>
      <c r="D102" s="361"/>
      <c r="E102" s="362">
        <f t="shared" si="4"/>
        <v>0</v>
      </c>
    </row>
    <row r="103" spans="1:18" ht="13.5" thickBot="1" x14ac:dyDescent="0.25">
      <c r="A103" t="s">
        <v>415</v>
      </c>
      <c r="B103" t="s">
        <v>830</v>
      </c>
      <c r="C103" s="360"/>
      <c r="D103" s="366"/>
      <c r="E103" s="665">
        <v>3217.37</v>
      </c>
    </row>
    <row r="104" spans="1:18" x14ac:dyDescent="0.2">
      <c r="B104" t="s">
        <v>768</v>
      </c>
      <c r="C104" s="360"/>
      <c r="D104" s="663"/>
      <c r="E104" s="664">
        <f>SUM(E7:E103)</f>
        <v>34735.334247395833</v>
      </c>
    </row>
    <row r="105" spans="1:18" ht="13.5" thickBot="1" x14ac:dyDescent="0.25">
      <c r="B105" t="s">
        <v>769</v>
      </c>
      <c r="C105" s="360"/>
      <c r="D105" s="663"/>
      <c r="E105" s="665">
        <f>SUM(E104*0.1)</f>
        <v>3473.5334247395836</v>
      </c>
    </row>
    <row r="106" spans="1:18" x14ac:dyDescent="0.2">
      <c r="B106" t="s">
        <v>423</v>
      </c>
      <c r="C106" s="360"/>
      <c r="D106" s="663"/>
      <c r="E106" s="664">
        <f>SUM(E104:E105)</f>
        <v>38208.867672135413</v>
      </c>
    </row>
    <row r="107" spans="1:18" x14ac:dyDescent="0.2">
      <c r="C107" s="396"/>
      <c r="D107" s="397"/>
      <c r="E107" s="398"/>
    </row>
    <row r="108" spans="1:18" x14ac:dyDescent="0.2">
      <c r="A108" t="s">
        <v>426</v>
      </c>
      <c r="B108" t="s">
        <v>427</v>
      </c>
      <c r="C108" s="360"/>
      <c r="D108" s="361"/>
      <c r="E108" s="362">
        <f>M124</f>
        <v>12930.485000000001</v>
      </c>
    </row>
    <row r="109" spans="1:18" x14ac:dyDescent="0.2">
      <c r="A109" t="s">
        <v>429</v>
      </c>
      <c r="B109" t="s">
        <v>430</v>
      </c>
      <c r="C109" s="360">
        <f>SUM(F109/21)</f>
        <v>300</v>
      </c>
      <c r="D109" s="361">
        <f>J110</f>
        <v>5.5</v>
      </c>
      <c r="E109" s="362">
        <f>SUM(C109*D109)</f>
        <v>1650</v>
      </c>
      <c r="F109" s="577">
        <v>6300</v>
      </c>
    </row>
    <row r="110" spans="1:18" x14ac:dyDescent="0.2">
      <c r="B110" t="s">
        <v>432</v>
      </c>
      <c r="C110" s="360">
        <v>5</v>
      </c>
      <c r="D110" s="361">
        <f>J110</f>
        <v>5.5</v>
      </c>
      <c r="E110" s="362">
        <f>SUM(C110*D110)</f>
        <v>27.5</v>
      </c>
      <c r="H110" s="725" t="s">
        <v>416</v>
      </c>
      <c r="I110" s="725"/>
      <c r="J110" s="395">
        <v>5.5</v>
      </c>
    </row>
    <row r="111" spans="1:18" x14ac:dyDescent="0.2">
      <c r="B111" t="s">
        <v>434</v>
      </c>
      <c r="C111" s="360">
        <v>10</v>
      </c>
      <c r="D111" s="361">
        <f>$J$110</f>
        <v>5.5</v>
      </c>
      <c r="E111" s="360">
        <f>(D111*C111)</f>
        <v>55</v>
      </c>
      <c r="K111" t="s">
        <v>417</v>
      </c>
    </row>
    <row r="112" spans="1:18" x14ac:dyDescent="0.2">
      <c r="B112" t="s">
        <v>436</v>
      </c>
      <c r="C112" s="360">
        <v>11</v>
      </c>
      <c r="D112" s="361">
        <f t="shared" ref="D112:D115" si="5">$J$110</f>
        <v>5.5</v>
      </c>
      <c r="E112" s="360">
        <f t="shared" ref="E112:E115" si="6">(D112*C112)</f>
        <v>60.5</v>
      </c>
      <c r="I112" t="s">
        <v>418</v>
      </c>
      <c r="J112" t="s">
        <v>419</v>
      </c>
      <c r="K112" t="s">
        <v>420</v>
      </c>
      <c r="L112" t="s">
        <v>421</v>
      </c>
    </row>
    <row r="113" spans="2:22" x14ac:dyDescent="0.2">
      <c r="B113" t="s">
        <v>437</v>
      </c>
      <c r="C113" s="360">
        <v>75</v>
      </c>
      <c r="D113" s="361">
        <f t="shared" si="5"/>
        <v>5.5</v>
      </c>
      <c r="E113" s="360">
        <f t="shared" si="6"/>
        <v>412.5</v>
      </c>
      <c r="H113" t="s">
        <v>422</v>
      </c>
      <c r="I113">
        <v>72</v>
      </c>
      <c r="J113">
        <v>5.76</v>
      </c>
      <c r="L113">
        <f>SUM(J110*8)</f>
        <v>44</v>
      </c>
      <c r="M113" s="381">
        <f>SUM((I113+JI113)*(K113+L113))</f>
        <v>3168</v>
      </c>
      <c r="V113" s="726"/>
    </row>
    <row r="114" spans="2:22" x14ac:dyDescent="0.2">
      <c r="B114" t="s">
        <v>438</v>
      </c>
      <c r="C114" s="360">
        <v>50</v>
      </c>
      <c r="D114" s="361">
        <f t="shared" si="5"/>
        <v>5.5</v>
      </c>
      <c r="E114" s="360">
        <f t="shared" si="6"/>
        <v>275</v>
      </c>
      <c r="H114" t="s">
        <v>825</v>
      </c>
      <c r="I114">
        <v>80</v>
      </c>
      <c r="L114">
        <v>12</v>
      </c>
      <c r="M114" s="381">
        <f t="shared" ref="M114:M123" si="7">SUM((I114+JI114)*(K114+L114))</f>
        <v>960</v>
      </c>
      <c r="V114" s="726"/>
    </row>
    <row r="115" spans="2:22" ht="13.5" thickBot="1" x14ac:dyDescent="0.25">
      <c r="B115" t="s">
        <v>439</v>
      </c>
      <c r="C115" s="360">
        <v>100</v>
      </c>
      <c r="D115" s="361">
        <f t="shared" si="5"/>
        <v>5.5</v>
      </c>
      <c r="E115" s="666">
        <f t="shared" si="6"/>
        <v>550</v>
      </c>
      <c r="H115" t="s">
        <v>425</v>
      </c>
      <c r="I115">
        <v>38.340000000000003</v>
      </c>
      <c r="J115">
        <v>3.0672000000000001</v>
      </c>
      <c r="K115" s="395">
        <v>33.75</v>
      </c>
      <c r="L115">
        <v>14</v>
      </c>
      <c r="M115" s="381">
        <f t="shared" si="7"/>
        <v>1830.7350000000001</v>
      </c>
      <c r="V115" s="726"/>
    </row>
    <row r="116" spans="2:22" x14ac:dyDescent="0.2">
      <c r="B116" t="s">
        <v>441</v>
      </c>
      <c r="C116" s="360"/>
      <c r="D116" s="361"/>
      <c r="E116" s="667">
        <f>SUM(E108:E115)</f>
        <v>15960.985000000001</v>
      </c>
      <c r="F116" s="381"/>
      <c r="H116" t="s">
        <v>428</v>
      </c>
      <c r="I116">
        <v>32</v>
      </c>
      <c r="J116">
        <v>2.56</v>
      </c>
      <c r="K116" s="395">
        <v>0</v>
      </c>
      <c r="L116">
        <v>36</v>
      </c>
      <c r="M116" s="381">
        <f t="shared" si="7"/>
        <v>1152</v>
      </c>
      <c r="V116" s="726"/>
    </row>
    <row r="117" spans="2:22" ht="13.5" thickBot="1" x14ac:dyDescent="0.25">
      <c r="B117" t="s">
        <v>770</v>
      </c>
      <c r="C117" s="360"/>
      <c r="D117" s="361"/>
      <c r="E117" s="666">
        <f>SUM(E108:E115)*0.1</f>
        <v>1596.0985000000001</v>
      </c>
      <c r="H117" t="s">
        <v>767</v>
      </c>
      <c r="K117" s="395"/>
      <c r="M117" s="381">
        <f>SUM(E134*0.0025)</f>
        <v>182.25</v>
      </c>
      <c r="V117" s="726"/>
    </row>
    <row r="118" spans="2:22" x14ac:dyDescent="0.2">
      <c r="B118" t="s">
        <v>441</v>
      </c>
      <c r="C118" s="400"/>
      <c r="D118" s="401"/>
      <c r="E118" s="402">
        <f>SUM(E116+E117)</f>
        <v>17557.083500000001</v>
      </c>
      <c r="H118" t="s">
        <v>826</v>
      </c>
      <c r="I118">
        <v>23.5</v>
      </c>
      <c r="J118">
        <v>1.88</v>
      </c>
      <c r="K118">
        <f>SUM($J$110*7.5)</f>
        <v>41.25</v>
      </c>
      <c r="M118" s="381">
        <f t="shared" si="7"/>
        <v>969.375</v>
      </c>
      <c r="V118" s="726"/>
    </row>
    <row r="119" spans="2:22" x14ac:dyDescent="0.2">
      <c r="C119" s="403"/>
      <c r="D119" s="365"/>
      <c r="E119" s="404"/>
      <c r="H119" t="s">
        <v>827</v>
      </c>
      <c r="I119">
        <v>25.5</v>
      </c>
      <c r="J119">
        <v>2.04</v>
      </c>
      <c r="K119">
        <f t="shared" ref="K119:K122" si="8">SUM($J$110*7.5)</f>
        <v>41.25</v>
      </c>
      <c r="M119" s="381">
        <f t="shared" si="7"/>
        <v>1051.875</v>
      </c>
      <c r="V119" s="726"/>
    </row>
    <row r="120" spans="2:22" x14ac:dyDescent="0.2">
      <c r="B120" t="s">
        <v>442</v>
      </c>
      <c r="C120" s="403"/>
      <c r="D120" s="365"/>
      <c r="E120" s="405"/>
      <c r="H120" t="s">
        <v>762</v>
      </c>
      <c r="I120">
        <v>35.5</v>
      </c>
      <c r="J120">
        <v>2.84</v>
      </c>
      <c r="K120">
        <f t="shared" si="8"/>
        <v>41.25</v>
      </c>
      <c r="M120" s="381">
        <f t="shared" si="7"/>
        <v>1464.375</v>
      </c>
      <c r="V120" s="726"/>
    </row>
    <row r="121" spans="2:22" x14ac:dyDescent="0.2">
      <c r="B121" t="s">
        <v>443</v>
      </c>
      <c r="C121" s="403"/>
      <c r="D121" s="365"/>
      <c r="E121" s="405"/>
      <c r="H121" t="s">
        <v>761</v>
      </c>
      <c r="I121">
        <v>30</v>
      </c>
      <c r="J121">
        <v>2.4</v>
      </c>
      <c r="K121">
        <v>20</v>
      </c>
      <c r="M121" s="381">
        <f t="shared" si="7"/>
        <v>600</v>
      </c>
      <c r="V121" s="726"/>
    </row>
    <row r="122" spans="2:22" x14ac:dyDescent="0.2">
      <c r="B122" t="s">
        <v>444</v>
      </c>
      <c r="C122" s="403"/>
      <c r="D122" s="365"/>
      <c r="E122" s="405">
        <v>2100</v>
      </c>
      <c r="H122" t="s">
        <v>828</v>
      </c>
      <c r="I122">
        <v>25.5</v>
      </c>
      <c r="J122">
        <v>2.04</v>
      </c>
      <c r="K122">
        <f t="shared" si="8"/>
        <v>41.25</v>
      </c>
      <c r="M122" s="381">
        <f t="shared" si="7"/>
        <v>1051.875</v>
      </c>
      <c r="V122" s="726"/>
    </row>
    <row r="123" spans="2:22" x14ac:dyDescent="0.2">
      <c r="B123" t="s">
        <v>445</v>
      </c>
      <c r="C123" s="403"/>
      <c r="D123" s="365"/>
      <c r="E123" s="405">
        <v>8000</v>
      </c>
      <c r="H123" t="s">
        <v>829</v>
      </c>
      <c r="I123">
        <v>25</v>
      </c>
      <c r="J123">
        <v>2</v>
      </c>
      <c r="K123">
        <v>0</v>
      </c>
      <c r="L123">
        <v>20</v>
      </c>
      <c r="M123" s="381">
        <f t="shared" si="7"/>
        <v>500</v>
      </c>
      <c r="V123" s="726"/>
    </row>
    <row r="124" spans="2:22" x14ac:dyDescent="0.2">
      <c r="B124" t="s">
        <v>446</v>
      </c>
      <c r="C124" s="403"/>
      <c r="D124" s="365"/>
      <c r="E124" s="727">
        <f>SUM(E120:E123)</f>
        <v>10100</v>
      </c>
      <c r="M124" s="399">
        <f>SUM(M113:M123)</f>
        <v>12930.485000000001</v>
      </c>
      <c r="V124" s="726"/>
    </row>
    <row r="127" spans="2:22" x14ac:dyDescent="0.2">
      <c r="B127" t="s">
        <v>447</v>
      </c>
      <c r="E127" s="381">
        <f>SUM(E106+E118+E124)*1.1</f>
        <v>72452.546289348975</v>
      </c>
    </row>
    <row r="128" spans="2:22" x14ac:dyDescent="0.2">
      <c r="F128" s="381">
        <f>SUM((C3+C4)-E127)</f>
        <v>10547.453710651025</v>
      </c>
    </row>
    <row r="129" spans="4:13" x14ac:dyDescent="0.2">
      <c r="D129" t="s">
        <v>448</v>
      </c>
      <c r="F129" s="579">
        <f>SUM(F128/(C3+C4))</f>
        <v>0.12707775555001236</v>
      </c>
    </row>
    <row r="130" spans="4:13" x14ac:dyDescent="0.2">
      <c r="D130" t="s">
        <v>672</v>
      </c>
      <c r="M130" t="s">
        <v>552</v>
      </c>
    </row>
    <row r="133" spans="4:13" ht="13.5" thickBot="1" x14ac:dyDescent="0.25"/>
    <row r="134" spans="4:13" ht="39" thickBot="1" x14ac:dyDescent="0.25">
      <c r="D134" s="668" t="s">
        <v>771</v>
      </c>
      <c r="E134" s="669">
        <f>SUM((C3+C4)-E124)</f>
        <v>72900</v>
      </c>
    </row>
  </sheetData>
  <sheetProtection selectLockedCells="1" selectUnlockedCells="1"/>
  <mergeCells count="1">
    <mergeCell ref="H60:N60"/>
  </mergeCells>
  <pageMargins left="0.7" right="0.7" top="0.75" bottom="0.75" header="0.51180555555555551" footer="0.51180555555555551"/>
  <pageSetup firstPageNumber="0" orientation="portrait" horizontalDpi="300" verticalDpi="30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B121"/>
  <sheetViews>
    <sheetView topLeftCell="A19" zoomScale="80" zoomScaleNormal="80" workbookViewId="0">
      <selection activeCell="AH66" sqref="A27:AH66"/>
    </sheetView>
  </sheetViews>
  <sheetFormatPr defaultColWidth="11.5703125" defaultRowHeight="12.75" x14ac:dyDescent="0.2"/>
  <cols>
    <col min="1" max="8" width="3.42578125" style="18" customWidth="1"/>
    <col min="9" max="9" width="3" style="18" customWidth="1"/>
    <col min="10" max="10" width="3.42578125" style="18" customWidth="1"/>
    <col min="11" max="11" width="4.140625" style="18" customWidth="1"/>
    <col min="12" max="14" width="3.42578125" style="18" customWidth="1"/>
    <col min="15" max="15" width="10.7109375" style="18" customWidth="1"/>
    <col min="16" max="20" width="3.42578125" style="18" customWidth="1"/>
    <col min="21" max="21" width="4.140625" style="18" customWidth="1"/>
    <col min="22" max="22" width="12.28515625" style="18" customWidth="1"/>
    <col min="23" max="33" width="3.42578125" style="18" customWidth="1"/>
    <col min="34" max="35" width="11.5703125" style="18"/>
    <col min="36" max="36" width="28.85546875" style="18" customWidth="1"/>
    <col min="37" max="39" width="11.5703125" style="18"/>
    <col min="40" max="40" width="10.140625" style="18" customWidth="1"/>
    <col min="41" max="41" width="8.7109375" style="18" customWidth="1"/>
    <col min="42" max="42" width="11.5703125" style="18"/>
    <col min="43" max="43" width="5.42578125" style="18" customWidth="1"/>
    <col min="44" max="44" width="11.85546875" style="18" customWidth="1"/>
    <col min="45" max="45" width="8.28515625" style="18" customWidth="1"/>
    <col min="46" max="46" width="8.7109375" style="18" customWidth="1"/>
    <col min="47" max="47" width="8.28515625" style="18" customWidth="1"/>
    <col min="48" max="48" width="11.5703125" style="18"/>
    <col min="49" max="49" width="7.42578125" style="18" customWidth="1"/>
    <col min="50" max="16384" width="11.5703125" style="18"/>
  </cols>
  <sheetData>
    <row r="2" spans="1:54" ht="23.25" x14ac:dyDescent="0.35">
      <c r="Q2" s="193" t="s">
        <v>204</v>
      </c>
      <c r="R2" s="193"/>
      <c r="S2" s="193"/>
      <c r="T2" s="193"/>
      <c r="U2" s="193"/>
      <c r="V2" s="193"/>
      <c r="W2" s="193"/>
      <c r="X2" s="193"/>
      <c r="Y2" s="193"/>
      <c r="Z2" s="193"/>
    </row>
    <row r="4" spans="1:54" ht="25.5" x14ac:dyDescent="0.35">
      <c r="D4" s="194" t="s">
        <v>205</v>
      </c>
      <c r="E4" s="194"/>
      <c r="F4" s="194"/>
      <c r="G4" s="194"/>
      <c r="H4" s="194"/>
      <c r="I4" s="194"/>
      <c r="J4" s="194"/>
      <c r="K4" s="194"/>
      <c r="L4" s="957" t="str">
        <f>'Data entry'!L2:R2</f>
        <v>Phillips</v>
      </c>
      <c r="M4" s="957"/>
      <c r="N4" s="957"/>
      <c r="O4" s="957"/>
      <c r="P4" s="957"/>
      <c r="Q4" s="957"/>
      <c r="R4" s="195"/>
      <c r="S4" s="195"/>
      <c r="T4" s="195"/>
      <c r="V4" s="196" t="s">
        <v>2</v>
      </c>
      <c r="W4" s="196"/>
      <c r="X4" s="196"/>
      <c r="Y4" s="196"/>
      <c r="Z4" s="196"/>
      <c r="AA4" s="196"/>
      <c r="AC4" s="1324">
        <f>J27</f>
        <v>30</v>
      </c>
      <c r="AD4" s="1324"/>
      <c r="AE4" s="1324"/>
    </row>
    <row r="7" spans="1:54" ht="25.5" x14ac:dyDescent="0.35">
      <c r="P7" s="1325" t="s">
        <v>206</v>
      </c>
      <c r="Q7" s="1325"/>
      <c r="R7" s="1325"/>
      <c r="S7" s="1325"/>
      <c r="T7" s="1325"/>
      <c r="U7" s="1325"/>
      <c r="V7" s="1325"/>
      <c r="W7" s="1325"/>
      <c r="X7" s="1325"/>
      <c r="Y7" s="1325"/>
      <c r="Z7" s="1325"/>
      <c r="AN7" s="197" t="str">
        <f>IF('Data entry'!S$13=8,AP10,IF('Data entry'!$S$13=10,AP11,IF('Data entry'!$S$13=12,AP12)))</f>
        <v>10'</v>
      </c>
      <c r="AT7" s="197">
        <f>IF('Data entry'!Y$13=8,AV10,IF('Data entry'!$S$13=10,AV11,IF('Data entry'!$S$13=12,AV12)))</f>
        <v>14</v>
      </c>
      <c r="AW7" s="198"/>
      <c r="AZ7" s="197">
        <f>IF('Data entry'!AE$13=8,BB10,IF('Data entry'!$S$13=10,BB11,IF('Data entry'!$S$13=12,BB12)))</f>
        <v>10</v>
      </c>
    </row>
    <row r="8" spans="1:54" ht="26.85" customHeight="1" x14ac:dyDescent="0.35">
      <c r="A8" s="199"/>
      <c r="B8" s="199"/>
      <c r="C8" s="199"/>
      <c r="D8" s="199"/>
      <c r="E8" s="199"/>
      <c r="F8" s="199"/>
      <c r="G8" s="199"/>
      <c r="H8" s="199"/>
      <c r="I8" s="199"/>
      <c r="J8" s="199"/>
      <c r="K8" s="199"/>
      <c r="L8" s="199"/>
      <c r="P8" s="200"/>
      <c r="S8" s="201"/>
      <c r="AL8" s="1311" t="s">
        <v>207</v>
      </c>
      <c r="AM8" s="1311"/>
      <c r="AN8" s="12"/>
      <c r="AO8" s="202">
        <v>2</v>
      </c>
      <c r="AP8" s="203" t="s">
        <v>208</v>
      </c>
      <c r="AR8" s="1311" t="s">
        <v>209</v>
      </c>
      <c r="AS8" s="1311"/>
      <c r="AT8" s="204"/>
      <c r="AU8" s="202">
        <v>4</v>
      </c>
      <c r="AV8" s="203" t="s">
        <v>208</v>
      </c>
      <c r="AX8" s="1311" t="s">
        <v>210</v>
      </c>
      <c r="AY8" s="1311"/>
      <c r="AZ8" s="204"/>
      <c r="BA8" s="202">
        <v>4</v>
      </c>
      <c r="BB8" s="203" t="s">
        <v>208</v>
      </c>
    </row>
    <row r="9" spans="1:54" ht="18.95" customHeight="1" x14ac:dyDescent="0.3">
      <c r="A9" s="199"/>
      <c r="B9" s="199"/>
      <c r="C9" s="199"/>
      <c r="D9" s="199"/>
      <c r="E9" s="199"/>
      <c r="F9" s="199"/>
      <c r="G9" s="199"/>
      <c r="H9" s="199"/>
      <c r="I9" s="199"/>
      <c r="J9" s="199"/>
      <c r="K9" s="199"/>
      <c r="M9" s="1326" t="s">
        <v>211</v>
      </c>
      <c r="N9" s="1326"/>
      <c r="O9" s="1326"/>
      <c r="P9" s="1326"/>
      <c r="S9" s="1326" t="s">
        <v>212</v>
      </c>
      <c r="T9" s="1326"/>
      <c r="U9" s="1326"/>
      <c r="V9" s="1326"/>
      <c r="X9" s="1326" t="s">
        <v>213</v>
      </c>
      <c r="Y9" s="1326"/>
      <c r="Z9" s="1326"/>
      <c r="AA9" s="1326"/>
      <c r="AC9" s="1093" t="s">
        <v>214</v>
      </c>
      <c r="AD9" s="1093"/>
      <c r="AE9" s="1093"/>
      <c r="AF9" s="1093"/>
      <c r="AL9" s="205"/>
      <c r="AM9" s="206"/>
      <c r="AN9" s="12"/>
      <c r="AO9" s="9"/>
      <c r="AP9" s="207"/>
      <c r="AR9" s="205"/>
      <c r="AS9" s="206"/>
      <c r="AT9" s="12"/>
      <c r="AU9" s="207"/>
      <c r="AV9" s="207"/>
      <c r="AX9" s="205"/>
      <c r="AY9" s="206"/>
      <c r="AZ9" s="12"/>
      <c r="BA9" s="207"/>
      <c r="BB9" s="207"/>
    </row>
    <row r="10" spans="1:54" ht="31.9" customHeight="1" x14ac:dyDescent="0.25">
      <c r="A10" s="199"/>
      <c r="B10" s="199"/>
      <c r="C10" s="199"/>
      <c r="D10" s="199"/>
      <c r="E10" s="199"/>
      <c r="F10" s="199"/>
      <c r="G10" s="199"/>
      <c r="H10" s="199"/>
      <c r="I10" s="199"/>
      <c r="J10" s="199"/>
      <c r="K10" s="199"/>
      <c r="Y10" s="1327" t="s">
        <v>215</v>
      </c>
      <c r="Z10" s="1327"/>
      <c r="AD10" s="1327" t="s">
        <v>215</v>
      </c>
      <c r="AE10" s="1327"/>
      <c r="AL10" s="1320" t="s">
        <v>216</v>
      </c>
      <c r="AM10" s="1320"/>
      <c r="AN10" s="208" t="s">
        <v>217</v>
      </c>
      <c r="AO10" s="209">
        <v>1</v>
      </c>
      <c r="AP10" s="210" t="s">
        <v>203</v>
      </c>
      <c r="AR10" s="1320" t="s">
        <v>216</v>
      </c>
      <c r="AS10" s="1320"/>
      <c r="AT10" s="208" t="s">
        <v>217</v>
      </c>
      <c r="AU10" s="209">
        <v>1</v>
      </c>
      <c r="AV10" s="210">
        <v>10</v>
      </c>
      <c r="AX10" s="1320" t="s">
        <v>216</v>
      </c>
      <c r="AY10" s="1320"/>
    </row>
    <row r="11" spans="1:54" ht="25.9" customHeight="1" x14ac:dyDescent="0.25">
      <c r="A11" s="199"/>
      <c r="B11" s="1299" t="s">
        <v>218</v>
      </c>
      <c r="C11" s="1299"/>
      <c r="D11" s="1299"/>
      <c r="E11" s="1299"/>
      <c r="F11" s="1299"/>
      <c r="G11" s="1299"/>
      <c r="H11" s="1299"/>
      <c r="I11" s="1299"/>
      <c r="J11" s="1299"/>
      <c r="K11" s="199"/>
      <c r="M11" s="906" t="str">
        <f>IF(AC4&gt;25,"4",2)</f>
        <v>4</v>
      </c>
      <c r="N11" s="906"/>
      <c r="O11" s="906"/>
      <c r="P11" s="906"/>
      <c r="R11" s="211">
        <v>2</v>
      </c>
      <c r="S11" s="212" t="s">
        <v>5</v>
      </c>
      <c r="T11" s="212">
        <v>4</v>
      </c>
      <c r="U11" s="212" t="s">
        <v>5</v>
      </c>
      <c r="V11" s="213">
        <v>8</v>
      </c>
      <c r="X11" s="856"/>
      <c r="Y11" s="856"/>
      <c r="Z11" s="856"/>
      <c r="AA11" s="856"/>
      <c r="AC11" s="856"/>
      <c r="AD11" s="856"/>
      <c r="AE11" s="856"/>
      <c r="AF11" s="856"/>
      <c r="AL11" s="1312" t="s">
        <v>219</v>
      </c>
      <c r="AM11" s="1312"/>
      <c r="AN11" s="208" t="s">
        <v>220</v>
      </c>
      <c r="AO11" s="214">
        <v>1</v>
      </c>
      <c r="AP11" s="215" t="s">
        <v>203</v>
      </c>
      <c r="AR11" s="1312" t="s">
        <v>219</v>
      </c>
      <c r="AS11" s="1312"/>
      <c r="AT11" s="208" t="s">
        <v>220</v>
      </c>
      <c r="AU11" s="214">
        <v>1</v>
      </c>
      <c r="AV11" s="215">
        <v>12</v>
      </c>
      <c r="AX11" s="1312" t="s">
        <v>219</v>
      </c>
      <c r="AY11" s="1312"/>
      <c r="AZ11" s="208" t="s">
        <v>220</v>
      </c>
      <c r="BA11" s="209">
        <v>4</v>
      </c>
      <c r="BB11" s="216">
        <v>8</v>
      </c>
    </row>
    <row r="12" spans="1:54" ht="26.85" customHeight="1" x14ac:dyDescent="0.25">
      <c r="A12" s="199"/>
      <c r="B12" s="199"/>
      <c r="C12" s="199"/>
      <c r="D12" s="199"/>
      <c r="E12" s="199"/>
      <c r="F12" s="199"/>
      <c r="G12" s="199"/>
      <c r="H12" s="199"/>
      <c r="I12" s="199"/>
      <c r="J12" s="199"/>
      <c r="K12" s="199"/>
      <c r="R12" s="217"/>
      <c r="S12" s="218"/>
      <c r="T12" s="218"/>
      <c r="U12" s="218"/>
      <c r="V12" s="219"/>
      <c r="AL12" s="220"/>
      <c r="AM12" s="220"/>
      <c r="AN12" s="208" t="s">
        <v>221</v>
      </c>
      <c r="AO12" s="221">
        <v>1</v>
      </c>
      <c r="AP12" s="222" t="s">
        <v>201</v>
      </c>
      <c r="AR12" s="220"/>
      <c r="AS12" s="220"/>
      <c r="AT12" s="208" t="s">
        <v>221</v>
      </c>
      <c r="AU12" s="221">
        <v>1</v>
      </c>
      <c r="AV12" s="222">
        <v>14</v>
      </c>
      <c r="AX12" s="220"/>
      <c r="AY12" s="220"/>
      <c r="AZ12" s="208" t="s">
        <v>221</v>
      </c>
      <c r="BA12" s="221">
        <v>4</v>
      </c>
      <c r="BB12" s="222">
        <v>10</v>
      </c>
    </row>
    <row r="13" spans="1:54" ht="26.85" customHeight="1" x14ac:dyDescent="0.3">
      <c r="A13" s="199"/>
      <c r="B13" s="1299" t="s">
        <v>222</v>
      </c>
      <c r="C13" s="1299"/>
      <c r="D13" s="1299"/>
      <c r="E13" s="1299"/>
      <c r="F13" s="1299"/>
      <c r="G13" s="1299"/>
      <c r="H13" s="1299"/>
      <c r="I13" s="1299"/>
      <c r="J13" s="1299"/>
      <c r="K13" s="199"/>
      <c r="M13" s="906" t="str">
        <f>IF(AC4&gt;35,"2","1")</f>
        <v>1</v>
      </c>
      <c r="N13" s="906"/>
      <c r="O13" s="906"/>
      <c r="P13" s="906"/>
      <c r="R13" s="211">
        <v>2</v>
      </c>
      <c r="S13" s="212" t="s">
        <v>5</v>
      </c>
      <c r="T13" s="212">
        <v>4</v>
      </c>
      <c r="U13" s="212" t="s">
        <v>5</v>
      </c>
      <c r="V13" s="213">
        <f>IF(AC4=20,AN7,IF(AC4=25,AP29,IF(AC4=30,AT7,IF(AC4=35,AT24,IF(AC4=41,AZ7)))))</f>
        <v>14</v>
      </c>
      <c r="X13" s="856"/>
      <c r="Y13" s="856"/>
      <c r="Z13" s="856"/>
      <c r="AA13" s="856"/>
      <c r="AC13" s="856"/>
      <c r="AD13" s="856"/>
      <c r="AE13" s="856"/>
      <c r="AF13" s="856"/>
      <c r="AL13" s="223"/>
      <c r="AM13" s="223"/>
      <c r="AN13" s="224"/>
      <c r="AO13" s="207"/>
      <c r="AP13" s="9"/>
      <c r="AR13" s="205"/>
      <c r="AS13" s="205"/>
      <c r="AT13" s="224"/>
      <c r="AU13" s="207"/>
      <c r="AV13" s="9"/>
      <c r="AZ13" s="224"/>
      <c r="BA13" s="207"/>
      <c r="BB13" s="9"/>
    </row>
    <row r="14" spans="1:54" ht="19.5" x14ac:dyDescent="0.3">
      <c r="A14" s="199"/>
      <c r="B14" s="199"/>
      <c r="C14" s="199"/>
      <c r="D14" s="199"/>
      <c r="E14" s="199"/>
      <c r="F14" s="199"/>
      <c r="G14" s="199"/>
      <c r="H14" s="199"/>
      <c r="I14" s="199"/>
      <c r="J14" s="199"/>
      <c r="K14" s="199"/>
      <c r="R14" s="217"/>
      <c r="S14" s="218"/>
      <c r="T14" s="218"/>
      <c r="U14" s="218"/>
      <c r="V14" s="219"/>
      <c r="AL14" s="1313" t="s">
        <v>223</v>
      </c>
      <c r="AM14" s="1313"/>
      <c r="AN14" s="224"/>
      <c r="AO14" s="226">
        <v>1</v>
      </c>
      <c r="AP14" s="227" t="s">
        <v>224</v>
      </c>
      <c r="AR14" s="1314" t="s">
        <v>223</v>
      </c>
      <c r="AS14" s="1314"/>
      <c r="AT14" s="224"/>
      <c r="AU14" s="226">
        <v>1</v>
      </c>
      <c r="AV14" s="227" t="s">
        <v>224</v>
      </c>
      <c r="AX14" s="1314" t="s">
        <v>223</v>
      </c>
      <c r="AY14" s="1314"/>
      <c r="AZ14" s="224"/>
      <c r="BA14" s="226">
        <v>1</v>
      </c>
      <c r="BB14" s="227" t="s">
        <v>224</v>
      </c>
    </row>
    <row r="15" spans="1:54" ht="20.25" thickBot="1" x14ac:dyDescent="0.35">
      <c r="A15" s="199"/>
      <c r="B15" s="1299" t="s">
        <v>225</v>
      </c>
      <c r="C15" s="1299"/>
      <c r="D15" s="1299"/>
      <c r="E15" s="1299"/>
      <c r="F15" s="1299"/>
      <c r="G15" s="1299"/>
      <c r="H15" s="1299"/>
      <c r="I15" s="1299"/>
      <c r="J15" s="1299"/>
      <c r="K15" s="199"/>
      <c r="M15" s="1323">
        <v>1</v>
      </c>
      <c r="N15" s="1323"/>
      <c r="O15" s="1323"/>
      <c r="P15" s="1323"/>
      <c r="R15" s="228">
        <v>2</v>
      </c>
      <c r="S15" s="229" t="s">
        <v>5</v>
      </c>
      <c r="T15" s="229">
        <v>4</v>
      </c>
      <c r="U15" s="229" t="s">
        <v>5</v>
      </c>
      <c r="V15" s="230">
        <v>10</v>
      </c>
      <c r="X15" s="856"/>
      <c r="Y15" s="856"/>
      <c r="Z15" s="856"/>
      <c r="AA15" s="856"/>
      <c r="AC15" s="856"/>
      <c r="AD15" s="856"/>
      <c r="AE15" s="856"/>
      <c r="AF15" s="856"/>
      <c r="AL15" s="1313" t="s">
        <v>226</v>
      </c>
      <c r="AM15" s="1313"/>
      <c r="AN15" s="224"/>
      <c r="AO15" s="231">
        <v>1</v>
      </c>
      <c r="AP15" s="232" t="s">
        <v>227</v>
      </c>
      <c r="AR15" s="1314" t="s">
        <v>226</v>
      </c>
      <c r="AS15" s="1314"/>
      <c r="AT15" s="224"/>
      <c r="AU15" s="231">
        <v>1</v>
      </c>
      <c r="AV15" s="232" t="s">
        <v>227</v>
      </c>
      <c r="AX15" s="1314" t="s">
        <v>226</v>
      </c>
      <c r="AY15" s="1314"/>
      <c r="AZ15" s="224"/>
      <c r="BA15" s="231">
        <v>1</v>
      </c>
      <c r="BB15" s="232" t="s">
        <v>228</v>
      </c>
    </row>
    <row r="16" spans="1:54" ht="20.25" thickBot="1" x14ac:dyDescent="0.35">
      <c r="A16" s="199"/>
      <c r="B16" s="1299" t="s">
        <v>226</v>
      </c>
      <c r="C16" s="1299"/>
      <c r="D16" s="1299"/>
      <c r="E16" s="1299"/>
      <c r="F16" s="1299"/>
      <c r="G16" s="1299"/>
      <c r="H16" s="1299"/>
      <c r="I16" s="1299"/>
      <c r="J16" s="1299"/>
      <c r="K16" s="199"/>
      <c r="M16" s="1322">
        <f>IF('Data entry'!Y44="yes",2,1)</f>
        <v>1</v>
      </c>
      <c r="N16" s="1322"/>
      <c r="O16" s="1322"/>
      <c r="P16" s="1322"/>
      <c r="R16" s="582">
        <v>2</v>
      </c>
      <c r="S16" s="583" t="s">
        <v>5</v>
      </c>
      <c r="T16" s="583">
        <v>4</v>
      </c>
      <c r="U16" s="583" t="s">
        <v>5</v>
      </c>
      <c r="V16" s="584" t="str">
        <f>IF(AC4=41,"16","12")</f>
        <v>12</v>
      </c>
      <c r="X16" s="856"/>
      <c r="Y16" s="856"/>
      <c r="Z16" s="856"/>
      <c r="AA16" s="856"/>
      <c r="AC16" s="856"/>
      <c r="AD16" s="856"/>
      <c r="AE16" s="856"/>
      <c r="AF16" s="856"/>
      <c r="AL16" s="1309"/>
      <c r="AM16" s="1309"/>
      <c r="AN16" s="205"/>
      <c r="AO16" s="207"/>
      <c r="AP16" s="9"/>
      <c r="AR16" s="1311"/>
      <c r="AS16" s="1311"/>
      <c r="AT16" s="205"/>
      <c r="AU16" s="207"/>
      <c r="AV16" s="9"/>
      <c r="AX16" s="1311"/>
      <c r="AY16" s="1311"/>
      <c r="AZ16" s="205"/>
      <c r="BA16" s="207"/>
      <c r="BB16" s="9"/>
    </row>
    <row r="17" spans="1:54" ht="19.5" thickBot="1" x14ac:dyDescent="0.3">
      <c r="A17" s="199"/>
      <c r="B17" s="1293" t="str">
        <f>IF('Data entry'!Y44&gt;0,"CEILING PALLET"," ")</f>
        <v>CEILING PALLET</v>
      </c>
      <c r="C17" s="1293"/>
      <c r="D17" s="1293"/>
      <c r="E17" s="1293"/>
      <c r="F17" s="1293"/>
      <c r="G17" s="1293"/>
      <c r="H17" s="1293"/>
      <c r="I17" s="1293"/>
      <c r="J17" s="1293"/>
      <c r="K17" s="199"/>
      <c r="M17" s="1125">
        <f>IF(B17&gt;" ",1," ")</f>
        <v>1</v>
      </c>
      <c r="N17" s="1126"/>
      <c r="O17" s="1126"/>
      <c r="P17" s="1127"/>
      <c r="R17" s="1294" t="str">
        <f>IF(B17&gt;" ","2  x  4  x    12"," ")</f>
        <v>2  x  4  x    12</v>
      </c>
      <c r="S17" s="1295"/>
      <c r="T17" s="1295"/>
      <c r="U17" s="1295"/>
      <c r="V17" s="1296"/>
      <c r="X17" s="856"/>
      <c r="Y17" s="856"/>
      <c r="Z17" s="856"/>
      <c r="AA17" s="856"/>
      <c r="AC17" s="856"/>
      <c r="AD17" s="856"/>
      <c r="AE17" s="856"/>
      <c r="AF17" s="856"/>
      <c r="AL17" s="1309" t="s">
        <v>225</v>
      </c>
      <c r="AM17" s="1309"/>
      <c r="AN17" s="12"/>
      <c r="AO17" s="233">
        <v>1</v>
      </c>
      <c r="AP17" s="234" t="s">
        <v>229</v>
      </c>
      <c r="AR17" s="1311" t="s">
        <v>225</v>
      </c>
      <c r="AS17" s="1311"/>
      <c r="AT17" s="204"/>
      <c r="AU17" s="233">
        <v>1</v>
      </c>
      <c r="AV17" s="235" t="s">
        <v>229</v>
      </c>
      <c r="AX17" s="1311" t="s">
        <v>225</v>
      </c>
      <c r="AY17" s="1311"/>
      <c r="AZ17" s="204"/>
      <c r="BA17" s="233">
        <v>1</v>
      </c>
      <c r="BB17" s="235" t="s">
        <v>229</v>
      </c>
    </row>
    <row r="18" spans="1:54" ht="19.5" thickBot="1" x14ac:dyDescent="0.3">
      <c r="A18" s="199"/>
      <c r="B18" s="1299" t="s">
        <v>223</v>
      </c>
      <c r="C18" s="1299"/>
      <c r="D18" s="1299"/>
      <c r="E18" s="1299"/>
      <c r="F18" s="1299"/>
      <c r="G18" s="1299"/>
      <c r="H18" s="1299"/>
      <c r="I18" s="1299"/>
      <c r="J18" s="1299"/>
      <c r="K18" s="199"/>
      <c r="M18" s="1322">
        <v>2</v>
      </c>
      <c r="N18" s="1322"/>
      <c r="O18" s="1322"/>
      <c r="P18" s="1322"/>
      <c r="R18" s="241">
        <v>1</v>
      </c>
      <c r="S18" s="242" t="s">
        <v>5</v>
      </c>
      <c r="T18" s="242">
        <v>6</v>
      </c>
      <c r="U18" s="242" t="s">
        <v>5</v>
      </c>
      <c r="V18" s="243">
        <v>8</v>
      </c>
      <c r="X18" s="856"/>
      <c r="Y18" s="856"/>
      <c r="Z18" s="856"/>
      <c r="AA18" s="856"/>
      <c r="AC18" s="856"/>
      <c r="AD18" s="856"/>
      <c r="AE18" s="856"/>
      <c r="AF18" s="856"/>
      <c r="AL18" s="1309" t="s">
        <v>226</v>
      </c>
      <c r="AM18" s="1309"/>
      <c r="AN18" s="12"/>
      <c r="AO18" s="236">
        <v>3.5</v>
      </c>
      <c r="AP18" s="237" t="s">
        <v>230</v>
      </c>
      <c r="AR18" s="1311" t="s">
        <v>226</v>
      </c>
      <c r="AS18" s="1311"/>
      <c r="AT18" s="204"/>
      <c r="AU18" s="236">
        <v>3.5</v>
      </c>
      <c r="AV18" s="238" t="s">
        <v>230</v>
      </c>
      <c r="AX18" s="1311" t="s">
        <v>226</v>
      </c>
      <c r="AY18" s="1311"/>
      <c r="AZ18" s="204"/>
      <c r="BA18" s="236">
        <v>3.5</v>
      </c>
      <c r="BB18" s="238" t="s">
        <v>231</v>
      </c>
    </row>
    <row r="19" spans="1:54" ht="19.5" thickBot="1" x14ac:dyDescent="0.3">
      <c r="A19" s="199"/>
      <c r="B19" s="1299" t="s">
        <v>226</v>
      </c>
      <c r="C19" s="1299"/>
      <c r="D19" s="1299"/>
      <c r="E19" s="1299"/>
      <c r="F19" s="1299"/>
      <c r="G19" s="1299"/>
      <c r="H19" s="1299"/>
      <c r="I19" s="1299"/>
      <c r="J19" s="1299"/>
      <c r="K19" s="199"/>
      <c r="M19" s="899">
        <f>IF('Data entry'!Y44=0,3.5,IF('Data entry'!Y44="none",3.5,7))</f>
        <v>7</v>
      </c>
      <c r="N19" s="899"/>
      <c r="O19" s="899"/>
      <c r="P19" s="899"/>
      <c r="R19" s="228">
        <v>1</v>
      </c>
      <c r="S19" s="229" t="s">
        <v>5</v>
      </c>
      <c r="T19" s="229">
        <v>6</v>
      </c>
      <c r="U19" s="229" t="s">
        <v>5</v>
      </c>
      <c r="V19" s="230">
        <f>IF(AC4=41,12,10)</f>
        <v>10</v>
      </c>
      <c r="X19" s="856"/>
      <c r="Y19" s="856"/>
      <c r="Z19" s="856"/>
      <c r="AA19" s="856"/>
      <c r="AC19" s="856"/>
      <c r="AD19" s="856"/>
      <c r="AE19" s="856"/>
      <c r="AF19" s="856"/>
      <c r="AL19" s="1309" t="s">
        <v>225</v>
      </c>
      <c r="AM19" s="1309"/>
      <c r="AN19" s="12"/>
      <c r="AO19" s="236">
        <v>1</v>
      </c>
      <c r="AP19" s="237" t="s">
        <v>231</v>
      </c>
      <c r="AR19" s="1311" t="s">
        <v>225</v>
      </c>
      <c r="AS19" s="1311"/>
      <c r="AT19" s="204"/>
      <c r="AU19" s="239">
        <v>1</v>
      </c>
      <c r="AV19" s="240" t="s">
        <v>231</v>
      </c>
      <c r="AX19" s="1311" t="s">
        <v>225</v>
      </c>
      <c r="AY19" s="1311"/>
      <c r="AZ19" s="204"/>
      <c r="BA19" s="239">
        <v>1</v>
      </c>
      <c r="BB19" s="240" t="s">
        <v>231</v>
      </c>
    </row>
    <row r="20" spans="1:54" ht="18.75" x14ac:dyDescent="0.25">
      <c r="A20" s="199"/>
      <c r="B20" s="1299" t="s">
        <v>223</v>
      </c>
      <c r="C20" s="1299"/>
      <c r="D20" s="1299"/>
      <c r="E20" s="1299"/>
      <c r="F20" s="1299"/>
      <c r="G20" s="1299"/>
      <c r="H20" s="1299"/>
      <c r="I20" s="1299"/>
      <c r="J20" s="1299"/>
      <c r="K20" s="199"/>
      <c r="M20" s="899">
        <v>1</v>
      </c>
      <c r="N20" s="899"/>
      <c r="O20" s="899"/>
      <c r="P20" s="899"/>
      <c r="R20" s="241">
        <v>1</v>
      </c>
      <c r="S20" s="242" t="s">
        <v>5</v>
      </c>
      <c r="T20" s="242">
        <v>6</v>
      </c>
      <c r="U20" s="242" t="s">
        <v>5</v>
      </c>
      <c r="V20" s="243">
        <v>12</v>
      </c>
      <c r="X20" s="856"/>
      <c r="Y20" s="856"/>
      <c r="Z20" s="856"/>
      <c r="AA20" s="856"/>
      <c r="AC20" s="856"/>
      <c r="AD20" s="856"/>
      <c r="AE20" s="856"/>
      <c r="AF20" s="856"/>
      <c r="AL20" s="1309" t="s">
        <v>232</v>
      </c>
      <c r="AM20" s="1309"/>
      <c r="AN20" s="12"/>
      <c r="AO20" s="244">
        <v>4</v>
      </c>
      <c r="AP20" s="245" t="s">
        <v>229</v>
      </c>
      <c r="AR20" s="1311" t="s">
        <v>232</v>
      </c>
      <c r="AS20" s="1311"/>
      <c r="AT20" s="204"/>
      <c r="AU20" s="244">
        <v>4</v>
      </c>
      <c r="AV20" s="246" t="s">
        <v>233</v>
      </c>
      <c r="AX20" s="1311" t="s">
        <v>232</v>
      </c>
      <c r="AY20" s="1311"/>
      <c r="AZ20" s="204"/>
      <c r="BA20" s="244">
        <v>8</v>
      </c>
      <c r="BB20" s="246" t="s">
        <v>234</v>
      </c>
    </row>
    <row r="21" spans="1:54" ht="19.5" x14ac:dyDescent="0.3">
      <c r="A21" s="199"/>
      <c r="B21" s="1299" t="s">
        <v>222</v>
      </c>
      <c r="C21" s="1299"/>
      <c r="D21" s="1299"/>
      <c r="E21" s="1299"/>
      <c r="F21" s="1299"/>
      <c r="G21" s="1299"/>
      <c r="H21" s="1299"/>
      <c r="I21" s="1299"/>
      <c r="J21" s="1299"/>
      <c r="K21" s="199"/>
      <c r="M21" s="1321">
        <f>IF(AC4&gt;34,8,4)</f>
        <v>4</v>
      </c>
      <c r="N21" s="1321"/>
      <c r="O21" s="1321"/>
      <c r="P21" s="1321"/>
      <c r="R21" s="228">
        <v>1</v>
      </c>
      <c r="S21" s="229" t="s">
        <v>5</v>
      </c>
      <c r="T21" s="229">
        <v>6</v>
      </c>
      <c r="U21" s="229" t="s">
        <v>5</v>
      </c>
      <c r="V21" s="230">
        <f>IF(AC4&gt;30,16,IF(AC4=20,8,IF(AC4=25,10,14)))</f>
        <v>14</v>
      </c>
      <c r="X21" s="856"/>
      <c r="Y21" s="856"/>
      <c r="Z21" s="856"/>
      <c r="AA21" s="856"/>
      <c r="AC21" s="856"/>
      <c r="AD21" s="856"/>
      <c r="AE21" s="856"/>
      <c r="AF21" s="856"/>
      <c r="AL21" s="223"/>
      <c r="AM21" s="223"/>
      <c r="AN21" s="205"/>
      <c r="AO21" s="207"/>
      <c r="AP21" s="9"/>
      <c r="AR21" s="205"/>
      <c r="AS21" s="205"/>
      <c r="AT21" s="205"/>
      <c r="AU21" s="207"/>
      <c r="AV21" s="9"/>
      <c r="AX21" s="205"/>
      <c r="AY21" s="205"/>
      <c r="AZ21" s="205"/>
      <c r="BA21" s="207"/>
      <c r="BB21" s="9"/>
    </row>
    <row r="22" spans="1:54" ht="18.75" x14ac:dyDescent="0.25">
      <c r="A22" s="199"/>
      <c r="B22" s="199"/>
      <c r="C22" s="199"/>
      <c r="D22" s="199"/>
      <c r="E22" s="199"/>
      <c r="F22" s="199"/>
      <c r="G22" s="199"/>
      <c r="H22" s="199"/>
      <c r="I22" s="199"/>
      <c r="J22" s="199"/>
      <c r="K22" s="199"/>
      <c r="R22" s="217"/>
      <c r="S22" s="218"/>
      <c r="T22" s="218"/>
      <c r="U22" s="218"/>
      <c r="V22" s="219"/>
      <c r="AL22" s="1309" t="s">
        <v>225</v>
      </c>
      <c r="AM22" s="1309"/>
      <c r="AN22" s="12"/>
      <c r="AO22" s="202">
        <v>1</v>
      </c>
      <c r="AP22" s="203" t="s">
        <v>235</v>
      </c>
      <c r="AR22" s="1311" t="s">
        <v>225</v>
      </c>
      <c r="AS22" s="1311"/>
      <c r="AT22" s="204"/>
      <c r="AU22" s="202">
        <v>1</v>
      </c>
      <c r="AV22" s="203" t="s">
        <v>235</v>
      </c>
      <c r="AX22" s="1311" t="s">
        <v>225</v>
      </c>
      <c r="AY22" s="1311"/>
      <c r="AZ22" s="204"/>
      <c r="BA22" s="202">
        <v>1</v>
      </c>
      <c r="BB22" s="203" t="s">
        <v>235</v>
      </c>
    </row>
    <row r="23" spans="1:54" ht="18.75" x14ac:dyDescent="0.25">
      <c r="A23" s="199"/>
      <c r="B23" s="1299" t="s">
        <v>223</v>
      </c>
      <c r="C23" s="1299"/>
      <c r="D23" s="1299"/>
      <c r="E23" s="1299"/>
      <c r="F23" s="1299"/>
      <c r="G23" s="1299"/>
      <c r="H23" s="1299"/>
      <c r="I23" s="1299"/>
      <c r="J23" s="1299"/>
      <c r="K23" s="199"/>
      <c r="M23" s="899">
        <v>1</v>
      </c>
      <c r="N23" s="899"/>
      <c r="O23" s="899"/>
      <c r="P23" s="899"/>
      <c r="R23" s="228">
        <v>1</v>
      </c>
      <c r="S23" s="229" t="s">
        <v>5</v>
      </c>
      <c r="T23" s="229">
        <v>4</v>
      </c>
      <c r="U23" s="229" t="s">
        <v>5</v>
      </c>
      <c r="V23" s="230">
        <v>8</v>
      </c>
      <c r="X23" s="856"/>
      <c r="Y23" s="856"/>
      <c r="Z23" s="856"/>
      <c r="AA23" s="856"/>
      <c r="AC23" s="856"/>
      <c r="AD23" s="856"/>
      <c r="AE23" s="856"/>
      <c r="AF23" s="856"/>
    </row>
    <row r="24" spans="1:54" ht="19.5" x14ac:dyDescent="0.3">
      <c r="A24" s="247"/>
      <c r="B24" s="247"/>
      <c r="C24" s="247"/>
      <c r="D24" s="247"/>
      <c r="E24" s="247"/>
      <c r="F24" s="247"/>
      <c r="G24" s="247"/>
      <c r="H24" s="247"/>
      <c r="I24" s="247"/>
      <c r="J24" s="247"/>
      <c r="K24" s="247"/>
      <c r="S24" s="218"/>
      <c r="AN24" s="197">
        <f>IF('Data entry'!S$13=8,AP27,IF('Data entry'!$S$13=10,AP28,IF('Data entry'!$S$13=12,AP29)))</f>
        <v>14</v>
      </c>
      <c r="AT24" s="197">
        <f>IF('Data entry'!Y$13=8,AV27,IF('Data entry'!$S$13=10,AV28,IF('Data entry'!$S$13=12,AV29)))</f>
        <v>14</v>
      </c>
    </row>
    <row r="25" spans="1:54" ht="21" thickTop="1" thickBot="1" x14ac:dyDescent="0.35">
      <c r="A25" s="247"/>
      <c r="B25" s="247"/>
      <c r="C25" s="247"/>
      <c r="D25" s="247"/>
      <c r="E25" s="247"/>
      <c r="F25" s="247"/>
      <c r="G25" s="247"/>
      <c r="H25" s="247"/>
      <c r="I25" s="247"/>
      <c r="J25" s="247"/>
      <c r="K25" s="247"/>
      <c r="S25" s="218"/>
      <c r="AL25" s="1311" t="s">
        <v>236</v>
      </c>
      <c r="AM25" s="1311"/>
      <c r="AN25" s="12"/>
      <c r="AO25" s="202">
        <v>4</v>
      </c>
      <c r="AP25" s="203" t="s">
        <v>208</v>
      </c>
      <c r="AR25" s="1311" t="s">
        <v>237</v>
      </c>
      <c r="AS25" s="1311"/>
      <c r="AT25" s="204"/>
      <c r="AU25" s="202">
        <v>4</v>
      </c>
      <c r="AV25" s="203" t="s">
        <v>208</v>
      </c>
    </row>
    <row r="26" spans="1:54" ht="32.85" customHeight="1" thickBot="1" x14ac:dyDescent="0.35">
      <c r="AL26" s="205"/>
      <c r="AM26" s="206"/>
      <c r="AN26" s="12"/>
      <c r="AO26" s="207"/>
      <c r="AP26" s="207"/>
      <c r="AR26" s="205"/>
      <c r="AS26" s="206"/>
      <c r="AT26" s="12"/>
      <c r="AU26" s="207"/>
      <c r="AV26" s="207"/>
      <c r="AZ26" s="248"/>
    </row>
    <row r="27" spans="1:54" ht="37.9" customHeight="1" thickBot="1" x14ac:dyDescent="0.4">
      <c r="A27" s="247"/>
      <c r="C27" s="1318" t="s">
        <v>2</v>
      </c>
      <c r="D27" s="1318"/>
      <c r="E27" s="1318"/>
      <c r="F27" s="1318"/>
      <c r="G27" s="1318"/>
      <c r="H27" s="1318"/>
      <c r="J27" s="1319">
        <f>'Data entry'!Q10</f>
        <v>30</v>
      </c>
      <c r="K27" s="1319"/>
      <c r="L27" s="1319"/>
      <c r="R27" s="1316" t="s">
        <v>205</v>
      </c>
      <c r="S27" s="1316"/>
      <c r="T27" s="1316"/>
      <c r="U27" s="1316"/>
      <c r="V27" s="1316"/>
      <c r="W27" s="1316"/>
      <c r="X27" s="1316"/>
      <c r="Y27" s="1316"/>
      <c r="Z27" s="1317" t="str">
        <f>L4</f>
        <v>Phillips</v>
      </c>
      <c r="AA27" s="1317"/>
      <c r="AB27" s="1317"/>
      <c r="AC27" s="1317"/>
      <c r="AD27" s="1317"/>
      <c r="AE27" s="1317"/>
      <c r="AF27" s="1317"/>
      <c r="AG27" s="1317"/>
      <c r="AH27" s="1317"/>
      <c r="AL27" s="1320" t="s">
        <v>216</v>
      </c>
      <c r="AM27" s="1320"/>
      <c r="AN27" s="208" t="s">
        <v>217</v>
      </c>
      <c r="AO27" s="249">
        <v>1</v>
      </c>
      <c r="AP27" s="250" t="s">
        <v>201</v>
      </c>
      <c r="AR27" s="1320" t="s">
        <v>216</v>
      </c>
      <c r="AS27" s="1320"/>
      <c r="AT27" s="208" t="s">
        <v>217</v>
      </c>
      <c r="AU27" s="251">
        <v>1</v>
      </c>
      <c r="AV27" s="252">
        <v>10</v>
      </c>
    </row>
    <row r="28" spans="1:54" ht="25.9" customHeight="1" x14ac:dyDescent="0.2">
      <c r="AL28" s="1312" t="s">
        <v>219</v>
      </c>
      <c r="AM28" s="1312"/>
      <c r="AN28" s="208" t="s">
        <v>220</v>
      </c>
      <c r="AO28" s="253">
        <v>1</v>
      </c>
      <c r="AP28" s="254">
        <v>12</v>
      </c>
      <c r="AR28" s="1312" t="s">
        <v>219</v>
      </c>
      <c r="AS28" s="1312"/>
      <c r="AT28" s="208" t="s">
        <v>220</v>
      </c>
      <c r="AU28" s="255">
        <v>2</v>
      </c>
      <c r="AV28" s="256">
        <v>12</v>
      </c>
    </row>
    <row r="29" spans="1:54" ht="27.75" customHeight="1" x14ac:dyDescent="0.4">
      <c r="M29" s="1196" t="s">
        <v>238</v>
      </c>
      <c r="N29" s="1196"/>
      <c r="O29" s="1196"/>
      <c r="P29" s="1196"/>
      <c r="Q29" s="1196"/>
      <c r="R29" s="1196"/>
      <c r="S29" s="1196"/>
      <c r="T29" s="1196"/>
      <c r="U29" s="1196"/>
      <c r="AJ29" s="257"/>
      <c r="AK29" s="257"/>
      <c r="AL29" s="220"/>
      <c r="AM29" s="220"/>
      <c r="AN29" s="208" t="s">
        <v>221</v>
      </c>
      <c r="AO29" s="221">
        <v>1</v>
      </c>
      <c r="AP29" s="222">
        <v>14</v>
      </c>
      <c r="AR29" s="220"/>
      <c r="AS29" s="220"/>
      <c r="AT29" s="208" t="s">
        <v>221</v>
      </c>
      <c r="AU29" s="258">
        <v>2</v>
      </c>
      <c r="AV29" s="259">
        <v>14</v>
      </c>
    </row>
    <row r="30" spans="1:54" ht="18.75" x14ac:dyDescent="0.3">
      <c r="AJ30" s="257"/>
      <c r="AK30" s="257"/>
      <c r="AL30" s="223"/>
      <c r="AM30" s="223"/>
      <c r="AN30" s="224"/>
      <c r="AO30" s="207"/>
      <c r="AP30" s="9"/>
      <c r="AR30" s="205"/>
      <c r="AS30" s="205"/>
      <c r="AT30" s="224"/>
      <c r="AU30" s="207"/>
      <c r="AV30" s="9"/>
    </row>
    <row r="31" spans="1:54" ht="21" customHeight="1" x14ac:dyDescent="0.35">
      <c r="L31" s="1298" t="s">
        <v>239</v>
      </c>
      <c r="M31" s="1298"/>
      <c r="N31" s="1298"/>
      <c r="O31" s="1298"/>
      <c r="P31" s="1298"/>
      <c r="Q31" s="1298"/>
      <c r="R31" s="1298"/>
      <c r="S31" s="1298"/>
      <c r="AJ31" s="257"/>
      <c r="AK31" s="257"/>
      <c r="AL31" s="1313" t="s">
        <v>223</v>
      </c>
      <c r="AM31" s="1313"/>
      <c r="AN31" s="224"/>
      <c r="AO31" s="226">
        <v>1</v>
      </c>
      <c r="AP31" s="227" t="s">
        <v>224</v>
      </c>
      <c r="AR31" s="1314" t="s">
        <v>223</v>
      </c>
      <c r="AS31" s="1314"/>
      <c r="AT31" s="224"/>
      <c r="AU31" s="226">
        <v>1</v>
      </c>
      <c r="AV31" s="227" t="s">
        <v>224</v>
      </c>
    </row>
    <row r="32" spans="1:54" ht="19.5" customHeight="1" x14ac:dyDescent="0.3">
      <c r="Z32" s="1315" t="s">
        <v>240</v>
      </c>
      <c r="AA32" s="1315"/>
      <c r="AB32" s="1315"/>
      <c r="AC32" s="1315"/>
      <c r="AD32" s="1315"/>
      <c r="AE32" s="1315"/>
      <c r="AF32" s="1315"/>
      <c r="AG32" s="1315"/>
      <c r="AH32" s="1315"/>
      <c r="AI32" s="257"/>
      <c r="AJ32" s="257"/>
      <c r="AK32" s="257"/>
      <c r="AL32" s="1313" t="s">
        <v>226</v>
      </c>
      <c r="AM32" s="1313"/>
      <c r="AN32" s="224"/>
      <c r="AO32" s="231">
        <v>1</v>
      </c>
      <c r="AP32" s="232" t="s">
        <v>227</v>
      </c>
      <c r="AR32" s="1313" t="s">
        <v>226</v>
      </c>
      <c r="AS32" s="1313"/>
      <c r="AT32" s="224"/>
      <c r="AU32" s="231">
        <v>1</v>
      </c>
      <c r="AV32" s="232" t="s">
        <v>227</v>
      </c>
    </row>
    <row r="33" spans="1:48" ht="19.5" x14ac:dyDescent="0.3">
      <c r="C33" s="199"/>
      <c r="D33" s="1289"/>
      <c r="E33" s="1289"/>
      <c r="F33" s="1289"/>
      <c r="G33" s="1289"/>
      <c r="H33" s="1289"/>
      <c r="I33" s="1300" t="s">
        <v>241</v>
      </c>
      <c r="J33" s="1300"/>
      <c r="K33" s="1300"/>
      <c r="L33" s="1300"/>
      <c r="M33" s="1300"/>
      <c r="N33" s="1300"/>
      <c r="O33" s="199"/>
      <c r="P33" s="1301" t="s">
        <v>215</v>
      </c>
      <c r="Q33" s="1301"/>
      <c r="R33" s="1305" t="s">
        <v>242</v>
      </c>
      <c r="S33" s="1305"/>
      <c r="T33" s="1305"/>
      <c r="U33" s="1305"/>
      <c r="V33" s="1305"/>
      <c r="W33" s="1301" t="s">
        <v>215</v>
      </c>
      <c r="X33" s="1301"/>
      <c r="Y33" s="199"/>
      <c r="Z33" s="1315"/>
      <c r="AA33" s="1315"/>
      <c r="AB33" s="1315"/>
      <c r="AC33" s="1315"/>
      <c r="AD33" s="1315"/>
      <c r="AE33" s="1315"/>
      <c r="AF33" s="1315"/>
      <c r="AG33" s="1315"/>
      <c r="AH33" s="1315"/>
      <c r="AI33" s="257"/>
      <c r="AJ33" s="260">
        <f>'Data entry'!S13</f>
        <v>12</v>
      </c>
      <c r="AK33" s="257"/>
      <c r="AL33" s="1309"/>
      <c r="AM33" s="1309"/>
      <c r="AN33" s="205"/>
      <c r="AO33" s="207"/>
      <c r="AP33" s="9"/>
      <c r="AR33" s="205"/>
      <c r="AS33" s="205"/>
      <c r="AT33" s="205"/>
      <c r="AU33" s="207"/>
      <c r="AV33" s="9"/>
    </row>
    <row r="34" spans="1:48" ht="18.75" x14ac:dyDescent="0.25">
      <c r="A34" s="1310" t="s">
        <v>243</v>
      </c>
      <c r="B34" s="1310"/>
      <c r="C34" s="1310"/>
      <c r="D34" s="1310"/>
      <c r="E34" s="1310"/>
      <c r="F34" s="1310"/>
      <c r="G34" s="1310"/>
      <c r="H34" s="1310"/>
      <c r="I34" s="262">
        <f>IF(AC4&gt;30+IF('Data entry'!S13=10,1),8,4)</f>
        <v>4</v>
      </c>
      <c r="J34" s="229" t="s">
        <v>23</v>
      </c>
      <c r="K34" s="229">
        <v>1</v>
      </c>
      <c r="L34" s="229" t="s">
        <v>5</v>
      </c>
      <c r="M34" s="229">
        <v>6</v>
      </c>
      <c r="N34" s="229" t="s">
        <v>5</v>
      </c>
      <c r="O34" s="263" t="str">
        <f>IF(AC4=20,"8'",IF(AC4=25,"10'",IF(AC4=30,"14'",IF(AC4&gt;30,"16'"))))</f>
        <v>14'</v>
      </c>
      <c r="P34" s="1288"/>
      <c r="Q34" s="1288"/>
      <c r="R34" s="877">
        <f>IF(AC4=41+IF('Data entry'!S13=10,1),8,4)</f>
        <v>4</v>
      </c>
      <c r="S34" s="877"/>
      <c r="T34" s="229" t="s">
        <v>23</v>
      </c>
      <c r="U34" s="879" t="str">
        <f>IF(AC4=20,"8'",IF(AC4=25,"10'",IF(AC4=30,"14'",IF(AC4&gt;30,"16'"))))</f>
        <v>14'</v>
      </c>
      <c r="V34" s="879"/>
      <c r="W34" s="1288"/>
      <c r="X34" s="1288"/>
      <c r="Z34" s="1315"/>
      <c r="AA34" s="1315"/>
      <c r="AB34" s="1315"/>
      <c r="AC34" s="1315"/>
      <c r="AD34" s="1315"/>
      <c r="AE34" s="1315"/>
      <c r="AF34" s="1315"/>
      <c r="AG34" s="1315"/>
      <c r="AH34" s="1315"/>
      <c r="AI34" s="257"/>
      <c r="AJ34" s="257"/>
      <c r="AK34" s="257"/>
      <c r="AL34" s="1309" t="s">
        <v>225</v>
      </c>
      <c r="AM34" s="1309"/>
      <c r="AN34" s="12"/>
      <c r="AO34" s="233">
        <v>1</v>
      </c>
      <c r="AP34" s="235" t="s">
        <v>229</v>
      </c>
      <c r="AR34" s="1311" t="s">
        <v>225</v>
      </c>
      <c r="AS34" s="1311"/>
      <c r="AT34" s="12"/>
      <c r="AU34" s="226">
        <v>1</v>
      </c>
      <c r="AV34" s="265" t="s">
        <v>229</v>
      </c>
    </row>
    <row r="35" spans="1:48" ht="18.75" x14ac:dyDescent="0.25">
      <c r="C35" s="199"/>
      <c r="D35" s="1289" t="s">
        <v>244</v>
      </c>
      <c r="E35" s="1289"/>
      <c r="F35" s="1289"/>
      <c r="G35" s="1289"/>
      <c r="H35" s="1289"/>
      <c r="I35" s="262">
        <f>IF(AC4&gt;30+IF('Data entry'!S13=10,1),2,1)</f>
        <v>1</v>
      </c>
      <c r="J35" s="229" t="s">
        <v>23</v>
      </c>
      <c r="K35" s="229">
        <v>2</v>
      </c>
      <c r="L35" s="229" t="s">
        <v>5</v>
      </c>
      <c r="M35" s="229">
        <v>4</v>
      </c>
      <c r="N35" s="229" t="s">
        <v>5</v>
      </c>
      <c r="O35" s="266" t="str">
        <f>IF('Data entry'!S13=8,"10'",IF('Data entry'!S13=10,"12'",IF('Data entry'!S13=12,"14'")))</f>
        <v>14'</v>
      </c>
      <c r="P35" s="1288"/>
      <c r="Q35" s="1288"/>
      <c r="R35" s="877">
        <f>IF(AC4=41+IF('Data entry'!S13=10,1),8,3)</f>
        <v>3</v>
      </c>
      <c r="S35" s="877"/>
      <c r="T35" s="229" t="s">
        <v>23</v>
      </c>
      <c r="U35" s="879" t="str">
        <f>IF('Data entry'!S13=8,35,IF('Data entry'!S13=10,43,IF('Data entry'!S13=12,"51")))</f>
        <v>51</v>
      </c>
      <c r="V35" s="879"/>
      <c r="W35" s="1288"/>
      <c r="X35" s="1288"/>
      <c r="Y35" s="199"/>
      <c r="Z35" s="1315"/>
      <c r="AA35" s="1315"/>
      <c r="AB35" s="1315"/>
      <c r="AC35" s="1315"/>
      <c r="AD35" s="1315"/>
      <c r="AE35" s="1315"/>
      <c r="AF35" s="1315"/>
      <c r="AG35" s="1315"/>
      <c r="AH35" s="1315"/>
      <c r="AI35" s="257"/>
      <c r="AJ35" s="257"/>
      <c r="AK35" s="257"/>
      <c r="AL35" s="1309" t="s">
        <v>226</v>
      </c>
      <c r="AM35" s="1309"/>
      <c r="AN35" s="12"/>
      <c r="AO35" s="236">
        <v>3.5</v>
      </c>
      <c r="AP35" s="238" t="s">
        <v>230</v>
      </c>
      <c r="AR35" s="1311" t="s">
        <v>226</v>
      </c>
      <c r="AS35" s="1311"/>
      <c r="AT35" s="12"/>
      <c r="AU35" s="267">
        <v>3.5</v>
      </c>
      <c r="AV35" s="268" t="s">
        <v>230</v>
      </c>
    </row>
    <row r="36" spans="1:48" ht="18.75" x14ac:dyDescent="0.25">
      <c r="C36" s="199"/>
      <c r="D36" s="1289" t="s">
        <v>245</v>
      </c>
      <c r="E36" s="1289"/>
      <c r="F36" s="1289"/>
      <c r="G36" s="1289"/>
      <c r="H36" s="1289"/>
      <c r="I36" s="899" t="s">
        <v>246</v>
      </c>
      <c r="J36" s="899"/>
      <c r="K36" s="899"/>
      <c r="L36" s="899"/>
      <c r="M36" s="899"/>
      <c r="N36" s="899"/>
      <c r="O36" s="899"/>
      <c r="P36" s="1288"/>
      <c r="Q36" s="1288"/>
      <c r="R36" s="877">
        <f>SUM(R35*2)</f>
        <v>6</v>
      </c>
      <c r="S36" s="877"/>
      <c r="T36" s="229" t="s">
        <v>23</v>
      </c>
      <c r="U36" s="879" t="str">
        <f>IF('Data entry'!S13=8,35,IF('Data entry'!S13=10,43,IF('Data entry'!S13=12,"51")))</f>
        <v>51</v>
      </c>
      <c r="V36" s="879"/>
      <c r="W36" s="1288"/>
      <c r="X36" s="1288"/>
      <c r="Y36" s="199"/>
      <c r="Z36" s="1315"/>
      <c r="AA36" s="1315"/>
      <c r="AB36" s="1315"/>
      <c r="AC36" s="1315"/>
      <c r="AD36" s="1315"/>
      <c r="AE36" s="1315"/>
      <c r="AF36" s="1315"/>
      <c r="AG36" s="1315"/>
      <c r="AH36" s="1315"/>
      <c r="AI36" s="257"/>
      <c r="AJ36" s="257"/>
      <c r="AK36" s="257"/>
      <c r="AL36" s="1309" t="s">
        <v>225</v>
      </c>
      <c r="AM36" s="1309"/>
      <c r="AN36" s="12"/>
      <c r="AO36" s="239">
        <v>1</v>
      </c>
      <c r="AP36" s="240" t="s">
        <v>231</v>
      </c>
      <c r="AR36" s="1311" t="s">
        <v>225</v>
      </c>
      <c r="AS36" s="1311"/>
      <c r="AT36" s="12"/>
      <c r="AU36" s="267">
        <v>1</v>
      </c>
      <c r="AV36" s="268" t="s">
        <v>231</v>
      </c>
    </row>
    <row r="37" spans="1:48" ht="18.75" x14ac:dyDescent="0.25">
      <c r="C37" s="199"/>
      <c r="D37" s="1289" t="s">
        <v>247</v>
      </c>
      <c r="E37" s="1289"/>
      <c r="F37" s="1289"/>
      <c r="G37" s="1289"/>
      <c r="H37" s="1289"/>
      <c r="I37" s="906" t="s">
        <v>248</v>
      </c>
      <c r="J37" s="906"/>
      <c r="K37" s="906"/>
      <c r="L37" s="906"/>
      <c r="M37" s="906"/>
      <c r="N37" s="906"/>
      <c r="O37" s="906"/>
      <c r="P37" s="1288"/>
      <c r="Q37" s="1288"/>
      <c r="R37" s="877">
        <f>IF(AJ33&lt;10," ",IF(J27&lt;35,3,6))</f>
        <v>3</v>
      </c>
      <c r="S37" s="877"/>
      <c r="T37" s="229" t="s">
        <v>23</v>
      </c>
      <c r="U37" s="879" t="str">
        <f>IF(AJ33&lt;10," ",IF(AJ33=10,"6''","10''"))</f>
        <v>10''</v>
      </c>
      <c r="V37" s="879"/>
      <c r="W37" s="1288"/>
      <c r="X37" s="1288"/>
      <c r="Y37" s="199"/>
      <c r="Z37" s="1315"/>
      <c r="AA37" s="1315"/>
      <c r="AB37" s="1315"/>
      <c r="AC37" s="1315"/>
      <c r="AD37" s="1315"/>
      <c r="AE37" s="1315"/>
      <c r="AF37" s="1315"/>
      <c r="AG37" s="1315"/>
      <c r="AH37" s="1315"/>
      <c r="AI37" s="257"/>
      <c r="AJ37" s="18" t="s">
        <v>249</v>
      </c>
      <c r="AL37" s="1309" t="s">
        <v>232</v>
      </c>
      <c r="AM37" s="1309"/>
      <c r="AN37" s="12"/>
      <c r="AO37" s="244">
        <v>4</v>
      </c>
      <c r="AP37" s="246" t="s">
        <v>230</v>
      </c>
      <c r="AR37" s="1311" t="s">
        <v>232</v>
      </c>
      <c r="AS37" s="1311"/>
      <c r="AT37" s="12"/>
      <c r="AU37" s="231">
        <v>4</v>
      </c>
      <c r="AV37" s="269" t="s">
        <v>234</v>
      </c>
    </row>
    <row r="38" spans="1:48" ht="19.5" x14ac:dyDescent="0.3">
      <c r="C38" s="199"/>
      <c r="D38" s="199"/>
      <c r="E38" s="199"/>
      <c r="F38" s="199"/>
      <c r="G38" s="199"/>
      <c r="H38" s="199"/>
      <c r="I38" s="906"/>
      <c r="J38" s="906"/>
      <c r="K38" s="906"/>
      <c r="L38" s="906"/>
      <c r="M38" s="906"/>
      <c r="N38" s="906"/>
      <c r="O38" s="906"/>
      <c r="P38" s="1288"/>
      <c r="Q38" s="1288"/>
      <c r="R38" s="877">
        <f>IF(J27&lt;35,6,12)</f>
        <v>6</v>
      </c>
      <c r="S38" s="877"/>
      <c r="T38" s="229" t="s">
        <v>23</v>
      </c>
      <c r="U38" s="879" t="str">
        <f>IF(AJ33=8,"2 1/2",IF(AJ33=10,"4''","6''"))</f>
        <v>6''</v>
      </c>
      <c r="V38" s="879"/>
      <c r="W38" s="1288"/>
      <c r="X38" s="1288"/>
      <c r="Y38" s="199"/>
      <c r="Z38" s="1315"/>
      <c r="AA38" s="1315"/>
      <c r="AB38" s="1315"/>
      <c r="AC38" s="1315"/>
      <c r="AD38" s="1315"/>
      <c r="AE38" s="1315"/>
      <c r="AF38" s="1315"/>
      <c r="AG38" s="1315"/>
      <c r="AH38" s="1315"/>
      <c r="AI38" s="257"/>
      <c r="AL38" s="223"/>
      <c r="AM38" s="223"/>
      <c r="AN38" s="205"/>
      <c r="AO38" s="207"/>
      <c r="AP38" s="9"/>
    </row>
    <row r="39" spans="1:48" ht="18.75" x14ac:dyDescent="0.2">
      <c r="Z39" s="1315"/>
      <c r="AA39" s="1315"/>
      <c r="AB39" s="1315"/>
      <c r="AC39" s="1315"/>
      <c r="AD39" s="1315"/>
      <c r="AE39" s="1315"/>
      <c r="AF39" s="1315"/>
      <c r="AG39" s="1315"/>
      <c r="AH39" s="1315"/>
      <c r="AI39" s="257"/>
      <c r="AL39" s="1309" t="s">
        <v>225</v>
      </c>
      <c r="AM39" s="1309"/>
      <c r="AN39" s="12"/>
      <c r="AO39" s="202">
        <v>1</v>
      </c>
      <c r="AP39" s="203" t="s">
        <v>235</v>
      </c>
    </row>
    <row r="40" spans="1:48" ht="23.25" x14ac:dyDescent="0.35">
      <c r="K40" s="1298" t="s">
        <v>250</v>
      </c>
      <c r="L40" s="1298"/>
      <c r="M40" s="1298"/>
      <c r="N40" s="1298"/>
      <c r="O40" s="1298"/>
      <c r="P40" s="1298"/>
      <c r="Q40" s="1298"/>
      <c r="R40" s="1298"/>
    </row>
    <row r="42" spans="1:48" ht="18.75" x14ac:dyDescent="0.25">
      <c r="E42" s="199"/>
      <c r="I42" s="1300" t="s">
        <v>241</v>
      </c>
      <c r="J42" s="1300"/>
      <c r="K42" s="1300"/>
      <c r="L42" s="1300"/>
      <c r="M42" s="1300"/>
      <c r="N42" s="1300"/>
      <c r="O42" s="199"/>
      <c r="P42" s="1301" t="s">
        <v>215</v>
      </c>
      <c r="Q42" s="1301"/>
      <c r="R42" s="1305" t="s">
        <v>242</v>
      </c>
      <c r="S42" s="1305"/>
      <c r="T42" s="1305"/>
      <c r="U42" s="1305"/>
      <c r="V42" s="1305"/>
      <c r="W42" s="1301" t="s">
        <v>215</v>
      </c>
      <c r="X42" s="1301"/>
    </row>
    <row r="43" spans="1:48" ht="18" customHeight="1" x14ac:dyDescent="0.25">
      <c r="A43" s="1297" t="s">
        <v>251</v>
      </c>
      <c r="B43" s="1297"/>
      <c r="C43" s="1297"/>
      <c r="D43" s="1297"/>
      <c r="E43" s="1297"/>
      <c r="F43" s="1297"/>
      <c r="G43" s="1297"/>
      <c r="H43" s="1297"/>
      <c r="I43" s="262">
        <v>4</v>
      </c>
      <c r="J43" s="229" t="s">
        <v>23</v>
      </c>
      <c r="K43" s="229">
        <v>1</v>
      </c>
      <c r="L43" s="229" t="s">
        <v>5</v>
      </c>
      <c r="M43" s="229">
        <v>6</v>
      </c>
      <c r="N43" s="229" t="s">
        <v>5</v>
      </c>
      <c r="O43" s="263" t="str">
        <f>IF(AC4=41,"12'","10'")</f>
        <v>10'</v>
      </c>
      <c r="P43" s="1288"/>
      <c r="Q43" s="1288"/>
      <c r="R43" s="877">
        <v>7</v>
      </c>
      <c r="S43" s="877"/>
      <c r="T43" s="229" t="s">
        <v>23</v>
      </c>
      <c r="U43" s="879" t="str">
        <f>IF(AC4=41,"6'","5'")</f>
        <v>5'</v>
      </c>
      <c r="V43" s="879"/>
      <c r="W43" s="1288"/>
      <c r="X43" s="1288"/>
    </row>
    <row r="44" spans="1:48" ht="18.75" x14ac:dyDescent="0.25">
      <c r="D44" s="1289" t="s">
        <v>244</v>
      </c>
      <c r="E44" s="1289"/>
      <c r="F44" s="1289"/>
      <c r="G44" s="1289"/>
      <c r="H44" s="1289"/>
      <c r="I44" s="262">
        <v>1</v>
      </c>
      <c r="J44" s="229" t="s">
        <v>23</v>
      </c>
      <c r="K44" s="229">
        <v>2</v>
      </c>
      <c r="L44" s="229" t="s">
        <v>5</v>
      </c>
      <c r="M44" s="229">
        <v>4</v>
      </c>
      <c r="N44" s="229" t="s">
        <v>5</v>
      </c>
      <c r="O44" s="263" t="str">
        <f>IF(AC4=41,"16'","12'")</f>
        <v>12'</v>
      </c>
      <c r="P44" s="1288"/>
      <c r="Q44" s="1288"/>
      <c r="R44" s="877">
        <f>IF(AC12=41+IF('Data entry'!S23=10,1),6,3)</f>
        <v>3</v>
      </c>
      <c r="S44" s="877"/>
      <c r="T44" s="229" t="s">
        <v>23</v>
      </c>
      <c r="U44" s="879" t="str">
        <f>IF(AC4=41,"5'","4'")</f>
        <v>4'</v>
      </c>
      <c r="V44" s="879"/>
      <c r="W44" s="1288"/>
      <c r="X44" s="1288"/>
    </row>
    <row r="45" spans="1:48" ht="12.75" customHeight="1" x14ac:dyDescent="0.25">
      <c r="AL45" s="270"/>
      <c r="AN45" s="271"/>
      <c r="AO45" s="271"/>
      <c r="AP45" s="270"/>
      <c r="AR45" s="12"/>
      <c r="AS45" s="207"/>
      <c r="AT45" s="9"/>
    </row>
    <row r="46" spans="1:48" ht="23.25" x14ac:dyDescent="0.35">
      <c r="L46" s="1298" t="s">
        <v>252</v>
      </c>
      <c r="M46" s="1298"/>
      <c r="N46" s="1298"/>
      <c r="O46" s="1298"/>
      <c r="P46" s="1298"/>
      <c r="Q46" s="1298"/>
      <c r="R46" s="1298"/>
      <c r="S46" s="1298"/>
      <c r="AL46" s="270"/>
      <c r="AM46" s="272"/>
      <c r="AN46" s="272"/>
      <c r="AO46" s="272"/>
      <c r="AP46" s="270"/>
      <c r="AR46" s="12"/>
      <c r="AS46" s="207"/>
      <c r="AT46" s="9"/>
    </row>
    <row r="48" spans="1:48" ht="15.75" customHeight="1" x14ac:dyDescent="0.25">
      <c r="I48" s="1300" t="s">
        <v>241</v>
      </c>
      <c r="J48" s="1300"/>
      <c r="K48" s="1300"/>
      <c r="L48" s="1300"/>
      <c r="M48" s="1300"/>
      <c r="N48" s="1300"/>
      <c r="O48" s="199"/>
      <c r="P48" s="1301" t="s">
        <v>215</v>
      </c>
      <c r="Q48" s="1301"/>
      <c r="R48" s="1305" t="s">
        <v>242</v>
      </c>
      <c r="S48" s="1305"/>
      <c r="T48" s="1305"/>
      <c r="U48" s="1305"/>
      <c r="V48" s="1305"/>
      <c r="W48" s="1301" t="s">
        <v>215</v>
      </c>
      <c r="X48" s="1301"/>
      <c r="AN48" s="1289" t="s">
        <v>253</v>
      </c>
      <c r="AO48" s="1289"/>
      <c r="AP48" s="1289"/>
      <c r="AQ48" s="1289"/>
      <c r="AR48" s="1289"/>
      <c r="AS48" s="1289"/>
      <c r="AT48" s="1289"/>
      <c r="AU48" s="1289"/>
      <c r="AV48" s="1289"/>
    </row>
    <row r="49" spans="1:43" ht="18" customHeight="1" x14ac:dyDescent="0.25">
      <c r="E49" s="1289" t="s">
        <v>254</v>
      </c>
      <c r="F49" s="1289"/>
      <c r="G49" s="1289"/>
      <c r="H49" s="1289"/>
      <c r="I49" s="262">
        <v>1</v>
      </c>
      <c r="J49" s="229" t="s">
        <v>23</v>
      </c>
      <c r="K49" s="229">
        <v>1</v>
      </c>
      <c r="L49" s="229" t="s">
        <v>5</v>
      </c>
      <c r="M49" s="229">
        <v>6</v>
      </c>
      <c r="N49" s="229" t="s">
        <v>5</v>
      </c>
      <c r="O49" s="263" t="s">
        <v>203</v>
      </c>
      <c r="P49" s="1299"/>
      <c r="Q49" s="1299"/>
      <c r="R49" s="1263">
        <v>5</v>
      </c>
      <c r="S49" s="1263"/>
      <c r="T49" s="950" t="s">
        <v>23</v>
      </c>
      <c r="U49" s="1308" t="s">
        <v>255</v>
      </c>
      <c r="V49" s="1308"/>
      <c r="W49" s="1299"/>
      <c r="X49" s="1299"/>
    </row>
    <row r="50" spans="1:43" ht="18.75" x14ac:dyDescent="0.25">
      <c r="E50" s="1289" t="s">
        <v>254</v>
      </c>
      <c r="F50" s="1289"/>
      <c r="G50" s="1289"/>
      <c r="H50" s="1289"/>
      <c r="I50" s="262">
        <v>1</v>
      </c>
      <c r="J50" s="229" t="s">
        <v>23</v>
      </c>
      <c r="K50" s="229">
        <v>1</v>
      </c>
      <c r="L50" s="229" t="s">
        <v>5</v>
      </c>
      <c r="M50" s="229">
        <v>6</v>
      </c>
      <c r="N50" s="229" t="s">
        <v>5</v>
      </c>
      <c r="O50" s="263" t="s">
        <v>199</v>
      </c>
      <c r="P50" s="1299"/>
      <c r="Q50" s="1299"/>
      <c r="R50" s="1263">
        <f>IF(AC18=41+IF('Data entry'!S32=10,1),6,3)</f>
        <v>3</v>
      </c>
      <c r="S50" s="1263"/>
      <c r="T50" s="950"/>
      <c r="U50" s="1308" t="e">
        <f>NA()</f>
        <v>#N/A</v>
      </c>
      <c r="V50" s="1308"/>
      <c r="W50" s="1299"/>
      <c r="X50" s="1299"/>
    </row>
    <row r="51" spans="1:43" ht="18.75" x14ac:dyDescent="0.25">
      <c r="E51" s="1289" t="s">
        <v>254</v>
      </c>
      <c r="F51" s="1289"/>
      <c r="G51" s="1289"/>
      <c r="H51" s="1289"/>
      <c r="I51" s="262">
        <v>1</v>
      </c>
      <c r="J51" s="229" t="s">
        <v>23</v>
      </c>
      <c r="K51" s="229">
        <v>1</v>
      </c>
      <c r="L51" s="229" t="s">
        <v>5</v>
      </c>
      <c r="M51" s="229">
        <v>6</v>
      </c>
      <c r="N51" s="229" t="s">
        <v>5</v>
      </c>
      <c r="O51" s="263" t="s">
        <v>203</v>
      </c>
      <c r="P51" s="1288"/>
      <c r="Q51" s="1288"/>
      <c r="R51" s="877">
        <v>2</v>
      </c>
      <c r="S51" s="877"/>
      <c r="T51" s="229" t="s">
        <v>23</v>
      </c>
      <c r="U51" s="879" t="s">
        <v>255</v>
      </c>
      <c r="V51" s="879"/>
      <c r="W51" s="1288"/>
      <c r="X51" s="1288"/>
      <c r="AQ51" s="270"/>
    </row>
    <row r="52" spans="1:43" ht="18.75" x14ac:dyDescent="0.25">
      <c r="E52" s="1289" t="s">
        <v>244</v>
      </c>
      <c r="F52" s="1289"/>
      <c r="G52" s="1289"/>
      <c r="H52" s="1289"/>
      <c r="I52" s="262">
        <v>1</v>
      </c>
      <c r="J52" s="229" t="s">
        <v>23</v>
      </c>
      <c r="K52" s="229">
        <v>2</v>
      </c>
      <c r="L52" s="229" t="s">
        <v>5</v>
      </c>
      <c r="M52" s="229">
        <v>4</v>
      </c>
      <c r="N52" s="229" t="s">
        <v>5</v>
      </c>
      <c r="O52" s="263" t="s">
        <v>201</v>
      </c>
      <c r="P52" s="1288"/>
      <c r="Q52" s="1288"/>
      <c r="R52" s="877">
        <f>IF(AC20=41+IF('Data entry'!S24=10,1),6,3)</f>
        <v>3</v>
      </c>
      <c r="S52" s="877"/>
      <c r="T52" s="229" t="s">
        <v>23</v>
      </c>
      <c r="U52" s="879" t="s">
        <v>256</v>
      </c>
      <c r="V52" s="879"/>
      <c r="W52" s="1288"/>
      <c r="X52" s="1288"/>
      <c r="AQ52" s="270"/>
    </row>
    <row r="55" spans="1:43" ht="23.25" x14ac:dyDescent="0.35">
      <c r="M55" s="1298" t="s">
        <v>257</v>
      </c>
      <c r="N55" s="1298"/>
      <c r="O55" s="1298"/>
      <c r="P55" s="1298"/>
      <c r="Q55" s="1298"/>
      <c r="R55" s="1298"/>
      <c r="S55" s="1298"/>
      <c r="T55" s="1298"/>
    </row>
    <row r="56" spans="1:43" ht="17.25" thickBot="1" x14ac:dyDescent="0.3">
      <c r="K56" s="1306" t="s">
        <v>241</v>
      </c>
      <c r="L56" s="1306"/>
      <c r="M56" s="1306"/>
      <c r="N56" s="1306"/>
      <c r="O56" s="1306"/>
      <c r="P56" s="1306"/>
      <c r="T56" s="1307" t="s">
        <v>242</v>
      </c>
      <c r="U56" s="1307"/>
      <c r="V56" s="1307"/>
      <c r="W56" s="1307"/>
      <c r="X56" s="1307"/>
    </row>
    <row r="57" spans="1:43" ht="19.5" thickBot="1" x14ac:dyDescent="0.3">
      <c r="E57" s="1289" t="s">
        <v>244</v>
      </c>
      <c r="F57" s="1289"/>
      <c r="G57" s="1289"/>
      <c r="H57" s="1289"/>
      <c r="I57" s="1302"/>
      <c r="J57" s="262">
        <f>IF(AC4=41+IF('Data entry'!S13=10,1),8,4)</f>
        <v>4</v>
      </c>
      <c r="K57" s="229" t="s">
        <v>23</v>
      </c>
      <c r="L57" s="229">
        <v>2</v>
      </c>
      <c r="M57" s="229" t="s">
        <v>5</v>
      </c>
      <c r="N57" s="229">
        <v>4</v>
      </c>
      <c r="O57" s="229" t="s">
        <v>5</v>
      </c>
      <c r="P57" s="266" t="s">
        <v>203</v>
      </c>
      <c r="Q57" s="1303"/>
      <c r="R57" s="1304"/>
      <c r="S57" s="877">
        <v>8</v>
      </c>
      <c r="T57" s="878"/>
      <c r="U57" s="229" t="s">
        <v>23</v>
      </c>
      <c r="V57" s="878" t="s">
        <v>255</v>
      </c>
      <c r="W57" s="879"/>
      <c r="X57" s="1303"/>
      <c r="Y57" s="1304"/>
    </row>
    <row r="58" spans="1:43" ht="19.5" thickBot="1" x14ac:dyDescent="0.3">
      <c r="E58" s="1289" t="s">
        <v>245</v>
      </c>
      <c r="F58" s="1289"/>
      <c r="G58" s="1289"/>
      <c r="H58" s="1289"/>
      <c r="I58" s="1302"/>
      <c r="J58" s="877" t="s">
        <v>246</v>
      </c>
      <c r="K58" s="878"/>
      <c r="L58" s="878"/>
      <c r="M58" s="878"/>
      <c r="N58" s="878"/>
      <c r="O58" s="878"/>
      <c r="P58" s="879"/>
      <c r="Q58" s="1303"/>
      <c r="R58" s="1304"/>
      <c r="S58" s="877">
        <f>SUM(S57*2)</f>
        <v>16</v>
      </c>
      <c r="T58" s="878"/>
      <c r="U58" s="229" t="s">
        <v>23</v>
      </c>
      <c r="V58" s="878">
        <v>48</v>
      </c>
      <c r="W58" s="879"/>
      <c r="X58" s="1303"/>
      <c r="Y58" s="1304"/>
    </row>
    <row r="61" spans="1:43" ht="23.25" x14ac:dyDescent="0.35">
      <c r="K61" s="1298" t="str">
        <f>IF( B17&gt;" ","Ceilinging Pallet","No Ceiling Pallet")</f>
        <v>Ceilinging Pallet</v>
      </c>
      <c r="L61" s="1298"/>
      <c r="M61" s="1298"/>
      <c r="N61" s="1298"/>
      <c r="O61" s="1298"/>
      <c r="P61" s="1298"/>
      <c r="Q61" s="1298"/>
      <c r="R61" s="1298"/>
    </row>
    <row r="62" spans="1:43" ht="13.5" thickBot="1" x14ac:dyDescent="0.25"/>
    <row r="63" spans="1:43" ht="19.5" thickBot="1" x14ac:dyDescent="0.3">
      <c r="E63" s="199"/>
      <c r="I63" s="1300" t="s">
        <v>241</v>
      </c>
      <c r="J63" s="1300"/>
      <c r="K63" s="1300"/>
      <c r="L63" s="1300"/>
      <c r="M63" s="1300"/>
      <c r="N63" s="1300"/>
      <c r="O63" s="199"/>
      <c r="P63" s="1301" t="s">
        <v>215</v>
      </c>
      <c r="Q63" s="1301"/>
      <c r="R63" s="1305" t="s">
        <v>242</v>
      </c>
      <c r="S63" s="1305"/>
      <c r="T63" s="1305"/>
      <c r="U63" s="1305"/>
      <c r="V63" s="1305"/>
      <c r="W63" s="1301" t="s">
        <v>215</v>
      </c>
      <c r="X63" s="1301"/>
    </row>
    <row r="64" spans="1:43" ht="19.5" thickBot="1" x14ac:dyDescent="0.3">
      <c r="A64" s="1297" t="s">
        <v>251</v>
      </c>
      <c r="B64" s="1297"/>
      <c r="C64" s="1297"/>
      <c r="D64" s="1297"/>
      <c r="E64" s="1297"/>
      <c r="F64" s="1297"/>
      <c r="G64" s="1297"/>
      <c r="H64" s="1297"/>
      <c r="I64" s="262">
        <v>1</v>
      </c>
      <c r="J64" s="229" t="s">
        <v>23</v>
      </c>
      <c r="K64" s="229">
        <v>1</v>
      </c>
      <c r="L64" s="229" t="s">
        <v>5</v>
      </c>
      <c r="M64" s="229">
        <v>6</v>
      </c>
      <c r="N64" s="229" t="s">
        <v>5</v>
      </c>
      <c r="O64" s="263" t="s">
        <v>201</v>
      </c>
      <c r="P64" s="1288"/>
      <c r="Q64" s="1288"/>
      <c r="R64" s="877">
        <v>2</v>
      </c>
      <c r="S64" s="877"/>
      <c r="T64" s="229" t="s">
        <v>23</v>
      </c>
      <c r="U64" s="879" t="s">
        <v>675</v>
      </c>
      <c r="V64" s="879"/>
      <c r="W64" s="1288"/>
      <c r="X64" s="1288"/>
    </row>
    <row r="65" spans="4:46" ht="19.5" thickBot="1" x14ac:dyDescent="0.3">
      <c r="D65" s="1289" t="s">
        <v>244</v>
      </c>
      <c r="E65" s="1289"/>
      <c r="F65" s="1289"/>
      <c r="G65" s="1289"/>
      <c r="H65" s="1289"/>
      <c r="I65" s="611">
        <v>1</v>
      </c>
      <c r="J65" s="583" t="s">
        <v>23</v>
      </c>
      <c r="K65" s="583">
        <v>2</v>
      </c>
      <c r="L65" s="583" t="s">
        <v>5</v>
      </c>
      <c r="M65" s="583">
        <v>4</v>
      </c>
      <c r="N65" s="583" t="s">
        <v>5</v>
      </c>
      <c r="O65" s="612" t="str">
        <f>IF(J27=20,"8'",IF(J27=25,"10'",IF(J27=30,"12'",IF(J27&gt;34,"12'"))))</f>
        <v>12'</v>
      </c>
      <c r="P65" s="1290"/>
      <c r="Q65" s="1290"/>
      <c r="R65" s="1291">
        <f>IF(AC33=41+IF('Data entry'!S44=10,1),6,3)</f>
        <v>3</v>
      </c>
      <c r="S65" s="1291"/>
      <c r="T65" s="583" t="s">
        <v>23</v>
      </c>
      <c r="U65" s="1292">
        <f>U66</f>
        <v>42</v>
      </c>
      <c r="V65" s="1292"/>
      <c r="W65" s="1288"/>
      <c r="X65" s="1288"/>
    </row>
    <row r="66" spans="4:46" ht="19.5" thickBot="1" x14ac:dyDescent="0.3">
      <c r="D66" s="1287" t="s">
        <v>710</v>
      </c>
      <c r="E66" s="1287"/>
      <c r="F66" s="1287"/>
      <c r="G66" s="1287"/>
      <c r="H66" s="1287"/>
      <c r="I66" s="859" t="s">
        <v>712</v>
      </c>
      <c r="J66" s="861"/>
      <c r="K66" s="861"/>
      <c r="L66" s="861"/>
      <c r="M66" s="861"/>
      <c r="N66" s="861"/>
      <c r="O66" s="860"/>
      <c r="P66" s="859"/>
      <c r="Q66" s="860"/>
      <c r="R66" s="859">
        <v>2</v>
      </c>
      <c r="S66" s="861"/>
      <c r="T66" s="608" t="s">
        <v>23</v>
      </c>
      <c r="U66" s="613">
        <f>IF(J27=20,32,IF(J27=25,35,IF(J27=30,42,IF(J27=35,44,IF(J27=41,48," ")))))</f>
        <v>42</v>
      </c>
      <c r="V66" s="614" t="s">
        <v>711</v>
      </c>
      <c r="W66" s="1288"/>
      <c r="X66" s="1288"/>
    </row>
    <row r="68" spans="4:46" ht="18.75" x14ac:dyDescent="0.3">
      <c r="AL68" s="142"/>
      <c r="AM68" s="225"/>
      <c r="AN68" s="142"/>
      <c r="AO68" s="225"/>
      <c r="AP68" s="225"/>
      <c r="AR68" s="273"/>
      <c r="AS68" s="274"/>
      <c r="AT68" s="275"/>
    </row>
    <row r="69" spans="4:46" ht="17.25" x14ac:dyDescent="0.3">
      <c r="AR69" s="273"/>
      <c r="AS69" s="274"/>
      <c r="AT69" s="275"/>
    </row>
    <row r="70" spans="4:46" x14ac:dyDescent="0.2">
      <c r="AR70" s="273"/>
      <c r="AS70" s="273"/>
    </row>
    <row r="71" spans="4:46" x14ac:dyDescent="0.2">
      <c r="AR71" s="273"/>
    </row>
    <row r="74" spans="4:46" ht="15" x14ac:dyDescent="0.25">
      <c r="AQ74" s="276"/>
    </row>
    <row r="75" spans="4:46" ht="15" x14ac:dyDescent="0.25">
      <c r="AQ75" s="270"/>
    </row>
    <row r="76" spans="4:46" ht="15" x14ac:dyDescent="0.25">
      <c r="AQ76" s="270"/>
    </row>
    <row r="80" spans="4:46" ht="18.75" x14ac:dyDescent="0.3">
      <c r="AQ80" s="223"/>
    </row>
    <row r="81" spans="43:43" ht="15" x14ac:dyDescent="0.25">
      <c r="AQ81" s="270"/>
    </row>
    <row r="82" spans="43:43" ht="15" x14ac:dyDescent="0.25">
      <c r="AQ82" s="270"/>
    </row>
    <row r="88" spans="43:43" ht="15" x14ac:dyDescent="0.25">
      <c r="AQ88" s="270"/>
    </row>
    <row r="89" spans="43:43" ht="15" x14ac:dyDescent="0.25">
      <c r="AQ89" s="270"/>
    </row>
    <row r="90" spans="43:43" ht="15" x14ac:dyDescent="0.25">
      <c r="AQ90" s="270"/>
    </row>
    <row r="118" spans="44:46" x14ac:dyDescent="0.2">
      <c r="AS118" s="273"/>
      <c r="AT118" s="277"/>
    </row>
    <row r="119" spans="44:46" x14ac:dyDescent="0.2">
      <c r="AS119" s="273"/>
      <c r="AT119" s="273"/>
    </row>
    <row r="120" spans="44:46" x14ac:dyDescent="0.2">
      <c r="AS120" s="273"/>
      <c r="AT120" s="273"/>
    </row>
    <row r="121" spans="44:46" x14ac:dyDescent="0.2">
      <c r="AR121" s="273"/>
      <c r="AS121" s="273"/>
    </row>
  </sheetData>
  <sheetProtection selectLockedCells="1" selectUnlockedCells="1"/>
  <mergeCells count="212">
    <mergeCell ref="L4:Q4"/>
    <mergeCell ref="AC4:AE4"/>
    <mergeCell ref="P7:Z7"/>
    <mergeCell ref="AL10:AM10"/>
    <mergeCell ref="AR10:AS10"/>
    <mergeCell ref="AX10:AY10"/>
    <mergeCell ref="B11:J11"/>
    <mergeCell ref="M11:P11"/>
    <mergeCell ref="X11:AA11"/>
    <mergeCell ref="AC11:AF11"/>
    <mergeCell ref="AL11:AM11"/>
    <mergeCell ref="AR11:AS11"/>
    <mergeCell ref="AX11:AY11"/>
    <mergeCell ref="AL8:AM8"/>
    <mergeCell ref="AR8:AS8"/>
    <mergeCell ref="AX8:AY8"/>
    <mergeCell ref="M9:P9"/>
    <mergeCell ref="S9:V9"/>
    <mergeCell ref="X9:AA9"/>
    <mergeCell ref="AC9:AF9"/>
    <mergeCell ref="Y10:Z10"/>
    <mergeCell ref="AD10:AE10"/>
    <mergeCell ref="AX14:AY14"/>
    <mergeCell ref="B15:J15"/>
    <mergeCell ref="M15:P15"/>
    <mergeCell ref="X15:AA15"/>
    <mergeCell ref="AC15:AF15"/>
    <mergeCell ref="AL15:AM15"/>
    <mergeCell ref="AR15:AS15"/>
    <mergeCell ref="AX15:AY15"/>
    <mergeCell ref="B13:J13"/>
    <mergeCell ref="M13:P13"/>
    <mergeCell ref="X13:AA13"/>
    <mergeCell ref="AC13:AF13"/>
    <mergeCell ref="AL14:AM14"/>
    <mergeCell ref="AR14:AS14"/>
    <mergeCell ref="AX18:AY18"/>
    <mergeCell ref="B19:J19"/>
    <mergeCell ref="M19:P19"/>
    <mergeCell ref="X19:AA19"/>
    <mergeCell ref="AC19:AF19"/>
    <mergeCell ref="AL19:AM19"/>
    <mergeCell ref="AR19:AS19"/>
    <mergeCell ref="AX19:AY19"/>
    <mergeCell ref="AX16:AY16"/>
    <mergeCell ref="AL17:AM17"/>
    <mergeCell ref="AR17:AS17"/>
    <mergeCell ref="AX17:AY17"/>
    <mergeCell ref="B18:J18"/>
    <mergeCell ref="M18:P18"/>
    <mergeCell ref="X18:AA18"/>
    <mergeCell ref="AC18:AF18"/>
    <mergeCell ref="AL18:AM18"/>
    <mergeCell ref="AR18:AS18"/>
    <mergeCell ref="B16:J16"/>
    <mergeCell ref="M16:P16"/>
    <mergeCell ref="X16:AA16"/>
    <mergeCell ref="AC16:AF16"/>
    <mergeCell ref="AL16:AM16"/>
    <mergeCell ref="AR16:AS16"/>
    <mergeCell ref="AX20:AY20"/>
    <mergeCell ref="B21:J21"/>
    <mergeCell ref="M21:P21"/>
    <mergeCell ref="X21:AA21"/>
    <mergeCell ref="AC21:AF21"/>
    <mergeCell ref="AL22:AM22"/>
    <mergeCell ref="AR22:AS22"/>
    <mergeCell ref="AX22:AY22"/>
    <mergeCell ref="B20:J20"/>
    <mergeCell ref="M20:P20"/>
    <mergeCell ref="X20:AA20"/>
    <mergeCell ref="AC20:AF20"/>
    <mergeCell ref="AL20:AM20"/>
    <mergeCell ref="AR20:AS20"/>
    <mergeCell ref="R27:Y27"/>
    <mergeCell ref="Z27:AH27"/>
    <mergeCell ref="C27:H27"/>
    <mergeCell ref="J27:L27"/>
    <mergeCell ref="AL27:AM27"/>
    <mergeCell ref="AR27:AS27"/>
    <mergeCell ref="B23:J23"/>
    <mergeCell ref="M23:P23"/>
    <mergeCell ref="X23:AA23"/>
    <mergeCell ref="AC23:AF23"/>
    <mergeCell ref="AL25:AM25"/>
    <mergeCell ref="AR25:AS25"/>
    <mergeCell ref="AL28:AM28"/>
    <mergeCell ref="AR28:AS28"/>
    <mergeCell ref="M29:U29"/>
    <mergeCell ref="L31:S31"/>
    <mergeCell ref="AL31:AM31"/>
    <mergeCell ref="AR31:AS31"/>
    <mergeCell ref="AR34:AS34"/>
    <mergeCell ref="Z32:AH39"/>
    <mergeCell ref="AL32:AM32"/>
    <mergeCell ref="P34:Q34"/>
    <mergeCell ref="R34:S34"/>
    <mergeCell ref="U34:V34"/>
    <mergeCell ref="W34:X34"/>
    <mergeCell ref="AL34:AM34"/>
    <mergeCell ref="AR32:AS32"/>
    <mergeCell ref="AL37:AM37"/>
    <mergeCell ref="AR37:AS37"/>
    <mergeCell ref="R38:S38"/>
    <mergeCell ref="U38:V38"/>
    <mergeCell ref="W38:X38"/>
    <mergeCell ref="AL39:AM39"/>
    <mergeCell ref="D33:H33"/>
    <mergeCell ref="I33:N33"/>
    <mergeCell ref="P33:Q33"/>
    <mergeCell ref="R33:V33"/>
    <mergeCell ref="W33:X33"/>
    <mergeCell ref="AL33:AM33"/>
    <mergeCell ref="A34:H34"/>
    <mergeCell ref="AR35:AS35"/>
    <mergeCell ref="D36:H36"/>
    <mergeCell ref="I36:O36"/>
    <mergeCell ref="P36:Q36"/>
    <mergeCell ref="R36:S36"/>
    <mergeCell ref="U36:V36"/>
    <mergeCell ref="W36:X36"/>
    <mergeCell ref="AL36:AM36"/>
    <mergeCell ref="AR36:AS36"/>
    <mergeCell ref="D35:H35"/>
    <mergeCell ref="P35:Q35"/>
    <mergeCell ref="R35:S35"/>
    <mergeCell ref="U35:V35"/>
    <mergeCell ref="W35:X35"/>
    <mergeCell ref="AL35:AM35"/>
    <mergeCell ref="D37:H37"/>
    <mergeCell ref="I37:O38"/>
    <mergeCell ref="P37:Q38"/>
    <mergeCell ref="R37:S37"/>
    <mergeCell ref="U37:V37"/>
    <mergeCell ref="W37:X37"/>
    <mergeCell ref="K40:R40"/>
    <mergeCell ref="I42:N42"/>
    <mergeCell ref="P42:Q42"/>
    <mergeCell ref="R42:V42"/>
    <mergeCell ref="W42:X42"/>
    <mergeCell ref="R48:V48"/>
    <mergeCell ref="W48:X48"/>
    <mergeCell ref="AN48:AV48"/>
    <mergeCell ref="E49:H49"/>
    <mergeCell ref="P49:Q50"/>
    <mergeCell ref="R49:S50"/>
    <mergeCell ref="T49:T50"/>
    <mergeCell ref="U49:V50"/>
    <mergeCell ref="D44:H44"/>
    <mergeCell ref="P44:Q44"/>
    <mergeCell ref="R44:S44"/>
    <mergeCell ref="U44:V44"/>
    <mergeCell ref="W44:X44"/>
    <mergeCell ref="L46:S46"/>
    <mergeCell ref="AC17:AF17"/>
    <mergeCell ref="K61:R61"/>
    <mergeCell ref="I63:N63"/>
    <mergeCell ref="E58:I58"/>
    <mergeCell ref="J58:P58"/>
    <mergeCell ref="Q58:R58"/>
    <mergeCell ref="S58:T58"/>
    <mergeCell ref="P63:Q63"/>
    <mergeCell ref="R63:V63"/>
    <mergeCell ref="V58:W58"/>
    <mergeCell ref="W63:X63"/>
    <mergeCell ref="X58:Y58"/>
    <mergeCell ref="K56:P56"/>
    <mergeCell ref="T56:X56"/>
    <mergeCell ref="E57:I57"/>
    <mergeCell ref="Q57:R57"/>
    <mergeCell ref="S57:T57"/>
    <mergeCell ref="V57:W57"/>
    <mergeCell ref="X57:Y57"/>
    <mergeCell ref="E52:H52"/>
    <mergeCell ref="P52:Q52"/>
    <mergeCell ref="R52:S52"/>
    <mergeCell ref="U52:V52"/>
    <mergeCell ref="W52:X52"/>
    <mergeCell ref="B17:J17"/>
    <mergeCell ref="M17:P17"/>
    <mergeCell ref="R17:V17"/>
    <mergeCell ref="X17:AA17"/>
    <mergeCell ref="A64:H64"/>
    <mergeCell ref="P64:Q64"/>
    <mergeCell ref="R64:S64"/>
    <mergeCell ref="U64:V64"/>
    <mergeCell ref="W64:X64"/>
    <mergeCell ref="M55:T55"/>
    <mergeCell ref="W49:X50"/>
    <mergeCell ref="E50:H50"/>
    <mergeCell ref="E51:H51"/>
    <mergeCell ref="P51:Q51"/>
    <mergeCell ref="R51:S51"/>
    <mergeCell ref="U51:V51"/>
    <mergeCell ref="W51:X51"/>
    <mergeCell ref="I48:N48"/>
    <mergeCell ref="P48:Q48"/>
    <mergeCell ref="A43:H43"/>
    <mergeCell ref="P43:Q43"/>
    <mergeCell ref="R43:S43"/>
    <mergeCell ref="U43:V43"/>
    <mergeCell ref="W43:X43"/>
    <mergeCell ref="D66:H66"/>
    <mergeCell ref="R66:S66"/>
    <mergeCell ref="P66:Q66"/>
    <mergeCell ref="I66:O66"/>
    <mergeCell ref="W66:X66"/>
    <mergeCell ref="D65:H65"/>
    <mergeCell ref="P65:Q65"/>
    <mergeCell ref="R65:S65"/>
    <mergeCell ref="U65:V65"/>
    <mergeCell ref="W65:X65"/>
  </mergeCells>
  <pageMargins left="0.78749999999999998" right="0.78749999999999998" top="1.0249999999999999" bottom="1.0249999999999999" header="0.78749999999999998" footer="0.78749999999999998"/>
  <pageSetup scale="56" firstPageNumber="0" orientation="portrait" horizontalDpi="300" verticalDpi="300" r:id="rId1"/>
  <headerFooter alignWithMargins="0">
    <oddHeader>&amp;C&amp;A</oddHeader>
    <oddFooter>&amp;CPage &amp;P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98"/>
  <sheetViews>
    <sheetView zoomScale="80" zoomScaleNormal="80" workbookViewId="0">
      <selection activeCell="R56" sqref="R56"/>
    </sheetView>
  </sheetViews>
  <sheetFormatPr defaultColWidth="8.85546875" defaultRowHeight="12.75" x14ac:dyDescent="0.2"/>
  <cols>
    <col min="1" max="1" width="5.140625" style="1" customWidth="1"/>
    <col min="2" max="2" width="41.7109375" style="1" customWidth="1"/>
    <col min="3" max="3" width="1.140625" style="1" customWidth="1"/>
    <col min="4" max="4" width="4.42578125" style="1" customWidth="1"/>
    <col min="5" max="6" width="3.140625" style="1" customWidth="1"/>
    <col min="7" max="7" width="1.5703125" style="1" customWidth="1"/>
    <col min="8" max="8" width="2.140625" style="1" customWidth="1"/>
    <col min="9" max="9" width="3.85546875" style="1" customWidth="1"/>
    <col min="10" max="10" width="26.42578125" style="1" customWidth="1"/>
    <col min="11" max="11" width="7.140625" style="1" customWidth="1"/>
    <col min="12" max="12" width="14.140625" style="1" customWidth="1"/>
    <col min="13" max="13" width="9.140625" style="1" customWidth="1"/>
    <col min="14" max="16" width="8.85546875" style="1"/>
    <col min="17" max="17" width="27" style="1" customWidth="1"/>
    <col min="18" max="18" width="17.7109375" style="1" customWidth="1"/>
    <col min="19" max="19" width="13.42578125" style="1" customWidth="1"/>
    <col min="20" max="16384" width="8.85546875" style="1"/>
  </cols>
  <sheetData>
    <row r="2" spans="2:10" ht="17.25" customHeight="1" x14ac:dyDescent="0.2">
      <c r="D2" s="1337" t="str">
        <f>'Data entry'!L2</f>
        <v>Phillips</v>
      </c>
      <c r="E2" s="1337"/>
      <c r="F2" s="1337"/>
      <c r="G2" s="1337"/>
      <c r="H2" s="1337"/>
      <c r="I2" s="1337"/>
      <c r="J2" s="1337"/>
    </row>
    <row r="3" spans="2:10" ht="12" customHeight="1" x14ac:dyDescent="0.2"/>
    <row r="4" spans="2:10" s="2" customFormat="1" ht="12" customHeight="1" x14ac:dyDescent="0.2">
      <c r="B4" s="3" t="s">
        <v>0</v>
      </c>
      <c r="C4" s="1335" t="str">
        <f>'Data entry'!M4</f>
        <v>Delware Water Gap, PA</v>
      </c>
      <c r="D4" s="1335"/>
      <c r="E4" s="1335"/>
      <c r="F4" s="1335"/>
      <c r="G4" s="1335"/>
      <c r="H4" s="1335"/>
      <c r="I4" s="1335"/>
      <c r="J4" s="1335"/>
    </row>
    <row r="5" spans="2:10" s="2" customFormat="1" ht="12" customHeight="1" x14ac:dyDescent="0.2">
      <c r="B5" s="3" t="s">
        <v>1</v>
      </c>
      <c r="C5" s="3"/>
      <c r="D5" s="4" t="str">
        <f>'Data entry'!Q9</f>
        <v>high</v>
      </c>
      <c r="E5" s="4"/>
      <c r="F5" s="3"/>
      <c r="G5" s="4"/>
      <c r="H5" s="4"/>
      <c r="I5" s="4"/>
      <c r="J5" s="4"/>
    </row>
    <row r="6" spans="2:10" s="2" customFormat="1" ht="12" customHeight="1" x14ac:dyDescent="0.2">
      <c r="B6" s="3" t="s">
        <v>2</v>
      </c>
      <c r="C6" s="3"/>
      <c r="D6" s="5">
        <f>'Data entry'!Q10</f>
        <v>30</v>
      </c>
      <c r="E6" s="3"/>
      <c r="F6" s="3"/>
      <c r="G6" s="4"/>
      <c r="H6" s="4"/>
      <c r="I6" s="4"/>
      <c r="J6" s="4"/>
    </row>
    <row r="7" spans="2:10" s="2" customFormat="1" ht="12" customHeight="1" x14ac:dyDescent="0.2">
      <c r="B7" s="3"/>
      <c r="C7" s="3"/>
      <c r="D7" s="4"/>
      <c r="E7" s="4"/>
      <c r="F7" s="4"/>
      <c r="G7" s="4"/>
      <c r="H7" s="4"/>
      <c r="I7" s="4"/>
      <c r="J7" s="4"/>
    </row>
    <row r="8" spans="2:10" s="2" customFormat="1" ht="12" customHeight="1" x14ac:dyDescent="0.2">
      <c r="B8" s="6" t="s">
        <v>3</v>
      </c>
      <c r="C8" s="6"/>
      <c r="D8" s="4"/>
      <c r="E8" s="4"/>
      <c r="F8" s="4"/>
      <c r="G8" s="4"/>
      <c r="H8" s="4"/>
      <c r="I8" s="4"/>
      <c r="J8" s="4"/>
    </row>
    <row r="9" spans="2:10" s="2" customFormat="1" ht="12" customHeight="1" x14ac:dyDescent="0.2">
      <c r="B9" s="3" t="s">
        <v>4</v>
      </c>
      <c r="C9" s="3"/>
      <c r="D9" s="4">
        <f>'Data entry'!Q20</f>
        <v>2</v>
      </c>
      <c r="E9" s="7" t="s">
        <v>5</v>
      </c>
      <c r="F9" s="1335">
        <f>'Data entry'!S20</f>
        <v>6</v>
      </c>
      <c r="G9" s="1335"/>
      <c r="H9" s="4"/>
      <c r="I9" s="4"/>
      <c r="J9" s="4"/>
    </row>
    <row r="10" spans="2:10" s="2" customFormat="1" ht="12" customHeight="1" x14ac:dyDescent="0.2">
      <c r="B10" s="3" t="s">
        <v>6</v>
      </c>
      <c r="C10" s="3"/>
      <c r="D10" s="4">
        <f>'Data entry'!Q21</f>
        <v>0</v>
      </c>
      <c r="E10" s="7" t="s">
        <v>5</v>
      </c>
      <c r="F10" s="1335">
        <f>'Data entry'!S21</f>
        <v>0</v>
      </c>
      <c r="G10" s="1335"/>
      <c r="H10" s="4"/>
      <c r="I10" s="4"/>
      <c r="J10" s="4"/>
    </row>
    <row r="11" spans="2:10" s="2" customFormat="1" ht="12" customHeight="1" x14ac:dyDescent="0.2">
      <c r="B11" s="3" t="s">
        <v>7</v>
      </c>
      <c r="C11" s="3"/>
      <c r="D11" s="4">
        <f>'Data entry'!Q22</f>
        <v>2</v>
      </c>
      <c r="E11" s="7" t="s">
        <v>5</v>
      </c>
      <c r="F11" s="1335">
        <f>'Data entry'!S22</f>
        <v>12</v>
      </c>
      <c r="G11" s="1335"/>
      <c r="H11" s="7"/>
      <c r="I11" s="7"/>
      <c r="J11" s="4"/>
    </row>
    <row r="12" spans="2:10" s="2" customFormat="1" ht="12" customHeight="1" x14ac:dyDescent="0.2">
      <c r="B12" s="3"/>
      <c r="C12" s="3"/>
      <c r="D12" s="4"/>
      <c r="E12" s="4"/>
      <c r="F12" s="4"/>
      <c r="G12" s="4"/>
      <c r="H12" s="4"/>
      <c r="I12" s="4"/>
      <c r="J12" s="4"/>
    </row>
    <row r="13" spans="2:10" s="2" customFormat="1" ht="12" customHeight="1" x14ac:dyDescent="0.2">
      <c r="B13" s="6" t="s">
        <v>8</v>
      </c>
      <c r="C13" s="6"/>
      <c r="D13" s="4"/>
      <c r="E13" s="4"/>
      <c r="F13" s="4"/>
      <c r="G13" s="4"/>
      <c r="H13" s="4"/>
      <c r="I13" s="4"/>
      <c r="J13" s="4"/>
    </row>
    <row r="14" spans="2:10" s="2" customFormat="1" ht="12" customHeight="1" x14ac:dyDescent="0.2">
      <c r="B14" s="3" t="s">
        <v>9</v>
      </c>
      <c r="C14" s="3"/>
      <c r="D14" s="7">
        <f>'Data entry'!P19</f>
        <v>6</v>
      </c>
      <c r="E14" s="4" t="s">
        <v>10</v>
      </c>
      <c r="F14" s="4"/>
      <c r="G14" s="4"/>
      <c r="H14" s="4"/>
      <c r="I14" s="4"/>
      <c r="J14" s="4"/>
    </row>
    <row r="15" spans="2:10" s="2" customFormat="1" ht="12" customHeight="1" x14ac:dyDescent="0.2">
      <c r="B15" s="3" t="s">
        <v>11</v>
      </c>
      <c r="C15" s="3"/>
      <c r="D15" s="7">
        <f>'Data entry'!R19</f>
        <v>12</v>
      </c>
      <c r="E15" s="4" t="s">
        <v>10</v>
      </c>
      <c r="F15" s="4"/>
      <c r="G15" s="4"/>
      <c r="H15" s="4"/>
      <c r="I15" s="4"/>
      <c r="J15" s="4"/>
    </row>
    <row r="16" spans="2:10" s="2" customFormat="1" ht="12" customHeight="1" x14ac:dyDescent="0.2">
      <c r="B16" s="8"/>
      <c r="C16" s="8"/>
      <c r="D16" s="1311"/>
      <c r="E16" s="1311"/>
      <c r="F16" s="10"/>
    </row>
    <row r="17" spans="1:13" s="2" customFormat="1" ht="12" customHeight="1" x14ac:dyDescent="0.2">
      <c r="B17" s="3" t="s">
        <v>12</v>
      </c>
      <c r="C17" s="8"/>
      <c r="D17" s="1335" t="str">
        <f>IF(D5&lt;50,"Low","high")</f>
        <v>high</v>
      </c>
      <c r="E17" s="1335"/>
      <c r="F17" s="1335"/>
    </row>
    <row r="18" spans="1:13" s="2" customFormat="1" ht="12" customHeight="1" x14ac:dyDescent="0.2">
      <c r="B18" s="3" t="s">
        <v>13</v>
      </c>
      <c r="C18" s="8"/>
      <c r="D18" s="4">
        <f>'Data entry'!S40</f>
        <v>0</v>
      </c>
      <c r="E18" s="4" t="s">
        <v>14</v>
      </c>
      <c r="F18" s="1336" t="e">
        <f>NA()</f>
        <v>#N/A</v>
      </c>
      <c r="G18" s="1336"/>
      <c r="H18" s="1336"/>
      <c r="I18" s="1336"/>
    </row>
    <row r="19" spans="1:13" s="2" customFormat="1" ht="12" customHeight="1" x14ac:dyDescent="0.2">
      <c r="B19" s="8"/>
      <c r="C19" s="8"/>
      <c r="D19" s="7">
        <f>'Data entry'!V40</f>
        <v>2</v>
      </c>
      <c r="E19" s="4" t="s">
        <v>14</v>
      </c>
      <c r="F19" s="1335" t="e">
        <f>NA()</f>
        <v>#N/A</v>
      </c>
      <c r="G19" s="1335"/>
      <c r="H19" s="1335"/>
      <c r="I19" s="1335"/>
    </row>
    <row r="20" spans="1:13" s="2" customFormat="1" ht="12" customHeight="1" x14ac:dyDescent="0.2">
      <c r="B20" s="8"/>
      <c r="C20" s="8"/>
      <c r="D20" s="7">
        <f>SUM('Data entry'!Y40:Z40)</f>
        <v>0</v>
      </c>
      <c r="E20" s="4" t="s">
        <v>14</v>
      </c>
      <c r="F20" s="1335" t="e">
        <f>NA()</f>
        <v>#N/A</v>
      </c>
      <c r="G20" s="1335"/>
      <c r="H20" s="1335"/>
      <c r="I20" s="1335"/>
    </row>
    <row r="21" spans="1:13" s="2" customFormat="1" ht="12" customHeight="1" x14ac:dyDescent="0.2">
      <c r="A21" s="1333" t="s">
        <v>15</v>
      </c>
      <c r="B21" s="1333"/>
      <c r="C21" s="11"/>
      <c r="D21" s="1311"/>
      <c r="E21" s="1311"/>
      <c r="F21" s="9"/>
      <c r="G21" s="12"/>
      <c r="H21" s="12"/>
      <c r="I21" s="12"/>
      <c r="J21" s="12"/>
      <c r="K21" s="12"/>
      <c r="L21" s="12"/>
      <c r="M21" s="12"/>
    </row>
    <row r="22" spans="1:13" s="2" customFormat="1" ht="9.75" customHeight="1" x14ac:dyDescent="0.2">
      <c r="A22" s="11"/>
      <c r="B22" s="11"/>
      <c r="C22" s="11"/>
      <c r="D22" s="9"/>
      <c r="E22" s="9"/>
      <c r="F22" s="9"/>
      <c r="G22" s="12"/>
      <c r="H22" s="12"/>
      <c r="I22" s="12"/>
      <c r="J22" s="12"/>
      <c r="K22" s="12"/>
      <c r="L22" s="12"/>
      <c r="M22" s="12"/>
    </row>
    <row r="23" spans="1:13" s="2" customFormat="1" ht="12" customHeight="1" x14ac:dyDescent="0.2">
      <c r="A23" s="12"/>
      <c r="B23" s="13" t="s">
        <v>16</v>
      </c>
      <c r="C23" s="13"/>
      <c r="D23" s="9">
        <f>SUM('Data entry'!Q11/12)</f>
        <v>14</v>
      </c>
      <c r="E23" s="1332" t="s">
        <v>17</v>
      </c>
      <c r="F23" s="1332"/>
      <c r="G23" s="12"/>
      <c r="H23" s="12"/>
      <c r="I23" s="12"/>
      <c r="J23" s="12"/>
      <c r="K23" s="12"/>
      <c r="L23" s="12"/>
      <c r="M23" s="12"/>
    </row>
    <row r="24" spans="1:13" s="2" customFormat="1" ht="12" customHeight="1" x14ac:dyDescent="0.2">
      <c r="A24" s="12"/>
      <c r="B24" s="13" t="s">
        <v>18</v>
      </c>
      <c r="C24" s="13"/>
      <c r="D24" s="1311" t="str">
        <f>'Data entry'!Q27</f>
        <v>Fir</v>
      </c>
      <c r="E24" s="1311"/>
      <c r="F24" s="1311"/>
      <c r="G24" s="1311"/>
      <c r="H24" s="12"/>
      <c r="I24" s="12"/>
      <c r="J24" s="12"/>
      <c r="K24" s="12"/>
      <c r="L24" s="12"/>
      <c r="M24" s="12"/>
    </row>
    <row r="25" spans="1:13" s="2" customFormat="1" ht="12" customHeight="1" x14ac:dyDescent="0.2">
      <c r="A25" s="12"/>
      <c r="B25" s="13" t="s">
        <v>19</v>
      </c>
      <c r="C25" s="13"/>
      <c r="D25" s="14">
        <f>'Data entry'!Q31</f>
        <v>13</v>
      </c>
      <c r="E25" s="9"/>
      <c r="F25" s="9"/>
      <c r="G25" s="1332"/>
      <c r="H25" s="1332"/>
      <c r="I25" s="1332"/>
      <c r="J25" s="1332"/>
      <c r="K25" s="1332"/>
      <c r="L25" s="1332"/>
      <c r="M25" s="12"/>
    </row>
    <row r="26" spans="1:13" s="2" customFormat="1" ht="12" customHeight="1" x14ac:dyDescent="0.2">
      <c r="A26" s="12"/>
      <c r="B26" s="13" t="s">
        <v>20</v>
      </c>
      <c r="C26" s="13"/>
      <c r="D26" s="14" t="e">
        <f>'Data entry'!#REF!</f>
        <v>#REF!</v>
      </c>
      <c r="E26" s="9"/>
      <c r="F26" s="9"/>
      <c r="G26" s="13"/>
      <c r="H26" s="13"/>
      <c r="I26" s="13"/>
      <c r="J26" s="13"/>
      <c r="K26" s="13"/>
      <c r="L26" s="13"/>
      <c r="M26" s="12"/>
    </row>
    <row r="27" spans="1:13" s="2" customFormat="1" ht="12" customHeight="1" x14ac:dyDescent="0.2">
      <c r="A27" s="12"/>
      <c r="B27" s="13" t="s">
        <v>21</v>
      </c>
      <c r="C27" s="13"/>
      <c r="D27" s="1311" t="e">
        <f>'Data entry'!#REF!</f>
        <v>#REF!</v>
      </c>
      <c r="E27" s="1311"/>
      <c r="F27" s="9" t="s">
        <v>10</v>
      </c>
      <c r="G27" s="13"/>
      <c r="H27" s="13"/>
      <c r="I27" s="13"/>
      <c r="J27" s="13"/>
      <c r="K27" s="13"/>
      <c r="L27" s="13"/>
      <c r="M27" s="12"/>
    </row>
    <row r="28" spans="1:13" s="2" customFormat="1" ht="12" customHeight="1" x14ac:dyDescent="0.2">
      <c r="A28" s="12"/>
      <c r="B28" s="13"/>
      <c r="C28" s="13"/>
      <c r="D28" s="14"/>
      <c r="E28" s="9"/>
      <c r="F28" s="9"/>
      <c r="G28" s="13"/>
      <c r="H28" s="13"/>
      <c r="I28" s="13"/>
      <c r="J28" s="13"/>
      <c r="K28" s="13"/>
      <c r="L28" s="13"/>
      <c r="M28" s="12"/>
    </row>
    <row r="29" spans="1:13" s="2" customFormat="1" ht="12" customHeight="1" x14ac:dyDescent="0.2">
      <c r="A29" s="12"/>
      <c r="B29" s="13" t="s">
        <v>22</v>
      </c>
      <c r="C29" s="13"/>
      <c r="D29" s="14"/>
      <c r="E29" s="12"/>
      <c r="F29" s="12"/>
      <c r="G29" s="12"/>
      <c r="H29" s="12"/>
      <c r="I29" s="12"/>
      <c r="J29" s="12"/>
      <c r="K29" s="12"/>
      <c r="L29" s="12"/>
      <c r="M29" s="12"/>
    </row>
    <row r="30" spans="1:13" s="2" customFormat="1" ht="12" customHeight="1" x14ac:dyDescent="0.2">
      <c r="A30" s="12"/>
      <c r="B30" s="13"/>
      <c r="C30" s="13"/>
      <c r="D30" s="14">
        <f>'Data entry'!P51</f>
        <v>1</v>
      </c>
      <c r="E30" s="9" t="s">
        <v>23</v>
      </c>
      <c r="F30" s="1331" t="str">
        <f>'Data entry'!J51</f>
        <v>42</v>
      </c>
      <c r="G30" s="1331"/>
      <c r="H30" s="9" t="s">
        <v>5</v>
      </c>
      <c r="I30" s="13">
        <f>'Data entry'!L51</f>
        <v>57</v>
      </c>
      <c r="J30" s="13" t="e">
        <f>NA()</f>
        <v>#N/A</v>
      </c>
      <c r="K30" s="9">
        <f>'Data entry'!N51</f>
        <v>23</v>
      </c>
      <c r="L30" s="1332" t="str">
        <f t="shared" ref="L30:L52" si="0">IF(K30&gt;0,"From the floor"," ")</f>
        <v>From the floor</v>
      </c>
      <c r="M30" s="1332"/>
    </row>
    <row r="31" spans="1:13" s="2" customFormat="1" ht="12" customHeight="1" x14ac:dyDescent="0.2">
      <c r="A31" s="12"/>
      <c r="B31" s="13"/>
      <c r="C31" s="13"/>
      <c r="D31" s="14">
        <f>'Data entry'!P52</f>
        <v>0</v>
      </c>
      <c r="E31" s="9" t="s">
        <v>23</v>
      </c>
      <c r="F31" s="1331" t="str">
        <f>'Data entry'!J52</f>
        <v xml:space="preserve"> </v>
      </c>
      <c r="G31" s="1331"/>
      <c r="H31" s="9" t="s">
        <v>5</v>
      </c>
      <c r="I31" s="13">
        <f>'Data entry'!L52</f>
        <v>0</v>
      </c>
      <c r="J31" s="13" t="e">
        <f>NA()</f>
        <v>#N/A</v>
      </c>
      <c r="K31" s="9">
        <f>'Data entry'!N52</f>
        <v>0</v>
      </c>
      <c r="L31" s="1332" t="str">
        <f t="shared" si="0"/>
        <v xml:space="preserve"> </v>
      </c>
      <c r="M31" s="1332"/>
    </row>
    <row r="32" spans="1:13" s="2" customFormat="1" ht="12" customHeight="1" x14ac:dyDescent="0.2">
      <c r="A32" s="12"/>
      <c r="B32" s="13"/>
      <c r="C32" s="13"/>
      <c r="D32" s="14">
        <f>'Data entry'!P53</f>
        <v>0</v>
      </c>
      <c r="E32" s="9" t="s">
        <v>23</v>
      </c>
      <c r="F32" s="1331" t="str">
        <f>'Data entry'!J53</f>
        <v xml:space="preserve"> </v>
      </c>
      <c r="G32" s="1331"/>
      <c r="H32" s="9" t="s">
        <v>5</v>
      </c>
      <c r="I32" s="13">
        <f>'Data entry'!L53</f>
        <v>0</v>
      </c>
      <c r="J32" s="13" t="e">
        <f>NA()</f>
        <v>#N/A</v>
      </c>
      <c r="K32" s="9">
        <f>'Data entry'!N53</f>
        <v>0</v>
      </c>
      <c r="L32" s="1332" t="str">
        <f t="shared" si="0"/>
        <v xml:space="preserve"> </v>
      </c>
      <c r="M32" s="1332"/>
    </row>
    <row r="33" spans="1:13" s="2" customFormat="1" ht="12" customHeight="1" x14ac:dyDescent="0.2">
      <c r="A33" s="12"/>
      <c r="B33" s="13"/>
      <c r="C33" s="13"/>
      <c r="D33" s="14">
        <f>'Data entry'!P54</f>
        <v>0</v>
      </c>
      <c r="E33" s="9"/>
      <c r="F33" s="1331" t="str">
        <f>'Data entry'!J54</f>
        <v xml:space="preserve"> </v>
      </c>
      <c r="G33" s="1331"/>
      <c r="H33" s="9" t="s">
        <v>5</v>
      </c>
      <c r="I33" s="13">
        <f>'Data entry'!L54</f>
        <v>0</v>
      </c>
      <c r="J33" s="13" t="e">
        <f>NA()</f>
        <v>#N/A</v>
      </c>
      <c r="K33" s="9">
        <f>'Data entry'!N54</f>
        <v>0</v>
      </c>
      <c r="L33" s="1332" t="str">
        <f t="shared" si="0"/>
        <v xml:space="preserve"> </v>
      </c>
      <c r="M33" s="1332"/>
    </row>
    <row r="34" spans="1:13" s="2" customFormat="1" ht="12" customHeight="1" x14ac:dyDescent="0.2">
      <c r="A34" s="12"/>
      <c r="B34" s="13"/>
      <c r="C34" s="13"/>
      <c r="D34" s="14">
        <f>'Data entry'!P55</f>
        <v>0</v>
      </c>
      <c r="E34" s="9"/>
      <c r="F34" s="1331" t="str">
        <f>'Data entry'!J55</f>
        <v xml:space="preserve"> </v>
      </c>
      <c r="G34" s="1331"/>
      <c r="H34" s="9" t="s">
        <v>5</v>
      </c>
      <c r="I34" s="13">
        <f>'Data entry'!L55</f>
        <v>0</v>
      </c>
      <c r="J34" s="13" t="e">
        <f>NA()</f>
        <v>#N/A</v>
      </c>
      <c r="K34" s="9">
        <f>'Data entry'!N55</f>
        <v>0</v>
      </c>
      <c r="L34" s="1332" t="str">
        <f t="shared" si="0"/>
        <v xml:space="preserve"> </v>
      </c>
      <c r="M34" s="1332"/>
    </row>
    <row r="35" spans="1:13" s="2" customFormat="1" ht="12" customHeight="1" x14ac:dyDescent="0.2">
      <c r="A35" s="12"/>
      <c r="B35" s="13"/>
      <c r="C35" s="13"/>
      <c r="D35" s="14">
        <f>'Data entry'!P56</f>
        <v>0</v>
      </c>
      <c r="E35" s="9"/>
      <c r="F35" s="1331" t="str">
        <f>'Data entry'!J56</f>
        <v xml:space="preserve"> </v>
      </c>
      <c r="G35" s="1331"/>
      <c r="H35" s="9" t="s">
        <v>5</v>
      </c>
      <c r="I35" s="13">
        <f>'Data entry'!L56</f>
        <v>0</v>
      </c>
      <c r="J35" s="13" t="e">
        <f>NA()</f>
        <v>#N/A</v>
      </c>
      <c r="K35" s="9">
        <f>'Data entry'!N56</f>
        <v>0</v>
      </c>
      <c r="L35" s="1332" t="str">
        <f t="shared" si="0"/>
        <v xml:space="preserve"> </v>
      </c>
      <c r="M35" s="1332"/>
    </row>
    <row r="36" spans="1:13" s="2" customFormat="1" ht="12" customHeight="1" x14ac:dyDescent="0.2">
      <c r="A36" s="12"/>
      <c r="B36" s="13"/>
      <c r="C36" s="13"/>
      <c r="D36" s="14">
        <f>'Data entry'!P57</f>
        <v>0</v>
      </c>
      <c r="E36" s="9"/>
      <c r="F36" s="1331" t="str">
        <f>'Data entry'!J57</f>
        <v xml:space="preserve"> </v>
      </c>
      <c r="G36" s="1331"/>
      <c r="H36" s="9" t="s">
        <v>5</v>
      </c>
      <c r="I36" s="13">
        <f>'Data entry'!L57</f>
        <v>0</v>
      </c>
      <c r="J36" s="13" t="e">
        <f>NA()</f>
        <v>#N/A</v>
      </c>
      <c r="K36" s="9">
        <f>'Data entry'!N57</f>
        <v>0</v>
      </c>
      <c r="L36" s="1332" t="str">
        <f t="shared" si="0"/>
        <v xml:space="preserve"> </v>
      </c>
      <c r="M36" s="1332"/>
    </row>
    <row r="37" spans="1:13" s="2" customFormat="1" ht="12" customHeight="1" x14ac:dyDescent="0.2">
      <c r="A37" s="12"/>
      <c r="B37" s="13"/>
      <c r="C37" s="13"/>
      <c r="D37" s="14">
        <f>'Data entry'!P58</f>
        <v>0</v>
      </c>
      <c r="E37" s="9"/>
      <c r="F37" s="1331" t="str">
        <f>'Data entry'!J58</f>
        <v xml:space="preserve"> </v>
      </c>
      <c r="G37" s="1331"/>
      <c r="H37" s="9" t="s">
        <v>5</v>
      </c>
      <c r="I37" s="13">
        <f>'Data entry'!L58</f>
        <v>0</v>
      </c>
      <c r="J37" s="13" t="e">
        <f>NA()</f>
        <v>#N/A</v>
      </c>
      <c r="K37" s="9">
        <f>'Data entry'!N58</f>
        <v>0</v>
      </c>
      <c r="L37" s="1332" t="str">
        <f t="shared" si="0"/>
        <v xml:space="preserve"> </v>
      </c>
      <c r="M37" s="1332"/>
    </row>
    <row r="38" spans="1:13" s="2" customFormat="1" ht="12" customHeight="1" x14ac:dyDescent="0.2">
      <c r="A38" s="12"/>
      <c r="B38" s="13"/>
      <c r="C38" s="13"/>
      <c r="D38" s="14">
        <f>'Data entry'!P59</f>
        <v>0</v>
      </c>
      <c r="E38" s="9"/>
      <c r="F38" s="1331" t="str">
        <f>'Data entry'!J59</f>
        <v xml:space="preserve"> </v>
      </c>
      <c r="G38" s="1331"/>
      <c r="H38" s="9" t="s">
        <v>5</v>
      </c>
      <c r="I38" s="13">
        <f>'Data entry'!L59</f>
        <v>0</v>
      </c>
      <c r="J38" s="13" t="e">
        <f>NA()</f>
        <v>#N/A</v>
      </c>
      <c r="K38" s="9">
        <f>'Data entry'!N59</f>
        <v>0</v>
      </c>
      <c r="L38" s="1332" t="str">
        <f t="shared" si="0"/>
        <v xml:space="preserve"> </v>
      </c>
      <c r="M38" s="1332"/>
    </row>
    <row r="39" spans="1:13" s="2" customFormat="1" ht="12" customHeight="1" x14ac:dyDescent="0.2">
      <c r="A39" s="12"/>
      <c r="B39" s="13"/>
      <c r="C39" s="13"/>
      <c r="D39" s="14">
        <f>'Data entry'!P60</f>
        <v>0</v>
      </c>
      <c r="E39" s="9"/>
      <c r="F39" s="1331" t="str">
        <f>'Data entry'!J60</f>
        <v xml:space="preserve"> </v>
      </c>
      <c r="G39" s="1331"/>
      <c r="H39" s="9" t="s">
        <v>5</v>
      </c>
      <c r="I39" s="13">
        <f>'Data entry'!L60</f>
        <v>0</v>
      </c>
      <c r="J39" s="13" t="e">
        <f>NA()</f>
        <v>#N/A</v>
      </c>
      <c r="K39" s="9">
        <f>'Data entry'!N60</f>
        <v>0</v>
      </c>
      <c r="L39" s="1332" t="str">
        <f t="shared" si="0"/>
        <v xml:space="preserve"> </v>
      </c>
      <c r="M39" s="1332"/>
    </row>
    <row r="40" spans="1:13" s="2" customFormat="1" ht="12" customHeight="1" x14ac:dyDescent="0.2">
      <c r="A40" s="12"/>
      <c r="B40" s="13"/>
      <c r="C40" s="13"/>
      <c r="D40" s="14">
        <f>'Data entry'!P61</f>
        <v>0</v>
      </c>
      <c r="E40" s="9"/>
      <c r="F40" s="1331" t="str">
        <f>'Data entry'!J61</f>
        <v xml:space="preserve"> </v>
      </c>
      <c r="G40" s="1331"/>
      <c r="H40" s="9" t="s">
        <v>5</v>
      </c>
      <c r="I40" s="13">
        <f>'Data entry'!L61</f>
        <v>0</v>
      </c>
      <c r="J40" s="13" t="e">
        <f>NA()</f>
        <v>#N/A</v>
      </c>
      <c r="K40" s="9">
        <f>'Data entry'!N61</f>
        <v>0</v>
      </c>
      <c r="L40" s="1332" t="str">
        <f t="shared" si="0"/>
        <v xml:space="preserve"> </v>
      </c>
      <c r="M40" s="1332"/>
    </row>
    <row r="41" spans="1:13" s="2" customFormat="1" ht="12" customHeight="1" x14ac:dyDescent="0.2">
      <c r="A41" s="12"/>
      <c r="B41" s="13"/>
      <c r="C41" s="13"/>
      <c r="D41" s="14">
        <f>'Data entry'!P62</f>
        <v>0</v>
      </c>
      <c r="E41" s="9"/>
      <c r="F41" s="1331" t="str">
        <f>'Data entry'!J62</f>
        <v xml:space="preserve"> </v>
      </c>
      <c r="G41" s="1331"/>
      <c r="H41" s="9" t="s">
        <v>5</v>
      </c>
      <c r="I41" s="13">
        <f>'Data entry'!L62</f>
        <v>0</v>
      </c>
      <c r="J41" s="13" t="e">
        <f>NA()</f>
        <v>#N/A</v>
      </c>
      <c r="K41" s="9">
        <f>'Data entry'!N62</f>
        <v>0</v>
      </c>
      <c r="L41" s="1332" t="str">
        <f t="shared" si="0"/>
        <v xml:space="preserve"> </v>
      </c>
      <c r="M41" s="1332"/>
    </row>
    <row r="42" spans="1:13" s="2" customFormat="1" ht="12" customHeight="1" x14ac:dyDescent="0.2">
      <c r="A42" s="12"/>
      <c r="B42" s="13"/>
      <c r="C42" s="13"/>
      <c r="D42" s="14">
        <f>'Data entry'!P63</f>
        <v>1</v>
      </c>
      <c r="E42" s="9"/>
      <c r="F42" s="1331">
        <f>'Data entry'!J63</f>
        <v>24</v>
      </c>
      <c r="G42" s="1331"/>
      <c r="H42" s="9" t="s">
        <v>5</v>
      </c>
      <c r="I42" s="13">
        <f>'Data entry'!L63</f>
        <v>30</v>
      </c>
      <c r="J42" s="13" t="e">
        <f>NA()</f>
        <v>#N/A</v>
      </c>
      <c r="K42" s="9">
        <f>'Data entry'!N63</f>
        <v>50</v>
      </c>
      <c r="L42" s="1332" t="str">
        <f t="shared" si="0"/>
        <v>From the floor</v>
      </c>
      <c r="M42" s="1332"/>
    </row>
    <row r="43" spans="1:13" s="2" customFormat="1" ht="12" customHeight="1" x14ac:dyDescent="0.2">
      <c r="A43" s="12"/>
      <c r="B43" s="13"/>
      <c r="C43" s="13"/>
      <c r="D43" s="14">
        <f>'Data entry'!P64</f>
        <v>2</v>
      </c>
      <c r="E43" s="9"/>
      <c r="F43" s="1331">
        <f>'Data entry'!J64</f>
        <v>36</v>
      </c>
      <c r="G43" s="1331"/>
      <c r="H43" s="9" t="s">
        <v>5</v>
      </c>
      <c r="I43" s="13">
        <f>'Data entry'!L64</f>
        <v>42</v>
      </c>
      <c r="J43" s="13" t="e">
        <f>NA()</f>
        <v>#N/A</v>
      </c>
      <c r="K43" s="9">
        <f>'Data entry'!N64</f>
        <v>38</v>
      </c>
      <c r="L43" s="1332" t="str">
        <f t="shared" si="0"/>
        <v>From the floor</v>
      </c>
      <c r="M43" s="1332"/>
    </row>
    <row r="44" spans="1:13" s="2" customFormat="1" ht="12" customHeight="1" x14ac:dyDescent="0.2">
      <c r="A44" s="12"/>
      <c r="B44" s="13"/>
      <c r="C44" s="13"/>
      <c r="D44" s="14">
        <f>'Data entry'!P65</f>
        <v>2</v>
      </c>
      <c r="E44" s="9"/>
      <c r="F44" s="1331">
        <f>'Data entry'!J65</f>
        <v>36</v>
      </c>
      <c r="G44" s="1331"/>
      <c r="H44" s="9" t="s">
        <v>5</v>
      </c>
      <c r="I44" s="13">
        <f>'Data entry'!L65</f>
        <v>42</v>
      </c>
      <c r="J44" s="13" t="e">
        <f>NA()</f>
        <v>#N/A</v>
      </c>
      <c r="K44" s="9">
        <f>'Data entry'!N65</f>
        <v>38</v>
      </c>
      <c r="L44" s="1332" t="str">
        <f t="shared" si="0"/>
        <v>From the floor</v>
      </c>
      <c r="M44" s="1332"/>
    </row>
    <row r="45" spans="1:13" s="2" customFormat="1" ht="12" customHeight="1" x14ac:dyDescent="0.2">
      <c r="A45" s="12"/>
      <c r="B45" s="13"/>
      <c r="C45" s="13"/>
      <c r="D45" s="14">
        <f>'Data entry'!P66</f>
        <v>1</v>
      </c>
      <c r="E45" s="9"/>
      <c r="F45" s="1331">
        <f>'Data entry'!J66</f>
        <v>36</v>
      </c>
      <c r="G45" s="1331"/>
      <c r="H45" s="9" t="s">
        <v>5</v>
      </c>
      <c r="I45" s="13">
        <f>'Data entry'!L66</f>
        <v>36</v>
      </c>
      <c r="J45" s="13" t="e">
        <f>NA()</f>
        <v>#N/A</v>
      </c>
      <c r="K45" s="9">
        <f>'Data entry'!N66</f>
        <v>44</v>
      </c>
      <c r="L45" s="1332" t="str">
        <f t="shared" si="0"/>
        <v>From the floor</v>
      </c>
      <c r="M45" s="1332"/>
    </row>
    <row r="46" spans="1:13" s="2" customFormat="1" ht="12" customHeight="1" x14ac:dyDescent="0.2">
      <c r="A46" s="12"/>
      <c r="B46" s="13"/>
      <c r="C46" s="13"/>
      <c r="D46" s="14">
        <f>'Data entry'!P67</f>
        <v>0</v>
      </c>
      <c r="E46" s="9"/>
      <c r="F46" s="1331">
        <f>'Data entry'!J67</f>
        <v>0</v>
      </c>
      <c r="G46" s="1331"/>
      <c r="H46" s="9" t="s">
        <v>5</v>
      </c>
      <c r="I46" s="13">
        <f>'Data entry'!L67</f>
        <v>0</v>
      </c>
      <c r="J46" s="13" t="e">
        <f>NA()</f>
        <v>#N/A</v>
      </c>
      <c r="K46" s="9">
        <f>'Data entry'!N67</f>
        <v>0</v>
      </c>
      <c r="L46" s="1332" t="str">
        <f t="shared" si="0"/>
        <v xml:space="preserve"> </v>
      </c>
      <c r="M46" s="1332"/>
    </row>
    <row r="47" spans="1:13" s="2" customFormat="1" ht="12" customHeight="1" x14ac:dyDescent="0.2">
      <c r="A47" s="12"/>
      <c r="B47" s="13"/>
      <c r="C47" s="13"/>
      <c r="D47" s="14">
        <f>'Data entry'!P68</f>
        <v>1</v>
      </c>
      <c r="E47" s="9"/>
      <c r="F47" s="1331" t="str">
        <f>'Data entry'!J68</f>
        <v>42</v>
      </c>
      <c r="G47" s="1331"/>
      <c r="H47" s="9" t="s">
        <v>5</v>
      </c>
      <c r="I47" s="13">
        <f>'Data entry'!L68</f>
        <v>39</v>
      </c>
      <c r="J47" s="13" t="e">
        <f>NA()</f>
        <v>#N/A</v>
      </c>
      <c r="K47" s="9">
        <f>'Data entry'!N68</f>
        <v>118.5</v>
      </c>
      <c r="L47" s="1332" t="str">
        <f t="shared" si="0"/>
        <v>From the floor</v>
      </c>
      <c r="M47" s="1332"/>
    </row>
    <row r="48" spans="1:13" s="2" customFormat="1" ht="12" customHeight="1" x14ac:dyDescent="0.2">
      <c r="A48" s="12"/>
      <c r="B48" s="13"/>
      <c r="C48" s="13"/>
      <c r="D48" s="14">
        <f>'Data entry'!P69</f>
        <v>0</v>
      </c>
      <c r="E48" s="9"/>
      <c r="F48" s="1331" t="str">
        <f>'Data entry'!J69</f>
        <v xml:space="preserve"> </v>
      </c>
      <c r="G48" s="1331"/>
      <c r="H48" s="9" t="s">
        <v>5</v>
      </c>
      <c r="I48" s="13">
        <f>'Data entry'!L69</f>
        <v>0</v>
      </c>
      <c r="J48" s="13" t="e">
        <f>NA()</f>
        <v>#N/A</v>
      </c>
      <c r="K48" s="9">
        <f>'Data entry'!N69</f>
        <v>0</v>
      </c>
      <c r="L48" s="1332" t="str">
        <f t="shared" si="0"/>
        <v xml:space="preserve"> </v>
      </c>
      <c r="M48" s="1332"/>
    </row>
    <row r="49" spans="1:17" s="2" customFormat="1" ht="12" customHeight="1" x14ac:dyDescent="0.2">
      <c r="A49" s="12"/>
      <c r="B49" s="13"/>
      <c r="C49" s="13"/>
      <c r="D49" s="14">
        <f>'Data entry'!P70</f>
        <v>0</v>
      </c>
      <c r="E49" s="9"/>
      <c r="F49" s="1331" t="str">
        <f>'Data entry'!J70</f>
        <v xml:space="preserve"> </v>
      </c>
      <c r="G49" s="1331"/>
      <c r="H49" s="9" t="s">
        <v>5</v>
      </c>
      <c r="I49" s="13">
        <f>'Data entry'!L70</f>
        <v>0</v>
      </c>
      <c r="J49" s="13" t="e">
        <f>NA()</f>
        <v>#N/A</v>
      </c>
      <c r="K49" s="9">
        <f>'Data entry'!N70</f>
        <v>0</v>
      </c>
      <c r="L49" s="1332" t="str">
        <f t="shared" si="0"/>
        <v xml:space="preserve"> </v>
      </c>
      <c r="M49" s="1332"/>
    </row>
    <row r="50" spans="1:17" s="2" customFormat="1" ht="12" customHeight="1" x14ac:dyDescent="0.2">
      <c r="A50" s="12"/>
      <c r="B50" s="13"/>
      <c r="C50" s="13"/>
      <c r="D50" s="14">
        <f>'Data entry'!P71</f>
        <v>5</v>
      </c>
      <c r="E50" s="9"/>
      <c r="F50" s="1331">
        <f>'Data entry'!J71</f>
        <v>36</v>
      </c>
      <c r="G50" s="1331"/>
      <c r="H50" s="9" t="s">
        <v>5</v>
      </c>
      <c r="I50" s="13">
        <f>'Data entry'!L71</f>
        <v>39</v>
      </c>
      <c r="J50" s="13" t="e">
        <f>NA()</f>
        <v>#N/A</v>
      </c>
      <c r="K50" s="9">
        <f>'Data entry'!N71</f>
        <v>118.5</v>
      </c>
      <c r="L50" s="1332" t="str">
        <f t="shared" si="0"/>
        <v>From the floor</v>
      </c>
      <c r="M50" s="1332"/>
    </row>
    <row r="51" spans="1:17" s="2" customFormat="1" ht="12" customHeight="1" x14ac:dyDescent="0.2">
      <c r="A51" s="12"/>
      <c r="B51" s="13"/>
      <c r="C51" s="13"/>
      <c r="D51" s="14">
        <f>'Data entry'!P72</f>
        <v>1</v>
      </c>
      <c r="E51" s="9"/>
      <c r="F51" s="1331">
        <f>'Data entry'!J72</f>
        <v>24</v>
      </c>
      <c r="G51" s="1331"/>
      <c r="H51" s="9" t="s">
        <v>5</v>
      </c>
      <c r="I51" s="13">
        <f>'Data entry'!L72</f>
        <v>30</v>
      </c>
      <c r="J51" s="13" t="e">
        <f>NA()</f>
        <v>#N/A</v>
      </c>
      <c r="K51" s="9">
        <f>'Data entry'!N72</f>
        <v>127.5</v>
      </c>
      <c r="L51" s="1332" t="str">
        <f t="shared" si="0"/>
        <v>From the floor</v>
      </c>
      <c r="M51" s="1332"/>
    </row>
    <row r="52" spans="1:17" s="2" customFormat="1" ht="12" customHeight="1" x14ac:dyDescent="0.2">
      <c r="A52" s="12"/>
      <c r="B52" s="13"/>
      <c r="C52" s="13"/>
      <c r="D52" s="14">
        <f>'Data entry'!P73</f>
        <v>0</v>
      </c>
      <c r="E52" s="9"/>
      <c r="F52" s="1331">
        <f>'Data entry'!J73</f>
        <v>0</v>
      </c>
      <c r="G52" s="1331"/>
      <c r="H52" s="9" t="s">
        <v>5</v>
      </c>
      <c r="I52" s="13">
        <f>'Data entry'!L73</f>
        <v>0</v>
      </c>
      <c r="J52" s="13" t="e">
        <f>NA()</f>
        <v>#N/A</v>
      </c>
      <c r="K52" s="9">
        <f>'Data entry'!N73</f>
        <v>0</v>
      </c>
      <c r="L52" s="1332" t="str">
        <f t="shared" si="0"/>
        <v xml:space="preserve"> </v>
      </c>
      <c r="M52" s="1332"/>
    </row>
    <row r="53" spans="1:17" s="2" customFormat="1" ht="12" customHeight="1" x14ac:dyDescent="0.2">
      <c r="A53" s="12"/>
      <c r="B53" s="13"/>
      <c r="C53" s="13"/>
      <c r="D53" s="14"/>
      <c r="E53" s="9"/>
      <c r="F53" s="14"/>
      <c r="G53" s="14"/>
      <c r="H53" s="9"/>
      <c r="I53" s="13"/>
      <c r="J53" s="13"/>
      <c r="K53" s="9"/>
      <c r="L53" s="13"/>
      <c r="M53" s="13"/>
    </row>
    <row r="54" spans="1:17" s="2" customFormat="1" ht="12" customHeight="1" x14ac:dyDescent="0.2">
      <c r="A54" s="12"/>
      <c r="B54" s="13"/>
      <c r="C54" s="13"/>
      <c r="D54" s="14"/>
      <c r="E54" s="12"/>
      <c r="F54" s="12"/>
      <c r="G54" s="12"/>
      <c r="H54" s="12"/>
      <c r="I54" s="12"/>
      <c r="J54" s="12"/>
      <c r="K54" s="12"/>
      <c r="L54" s="12"/>
      <c r="M54" s="12"/>
    </row>
    <row r="55" spans="1:17" s="2" customFormat="1" ht="12" customHeight="1" x14ac:dyDescent="0.2">
      <c r="A55" s="12"/>
      <c r="B55" s="13" t="s">
        <v>24</v>
      </c>
      <c r="C55" s="13"/>
      <c r="D55" s="14"/>
      <c r="E55" s="9"/>
      <c r="F55" s="9"/>
      <c r="G55" s="14"/>
      <c r="H55" s="9"/>
      <c r="I55" s="13"/>
      <c r="J55" s="13"/>
      <c r="K55" s="9"/>
      <c r="L55" s="13"/>
      <c r="M55" s="13"/>
    </row>
    <row r="56" spans="1:17" s="2" customFormat="1" ht="12" customHeight="1" x14ac:dyDescent="0.2">
      <c r="A56" s="12"/>
      <c r="B56" s="13"/>
      <c r="C56" s="13"/>
      <c r="D56" s="14">
        <f>'Data entry'!J87</f>
        <v>1</v>
      </c>
      <c r="E56" s="9" t="s">
        <v>23</v>
      </c>
      <c r="F56" s="9" t="str">
        <f>'Data entry'!L87</f>
        <v>3'0</v>
      </c>
      <c r="G56" s="9" t="s">
        <v>5</v>
      </c>
      <c r="H56" s="9" t="str">
        <f>'Data entry'!N87</f>
        <v>6'8</v>
      </c>
      <c r="I56" s="9"/>
      <c r="J56" s="13" t="str">
        <f>'Data entry'!P87</f>
        <v>NONE</v>
      </c>
      <c r="K56" s="9" t="str">
        <f>'Data entry'!R87</f>
        <v>------</v>
      </c>
      <c r="L56" s="9" t="str">
        <f>'Data entry'!T87</f>
        <v>------</v>
      </c>
      <c r="M56" s="12" t="str">
        <f>IF(L56&gt;0,"Swing"," ")</f>
        <v>Swing</v>
      </c>
    </row>
    <row r="57" spans="1:17" s="2" customFormat="1" ht="12" customHeight="1" x14ac:dyDescent="0.2">
      <c r="A57" s="12"/>
      <c r="B57" s="13"/>
      <c r="C57" s="13"/>
      <c r="D57" s="14">
        <f>'Data entry'!J88</f>
        <v>0</v>
      </c>
      <c r="E57" s="9" t="s">
        <v>23</v>
      </c>
      <c r="F57" s="9">
        <f>'Data entry'!L88</f>
        <v>0</v>
      </c>
      <c r="G57" s="9" t="s">
        <v>5</v>
      </c>
      <c r="H57" s="9">
        <f>'Data entry'!N88</f>
        <v>0</v>
      </c>
      <c r="I57" s="9"/>
      <c r="J57" s="13">
        <f>'Data entry'!P88</f>
        <v>0</v>
      </c>
      <c r="K57" s="9">
        <f>'Data entry'!R88</f>
        <v>0</v>
      </c>
      <c r="L57" s="9">
        <f>'Data entry'!T88</f>
        <v>0</v>
      </c>
      <c r="M57" s="12" t="str">
        <f>IF(L57&gt;0,"Swing"," ")</f>
        <v xml:space="preserve"> </v>
      </c>
    </row>
    <row r="58" spans="1:17" s="2" customFormat="1" ht="12" customHeight="1" x14ac:dyDescent="0.2">
      <c r="A58" s="12"/>
      <c r="B58" s="13"/>
      <c r="C58" s="13"/>
      <c r="D58" s="14">
        <f>'Data entry'!J89</f>
        <v>0</v>
      </c>
      <c r="E58" s="9" t="s">
        <v>23</v>
      </c>
      <c r="F58" s="9">
        <f>'Data entry'!L89</f>
        <v>0</v>
      </c>
      <c r="G58" s="9" t="s">
        <v>5</v>
      </c>
      <c r="H58" s="9">
        <f>'Data entry'!N89</f>
        <v>0</v>
      </c>
      <c r="I58" s="9"/>
      <c r="J58" s="13">
        <f>'Data entry'!P89</f>
        <v>0</v>
      </c>
      <c r="K58" s="9">
        <f>'Data entry'!R89</f>
        <v>0</v>
      </c>
      <c r="L58" s="9">
        <f>'Data entry'!T89</f>
        <v>0</v>
      </c>
      <c r="M58" s="12" t="str">
        <f>IF(L58&gt;0,"Swing"," ")</f>
        <v xml:space="preserve"> </v>
      </c>
    </row>
    <row r="59" spans="1:17" s="2" customFormat="1" ht="12" customHeight="1" x14ac:dyDescent="0.2">
      <c r="A59" s="12"/>
      <c r="B59" s="13"/>
      <c r="C59" s="13"/>
      <c r="D59" s="14">
        <f>'Data entry'!J90</f>
        <v>0</v>
      </c>
      <c r="E59" s="9" t="s">
        <v>23</v>
      </c>
      <c r="F59" s="9">
        <f>'Data entry'!L90</f>
        <v>0</v>
      </c>
      <c r="G59" s="9" t="s">
        <v>5</v>
      </c>
      <c r="H59" s="9">
        <f>'Data entry'!N90</f>
        <v>0</v>
      </c>
      <c r="I59" s="9"/>
      <c r="J59" s="13">
        <f>'Data entry'!P90</f>
        <v>0</v>
      </c>
      <c r="K59" s="9">
        <f>'Data entry'!R90</f>
        <v>0</v>
      </c>
      <c r="L59" s="9">
        <f>'Data entry'!T90</f>
        <v>0</v>
      </c>
      <c r="M59" s="12" t="str">
        <f>IF(L59&gt;0,"Swing"," ")</f>
        <v xml:space="preserve"> </v>
      </c>
    </row>
    <row r="60" spans="1:17" s="2" customFormat="1" ht="12" customHeight="1" x14ac:dyDescent="0.2">
      <c r="A60" s="12"/>
      <c r="B60" s="13"/>
      <c r="C60" s="13"/>
      <c r="D60" s="14">
        <f>'Data entry'!J91</f>
        <v>0</v>
      </c>
      <c r="E60" s="9" t="s">
        <v>23</v>
      </c>
      <c r="F60" s="9">
        <f>'Data entry'!L91</f>
        <v>0</v>
      </c>
      <c r="G60" s="9" t="s">
        <v>5</v>
      </c>
      <c r="H60" s="9">
        <f>'Data entry'!N91</f>
        <v>0</v>
      </c>
      <c r="I60" s="9"/>
      <c r="J60" s="13">
        <f>'Data entry'!P91</f>
        <v>0</v>
      </c>
      <c r="K60" s="9">
        <f>'Data entry'!R91</f>
        <v>0</v>
      </c>
      <c r="L60" s="9">
        <f>'Data entry'!T91</f>
        <v>0</v>
      </c>
      <c r="M60" s="12" t="str">
        <f>IF(L60&gt;0,"Swing"," ")</f>
        <v xml:space="preserve"> </v>
      </c>
    </row>
    <row r="61" spans="1:17" s="2" customFormat="1" ht="12" customHeight="1" x14ac:dyDescent="0.2">
      <c r="A61" s="12"/>
      <c r="B61" s="13"/>
      <c r="C61" s="13"/>
      <c r="D61" s="14"/>
      <c r="E61" s="9"/>
      <c r="F61" s="9"/>
      <c r="G61" s="9"/>
      <c r="H61" s="9"/>
      <c r="I61" s="9"/>
      <c r="J61" s="13"/>
      <c r="K61" s="9"/>
      <c r="L61" s="12"/>
      <c r="M61" s="12"/>
    </row>
    <row r="62" spans="1:17" s="2" customFormat="1" ht="12" customHeight="1" x14ac:dyDescent="0.2">
      <c r="A62" s="12"/>
      <c r="B62" s="13"/>
      <c r="C62" s="13"/>
      <c r="D62" s="14"/>
      <c r="E62" s="9"/>
      <c r="F62" s="14"/>
      <c r="G62" s="14"/>
      <c r="H62" s="9"/>
      <c r="I62" s="13"/>
      <c r="J62" s="13"/>
      <c r="K62" s="9"/>
      <c r="L62" s="13"/>
      <c r="M62" s="13"/>
    </row>
    <row r="63" spans="1:17" s="2" customFormat="1" ht="12" customHeight="1" x14ac:dyDescent="0.2">
      <c r="A63" s="12"/>
      <c r="B63" s="13" t="s">
        <v>25</v>
      </c>
      <c r="C63" s="13"/>
      <c r="D63" s="14">
        <f>'Data entry'!N98</f>
        <v>0</v>
      </c>
      <c r="E63" s="9" t="s">
        <v>23</v>
      </c>
      <c r="F63" s="1311" t="str">
        <f>IF('Data entry'!N98&gt;0,"72''x83'' Door opening  -   No Doors"," ")</f>
        <v xml:space="preserve"> </v>
      </c>
      <c r="G63" s="1311"/>
      <c r="H63" s="1311"/>
      <c r="I63" s="1311"/>
      <c r="J63" s="1311"/>
      <c r="K63" s="9"/>
      <c r="L63" s="13"/>
      <c r="M63" s="13"/>
      <c r="Q63" s="15"/>
    </row>
    <row r="64" spans="1:17" s="2" customFormat="1" ht="12" customHeight="1" x14ac:dyDescent="0.2">
      <c r="A64" s="12"/>
      <c r="B64" s="13"/>
      <c r="C64" s="13"/>
      <c r="D64" s="14">
        <f>'Data entry'!V98</f>
        <v>1</v>
      </c>
      <c r="E64" s="9" t="s">
        <v>23</v>
      </c>
      <c r="F64" s="1311" t="str">
        <f>IF('Data entry'!V98&gt;0,"60''x83'' Door opening  -   No Doors"," ")</f>
        <v>60''x83'' Door opening  -   No Doors</v>
      </c>
      <c r="G64" s="1311"/>
      <c r="H64" s="1311"/>
      <c r="I64" s="1311"/>
      <c r="J64" s="1311"/>
      <c r="K64" s="9"/>
      <c r="L64" s="12"/>
      <c r="M64" s="12"/>
      <c r="Q64" s="15"/>
    </row>
    <row r="65" spans="1:16" s="2" customFormat="1" ht="12" customHeight="1" x14ac:dyDescent="0.2">
      <c r="A65" s="12"/>
      <c r="B65" s="13"/>
      <c r="C65" s="13"/>
      <c r="D65" s="14"/>
      <c r="E65" s="9"/>
      <c r="F65" s="14"/>
      <c r="G65" s="14"/>
      <c r="H65" s="9"/>
      <c r="I65" s="13"/>
      <c r="J65" s="13"/>
      <c r="K65" s="9"/>
      <c r="L65" s="12"/>
      <c r="M65" s="12"/>
    </row>
    <row r="66" spans="1:16" s="2" customFormat="1" ht="12" customHeight="1" x14ac:dyDescent="0.2">
      <c r="A66" s="12"/>
      <c r="B66" s="13"/>
      <c r="C66" s="13"/>
      <c r="D66" s="14"/>
      <c r="E66" s="9"/>
      <c r="F66" s="14"/>
      <c r="G66" s="14"/>
      <c r="H66" s="9"/>
      <c r="I66" s="13"/>
      <c r="J66" s="13"/>
      <c r="K66" s="9"/>
      <c r="L66" s="12"/>
      <c r="M66" s="12"/>
    </row>
    <row r="67" spans="1:16" s="2" customFormat="1" ht="12" customHeight="1" x14ac:dyDescent="0.2">
      <c r="A67" s="12"/>
      <c r="B67" s="13" t="s">
        <v>26</v>
      </c>
      <c r="C67" s="13"/>
      <c r="D67" s="14">
        <f>'Data entry'!P101</f>
        <v>0</v>
      </c>
      <c r="E67" s="9" t="s">
        <v>23</v>
      </c>
      <c r="F67" s="1331">
        <f>'Data entry'!J101</f>
        <v>0</v>
      </c>
      <c r="G67" s="1331"/>
      <c r="H67" s="9" t="s">
        <v>5</v>
      </c>
      <c r="I67" s="13">
        <f>'Data entry'!L101</f>
        <v>0</v>
      </c>
      <c r="J67" s="12" t="e">
        <f>NA()</f>
        <v>#N/A</v>
      </c>
      <c r="K67" s="14">
        <f>'Data entry'!N101</f>
        <v>0</v>
      </c>
      <c r="L67" s="1332" t="str">
        <f>IF(K67&gt;0,"'' From the floor"," ")</f>
        <v xml:space="preserve"> </v>
      </c>
      <c r="M67" s="1332"/>
    </row>
    <row r="68" spans="1:16" s="2" customFormat="1" ht="12" customHeight="1" x14ac:dyDescent="0.2">
      <c r="A68" s="12"/>
      <c r="B68" s="13"/>
      <c r="C68" s="13"/>
      <c r="D68" s="14">
        <f>'Data entry'!X101</f>
        <v>0</v>
      </c>
      <c r="E68" s="9" t="s">
        <v>23</v>
      </c>
      <c r="F68" s="1331">
        <f>'Data entry'!R101</f>
        <v>0</v>
      </c>
      <c r="G68" s="1331"/>
      <c r="H68" s="9" t="s">
        <v>5</v>
      </c>
      <c r="I68" s="13">
        <f>'Data entry'!T101</f>
        <v>0</v>
      </c>
      <c r="J68" s="12" t="e">
        <f>NA()</f>
        <v>#N/A</v>
      </c>
      <c r="K68" s="14">
        <f>'Data entry'!V101</f>
        <v>0</v>
      </c>
      <c r="L68" s="1332" t="str">
        <f>IF(K68&gt;0,"'' From the floor"," ")</f>
        <v xml:space="preserve"> </v>
      </c>
      <c r="M68" s="1332"/>
      <c r="N68" s="15"/>
      <c r="O68" s="15"/>
      <c r="P68" s="15"/>
    </row>
    <row r="69" spans="1:16" s="2" customFormat="1" ht="12" customHeight="1" x14ac:dyDescent="0.2">
      <c r="A69" s="12"/>
      <c r="B69" s="13"/>
      <c r="C69" s="13"/>
      <c r="D69" s="14"/>
      <c r="E69" s="9"/>
      <c r="F69" s="14"/>
      <c r="G69" s="14"/>
      <c r="H69" s="9"/>
      <c r="I69" s="13"/>
      <c r="J69" s="12"/>
      <c r="K69" s="16"/>
      <c r="L69" s="13"/>
      <c r="M69" s="13"/>
      <c r="N69" s="15"/>
      <c r="O69" s="15"/>
      <c r="P69" s="15"/>
    </row>
    <row r="70" spans="1:16" s="2" customFormat="1" ht="9.75" customHeight="1" x14ac:dyDescent="0.2">
      <c r="A70" s="12"/>
      <c r="B70" s="13" t="s">
        <v>27</v>
      </c>
      <c r="C70" s="13"/>
      <c r="D70" s="14"/>
      <c r="E70" s="9"/>
      <c r="F70" s="14"/>
      <c r="G70" s="14"/>
      <c r="H70" s="9"/>
      <c r="I70" s="13"/>
      <c r="J70" s="12"/>
      <c r="K70" s="9"/>
      <c r="L70" s="13"/>
      <c r="M70" s="13"/>
      <c r="N70" s="15"/>
      <c r="O70" s="15"/>
      <c r="P70" s="15"/>
    </row>
    <row r="71" spans="1:16" s="2" customFormat="1" ht="12" customHeight="1" x14ac:dyDescent="0.2">
      <c r="A71" s="12"/>
      <c r="B71" s="13"/>
      <c r="C71" s="13"/>
      <c r="D71" s="14"/>
      <c r="E71" s="9"/>
      <c r="F71" s="14"/>
      <c r="G71" s="14"/>
      <c r="H71" s="9"/>
      <c r="I71" s="13"/>
      <c r="J71" s="12" t="s">
        <v>28</v>
      </c>
      <c r="K71" s="9"/>
      <c r="L71" s="13"/>
      <c r="M71" s="13"/>
    </row>
    <row r="72" spans="1:16" s="2" customFormat="1" ht="12" customHeight="1" x14ac:dyDescent="0.2">
      <c r="A72" s="12"/>
      <c r="B72" s="13"/>
      <c r="C72" s="13"/>
      <c r="D72" s="14"/>
      <c r="E72" s="9"/>
      <c r="F72" s="14"/>
      <c r="G72" s="14"/>
      <c r="H72" s="9"/>
      <c r="I72" s="13"/>
      <c r="J72" s="12"/>
      <c r="K72" s="9"/>
      <c r="L72" s="13"/>
      <c r="M72" s="13"/>
    </row>
    <row r="73" spans="1:16" s="2" customFormat="1" ht="12" customHeight="1" x14ac:dyDescent="0.2">
      <c r="A73" s="12"/>
      <c r="B73" s="13" t="s">
        <v>29</v>
      </c>
      <c r="C73" s="13"/>
      <c r="D73" s="14"/>
      <c r="E73" s="9"/>
      <c r="F73" s="14"/>
      <c r="G73" s="14"/>
      <c r="H73" s="9"/>
      <c r="I73" s="13"/>
      <c r="J73" s="12"/>
      <c r="K73" s="9"/>
      <c r="L73" s="13"/>
      <c r="M73" s="13"/>
    </row>
    <row r="74" spans="1:16" s="2" customFormat="1" ht="12" customHeight="1" x14ac:dyDescent="0.2">
      <c r="A74" s="12"/>
      <c r="B74" s="13"/>
      <c r="C74" s="13"/>
      <c r="D74" s="14"/>
      <c r="E74" s="9"/>
      <c r="F74" s="9"/>
      <c r="G74" s="14"/>
      <c r="H74" s="9"/>
      <c r="I74" s="13"/>
      <c r="J74" s="12" t="s">
        <v>28</v>
      </c>
      <c r="K74" s="9"/>
      <c r="L74" s="12"/>
      <c r="M74" s="12"/>
    </row>
    <row r="75" spans="1:16" s="2" customFormat="1" ht="12" customHeight="1" x14ac:dyDescent="0.2">
      <c r="A75" s="1333" t="s">
        <v>30</v>
      </c>
      <c r="B75" s="1333"/>
      <c r="C75" s="11"/>
      <c r="D75" s="12"/>
      <c r="E75" s="12"/>
      <c r="F75" s="12"/>
      <c r="G75" s="12"/>
      <c r="H75" s="12"/>
      <c r="I75" s="12"/>
      <c r="J75" s="12"/>
      <c r="K75" s="12"/>
      <c r="L75" s="12"/>
      <c r="M75" s="12"/>
    </row>
    <row r="76" spans="1:16" s="2" customFormat="1" ht="12" customHeight="1" x14ac:dyDescent="0.2">
      <c r="A76" s="11"/>
      <c r="B76" s="11"/>
      <c r="C76" s="11"/>
      <c r="D76" s="12"/>
      <c r="E76" s="12"/>
      <c r="F76" s="12"/>
      <c r="G76" s="12"/>
      <c r="H76" s="12"/>
      <c r="I76" s="12"/>
      <c r="J76" s="12"/>
      <c r="K76" s="12"/>
      <c r="L76" s="12"/>
      <c r="M76" s="12"/>
    </row>
    <row r="77" spans="1:16" s="2" customFormat="1" ht="12" customHeight="1" x14ac:dyDescent="0.2">
      <c r="A77" s="12"/>
      <c r="B77" s="13" t="s">
        <v>31</v>
      </c>
      <c r="C77" s="13"/>
      <c r="D77" s="14">
        <f>'Data entry'!Q13</f>
        <v>2</v>
      </c>
      <c r="E77" s="9" t="s">
        <v>5</v>
      </c>
      <c r="F77" s="1334">
        <f>'Data entry'!S13</f>
        <v>12</v>
      </c>
      <c r="G77" s="1334"/>
      <c r="H77" s="12"/>
      <c r="I77" s="12"/>
      <c r="J77" s="12"/>
      <c r="K77" s="12"/>
      <c r="L77" s="12"/>
      <c r="M77" s="12"/>
    </row>
    <row r="78" spans="1:16" s="2" customFormat="1" ht="9.75" customHeight="1" x14ac:dyDescent="0.2">
      <c r="A78" s="12"/>
      <c r="B78" s="13" t="s">
        <v>32</v>
      </c>
      <c r="C78" s="13"/>
      <c r="D78" s="1311" t="str">
        <f>'Data entry'!Q43</f>
        <v>yes</v>
      </c>
      <c r="E78" s="1311"/>
      <c r="F78" s="9"/>
      <c r="G78" s="12"/>
      <c r="H78" s="12"/>
      <c r="I78" s="12"/>
      <c r="J78" s="12"/>
      <c r="K78" s="12"/>
      <c r="L78" s="12"/>
      <c r="M78" s="12"/>
    </row>
    <row r="79" spans="1:16" s="2" customFormat="1" ht="18.75" x14ac:dyDescent="0.2">
      <c r="A79" s="12"/>
      <c r="B79" s="13" t="s">
        <v>33</v>
      </c>
      <c r="C79" s="13"/>
      <c r="D79" s="1311">
        <f>'Data entry'!Q41</f>
        <v>0</v>
      </c>
      <c r="E79" s="1311"/>
      <c r="F79" s="9"/>
      <c r="G79" s="9"/>
      <c r="H79" s="12"/>
      <c r="I79" s="12"/>
      <c r="J79" s="12"/>
      <c r="K79" s="12"/>
      <c r="L79" s="12"/>
      <c r="M79" s="12"/>
    </row>
    <row r="80" spans="1:16" s="2" customFormat="1" ht="18.75" x14ac:dyDescent="0.2">
      <c r="A80" s="12"/>
      <c r="B80" s="13" t="s">
        <v>34</v>
      </c>
      <c r="C80" s="13"/>
      <c r="D80" s="1311" t="str">
        <f>'Data entry'!Q44</f>
        <v>yes</v>
      </c>
      <c r="E80" s="1311"/>
      <c r="F80" s="9"/>
      <c r="G80" s="12"/>
      <c r="H80" s="12"/>
      <c r="I80" s="12"/>
      <c r="J80" s="12"/>
      <c r="K80" s="12"/>
      <c r="L80" s="12"/>
      <c r="M80" s="12"/>
    </row>
    <row r="81" spans="1:16" s="2" customFormat="1" ht="18.75" x14ac:dyDescent="0.2">
      <c r="A81" s="12"/>
      <c r="B81" s="13" t="s">
        <v>35</v>
      </c>
      <c r="C81" s="13"/>
      <c r="D81" s="1311" t="str">
        <f>'Data entry'!Q14</f>
        <v>Galv.</v>
      </c>
      <c r="E81" s="1311"/>
      <c r="F81" s="9"/>
      <c r="G81" s="12"/>
      <c r="H81" s="12"/>
      <c r="I81" s="12"/>
      <c r="J81" s="12"/>
      <c r="K81" s="12"/>
      <c r="L81" s="12"/>
      <c r="M81" s="12"/>
    </row>
    <row r="82" spans="1:16" s="2" customFormat="1" ht="18.75" x14ac:dyDescent="0.2">
      <c r="A82" s="12"/>
      <c r="B82" s="13"/>
      <c r="C82" s="13"/>
      <c r="D82" s="9"/>
      <c r="E82" s="12"/>
      <c r="F82" s="12"/>
      <c r="G82" s="12"/>
      <c r="H82" s="12"/>
      <c r="I82" s="12"/>
      <c r="J82" s="12"/>
      <c r="K82" s="12"/>
      <c r="L82" s="12"/>
      <c r="M82" s="12"/>
    </row>
    <row r="83" spans="1:16" ht="18.75" x14ac:dyDescent="0.2">
      <c r="A83" s="1333" t="s">
        <v>36</v>
      </c>
      <c r="B83" s="1333"/>
      <c r="C83" s="11"/>
      <c r="D83" s="9"/>
      <c r="E83" s="12"/>
      <c r="F83" s="12"/>
      <c r="G83" s="12"/>
      <c r="H83" s="12"/>
      <c r="I83" s="12"/>
      <c r="J83" s="12"/>
      <c r="K83" s="12"/>
      <c r="L83" s="12"/>
      <c r="M83" s="12"/>
      <c r="N83" s="2"/>
      <c r="O83" s="2"/>
      <c r="P83" s="2"/>
    </row>
    <row r="84" spans="1:16" ht="18.75" x14ac:dyDescent="0.2">
      <c r="A84" s="11"/>
      <c r="B84" s="11"/>
      <c r="C84" s="11"/>
      <c r="D84" s="9"/>
      <c r="E84" s="12"/>
      <c r="F84" s="12"/>
      <c r="G84" s="12"/>
      <c r="H84" s="12"/>
      <c r="I84" s="12"/>
      <c r="J84" s="12"/>
      <c r="K84" s="12"/>
      <c r="L84" s="12"/>
      <c r="M84" s="12"/>
      <c r="N84" s="2"/>
      <c r="O84" s="2"/>
      <c r="P84" s="2"/>
    </row>
    <row r="85" spans="1:16" ht="18.75" x14ac:dyDescent="0.2">
      <c r="A85" s="12"/>
      <c r="B85" s="13" t="s">
        <v>37</v>
      </c>
      <c r="C85" s="13"/>
      <c r="D85" s="1332" t="str">
        <f>'Data entry'!Q78</f>
        <v>Clear Low-E</v>
      </c>
      <c r="E85" s="1332"/>
      <c r="F85" s="1332"/>
      <c r="G85" s="1332"/>
      <c r="H85" s="12"/>
      <c r="I85" s="12"/>
      <c r="J85" s="12"/>
      <c r="K85" s="12"/>
      <c r="L85" s="12"/>
      <c r="M85" s="12"/>
      <c r="N85" s="2"/>
      <c r="O85" s="2"/>
      <c r="P85" s="2"/>
    </row>
    <row r="86" spans="1:16" ht="18.75" x14ac:dyDescent="0.2">
      <c r="A86" s="12"/>
      <c r="B86" s="13" t="s">
        <v>38</v>
      </c>
      <c r="C86" s="13"/>
      <c r="D86" s="1332" t="str">
        <f>'Data entry'!Q81</f>
        <v>Manual</v>
      </c>
      <c r="E86" s="1332"/>
      <c r="F86" s="1332"/>
      <c r="G86" s="1332"/>
      <c r="H86" s="12"/>
      <c r="I86" s="12"/>
      <c r="J86" s="12"/>
      <c r="K86" s="12"/>
      <c r="L86" s="12"/>
      <c r="M86" s="12"/>
      <c r="N86" s="2"/>
      <c r="O86" s="2"/>
      <c r="P86" s="2"/>
    </row>
    <row r="87" spans="1:16" ht="18.75" x14ac:dyDescent="0.2">
      <c r="A87" s="2"/>
      <c r="B87" s="2"/>
      <c r="C87" s="2"/>
      <c r="D87" s="2"/>
      <c r="E87" s="2"/>
      <c r="F87" s="2"/>
      <c r="G87" s="2"/>
      <c r="H87" s="8"/>
      <c r="I87" s="8"/>
      <c r="J87" s="2"/>
      <c r="K87" s="2"/>
      <c r="L87" s="2"/>
      <c r="M87" s="2"/>
      <c r="N87" s="2"/>
      <c r="O87" s="2"/>
      <c r="P87" s="2"/>
    </row>
    <row r="88" spans="1:16" ht="18.75" x14ac:dyDescent="0.2">
      <c r="A88" s="2" t="s">
        <v>39</v>
      </c>
      <c r="B88" s="2"/>
      <c r="C88" s="2"/>
      <c r="D88" s="2"/>
      <c r="E88" s="2"/>
      <c r="F88" s="2"/>
      <c r="G88" s="2"/>
      <c r="H88" s="2"/>
      <c r="I88" s="2"/>
      <c r="J88" s="2"/>
      <c r="K88" s="2"/>
      <c r="L88" s="2"/>
      <c r="M88" s="2"/>
      <c r="N88" s="2"/>
      <c r="O88" s="2"/>
      <c r="P88" s="2"/>
    </row>
    <row r="89" spans="1:16" x14ac:dyDescent="0.2">
      <c r="B89" s="1330">
        <f>'Data entry'!J105</f>
        <v>0</v>
      </c>
      <c r="C89" s="1330"/>
      <c r="D89" s="1330"/>
      <c r="E89" s="1330"/>
      <c r="F89" s="1330"/>
      <c r="G89" s="1330"/>
      <c r="H89" s="1330"/>
      <c r="I89" s="1330"/>
      <c r="J89" s="1330"/>
      <c r="K89" s="1330"/>
      <c r="L89" s="1330"/>
      <c r="M89" s="1330"/>
      <c r="N89" s="1330"/>
      <c r="O89" s="1330"/>
      <c r="P89" s="1330"/>
    </row>
    <row r="90" spans="1:16" x14ac:dyDescent="0.2">
      <c r="B90" s="1328">
        <f>'Data entry'!J106</f>
        <v>0</v>
      </c>
      <c r="C90" s="1328"/>
      <c r="D90" s="1328"/>
      <c r="E90" s="1328"/>
      <c r="F90" s="1328"/>
      <c r="G90" s="1328"/>
      <c r="H90" s="1328"/>
      <c r="I90" s="1328"/>
      <c r="J90" s="1328"/>
      <c r="K90" s="1328"/>
      <c r="L90" s="1328"/>
      <c r="M90" s="1328"/>
      <c r="N90" s="1328"/>
      <c r="O90" s="1328"/>
      <c r="P90" s="1328"/>
    </row>
    <row r="91" spans="1:16" x14ac:dyDescent="0.2">
      <c r="B91" s="1328">
        <f>'Data entry'!J107</f>
        <v>0</v>
      </c>
      <c r="C91" s="1328"/>
      <c r="D91" s="1328"/>
      <c r="E91" s="1328"/>
      <c r="F91" s="1328"/>
      <c r="G91" s="1328"/>
      <c r="H91" s="1328"/>
      <c r="I91" s="1328"/>
      <c r="J91" s="1328"/>
      <c r="K91" s="1328"/>
      <c r="L91" s="1328"/>
      <c r="M91" s="1328"/>
      <c r="N91" s="1328"/>
      <c r="O91" s="1328"/>
      <c r="P91" s="1328"/>
    </row>
    <row r="92" spans="1:16" x14ac:dyDescent="0.2">
      <c r="B92" s="1328">
        <f>'Data entry'!J108</f>
        <v>0</v>
      </c>
      <c r="C92" s="1328"/>
      <c r="D92" s="1328"/>
      <c r="E92" s="1328"/>
      <c r="F92" s="1328"/>
      <c r="G92" s="1328"/>
      <c r="H92" s="1328"/>
      <c r="I92" s="1328"/>
      <c r="J92" s="1328"/>
      <c r="K92" s="1328"/>
      <c r="L92" s="1328"/>
      <c r="M92" s="1328"/>
      <c r="N92" s="1328"/>
      <c r="O92" s="1328"/>
      <c r="P92" s="1328"/>
    </row>
    <row r="93" spans="1:16" x14ac:dyDescent="0.2">
      <c r="B93" s="1328">
        <f>'Data entry'!J109</f>
        <v>0</v>
      </c>
      <c r="C93" s="1328"/>
      <c r="D93" s="1328"/>
      <c r="E93" s="1328"/>
      <c r="F93" s="1328"/>
      <c r="G93" s="1328"/>
      <c r="H93" s="1328"/>
      <c r="I93" s="1328"/>
      <c r="J93" s="1328"/>
      <c r="K93" s="1328"/>
      <c r="L93" s="1328"/>
      <c r="M93" s="1328"/>
      <c r="N93" s="1328"/>
      <c r="O93" s="1328"/>
      <c r="P93" s="1328"/>
    </row>
    <row r="94" spans="1:16" x14ac:dyDescent="0.2">
      <c r="B94" s="1328">
        <f>'Data entry'!J110</f>
        <v>0</v>
      </c>
      <c r="C94" s="1328"/>
      <c r="D94" s="1328"/>
      <c r="E94" s="1328"/>
      <c r="F94" s="1328"/>
      <c r="G94" s="1328"/>
      <c r="H94" s="1328"/>
      <c r="I94" s="1328"/>
      <c r="J94" s="1328"/>
      <c r="K94" s="1328"/>
      <c r="L94" s="1328"/>
      <c r="M94" s="1328"/>
      <c r="N94" s="1328"/>
      <c r="O94" s="1328"/>
      <c r="P94" s="1328"/>
    </row>
    <row r="95" spans="1:16" x14ac:dyDescent="0.2">
      <c r="B95" s="1328">
        <f>'Data entry'!J111</f>
        <v>0</v>
      </c>
      <c r="C95" s="1328"/>
      <c r="D95" s="1328"/>
      <c r="E95" s="1328"/>
      <c r="F95" s="1328"/>
      <c r="G95" s="1328"/>
      <c r="H95" s="1328"/>
      <c r="I95" s="1328"/>
      <c r="J95" s="1328"/>
      <c r="K95" s="1328"/>
      <c r="L95" s="1328"/>
      <c r="M95" s="1328"/>
      <c r="N95" s="1328"/>
      <c r="O95" s="1328"/>
      <c r="P95" s="1328"/>
    </row>
    <row r="96" spans="1:16" x14ac:dyDescent="0.2">
      <c r="B96" s="1328">
        <f>'Data entry'!J112</f>
        <v>0</v>
      </c>
      <c r="C96" s="1328"/>
      <c r="D96" s="1328"/>
      <c r="E96" s="1328"/>
      <c r="F96" s="1328"/>
      <c r="G96" s="1328"/>
      <c r="H96" s="1328"/>
      <c r="I96" s="1328"/>
      <c r="J96" s="1328"/>
      <c r="K96" s="1328"/>
      <c r="L96" s="1328"/>
      <c r="M96" s="1328"/>
      <c r="N96" s="1328"/>
      <c r="O96" s="1328"/>
      <c r="P96" s="1328"/>
    </row>
    <row r="97" spans="2:16" x14ac:dyDescent="0.2">
      <c r="B97" s="1328">
        <f>'Data entry'!J113</f>
        <v>0</v>
      </c>
      <c r="C97" s="1328"/>
      <c r="D97" s="1328"/>
      <c r="E97" s="1328"/>
      <c r="F97" s="1328"/>
      <c r="G97" s="1328"/>
      <c r="H97" s="1328"/>
      <c r="I97" s="1328"/>
      <c r="J97" s="1328"/>
      <c r="K97" s="1328"/>
      <c r="L97" s="1328"/>
      <c r="M97" s="1328"/>
      <c r="N97" s="1328"/>
      <c r="O97" s="1328"/>
      <c r="P97" s="1328"/>
    </row>
    <row r="98" spans="2:16" x14ac:dyDescent="0.2">
      <c r="B98" s="1329">
        <f>'Data entry'!J114</f>
        <v>0</v>
      </c>
      <c r="C98" s="1329"/>
      <c r="D98" s="1329"/>
      <c r="E98" s="1329"/>
      <c r="F98" s="1329"/>
      <c r="G98" s="1329"/>
      <c r="H98" s="1329"/>
      <c r="I98" s="1329"/>
      <c r="J98" s="1329"/>
      <c r="K98" s="1329"/>
      <c r="L98" s="1329"/>
      <c r="M98" s="1329"/>
      <c r="N98" s="1329"/>
      <c r="O98" s="1329"/>
      <c r="P98" s="1329"/>
    </row>
  </sheetData>
  <sheetProtection selectLockedCells="1" selectUnlockedCells="1"/>
  <mergeCells count="87">
    <mergeCell ref="D16:E16"/>
    <mergeCell ref="D2:J2"/>
    <mergeCell ref="C4:J4"/>
    <mergeCell ref="F9:G9"/>
    <mergeCell ref="F10:G10"/>
    <mergeCell ref="F11:G11"/>
    <mergeCell ref="D17:F17"/>
    <mergeCell ref="F18:I18"/>
    <mergeCell ref="F19:I19"/>
    <mergeCell ref="F20:I20"/>
    <mergeCell ref="A21:B21"/>
    <mergeCell ref="D21:E21"/>
    <mergeCell ref="E23:F23"/>
    <mergeCell ref="D24:G24"/>
    <mergeCell ref="G25:L25"/>
    <mergeCell ref="D27:E27"/>
    <mergeCell ref="F30:G30"/>
    <mergeCell ref="L30:M30"/>
    <mergeCell ref="F31:G31"/>
    <mergeCell ref="L31:M31"/>
    <mergeCell ref="F32:G32"/>
    <mergeCell ref="L32:M32"/>
    <mergeCell ref="F33:G33"/>
    <mergeCell ref="L33:M33"/>
    <mergeCell ref="F34:G34"/>
    <mergeCell ref="L34:M34"/>
    <mergeCell ref="F35:G35"/>
    <mergeCell ref="L35:M35"/>
    <mergeCell ref="F36:G36"/>
    <mergeCell ref="L36:M36"/>
    <mergeCell ref="F37:G37"/>
    <mergeCell ref="L37:M37"/>
    <mergeCell ref="F38:G38"/>
    <mergeCell ref="L38:M38"/>
    <mergeCell ref="F39:G39"/>
    <mergeCell ref="L39:M39"/>
    <mergeCell ref="F40:G40"/>
    <mergeCell ref="L40:M40"/>
    <mergeCell ref="F41:G41"/>
    <mergeCell ref="L41:M41"/>
    <mergeCell ref="F42:G42"/>
    <mergeCell ref="L42:M42"/>
    <mergeCell ref="F43:G43"/>
    <mergeCell ref="L43:M43"/>
    <mergeCell ref="F44:G44"/>
    <mergeCell ref="L44:M44"/>
    <mergeCell ref="F45:G45"/>
    <mergeCell ref="L45:M45"/>
    <mergeCell ref="F46:G46"/>
    <mergeCell ref="L46:M46"/>
    <mergeCell ref="F47:G47"/>
    <mergeCell ref="L47:M47"/>
    <mergeCell ref="F48:G48"/>
    <mergeCell ref="L48:M48"/>
    <mergeCell ref="F49:G49"/>
    <mergeCell ref="L49:M49"/>
    <mergeCell ref="F50:G50"/>
    <mergeCell ref="L50:M50"/>
    <mergeCell ref="F51:G51"/>
    <mergeCell ref="L51:M51"/>
    <mergeCell ref="F52:G52"/>
    <mergeCell ref="L52:M52"/>
    <mergeCell ref="F63:J63"/>
    <mergeCell ref="F64:J64"/>
    <mergeCell ref="F67:G67"/>
    <mergeCell ref="L67:M67"/>
    <mergeCell ref="B89:P89"/>
    <mergeCell ref="F68:G68"/>
    <mergeCell ref="L68:M68"/>
    <mergeCell ref="A75:B75"/>
    <mergeCell ref="F77:G77"/>
    <mergeCell ref="D78:E78"/>
    <mergeCell ref="D79:E79"/>
    <mergeCell ref="D80:E80"/>
    <mergeCell ref="D81:E81"/>
    <mergeCell ref="A83:B83"/>
    <mergeCell ref="D85:G85"/>
    <mergeCell ref="D86:G86"/>
    <mergeCell ref="B96:P96"/>
    <mergeCell ref="B97:P97"/>
    <mergeCell ref="B98:P98"/>
    <mergeCell ref="B90:P90"/>
    <mergeCell ref="B91:P91"/>
    <mergeCell ref="B92:P92"/>
    <mergeCell ref="B93:P93"/>
    <mergeCell ref="B94:P94"/>
    <mergeCell ref="B95:P95"/>
  </mergeCells>
  <pageMargins left="0.7" right="0.7" top="0.75" bottom="0.75" header="0.51180555555555551" footer="0.51180555555555551"/>
  <pageSetup firstPageNumber="0" orientation="portrait" horizontalDpi="300" verticalDpi="300"/>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9"/>
  <sheetViews>
    <sheetView zoomScale="80" zoomScaleNormal="80" workbookViewId="0">
      <selection activeCell="N21" sqref="N21"/>
    </sheetView>
  </sheetViews>
  <sheetFormatPr defaultColWidth="8.7109375" defaultRowHeight="12.75" x14ac:dyDescent="0.2"/>
  <cols>
    <col min="1" max="1" width="8.7109375" style="18"/>
    <col min="2" max="2" width="11.7109375" style="18" customWidth="1"/>
    <col min="3" max="5" width="8.7109375" style="18"/>
    <col min="6" max="6" width="11.28515625" style="18" customWidth="1"/>
    <col min="7" max="16384" width="8.7109375" style="18"/>
  </cols>
  <sheetData>
    <row r="1" spans="2:17" x14ac:dyDescent="0.2">
      <c r="B1" s="18" t="s">
        <v>611</v>
      </c>
      <c r="D1" s="18" t="s">
        <v>612</v>
      </c>
      <c r="F1" s="18" t="s">
        <v>613</v>
      </c>
      <c r="H1" s="18" t="s">
        <v>614</v>
      </c>
      <c r="J1" s="18" t="s">
        <v>615</v>
      </c>
      <c r="M1" s="18" t="s">
        <v>616</v>
      </c>
      <c r="O1" s="18" t="s">
        <v>617</v>
      </c>
      <c r="Q1" s="18" t="s">
        <v>618</v>
      </c>
    </row>
    <row r="3" spans="2:17" ht="25.5" x14ac:dyDescent="0.2">
      <c r="B3" s="18" t="s">
        <v>619</v>
      </c>
      <c r="D3" s="18" t="s">
        <v>620</v>
      </c>
      <c r="F3" s="18" t="s">
        <v>348</v>
      </c>
      <c r="H3" s="18" t="s">
        <v>142</v>
      </c>
      <c r="J3" s="18" t="s">
        <v>215</v>
      </c>
      <c r="K3" s="18" t="s">
        <v>409</v>
      </c>
      <c r="M3" s="18" t="s">
        <v>621</v>
      </c>
      <c r="O3" s="18" t="s">
        <v>622</v>
      </c>
      <c r="Q3" s="575" t="s">
        <v>623</v>
      </c>
    </row>
    <row r="4" spans="2:17" ht="25.5" x14ac:dyDescent="0.2">
      <c r="B4" s="18" t="s">
        <v>624</v>
      </c>
      <c r="D4" s="576" t="s">
        <v>625</v>
      </c>
      <c r="F4" s="18" t="s">
        <v>626</v>
      </c>
      <c r="H4" s="18" t="s">
        <v>627</v>
      </c>
      <c r="J4" s="18" t="s">
        <v>628</v>
      </c>
      <c r="K4" s="18" t="s">
        <v>629</v>
      </c>
      <c r="M4" s="18" t="s">
        <v>630</v>
      </c>
      <c r="O4" s="18" t="s">
        <v>631</v>
      </c>
      <c r="Q4" s="575" t="s">
        <v>632</v>
      </c>
    </row>
    <row r="5" spans="2:17" ht="38.25" x14ac:dyDescent="0.2">
      <c r="B5" s="18" t="s">
        <v>633</v>
      </c>
      <c r="D5" s="576" t="s">
        <v>634</v>
      </c>
      <c r="J5" s="18" t="s">
        <v>635</v>
      </c>
      <c r="K5" s="18" t="s">
        <v>413</v>
      </c>
      <c r="Q5" s="575" t="s">
        <v>636</v>
      </c>
    </row>
    <row r="6" spans="2:17" x14ac:dyDescent="0.2">
      <c r="J6" s="18" t="s">
        <v>637</v>
      </c>
      <c r="K6" s="18" t="s">
        <v>412</v>
      </c>
      <c r="Q6" s="575" t="s">
        <v>638</v>
      </c>
    </row>
    <row r="7" spans="2:17" x14ac:dyDescent="0.2">
      <c r="J7" s="18" t="s">
        <v>639</v>
      </c>
      <c r="K7" s="18" t="s">
        <v>410</v>
      </c>
      <c r="Q7" s="575"/>
    </row>
    <row r="8" spans="2:17" x14ac:dyDescent="0.2">
      <c r="J8" s="18" t="s">
        <v>640</v>
      </c>
      <c r="K8" s="18" t="s">
        <v>641</v>
      </c>
    </row>
    <row r="9" spans="2:17" x14ac:dyDescent="0.2">
      <c r="J9" s="18" t="s">
        <v>642</v>
      </c>
      <c r="K9" s="18" t="s">
        <v>643</v>
      </c>
    </row>
    <row r="10" spans="2:17" x14ac:dyDescent="0.2">
      <c r="J10" s="18" t="s">
        <v>644</v>
      </c>
      <c r="K10" s="18" t="s">
        <v>645</v>
      </c>
    </row>
    <row r="11" spans="2:17" x14ac:dyDescent="0.2">
      <c r="J11" s="18" t="s">
        <v>646</v>
      </c>
      <c r="K11" s="18" t="s">
        <v>414</v>
      </c>
    </row>
    <row r="12" spans="2:17" x14ac:dyDescent="0.2">
      <c r="J12" s="18" t="s">
        <v>647</v>
      </c>
      <c r="K12" s="18" t="s">
        <v>411</v>
      </c>
    </row>
    <row r="13" spans="2:17" x14ac:dyDescent="0.2">
      <c r="J13" s="18" t="s">
        <v>648</v>
      </c>
      <c r="K13" s="18" t="s">
        <v>649</v>
      </c>
    </row>
    <row r="14" spans="2:17" x14ac:dyDescent="0.2">
      <c r="J14" s="18" t="s">
        <v>650</v>
      </c>
    </row>
    <row r="15" spans="2:17" x14ac:dyDescent="0.2">
      <c r="J15" s="18" t="s">
        <v>638</v>
      </c>
    </row>
    <row r="16" spans="2:17" x14ac:dyDescent="0.2">
      <c r="B16" s="18" t="s">
        <v>651</v>
      </c>
      <c r="D16" s="18" t="s">
        <v>155</v>
      </c>
      <c r="F16" s="18" t="s">
        <v>167</v>
      </c>
      <c r="H16" s="18" t="s">
        <v>168</v>
      </c>
    </row>
    <row r="17" spans="2:13" x14ac:dyDescent="0.2">
      <c r="F17" s="18" t="s">
        <v>652</v>
      </c>
      <c r="H17" s="18" t="s">
        <v>653</v>
      </c>
      <c r="M17" s="18" t="s">
        <v>654</v>
      </c>
    </row>
    <row r="18" spans="2:13" x14ac:dyDescent="0.2">
      <c r="B18" s="18" t="s">
        <v>655</v>
      </c>
      <c r="D18" s="18" t="s">
        <v>656</v>
      </c>
      <c r="F18" s="18" t="s">
        <v>657</v>
      </c>
      <c r="H18" s="18" t="s">
        <v>658</v>
      </c>
      <c r="M18" s="18" t="s">
        <v>659</v>
      </c>
    </row>
    <row r="19" spans="2:13" x14ac:dyDescent="0.2">
      <c r="B19" s="18" t="s">
        <v>660</v>
      </c>
      <c r="D19" s="18" t="s">
        <v>661</v>
      </c>
      <c r="F19" s="18" t="s">
        <v>662</v>
      </c>
    </row>
  </sheetData>
  <sheetProtection selectLockedCells="1" selectUnlockedCells="1"/>
  <pageMargins left="0.7" right="0.7" top="0.75" bottom="0.75" header="0.51180555555555551" footer="0.51180555555555551"/>
  <pageSetup firstPageNumber="0" orientation="portrait" horizontalDpi="300" verticalDpi="300"/>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R179"/>
  <sheetViews>
    <sheetView zoomScale="80" zoomScaleNormal="80" workbookViewId="0">
      <selection activeCell="H4" sqref="H4:T4"/>
    </sheetView>
  </sheetViews>
  <sheetFormatPr defaultColWidth="11.5703125" defaultRowHeight="12.75" x14ac:dyDescent="0.2"/>
  <cols>
    <col min="1" max="1" width="8.85546875" style="18" customWidth="1"/>
    <col min="2" max="2" width="5.7109375" style="18" customWidth="1"/>
    <col min="3" max="3" width="6.5703125" style="18" customWidth="1"/>
    <col min="4" max="10" width="5.85546875" style="18" customWidth="1"/>
    <col min="11" max="11" width="8.42578125" style="18" customWidth="1"/>
    <col min="12" max="12" width="10" style="18" customWidth="1"/>
    <col min="13" max="13" width="8.5703125" style="18" customWidth="1"/>
    <col min="14" max="14" width="9.28515625" style="18" customWidth="1"/>
    <col min="15" max="15" width="6.42578125" style="18" customWidth="1"/>
    <col min="16" max="16" width="13.28515625" style="18" customWidth="1"/>
    <col min="17" max="18" width="8.7109375" style="18" customWidth="1"/>
    <col min="19" max="19" width="14.5703125" style="18" customWidth="1"/>
    <col min="20" max="20" width="11.7109375" style="18" customWidth="1"/>
    <col min="21" max="21" width="9.42578125" style="18" customWidth="1"/>
    <col min="22" max="22" width="5.85546875" style="18" customWidth="1"/>
    <col min="23" max="23" width="7.28515625" style="18" customWidth="1"/>
    <col min="24" max="29" width="5.85546875" style="18" customWidth="1"/>
    <col min="30" max="35" width="4.85546875" style="18" customWidth="1"/>
    <col min="36" max="36" width="6.85546875" style="18" customWidth="1"/>
    <col min="37" max="37" width="4.85546875" style="18" customWidth="1"/>
    <col min="38" max="38" width="10.7109375" style="18" customWidth="1"/>
    <col min="39" max="39" width="4.85546875" style="18" customWidth="1"/>
    <col min="40" max="67" width="5.85546875" style="18" customWidth="1"/>
    <col min="68" max="233" width="8.85546875" style="18" customWidth="1"/>
    <col min="234" max="16384" width="11.5703125" style="18"/>
  </cols>
  <sheetData>
    <row r="2" spans="1:70" ht="24" customHeight="1" x14ac:dyDescent="0.35">
      <c r="K2" s="1188" t="s">
        <v>275</v>
      </c>
      <c r="L2" s="1188"/>
      <c r="M2" s="1188"/>
      <c r="N2" s="1188"/>
      <c r="O2" s="1188"/>
      <c r="P2" s="1188"/>
      <c r="Q2" s="1188"/>
      <c r="R2" s="1188"/>
      <c r="S2" s="1188"/>
      <c r="T2" s="1188"/>
      <c r="U2" s="1188"/>
    </row>
    <row r="3" spans="1:70" ht="24" customHeight="1" x14ac:dyDescent="0.2"/>
    <row r="4" spans="1:70" ht="24.75" customHeight="1" x14ac:dyDescent="0.35">
      <c r="H4" s="1380" t="s">
        <v>259</v>
      </c>
      <c r="I4" s="1380"/>
      <c r="J4" s="1380"/>
      <c r="K4" s="1380"/>
      <c r="L4" s="1380"/>
      <c r="M4" s="1381" t="str">
        <f>'Data entry'!L2</f>
        <v>Phillips</v>
      </c>
      <c r="N4" s="1381"/>
      <c r="O4" s="1381"/>
      <c r="P4" s="1381"/>
      <c r="Q4" s="1381"/>
      <c r="R4" s="1381"/>
      <c r="S4" s="1381"/>
      <c r="T4" s="1381"/>
    </row>
    <row r="5" spans="1:70" ht="24.75" customHeight="1" x14ac:dyDescent="0.2">
      <c r="A5" s="174"/>
    </row>
    <row r="6" spans="1:70" ht="32.25" customHeight="1" x14ac:dyDescent="0.35">
      <c r="A6" s="287"/>
      <c r="H6" s="1380" t="s">
        <v>276</v>
      </c>
      <c r="I6" s="1380"/>
      <c r="J6" s="1380"/>
      <c r="K6" s="288">
        <f>'Data entry'!Q10</f>
        <v>30</v>
      </c>
      <c r="M6" s="1382" t="s">
        <v>277</v>
      </c>
      <c r="N6" s="1382"/>
      <c r="O6" s="1382"/>
      <c r="P6" s="1382"/>
      <c r="Q6" s="288">
        <f>R6/12</f>
        <v>14</v>
      </c>
      <c r="R6" s="289">
        <f>'Data entry'!Q11</f>
        <v>168</v>
      </c>
    </row>
    <row r="7" spans="1:70" ht="24.75" customHeight="1" x14ac:dyDescent="0.25">
      <c r="A7" s="287"/>
    </row>
    <row r="8" spans="1:70" ht="24.75" customHeight="1" x14ac:dyDescent="0.3">
      <c r="A8" s="287"/>
      <c r="H8" s="1383" t="s">
        <v>278</v>
      </c>
      <c r="I8" s="1383"/>
      <c r="J8" s="1383"/>
      <c r="K8" s="1383"/>
      <c r="L8" s="1383"/>
      <c r="M8" s="1383"/>
      <c r="N8" s="1383"/>
      <c r="O8" s="1383"/>
      <c r="P8" s="1383"/>
      <c r="Q8" s="290" t="s">
        <v>69</v>
      </c>
      <c r="R8" s="290" t="b">
        <f>IF('Data entry'!S20=8,"7 1/4",IF('Data entry'!S20=10,"9 1/4",IF('Data entry'!S20=12,"11 1/4",IF('Data entry'!S20=9.5,"9.5"))))</f>
        <v>0</v>
      </c>
      <c r="S8" s="290" t="s">
        <v>71</v>
      </c>
      <c r="T8" s="290">
        <v>5.5</v>
      </c>
    </row>
    <row r="9" spans="1:70" ht="19.5" customHeight="1" x14ac:dyDescent="0.3">
      <c r="A9" s="287"/>
      <c r="H9" s="1375" t="s">
        <v>279</v>
      </c>
      <c r="I9" s="1375"/>
      <c r="J9" s="1375"/>
      <c r="K9" s="1375"/>
      <c r="L9" s="1375"/>
      <c r="M9" s="1375"/>
      <c r="N9" s="1375"/>
      <c r="O9" s="1375"/>
      <c r="P9" s="1375"/>
      <c r="Q9" s="1376" t="str">
        <f>'Data entry'!Q27</f>
        <v>Fir</v>
      </c>
      <c r="R9" s="1376"/>
      <c r="S9" s="1376"/>
      <c r="T9" s="1376"/>
    </row>
    <row r="10" spans="1:70" ht="28.5" customHeight="1" x14ac:dyDescent="0.25">
      <c r="A10" s="287"/>
    </row>
    <row r="11" spans="1:70" ht="16.5" customHeight="1" x14ac:dyDescent="0.25">
      <c r="A11" s="287"/>
    </row>
    <row r="12" spans="1:70" ht="42" customHeight="1" x14ac:dyDescent="0.3">
      <c r="A12" s="291"/>
      <c r="C12" s="1377" t="s">
        <v>280</v>
      </c>
      <c r="D12" s="1377"/>
      <c r="E12" s="1377"/>
      <c r="F12" s="1377"/>
      <c r="G12" s="1377"/>
      <c r="H12" s="1377"/>
      <c r="I12" s="1377"/>
      <c r="J12" s="1377"/>
      <c r="K12" s="1377"/>
      <c r="L12" s="1375" t="s">
        <v>281</v>
      </c>
      <c r="M12" s="1375"/>
      <c r="N12" s="1375"/>
      <c r="O12" s="1375"/>
      <c r="P12" s="1378" t="s">
        <v>282</v>
      </c>
      <c r="Q12" s="1378"/>
      <c r="R12" s="1378"/>
      <c r="S12" s="1378"/>
      <c r="T12" s="292" t="s">
        <v>14</v>
      </c>
      <c r="U12" s="1379" t="s">
        <v>283</v>
      </c>
      <c r="V12" s="1379"/>
      <c r="W12" s="1379"/>
      <c r="X12" s="1379"/>
      <c r="Y12" s="1379"/>
      <c r="Z12" s="1379"/>
      <c r="AA12" s="1379"/>
      <c r="AB12" s="1379"/>
      <c r="AF12" s="293"/>
      <c r="AG12" s="293"/>
      <c r="AH12" s="293"/>
      <c r="AI12" s="293"/>
      <c r="AJ12" s="293"/>
      <c r="AK12" s="293"/>
      <c r="AL12" s="293"/>
      <c r="AM12" s="293"/>
      <c r="AN12" s="293"/>
      <c r="AO12" s="293"/>
      <c r="AP12" s="293"/>
      <c r="AQ12" s="293"/>
      <c r="AR12" s="293"/>
      <c r="AS12" s="293"/>
    </row>
    <row r="13" spans="1:70" ht="42" customHeight="1" x14ac:dyDescent="0.2">
      <c r="A13" s="294"/>
      <c r="C13" s="1374" t="s">
        <v>284</v>
      </c>
      <c r="D13" s="1374"/>
      <c r="E13" s="1374"/>
      <c r="F13" s="1374"/>
      <c r="G13" s="1374"/>
      <c r="H13" s="1374"/>
      <c r="I13" s="1374"/>
      <c r="J13" s="1374"/>
      <c r="K13" s="1374"/>
      <c r="L13" s="907" t="str">
        <f>IF(R6=96,"2x6x16",IF(R6=108,"2x6x18",IF(R6=120,"2x6x20",IF(R6=132,"2x6x12",IF(R6=144,"2x6x12",IF(R6&gt;=168,"2x6x14"))))))</f>
        <v>2x6x14</v>
      </c>
      <c r="M13" s="907"/>
      <c r="N13" s="907"/>
      <c r="O13" s="907"/>
      <c r="P13" s="1373" t="e">
        <f>IF(P14&gt;0,SUM('Data entry'!Q31-P14+(2*('Data entry'!AD98))),'Data entry'!Q31+(2*('Data entry'!AD98)))</f>
        <v>#REF!</v>
      </c>
      <c r="Q13" s="1373"/>
      <c r="R13" s="1373"/>
      <c r="S13" s="1373"/>
      <c r="T13" s="295" t="s">
        <v>14</v>
      </c>
      <c r="U13" s="1371">
        <f>SUM(R6-4.5)</f>
        <v>163.5</v>
      </c>
      <c r="V13" s="1371"/>
      <c r="W13" s="1371"/>
      <c r="X13" s="1371"/>
      <c r="Y13" s="1371"/>
      <c r="Z13" s="1371"/>
      <c r="AA13" s="1371"/>
      <c r="AB13" s="1371"/>
      <c r="AF13" s="293"/>
      <c r="AG13" s="293"/>
      <c r="AH13" s="293"/>
      <c r="AI13" s="293"/>
      <c r="AJ13" s="293"/>
      <c r="AK13" s="293"/>
      <c r="AL13" s="293"/>
      <c r="AM13" s="293"/>
      <c r="AN13" s="293"/>
      <c r="AO13" s="293"/>
      <c r="AP13" s="293"/>
      <c r="AQ13" s="293"/>
      <c r="AR13" s="293"/>
      <c r="AS13" s="293"/>
      <c r="AY13" s="1253" t="e">
        <f>{#VALUE!}</f>
        <v>#VALUE!</v>
      </c>
      <c r="AZ13" s="1253"/>
      <c r="BA13" s="1253"/>
      <c r="BB13" s="1253"/>
      <c r="BC13" s="1253"/>
      <c r="BD13" s="1253"/>
      <c r="BE13" s="1253"/>
      <c r="BF13" s="1253"/>
      <c r="BG13" s="1253"/>
      <c r="BH13" s="1253"/>
      <c r="BI13" s="1253"/>
      <c r="BJ13" s="1253"/>
      <c r="BK13" s="1253"/>
      <c r="BL13" s="1253"/>
      <c r="BM13" s="1253"/>
      <c r="BN13" s="1253"/>
      <c r="BO13" s="1253"/>
      <c r="BP13" s="1253"/>
      <c r="BQ13" s="1253"/>
      <c r="BR13" s="1253"/>
    </row>
    <row r="14" spans="1:70" ht="42" customHeight="1" x14ac:dyDescent="0.2">
      <c r="A14" s="283"/>
      <c r="C14" s="1365" t="e">
        <f>IF(P14=" "," ","2x6 Studs w/ notch for 2x12 blocking               (see shop drawings)")</f>
        <v>#REF!</v>
      </c>
      <c r="D14" s="1365"/>
      <c r="E14" s="1365"/>
      <c r="F14" s="1365"/>
      <c r="G14" s="1365"/>
      <c r="H14" s="1365"/>
      <c r="I14" s="1365"/>
      <c r="J14" s="1365"/>
      <c r="K14" s="1365"/>
      <c r="L14" s="907" t="e">
        <f>IF($P14=" "," ",IF($R$6=96,"2x6x16",IF($R$6=108,"2x6x18",IF($R$6=120,"2x6x20",IF($R$6=132,"2x6x12",IF($R$6=144,"2x6x12",IF($R$6=168,"2x6x14")))))))</f>
        <v>#REF!</v>
      </c>
      <c r="M14" s="907"/>
      <c r="N14" s="907"/>
      <c r="O14" s="907"/>
      <c r="P14" s="1373" t="e">
        <f>IF(SUM('Data entry'!#REF!)&gt;0,SUM('Data entry'!#REF!),0)</f>
        <v>#REF!</v>
      </c>
      <c r="Q14" s="1373"/>
      <c r="R14" s="1373"/>
      <c r="S14" s="1373"/>
      <c r="T14" s="295" t="e">
        <f t="shared" ref="T14:T24" si="0">IF(P14=" "," ","@")</f>
        <v>#REF!</v>
      </c>
      <c r="U14" s="1371" t="e">
        <f>IF(P14=" "," ",SUM($R$6-4.5))</f>
        <v>#REF!</v>
      </c>
      <c r="V14" s="1371"/>
      <c r="W14" s="1371"/>
      <c r="X14" s="1371"/>
      <c r="Y14" s="1371"/>
      <c r="Z14" s="1371"/>
      <c r="AA14" s="1371"/>
      <c r="AB14" s="1371"/>
      <c r="AF14" s="296" t="e">
        <f>IF(P13&gt;0,P13,IF(P14&gt;0,P14))</f>
        <v>#REF!</v>
      </c>
      <c r="AG14" s="293"/>
      <c r="AH14" s="293"/>
      <c r="AI14" s="293"/>
      <c r="AJ14" s="293"/>
      <c r="AK14" s="293"/>
      <c r="AL14" s="293"/>
      <c r="AM14" s="293"/>
      <c r="AN14" s="293"/>
      <c r="AO14" s="293"/>
      <c r="AP14" s="293"/>
      <c r="AQ14" s="293"/>
      <c r="AR14" s="293"/>
      <c r="AS14" s="293"/>
    </row>
    <row r="15" spans="1:70" ht="42" customHeight="1" x14ac:dyDescent="0.25">
      <c r="A15" s="283"/>
      <c r="C15" s="1365" t="e">
        <f>IF(P15=0," ","2 x 6 King Studs                                                               ( Door Walls)")</f>
        <v>#REF!</v>
      </c>
      <c r="D15" s="1365"/>
      <c r="E15" s="1365"/>
      <c r="F15" s="1365"/>
      <c r="G15" s="1365"/>
      <c r="H15" s="1365"/>
      <c r="I15" s="1365"/>
      <c r="J15" s="1365"/>
      <c r="K15" s="1365"/>
      <c r="L15" s="907" t="e">
        <f>IF($P15=0," ",IF($R$6=96,"2x6x16",IF($R$6=108,"2x6x18",IF($R$6=120,"2x6x20",IF($R$6=132,"2x6x12",IF($R$6=144,"2x6x12",IF($R$6=168,"2x6x14")))))))</f>
        <v>#REF!</v>
      </c>
      <c r="M15" s="907"/>
      <c r="N15" s="907"/>
      <c r="O15" s="907"/>
      <c r="P15" s="1373" t="e">
        <f>IF(AH15=0,0,IF(AF15&lt;0.5,0,AF15))</f>
        <v>#REF!</v>
      </c>
      <c r="Q15" s="1373"/>
      <c r="R15" s="1373"/>
      <c r="S15" s="1373"/>
      <c r="T15" s="295" t="e">
        <f t="shared" si="0"/>
        <v>#REF!</v>
      </c>
      <c r="U15" s="1371" t="e">
        <f>IF(P15=" "," ",SUM($R$6-4.5))</f>
        <v>#REF!</v>
      </c>
      <c r="V15" s="1371"/>
      <c r="W15" s="1371"/>
      <c r="X15" s="1371"/>
      <c r="Y15" s="1371"/>
      <c r="Z15" s="1371"/>
      <c r="AA15" s="1371"/>
      <c r="AB15" s="1371"/>
      <c r="AF15" s="297" t="e">
        <f>IF($P16&gt;=2,SUM((AH15*2)-$P16),IF(AH15=0," ",SUM(AH15*2)))</f>
        <v>#REF!</v>
      </c>
      <c r="AG15" s="298"/>
      <c r="AH15" s="298">
        <f>'Data entry'!J95</f>
        <v>1</v>
      </c>
      <c r="AI15" s="298"/>
      <c r="AJ15" s="293"/>
      <c r="AK15" s="293"/>
      <c r="AL15" s="293"/>
      <c r="AM15" s="293"/>
      <c r="AR15" s="293"/>
      <c r="AS15" s="293"/>
    </row>
    <row r="16" spans="1:70" ht="42" customHeight="1" x14ac:dyDescent="0.2">
      <c r="A16" s="294"/>
      <c r="C16" s="1365" t="e">
        <f>IF(P16=" "," ","2 x 6 King Studs w/ notch for 2x12 blocking          (Door Walls)")</f>
        <v>#REF!</v>
      </c>
      <c r="D16" s="1365"/>
      <c r="E16" s="1365"/>
      <c r="F16" s="1365"/>
      <c r="G16" s="1365"/>
      <c r="H16" s="1365"/>
      <c r="I16" s="1365"/>
      <c r="J16" s="1365"/>
      <c r="K16" s="1365"/>
      <c r="L16" s="907" t="e">
        <f>IF($P16=" "," ",IF($R$6=96,"2x6x16",IF($R$6=108,"2x6x18",IF($R$6=120,"2x6x20",IF($R$6=132,"2x6x12",IF($R$6=144,"2x6x12",IF($R$6=168,"2x6x14")))))))</f>
        <v>#REF!</v>
      </c>
      <c r="M16" s="907"/>
      <c r="N16" s="907"/>
      <c r="O16" s="907"/>
      <c r="P16" s="1373" t="e">
        <f>IF('Data entry'!#REF!&lt;1,0,SUM('Data entry'!#REF!*2))</f>
        <v>#REF!</v>
      </c>
      <c r="Q16" s="1373"/>
      <c r="R16" s="1373"/>
      <c r="S16" s="1373"/>
      <c r="T16" s="295" t="e">
        <f t="shared" si="0"/>
        <v>#REF!</v>
      </c>
      <c r="U16" s="1371" t="e">
        <f>IF(P16=" "," ",SUM($R$6-4.5))</f>
        <v>#REF!</v>
      </c>
      <c r="V16" s="1371"/>
      <c r="W16" s="1371"/>
      <c r="X16" s="1371"/>
      <c r="Y16" s="1371"/>
      <c r="Z16" s="1371"/>
      <c r="AA16" s="1371"/>
      <c r="AB16" s="1371"/>
      <c r="AF16" s="293"/>
      <c r="AG16" s="293"/>
      <c r="AH16" s="293" t="e">
        <f>'Data entry'!#REF!</f>
        <v>#REF!</v>
      </c>
      <c r="AI16" s="293"/>
      <c r="AJ16" s="293"/>
      <c r="AK16" s="293"/>
      <c r="AL16" s="293"/>
      <c r="AM16" s="293"/>
      <c r="AN16" s="293"/>
      <c r="AO16" s="293"/>
      <c r="AP16" s="293"/>
      <c r="AQ16" s="293"/>
      <c r="AR16" s="293"/>
      <c r="AS16" s="293"/>
    </row>
    <row r="17" spans="1:45" ht="42" customHeight="1" x14ac:dyDescent="0.3">
      <c r="A17" s="299"/>
      <c r="C17" s="1372" t="str">
        <f>IF(P17=" "," ","    2 x 8 Corner studs")</f>
        <v xml:space="preserve">    2 x 8 Corner studs</v>
      </c>
      <c r="D17" s="1372"/>
      <c r="E17" s="1372"/>
      <c r="F17" s="1372"/>
      <c r="G17" s="1372"/>
      <c r="H17" s="1372"/>
      <c r="I17" s="1372"/>
      <c r="J17" s="1372"/>
      <c r="K17" s="1372"/>
      <c r="L17" s="1370" t="str">
        <f>IF($P17=" "," ",IF($R$6=96,"2x8x16",IF($R$6=108,"2x8x18",IF($R$6=120,"2x8x20",IF($R$6=132,"2x8x12",IF($R$6=144,"2x8x12",IF($R$6=168,"2x8x14")))))))</f>
        <v>2x8x14</v>
      </c>
      <c r="M17" s="1370"/>
      <c r="N17" s="1370"/>
      <c r="O17" s="1370"/>
      <c r="P17" s="1263">
        <f>IF($K$6=20,"32",IF($K$6=25,"40",IF($K$6=30,48,IF($K$6=35,"54",IF($K$6=41,"64")))))-IF(Q6&lt;11,('Data entry'!AD98*3),('Data entry'!AD98*4))</f>
        <v>44</v>
      </c>
      <c r="Q17" s="1263"/>
      <c r="R17" s="1263"/>
      <c r="S17" s="1263"/>
      <c r="T17" s="295" t="str">
        <f t="shared" si="0"/>
        <v>@</v>
      </c>
      <c r="U17" s="1371">
        <f>IF(P17=" "," ",SUM($R$6-4.5))</f>
        <v>163.5</v>
      </c>
      <c r="V17" s="1371"/>
      <c r="W17" s="1371"/>
      <c r="X17" s="1371"/>
      <c r="Y17" s="1371"/>
      <c r="Z17" s="1371"/>
      <c r="AA17" s="1371"/>
      <c r="AB17" s="1371"/>
      <c r="AF17" s="293"/>
      <c r="AG17" s="293"/>
      <c r="AH17" s="293"/>
      <c r="AI17" s="293"/>
      <c r="AJ17" s="293"/>
      <c r="AK17" s="293"/>
      <c r="AL17" s="293"/>
      <c r="AM17" s="293"/>
      <c r="AN17" s="293"/>
      <c r="AO17" s="293"/>
      <c r="AP17" s="293"/>
      <c r="AQ17" s="293"/>
      <c r="AR17" s="293"/>
      <c r="AS17" s="293"/>
    </row>
    <row r="18" spans="1:45" ht="42" customHeight="1" x14ac:dyDescent="0.2">
      <c r="A18" s="9"/>
      <c r="C18" s="1372" t="e">
        <f>IF(P18=" "," ","2 x 6 Jack Studs ")</f>
        <v>#REF!</v>
      </c>
      <c r="D18" s="1372"/>
      <c r="E18" s="1372"/>
      <c r="F18" s="1372"/>
      <c r="G18" s="1372"/>
      <c r="H18" s="1372"/>
      <c r="I18" s="1372"/>
      <c r="J18" s="1372"/>
      <c r="K18" s="1372"/>
      <c r="L18" s="907" t="e">
        <f>IF(P18=" "," ","2x6x16")</f>
        <v>#REF!</v>
      </c>
      <c r="M18" s="907"/>
      <c r="N18" s="907"/>
      <c r="O18" s="907"/>
      <c r="P18" s="1263" t="e">
        <f>IF(SUM(P15+P16)=0," ",SUM(P15+P16))</f>
        <v>#REF!</v>
      </c>
      <c r="Q18" s="1263"/>
      <c r="R18" s="1263"/>
      <c r="S18" s="1263"/>
      <c r="T18" s="295" t="e">
        <f t="shared" si="0"/>
        <v>#REF!</v>
      </c>
      <c r="U18" s="1308">
        <v>82</v>
      </c>
      <c r="V18" s="1308"/>
      <c r="W18" s="1308"/>
      <c r="X18" s="1308"/>
      <c r="Y18" s="1308"/>
      <c r="Z18" s="1308"/>
      <c r="AA18" s="1308"/>
      <c r="AB18" s="1308"/>
      <c r="AF18" s="293"/>
      <c r="AG18" s="293"/>
      <c r="AH18" s="293"/>
      <c r="AI18" s="293"/>
      <c r="AJ18" s="293" t="e">
        <f>IF(SUM(P15+P16)=0," ",SUM(P15+P16))</f>
        <v>#REF!</v>
      </c>
      <c r="AK18" s="293"/>
      <c r="AL18" s="293"/>
      <c r="AM18" s="293"/>
      <c r="AN18" s="293"/>
      <c r="AO18" s="293"/>
      <c r="AP18" s="293"/>
      <c r="AQ18" s="293"/>
      <c r="AR18" s="293"/>
      <c r="AS18" s="293"/>
    </row>
    <row r="19" spans="1:45" ht="42" customHeight="1" x14ac:dyDescent="0.2">
      <c r="A19" s="9"/>
      <c r="C19" s="1369" t="str">
        <f>IF(P19=" "," ","    2 x 8 King Studs (Fr. Drs.)")</f>
        <v xml:space="preserve">    2 x 8 King Studs (Fr. Drs.)</v>
      </c>
      <c r="D19" s="1369"/>
      <c r="E19" s="1369"/>
      <c r="F19" s="1369"/>
      <c r="G19" s="1369"/>
      <c r="H19" s="1369"/>
      <c r="I19" s="1369"/>
      <c r="J19" s="1369"/>
      <c r="K19" s="1369"/>
      <c r="L19" s="1370" t="str">
        <f>IF($P19=" "," ",IF($R$6=96,"2x8x16",IF($R$6=108,"2x8x18",IF($R$6=120,"2x8x20",IF($R$6=132,"2x8x12",IF($R$6=144,"2x8x12",IF($R$6=168,"2x8x14")))))))</f>
        <v>2x8x14</v>
      </c>
      <c r="M19" s="1370"/>
      <c r="N19" s="1370"/>
      <c r="O19" s="1370"/>
      <c r="P19" s="1263">
        <f>IF('Data entry'!AD98&gt;0.5,SUM('Data entry'!AD98*2)," ")</f>
        <v>2</v>
      </c>
      <c r="Q19" s="1263"/>
      <c r="R19" s="1263"/>
      <c r="S19" s="1263"/>
      <c r="T19" s="295" t="str">
        <f t="shared" si="0"/>
        <v>@</v>
      </c>
      <c r="U19" s="1371">
        <f>IF(P19=" "," ",SUM($R$6-4.5))</f>
        <v>163.5</v>
      </c>
      <c r="V19" s="1371"/>
      <c r="W19" s="1371"/>
      <c r="X19" s="1371"/>
      <c r="Y19" s="1371"/>
      <c r="Z19" s="1371"/>
      <c r="AA19" s="1371"/>
      <c r="AB19" s="1371"/>
      <c r="AF19" s="293"/>
      <c r="AG19" s="293"/>
      <c r="AH19" s="293"/>
      <c r="AI19" s="293"/>
      <c r="AJ19" s="293"/>
      <c r="AK19" s="293"/>
      <c r="AL19" s="293"/>
      <c r="AM19" s="293"/>
      <c r="AN19" s="293"/>
      <c r="AO19" s="293"/>
      <c r="AP19" s="293"/>
      <c r="AQ19" s="293"/>
      <c r="AR19" s="293"/>
      <c r="AS19" s="293"/>
    </row>
    <row r="20" spans="1:45" ht="42" customHeight="1" x14ac:dyDescent="0.2">
      <c r="C20" s="1369" t="str">
        <f>IF(P20=" "," ","    2 x 6 Jack Studs   (Fr. Drs.)")</f>
        <v xml:space="preserve">    2 x 6 Jack Studs   (Fr. Drs.)</v>
      </c>
      <c r="D20" s="1369"/>
      <c r="E20" s="1369"/>
      <c r="F20" s="1369"/>
      <c r="G20" s="1369"/>
      <c r="H20" s="1369"/>
      <c r="I20" s="1369"/>
      <c r="J20" s="1369"/>
      <c r="K20" s="1369"/>
      <c r="L20" s="907" t="str">
        <f>IF($P20=" "," ","2x6x16")</f>
        <v>2x6x16</v>
      </c>
      <c r="M20" s="907"/>
      <c r="N20" s="907"/>
      <c r="O20" s="907"/>
      <c r="P20" s="1263">
        <f>IF(P19&gt;0,P19," ")</f>
        <v>2</v>
      </c>
      <c r="Q20" s="1263"/>
      <c r="R20" s="1263"/>
      <c r="S20" s="1263"/>
      <c r="T20" s="295" t="str">
        <f t="shared" si="0"/>
        <v>@</v>
      </c>
      <c r="U20" s="1308">
        <f>IF($P20=" "," ",82)</f>
        <v>82</v>
      </c>
      <c r="V20" s="1308"/>
      <c r="W20" s="1308"/>
      <c r="X20" s="1308"/>
      <c r="Y20" s="1308"/>
      <c r="Z20" s="1308"/>
      <c r="AA20" s="1308"/>
      <c r="AB20" s="1308"/>
      <c r="AF20" s="293"/>
      <c r="AG20" s="293"/>
      <c r="AH20" s="293"/>
      <c r="AI20" s="293"/>
      <c r="AJ20" s="293"/>
      <c r="AK20" s="293"/>
      <c r="AL20" s="293"/>
      <c r="AM20" s="293"/>
      <c r="AN20" s="293"/>
      <c r="AO20" s="293"/>
      <c r="AP20" s="293"/>
      <c r="AQ20" s="293"/>
      <c r="AR20" s="293"/>
      <c r="AS20" s="293"/>
    </row>
    <row r="21" spans="1:45" ht="42" customHeight="1" x14ac:dyDescent="0.25">
      <c r="C21" s="1365" t="s">
        <v>285</v>
      </c>
      <c r="D21" s="1365"/>
      <c r="E21" s="1365"/>
      <c r="F21" s="1365"/>
      <c r="G21" s="1365"/>
      <c r="H21" s="1365"/>
      <c r="I21" s="1365"/>
      <c r="J21" s="1365"/>
      <c r="K21" s="1365"/>
      <c r="L21" s="907" t="s">
        <v>83</v>
      </c>
      <c r="M21" s="907"/>
      <c r="N21" s="907"/>
      <c r="O21" s="907"/>
      <c r="P21" s="1263">
        <f>IF('Data entry'!Q27="fir",P17+'Data entry'!AD98,IF('Data entry'!Q27="cedar",(P17/2)+('Data entry'!AD98*3)," "))</f>
        <v>45</v>
      </c>
      <c r="Q21" s="1263"/>
      <c r="R21" s="1263"/>
      <c r="S21" s="1263"/>
      <c r="T21" s="295" t="str">
        <f t="shared" si="0"/>
        <v>@</v>
      </c>
      <c r="U21" s="1308" t="s">
        <v>286</v>
      </c>
      <c r="V21" s="1308"/>
      <c r="W21" s="1308"/>
      <c r="X21" s="1308"/>
      <c r="Y21" s="1308"/>
      <c r="Z21" s="1308"/>
      <c r="AA21" s="1308"/>
      <c r="AB21" s="1308"/>
      <c r="AF21" s="300"/>
      <c r="AG21" s="300"/>
      <c r="AH21" s="300"/>
      <c r="AI21" s="300"/>
      <c r="AJ21" s="300"/>
      <c r="AK21" s="300"/>
      <c r="AL21" s="300"/>
      <c r="AM21" s="300"/>
      <c r="AN21" s="300"/>
      <c r="AO21" s="300"/>
      <c r="AP21" s="293"/>
      <c r="AQ21" s="293"/>
      <c r="AR21" s="293"/>
      <c r="AS21" s="293"/>
    </row>
    <row r="22" spans="1:45" ht="42" customHeight="1" x14ac:dyDescent="0.3">
      <c r="A22" s="299"/>
      <c r="C22" s="1365" t="str">
        <f>IF(P22=" "," ","    2x6 CEDAR Plates -  (Master angle &amp; Same as above)")</f>
        <v xml:space="preserve"> </v>
      </c>
      <c r="D22" s="1365"/>
      <c r="E22" s="1365"/>
      <c r="F22" s="1365"/>
      <c r="G22" s="1365"/>
      <c r="H22" s="1365"/>
      <c r="I22" s="1365"/>
      <c r="J22" s="1365"/>
      <c r="K22" s="1365"/>
      <c r="L22" s="907" t="str">
        <f>IF(P22=" "," ","2x6x16")</f>
        <v xml:space="preserve"> </v>
      </c>
      <c r="M22" s="907"/>
      <c r="N22" s="907"/>
      <c r="O22" s="907"/>
      <c r="P22" s="1263" t="str">
        <f>IF('Data entry'!Q27="cedar",P17/2," ")</f>
        <v xml:space="preserve"> </v>
      </c>
      <c r="Q22" s="1263"/>
      <c r="R22" s="1263"/>
      <c r="S22" s="1263"/>
      <c r="T22" s="295" t="str">
        <f t="shared" si="0"/>
        <v xml:space="preserve"> </v>
      </c>
      <c r="U22" s="1308" t="str">
        <f>IF(P22=" "," ","48 ¼ (cut to rough angle for 41')")</f>
        <v xml:space="preserve"> </v>
      </c>
      <c r="V22" s="1308"/>
      <c r="W22" s="1308"/>
      <c r="X22" s="1308"/>
      <c r="Y22" s="1308"/>
      <c r="Z22" s="1308"/>
      <c r="AA22" s="1308"/>
      <c r="AB22" s="1308"/>
      <c r="AF22" s="300"/>
      <c r="AG22" s="1364" t="s">
        <v>287</v>
      </c>
      <c r="AH22" s="1364"/>
      <c r="AI22" s="1364"/>
      <c r="AJ22" s="1364"/>
      <c r="AK22" s="1364"/>
      <c r="AL22" s="301">
        <f>SUM('Data entry'!P51:P62)</f>
        <v>1</v>
      </c>
      <c r="AM22" s="1364" t="s">
        <v>288</v>
      </c>
      <c r="AN22" s="1364"/>
      <c r="AO22" s="1364"/>
      <c r="AP22" s="1364"/>
      <c r="AQ22" s="1364"/>
      <c r="AR22" s="302">
        <f>SUM('Data entry'!P63:P67)</f>
        <v>6</v>
      </c>
      <c r="AS22" s="293"/>
    </row>
    <row r="23" spans="1:45" ht="42" customHeight="1" x14ac:dyDescent="0.25">
      <c r="A23" s="12"/>
      <c r="C23" s="1365" t="s">
        <v>289</v>
      </c>
      <c r="D23" s="1365"/>
      <c r="E23" s="1365"/>
      <c r="F23" s="1365"/>
      <c r="G23" s="1365"/>
      <c r="H23" s="1365"/>
      <c r="I23" s="1365"/>
      <c r="J23" s="1365"/>
      <c r="K23" s="1365"/>
      <c r="L23" s="907" t="str">
        <f>IF(P23=" "," ","2x6x16")</f>
        <v>2x6x16</v>
      </c>
      <c r="M23" s="907"/>
      <c r="N23" s="907"/>
      <c r="O23" s="907"/>
      <c r="P23" s="1263">
        <f>SUM((('Data entry'!AG51+'Data entry'!AG53)*2)+('Data entry'!AG52+'Data entry'!AG54))</f>
        <v>16</v>
      </c>
      <c r="Q23" s="1263"/>
      <c r="R23" s="1263"/>
      <c r="S23" s="1263"/>
      <c r="T23" s="295" t="str">
        <f t="shared" si="0"/>
        <v>@</v>
      </c>
      <c r="U23" s="1308" t="s">
        <v>290</v>
      </c>
      <c r="V23" s="1308"/>
      <c r="W23" s="1308"/>
      <c r="X23" s="1308"/>
      <c r="Y23" s="1308"/>
      <c r="Z23" s="1308"/>
      <c r="AA23" s="1308"/>
      <c r="AB23" s="1308"/>
      <c r="AF23" s="300"/>
      <c r="AG23" s="1364" t="s">
        <v>291</v>
      </c>
      <c r="AH23" s="1364"/>
      <c r="AI23" s="1364"/>
      <c r="AJ23" s="1364"/>
      <c r="AK23" s="1364"/>
      <c r="AL23" s="301">
        <f>SUM('Data entry'!W51:W62)</f>
        <v>0</v>
      </c>
      <c r="AM23" s="1364" t="s">
        <v>292</v>
      </c>
      <c r="AN23" s="1364"/>
      <c r="AO23" s="1364"/>
      <c r="AP23" s="1364"/>
      <c r="AQ23" s="1364"/>
      <c r="AR23" s="302">
        <f>SUM('Data entry'!W63:W67)</f>
        <v>0</v>
      </c>
      <c r="AS23" s="293"/>
    </row>
    <row r="24" spans="1:45" ht="42" customHeight="1" x14ac:dyDescent="0.25">
      <c r="A24" s="12"/>
      <c r="C24" s="1369" t="str">
        <f>IF(P24=" "," ","    2x6 Sills - Casement Windows - square cut")</f>
        <v xml:space="preserve">    2x6 Sills - Casement Windows - square cut</v>
      </c>
      <c r="D24" s="1369"/>
      <c r="E24" s="1369"/>
      <c r="F24" s="1369"/>
      <c r="G24" s="1369"/>
      <c r="H24" s="1369"/>
      <c r="I24" s="1369"/>
      <c r="J24" s="1369"/>
      <c r="K24" s="1369"/>
      <c r="L24" s="907" t="str">
        <f>IF(P24=" "," ","2x6x16")</f>
        <v>2x6x16</v>
      </c>
      <c r="M24" s="907"/>
      <c r="N24" s="907"/>
      <c r="O24" s="907"/>
      <c r="P24" s="1263">
        <f>IF('Data entry'!AG52+'Data entry'!AG54=0," ",'Data entry'!AG52+'Data entry'!AG54)</f>
        <v>12</v>
      </c>
      <c r="Q24" s="1263"/>
      <c r="R24" s="1263"/>
      <c r="S24" s="1263"/>
      <c r="T24" s="295" t="str">
        <f t="shared" si="0"/>
        <v>@</v>
      </c>
      <c r="U24" s="1308" t="str">
        <f>IF(P24=" "," ","typically 36in refer to wall plan")</f>
        <v>typically 36in refer to wall plan</v>
      </c>
      <c r="V24" s="1308"/>
      <c r="W24" s="1308"/>
      <c r="X24" s="1308"/>
      <c r="Y24" s="1308"/>
      <c r="Z24" s="1308"/>
      <c r="AA24" s="1308"/>
      <c r="AB24" s="1308"/>
      <c r="AF24" s="300"/>
      <c r="AG24" s="1364" t="s">
        <v>293</v>
      </c>
      <c r="AH24" s="1364"/>
      <c r="AI24" s="1364"/>
      <c r="AJ24" s="1364"/>
      <c r="AK24" s="1364"/>
      <c r="AL24" s="301">
        <f>SUM('Data entry'!P68:P70)</f>
        <v>1</v>
      </c>
      <c r="AM24" s="1364" t="s">
        <v>294</v>
      </c>
      <c r="AN24" s="1364"/>
      <c r="AO24" s="1364"/>
      <c r="AP24" s="1364"/>
      <c r="AQ24" s="1364"/>
      <c r="AR24" s="302">
        <f>SUM('Data entry'!P71:P73)</f>
        <v>6</v>
      </c>
      <c r="AS24" s="293"/>
    </row>
    <row r="25" spans="1:45" ht="42" customHeight="1" x14ac:dyDescent="0.3">
      <c r="A25" s="299"/>
      <c r="C25" s="1365" t="s">
        <v>295</v>
      </c>
      <c r="D25" s="1365"/>
      <c r="E25" s="1365"/>
      <c r="F25" s="1365"/>
      <c r="G25" s="1365"/>
      <c r="H25" s="1365"/>
      <c r="I25" s="1365"/>
      <c r="J25" s="1365"/>
      <c r="K25" s="1365"/>
      <c r="L25" s="907" t="s">
        <v>69</v>
      </c>
      <c r="M25" s="907"/>
      <c r="N25" s="907">
        <f>'Data entry'!AG64</f>
        <v>1</v>
      </c>
      <c r="O25" s="907"/>
      <c r="P25" s="1366" t="s">
        <v>71</v>
      </c>
      <c r="Q25" s="1366"/>
      <c r="R25" s="1365">
        <f>'Data entry'!AG57</f>
        <v>0</v>
      </c>
      <c r="S25" s="1365"/>
      <c r="T25" s="295" t="str">
        <f>IF(N25=" "," ","@")</f>
        <v>@</v>
      </c>
      <c r="U25" s="1368" t="s">
        <v>296</v>
      </c>
      <c r="V25" s="1368"/>
      <c r="W25" s="1368"/>
      <c r="X25" s="1368"/>
      <c r="Y25" s="1368"/>
      <c r="Z25" s="1368"/>
      <c r="AA25" s="1368"/>
      <c r="AB25" s="1368"/>
      <c r="AF25" s="300"/>
      <c r="AG25" s="1364" t="s">
        <v>297</v>
      </c>
      <c r="AH25" s="1364"/>
      <c r="AI25" s="1364"/>
      <c r="AJ25" s="1364"/>
      <c r="AK25" s="1364"/>
      <c r="AL25" s="302">
        <f>SUM('Data entry'!W68:W70)</f>
        <v>0</v>
      </c>
      <c r="AM25" s="1364" t="s">
        <v>298</v>
      </c>
      <c r="AN25" s="1364"/>
      <c r="AO25" s="1364"/>
      <c r="AP25" s="1364"/>
      <c r="AQ25" s="1364"/>
      <c r="AR25" s="302">
        <f>SUM('Data entry'!W71:W73)</f>
        <v>6</v>
      </c>
      <c r="AS25" s="293"/>
    </row>
    <row r="26" spans="1:45" ht="42" customHeight="1" x14ac:dyDescent="0.25">
      <c r="A26" s="12"/>
      <c r="C26" s="1365" t="str">
        <f>IF('Data entry'!P63+'Data entry'!P71=0," ","Casement Headers -Veiw Engineering docs for accurate totals                                        Typically 2x8x boards divisible by 4'")</f>
        <v>Casement Headers -Veiw Engineering docs for accurate totals                                        Typically 2x8x boards divisible by 4'</v>
      </c>
      <c r="D26" s="1365"/>
      <c r="E26" s="1365"/>
      <c r="F26" s="1365"/>
      <c r="G26" s="1365"/>
      <c r="H26" s="1365"/>
      <c r="I26" s="1365"/>
      <c r="J26" s="1365"/>
      <c r="K26" s="1365"/>
      <c r="L26" s="907" t="str">
        <f>IF(C26=" "," ","H1")</f>
        <v>H1</v>
      </c>
      <c r="M26" s="907"/>
      <c r="N26" s="907">
        <f>'Data entry'!AG65</f>
        <v>13</v>
      </c>
      <c r="O26" s="907"/>
      <c r="P26" s="1366" t="str">
        <f>IF(C26=" "," ","H2")</f>
        <v>H2</v>
      </c>
      <c r="Q26" s="1366"/>
      <c r="R26" s="1365">
        <f>'Data entry'!AG58</f>
        <v>0</v>
      </c>
      <c r="S26" s="1365"/>
      <c r="T26" s="295" t="str">
        <f>IF(P26=" "," ","@")</f>
        <v>@</v>
      </c>
      <c r="U26" s="1367" t="str">
        <f>IF(C26=" "," ","See Wall Drawings for cut length  and type")</f>
        <v>See Wall Drawings for cut length  and type</v>
      </c>
      <c r="V26" s="1367"/>
      <c r="W26" s="1367"/>
      <c r="X26" s="1367"/>
      <c r="Y26" s="1367"/>
      <c r="Z26" s="1367"/>
      <c r="AA26" s="1367"/>
      <c r="AB26" s="1367"/>
      <c r="AF26" s="300"/>
      <c r="AG26" s="300"/>
      <c r="AH26" s="300"/>
      <c r="AI26" s="300"/>
      <c r="AJ26" s="300"/>
      <c r="AK26" s="300"/>
      <c r="AL26" s="300"/>
      <c r="AM26" s="300"/>
      <c r="AN26" s="300"/>
      <c r="AO26" s="300"/>
      <c r="AP26" s="293"/>
      <c r="AQ26" s="293"/>
      <c r="AR26" s="293"/>
      <c r="AS26" s="293"/>
    </row>
    <row r="27" spans="1:45" ht="42" customHeight="1" x14ac:dyDescent="0.35">
      <c r="A27" s="12"/>
      <c r="I27" s="1363" t="s">
        <v>69</v>
      </c>
      <c r="J27" s="1363"/>
      <c r="K27" s="303" t="s">
        <v>194</v>
      </c>
      <c r="L27" s="303">
        <f>'Data entry'!Q20</f>
        <v>2</v>
      </c>
      <c r="M27" s="303" t="str">
        <f>'Data entry'!R20</f>
        <v>x</v>
      </c>
      <c r="N27" s="304">
        <f>'Data entry'!S20</f>
        <v>6</v>
      </c>
      <c r="P27" s="1363" t="s">
        <v>71</v>
      </c>
      <c r="Q27" s="1363"/>
      <c r="R27" s="303" t="s">
        <v>194</v>
      </c>
      <c r="S27" s="303">
        <f>'Data entry'!Q21</f>
        <v>0</v>
      </c>
      <c r="T27" s="303" t="str">
        <f>'Data entry'!R21</f>
        <v>x</v>
      </c>
      <c r="U27" s="304">
        <f>'Data entry'!S21</f>
        <v>0</v>
      </c>
      <c r="AF27" s="305"/>
      <c r="AG27" s="305"/>
      <c r="AH27" s="305"/>
      <c r="AI27" s="305"/>
      <c r="AJ27" s="305"/>
      <c r="AK27" s="305"/>
      <c r="AL27" s="305"/>
      <c r="AM27" s="305"/>
      <c r="AN27" s="305"/>
      <c r="AO27" s="305"/>
    </row>
    <row r="28" spans="1:45" ht="16.5" customHeight="1" x14ac:dyDescent="0.2">
      <c r="A28" s="12"/>
    </row>
    <row r="29" spans="1:45" ht="24" customHeight="1" x14ac:dyDescent="0.35">
      <c r="A29" s="299"/>
      <c r="B29" s="306"/>
      <c r="C29" s="306"/>
      <c r="D29" s="306"/>
      <c r="E29" s="306"/>
      <c r="F29" s="306"/>
      <c r="G29" s="306"/>
      <c r="H29" s="306"/>
      <c r="I29" s="306"/>
      <c r="J29" s="1188" t="s">
        <v>299</v>
      </c>
      <c r="K29" s="1188"/>
      <c r="L29" s="1188"/>
      <c r="M29" s="1188"/>
      <c r="N29" s="1188"/>
      <c r="O29" s="1188"/>
      <c r="P29" s="1188"/>
      <c r="Q29" s="1188"/>
      <c r="R29" s="1188"/>
      <c r="S29" s="1188"/>
      <c r="T29" s="306"/>
      <c r="U29" s="306"/>
      <c r="V29" s="306"/>
      <c r="W29" s="306"/>
      <c r="X29" s="306"/>
      <c r="Y29" s="306"/>
      <c r="Z29" s="306"/>
      <c r="AA29" s="306"/>
      <c r="AB29" s="306"/>
    </row>
    <row r="30" spans="1:45" ht="16.5" customHeight="1" x14ac:dyDescent="0.2">
      <c r="A30" s="12"/>
    </row>
    <row r="31" spans="1:45" ht="16.5" customHeight="1" x14ac:dyDescent="0.25">
      <c r="A31" s="12"/>
      <c r="B31" s="188" t="s">
        <v>300</v>
      </c>
      <c r="C31" s="1346" t="str">
        <f t="shared" ref="C31:C45" si="1">IF(K31=" "," ","2x6 trimmers")</f>
        <v>2x6 trimmers</v>
      </c>
      <c r="D31" s="1346"/>
      <c r="E31" s="1346"/>
      <c r="F31" s="1346"/>
      <c r="G31" s="1346"/>
      <c r="H31" s="1346"/>
      <c r="I31" s="1346"/>
      <c r="J31" s="1346"/>
      <c r="K31" s="307">
        <f>IF('Data entry'!L51&gt;0,'Data entry'!L51," ")</f>
        <v>57</v>
      </c>
      <c r="L31" s="1348" t="str">
        <f t="shared" ref="L31:L45" si="2">IF(K31=" "," ","in. window")</f>
        <v>in. window</v>
      </c>
      <c r="M31" s="1348"/>
      <c r="N31" s="1348"/>
      <c r="O31" s="1348"/>
      <c r="P31" s="1361" t="str">
        <f t="shared" ref="P31:P45" si="3">IF(K31=" "," ","2x6x16'")</f>
        <v>2x6x16'</v>
      </c>
      <c r="Q31" s="1361"/>
      <c r="R31" s="1361"/>
      <c r="S31" s="1361"/>
      <c r="T31" s="1362">
        <f>IF('Data entry'!P51=0," ",'Data entry'!P51*2)</f>
        <v>2</v>
      </c>
      <c r="U31" s="1362"/>
      <c r="V31" s="1362"/>
      <c r="W31" s="309" t="str">
        <f t="shared" ref="W31:W45" si="4">IF(T31=" "," ","@")</f>
        <v>@</v>
      </c>
      <c r="X31" s="1343">
        <f t="shared" ref="X31:X45" si="5">K31</f>
        <v>57</v>
      </c>
      <c r="Y31" s="1343"/>
      <c r="Z31" s="1343"/>
    </row>
    <row r="32" spans="1:45" ht="16.5" customHeight="1" x14ac:dyDescent="0.25">
      <c r="A32" s="283"/>
      <c r="C32" s="1346" t="str">
        <f t="shared" si="1"/>
        <v xml:space="preserve"> </v>
      </c>
      <c r="D32" s="1346"/>
      <c r="E32" s="1346"/>
      <c r="F32" s="1346"/>
      <c r="G32" s="1346" t="str">
        <f t="shared" ref="G32:G42" si="6">IF(K32=" "," ","2x6 trimmers")</f>
        <v xml:space="preserve"> </v>
      </c>
      <c r="H32" s="1346"/>
      <c r="I32" s="1346"/>
      <c r="J32" s="1346"/>
      <c r="K32" s="307" t="str">
        <f>IF('Data entry'!L52&gt;0,'Data entry'!L52," ")</f>
        <v xml:space="preserve"> </v>
      </c>
      <c r="L32" s="1348" t="str">
        <f t="shared" si="2"/>
        <v xml:space="preserve"> </v>
      </c>
      <c r="M32" s="1348"/>
      <c r="N32" s="1348"/>
      <c r="O32" s="1348"/>
      <c r="P32" s="1361" t="str">
        <f t="shared" si="3"/>
        <v xml:space="preserve"> </v>
      </c>
      <c r="Q32" s="1361"/>
      <c r="R32" s="1361"/>
      <c r="S32" s="1361"/>
      <c r="T32" s="1362" t="str">
        <f>IF('Data entry'!P52=0," ",'Data entry'!P52*2)</f>
        <v xml:space="preserve"> </v>
      </c>
      <c r="U32" s="1362"/>
      <c r="V32" s="1362"/>
      <c r="W32" s="309" t="str">
        <f t="shared" si="4"/>
        <v xml:space="preserve"> </v>
      </c>
      <c r="X32" s="1343" t="str">
        <f t="shared" si="5"/>
        <v xml:space="preserve"> </v>
      </c>
      <c r="Y32" s="1343"/>
      <c r="Z32" s="1343"/>
    </row>
    <row r="33" spans="1:32" ht="16.5" customHeight="1" x14ac:dyDescent="0.3">
      <c r="A33" s="299"/>
      <c r="C33" s="1346" t="str">
        <f t="shared" si="1"/>
        <v xml:space="preserve"> </v>
      </c>
      <c r="D33" s="1346"/>
      <c r="E33" s="1346"/>
      <c r="F33" s="1346"/>
      <c r="G33" s="1346" t="str">
        <f t="shared" si="6"/>
        <v xml:space="preserve"> </v>
      </c>
      <c r="H33" s="1346"/>
      <c r="I33" s="1346"/>
      <c r="J33" s="1346"/>
      <c r="K33" s="307" t="str">
        <f>IF('Data entry'!L53&gt;0,'Data entry'!L53," ")</f>
        <v xml:space="preserve"> </v>
      </c>
      <c r="L33" s="1348" t="str">
        <f t="shared" si="2"/>
        <v xml:space="preserve"> </v>
      </c>
      <c r="M33" s="1348"/>
      <c r="N33" s="1348"/>
      <c r="O33" s="1348"/>
      <c r="P33" s="1361" t="str">
        <f t="shared" si="3"/>
        <v xml:space="preserve"> </v>
      </c>
      <c r="Q33" s="1361"/>
      <c r="R33" s="1361"/>
      <c r="S33" s="1361"/>
      <c r="T33" s="1362" t="str">
        <f>IF('Data entry'!P53=0," ",'Data entry'!P53*2)</f>
        <v xml:space="preserve"> </v>
      </c>
      <c r="U33" s="1362"/>
      <c r="V33" s="1362"/>
      <c r="W33" s="309" t="str">
        <f t="shared" si="4"/>
        <v xml:space="preserve"> </v>
      </c>
      <c r="X33" s="1343" t="str">
        <f t="shared" si="5"/>
        <v xml:space="preserve"> </v>
      </c>
      <c r="Y33" s="1343"/>
      <c r="Z33" s="1343"/>
    </row>
    <row r="34" spans="1:32" ht="16.5" customHeight="1" x14ac:dyDescent="0.25">
      <c r="A34" s="12"/>
      <c r="C34" s="1346" t="str">
        <f t="shared" si="1"/>
        <v xml:space="preserve"> </v>
      </c>
      <c r="D34" s="1346"/>
      <c r="E34" s="1346"/>
      <c r="F34" s="1346"/>
      <c r="G34" s="1346" t="str">
        <f t="shared" si="6"/>
        <v xml:space="preserve"> </v>
      </c>
      <c r="H34" s="1346"/>
      <c r="I34" s="1346"/>
      <c r="J34" s="1346"/>
      <c r="K34" s="307" t="str">
        <f>IF('Data entry'!L54&gt;0,'Data entry'!L54," ")</f>
        <v xml:space="preserve"> </v>
      </c>
      <c r="L34" s="1348" t="str">
        <f t="shared" si="2"/>
        <v xml:space="preserve"> </v>
      </c>
      <c r="M34" s="1348"/>
      <c r="N34" s="1348"/>
      <c r="O34" s="1348"/>
      <c r="P34" s="1361" t="str">
        <f t="shared" si="3"/>
        <v xml:space="preserve"> </v>
      </c>
      <c r="Q34" s="1361"/>
      <c r="R34" s="1361"/>
      <c r="S34" s="1361"/>
      <c r="T34" s="1362" t="str">
        <f>IF('Data entry'!P54=0," ",'Data entry'!P54*2)</f>
        <v xml:space="preserve"> </v>
      </c>
      <c r="U34" s="1362"/>
      <c r="V34" s="1362"/>
      <c r="W34" s="309" t="str">
        <f t="shared" si="4"/>
        <v xml:space="preserve"> </v>
      </c>
      <c r="X34" s="1343" t="str">
        <f t="shared" si="5"/>
        <v xml:space="preserve"> </v>
      </c>
      <c r="Y34" s="1343"/>
      <c r="Z34" s="1343"/>
    </row>
    <row r="35" spans="1:32" ht="16.5" customHeight="1" x14ac:dyDescent="0.25">
      <c r="A35" s="12"/>
      <c r="C35" s="1346" t="str">
        <f t="shared" si="1"/>
        <v xml:space="preserve"> </v>
      </c>
      <c r="D35" s="1346"/>
      <c r="E35" s="1346"/>
      <c r="F35" s="1346"/>
      <c r="G35" s="1346" t="str">
        <f t="shared" si="6"/>
        <v xml:space="preserve"> </v>
      </c>
      <c r="H35" s="1346"/>
      <c r="I35" s="1346"/>
      <c r="J35" s="1346"/>
      <c r="K35" s="307" t="str">
        <f>IF('Data entry'!L55&gt;0,'Data entry'!L55," ")</f>
        <v xml:space="preserve"> </v>
      </c>
      <c r="L35" s="1348" t="str">
        <f t="shared" si="2"/>
        <v xml:space="preserve"> </v>
      </c>
      <c r="M35" s="1348"/>
      <c r="N35" s="1348"/>
      <c r="O35" s="1348"/>
      <c r="P35" s="1361" t="str">
        <f t="shared" si="3"/>
        <v xml:space="preserve"> </v>
      </c>
      <c r="Q35" s="1361"/>
      <c r="R35" s="1361"/>
      <c r="S35" s="1361"/>
      <c r="T35" s="1362" t="str">
        <f>IF('Data entry'!P55=0," ",'Data entry'!P55*2)</f>
        <v xml:space="preserve"> </v>
      </c>
      <c r="U35" s="1362"/>
      <c r="V35" s="1362"/>
      <c r="W35" s="309" t="str">
        <f t="shared" si="4"/>
        <v xml:space="preserve"> </v>
      </c>
      <c r="X35" s="1343" t="str">
        <f t="shared" si="5"/>
        <v xml:space="preserve"> </v>
      </c>
      <c r="Y35" s="1343"/>
      <c r="Z35" s="1343"/>
    </row>
    <row r="36" spans="1:32" ht="16.5" customHeight="1" x14ac:dyDescent="0.25">
      <c r="A36" s="12"/>
      <c r="C36" s="1346" t="str">
        <f t="shared" si="1"/>
        <v xml:space="preserve"> </v>
      </c>
      <c r="D36" s="1346"/>
      <c r="E36" s="1346"/>
      <c r="F36" s="1346"/>
      <c r="G36" s="1346" t="str">
        <f t="shared" si="6"/>
        <v xml:space="preserve"> </v>
      </c>
      <c r="H36" s="1346"/>
      <c r="I36" s="1346"/>
      <c r="J36" s="1346"/>
      <c r="K36" s="307" t="str">
        <f>IF('Data entry'!L56&gt;0,'Data entry'!L56," ")</f>
        <v xml:space="preserve"> </v>
      </c>
      <c r="L36" s="1348" t="str">
        <f t="shared" si="2"/>
        <v xml:space="preserve"> </v>
      </c>
      <c r="M36" s="1348"/>
      <c r="N36" s="1348"/>
      <c r="O36" s="1348"/>
      <c r="P36" s="1361" t="str">
        <f t="shared" si="3"/>
        <v xml:space="preserve"> </v>
      </c>
      <c r="Q36" s="1361"/>
      <c r="R36" s="1361"/>
      <c r="S36" s="1361"/>
      <c r="T36" s="1362" t="str">
        <f>IF('Data entry'!P56=0," ",'Data entry'!P56*2)</f>
        <v xml:space="preserve"> </v>
      </c>
      <c r="U36" s="1362"/>
      <c r="V36" s="1362"/>
      <c r="W36" s="309" t="str">
        <f t="shared" si="4"/>
        <v xml:space="preserve"> </v>
      </c>
      <c r="X36" s="1343" t="str">
        <f t="shared" si="5"/>
        <v xml:space="preserve"> </v>
      </c>
      <c r="Y36" s="1343"/>
      <c r="Z36" s="1343"/>
    </row>
    <row r="37" spans="1:32" ht="16.5" customHeight="1" x14ac:dyDescent="0.25">
      <c r="A37" s="12"/>
      <c r="C37" s="1346" t="str">
        <f t="shared" si="1"/>
        <v xml:space="preserve"> </v>
      </c>
      <c r="D37" s="1346"/>
      <c r="E37" s="1346"/>
      <c r="F37" s="1346"/>
      <c r="G37" s="1346" t="str">
        <f t="shared" si="6"/>
        <v xml:space="preserve"> </v>
      </c>
      <c r="H37" s="1346"/>
      <c r="I37" s="1346"/>
      <c r="J37" s="1346"/>
      <c r="K37" s="307" t="str">
        <f>IF('Data entry'!L57&gt;0,'Data entry'!L57," ")</f>
        <v xml:space="preserve"> </v>
      </c>
      <c r="L37" s="1348" t="str">
        <f t="shared" si="2"/>
        <v xml:space="preserve"> </v>
      </c>
      <c r="M37" s="1348"/>
      <c r="N37" s="1348"/>
      <c r="O37" s="1348"/>
      <c r="P37" s="1361" t="str">
        <f t="shared" si="3"/>
        <v xml:space="preserve"> </v>
      </c>
      <c r="Q37" s="1361"/>
      <c r="R37" s="1361"/>
      <c r="S37" s="1361"/>
      <c r="T37" s="1362" t="str">
        <f>IF('Data entry'!P57=0," ",'Data entry'!P57*2)</f>
        <v xml:space="preserve"> </v>
      </c>
      <c r="U37" s="1362"/>
      <c r="V37" s="1362"/>
      <c r="W37" s="309" t="str">
        <f t="shared" si="4"/>
        <v xml:space="preserve"> </v>
      </c>
      <c r="X37" s="1343" t="str">
        <f t="shared" si="5"/>
        <v xml:space="preserve"> </v>
      </c>
      <c r="Y37" s="1343"/>
      <c r="Z37" s="1343"/>
    </row>
    <row r="38" spans="1:32" ht="16.5" customHeight="1" x14ac:dyDescent="0.25">
      <c r="A38" s="12"/>
      <c r="C38" s="1346" t="str">
        <f t="shared" si="1"/>
        <v xml:space="preserve"> </v>
      </c>
      <c r="D38" s="1346"/>
      <c r="E38" s="1346"/>
      <c r="F38" s="1346"/>
      <c r="G38" s="1346" t="str">
        <f t="shared" si="6"/>
        <v xml:space="preserve"> </v>
      </c>
      <c r="H38" s="1346"/>
      <c r="I38" s="1346"/>
      <c r="J38" s="1346"/>
      <c r="K38" s="307" t="str">
        <f>IF('Data entry'!L58&gt;0,'Data entry'!L58," ")</f>
        <v xml:space="preserve"> </v>
      </c>
      <c r="L38" s="1348" t="str">
        <f t="shared" si="2"/>
        <v xml:space="preserve"> </v>
      </c>
      <c r="M38" s="1348"/>
      <c r="N38" s="1348"/>
      <c r="O38" s="1348"/>
      <c r="P38" s="1361" t="str">
        <f t="shared" si="3"/>
        <v xml:space="preserve"> </v>
      </c>
      <c r="Q38" s="1361"/>
      <c r="R38" s="1361"/>
      <c r="S38" s="1361"/>
      <c r="T38" s="1362" t="str">
        <f>IF('Data entry'!P58=0," ",'Data entry'!P58*2)</f>
        <v xml:space="preserve"> </v>
      </c>
      <c r="U38" s="1362"/>
      <c r="V38" s="1362"/>
      <c r="W38" s="309" t="str">
        <f t="shared" si="4"/>
        <v xml:space="preserve"> </v>
      </c>
      <c r="X38" s="1343" t="str">
        <f t="shared" si="5"/>
        <v xml:space="preserve"> </v>
      </c>
      <c r="Y38" s="1343"/>
      <c r="Z38" s="1343"/>
    </row>
    <row r="39" spans="1:32" ht="16.5" customHeight="1" x14ac:dyDescent="0.25">
      <c r="A39" s="12"/>
      <c r="C39" s="1346" t="str">
        <f t="shared" si="1"/>
        <v xml:space="preserve"> </v>
      </c>
      <c r="D39" s="1346"/>
      <c r="E39" s="1346"/>
      <c r="F39" s="1346"/>
      <c r="G39" s="1346" t="str">
        <f t="shared" si="6"/>
        <v xml:space="preserve"> </v>
      </c>
      <c r="H39" s="1346"/>
      <c r="I39" s="1346"/>
      <c r="J39" s="1346"/>
      <c r="K39" s="307" t="str">
        <f>IF('Data entry'!L59&gt;0,'Data entry'!L59," ")</f>
        <v xml:space="preserve"> </v>
      </c>
      <c r="L39" s="1348" t="str">
        <f t="shared" si="2"/>
        <v xml:space="preserve"> </v>
      </c>
      <c r="M39" s="1348"/>
      <c r="N39" s="1348"/>
      <c r="O39" s="1348"/>
      <c r="P39" s="1361" t="str">
        <f t="shared" si="3"/>
        <v xml:space="preserve"> </v>
      </c>
      <c r="Q39" s="1361"/>
      <c r="R39" s="1361"/>
      <c r="S39" s="1361"/>
      <c r="T39" s="1362" t="str">
        <f>IF('Data entry'!P59=0," ",'Data entry'!P59*2)</f>
        <v xml:space="preserve"> </v>
      </c>
      <c r="U39" s="1362"/>
      <c r="V39" s="1362"/>
      <c r="W39" s="309" t="str">
        <f t="shared" si="4"/>
        <v xml:space="preserve"> </v>
      </c>
      <c r="X39" s="1343" t="str">
        <f t="shared" si="5"/>
        <v xml:space="preserve"> </v>
      </c>
      <c r="Y39" s="1343"/>
      <c r="Z39" s="1343"/>
    </row>
    <row r="40" spans="1:32" ht="16.5" customHeight="1" x14ac:dyDescent="0.25">
      <c r="A40" s="310"/>
      <c r="C40" s="1346" t="str">
        <f t="shared" si="1"/>
        <v xml:space="preserve"> </v>
      </c>
      <c r="D40" s="1346"/>
      <c r="E40" s="1346"/>
      <c r="F40" s="1346"/>
      <c r="G40" s="1346" t="str">
        <f t="shared" si="6"/>
        <v xml:space="preserve"> </v>
      </c>
      <c r="H40" s="1346"/>
      <c r="I40" s="1346"/>
      <c r="J40" s="1346"/>
      <c r="K40" s="307" t="str">
        <f>IF('Data entry'!L60&gt;0,'Data entry'!L60," ")</f>
        <v xml:space="preserve"> </v>
      </c>
      <c r="L40" s="1348" t="str">
        <f t="shared" si="2"/>
        <v xml:space="preserve"> </v>
      </c>
      <c r="M40" s="1348"/>
      <c r="N40" s="1348"/>
      <c r="O40" s="1348"/>
      <c r="P40" s="1361" t="str">
        <f t="shared" si="3"/>
        <v xml:space="preserve"> </v>
      </c>
      <c r="Q40" s="1361"/>
      <c r="R40" s="1361"/>
      <c r="S40" s="1361"/>
      <c r="T40" s="1362" t="str">
        <f>IF('Data entry'!P60=0," ",'Data entry'!P60*2)</f>
        <v xml:space="preserve"> </v>
      </c>
      <c r="U40" s="1362"/>
      <c r="V40" s="1362"/>
      <c r="W40" s="309" t="str">
        <f t="shared" si="4"/>
        <v xml:space="preserve"> </v>
      </c>
      <c r="X40" s="1343" t="str">
        <f t="shared" si="5"/>
        <v xml:space="preserve"> </v>
      </c>
      <c r="Y40" s="1343"/>
      <c r="Z40" s="1343"/>
    </row>
    <row r="41" spans="1:32" ht="16.5" customHeight="1" x14ac:dyDescent="0.25">
      <c r="A41" s="311"/>
      <c r="C41" s="1346" t="str">
        <f t="shared" si="1"/>
        <v xml:space="preserve"> </v>
      </c>
      <c r="D41" s="1346"/>
      <c r="E41" s="1346"/>
      <c r="F41" s="1346"/>
      <c r="G41" s="1346" t="str">
        <f t="shared" si="6"/>
        <v xml:space="preserve"> </v>
      </c>
      <c r="H41" s="1346"/>
      <c r="I41" s="1346"/>
      <c r="J41" s="1346"/>
      <c r="K41" s="307" t="str">
        <f>IF('Data entry'!L61&gt;0,'Data entry'!L61," ")</f>
        <v xml:space="preserve"> </v>
      </c>
      <c r="L41" s="1348" t="str">
        <f t="shared" si="2"/>
        <v xml:space="preserve"> </v>
      </c>
      <c r="M41" s="1348"/>
      <c r="N41" s="1348"/>
      <c r="O41" s="1348"/>
      <c r="P41" s="1361" t="str">
        <f t="shared" si="3"/>
        <v xml:space="preserve"> </v>
      </c>
      <c r="Q41" s="1361"/>
      <c r="R41" s="1361"/>
      <c r="S41" s="1361"/>
      <c r="T41" s="1362" t="str">
        <f>IF('Data entry'!P61=0," ",'Data entry'!P61*2)</f>
        <v xml:space="preserve"> </v>
      </c>
      <c r="U41" s="1362"/>
      <c r="V41" s="1362"/>
      <c r="W41" s="309" t="str">
        <f t="shared" si="4"/>
        <v xml:space="preserve"> </v>
      </c>
      <c r="X41" s="1343" t="str">
        <f t="shared" si="5"/>
        <v xml:space="preserve"> </v>
      </c>
      <c r="Y41" s="1343"/>
      <c r="Z41" s="1343"/>
    </row>
    <row r="42" spans="1:32" ht="16.5" customHeight="1" x14ac:dyDescent="0.3">
      <c r="A42" s="299"/>
      <c r="C42" s="1346" t="str">
        <f t="shared" si="1"/>
        <v xml:space="preserve"> </v>
      </c>
      <c r="D42" s="1346"/>
      <c r="E42" s="1346"/>
      <c r="F42" s="1346"/>
      <c r="G42" s="1346" t="str">
        <f t="shared" si="6"/>
        <v xml:space="preserve"> </v>
      </c>
      <c r="H42" s="1346"/>
      <c r="I42" s="1346"/>
      <c r="J42" s="1346"/>
      <c r="K42" s="307" t="str">
        <f>IF('Data entry'!L62&gt;0,'Data entry'!L62," ")</f>
        <v xml:space="preserve"> </v>
      </c>
      <c r="L42" s="1348" t="str">
        <f t="shared" si="2"/>
        <v xml:space="preserve"> </v>
      </c>
      <c r="M42" s="1348"/>
      <c r="N42" s="1348"/>
      <c r="O42" s="1348"/>
      <c r="P42" s="1361" t="str">
        <f t="shared" si="3"/>
        <v xml:space="preserve"> </v>
      </c>
      <c r="Q42" s="1361"/>
      <c r="R42" s="1361"/>
      <c r="S42" s="1361"/>
      <c r="T42" s="1362" t="str">
        <f>IF('Data entry'!P62=0," ",'Data entry'!P62*2)</f>
        <v xml:space="preserve"> </v>
      </c>
      <c r="U42" s="1362"/>
      <c r="V42" s="1362"/>
      <c r="W42" s="309" t="str">
        <f t="shared" si="4"/>
        <v xml:space="preserve"> </v>
      </c>
      <c r="X42" s="1343" t="str">
        <f t="shared" si="5"/>
        <v xml:space="preserve"> </v>
      </c>
      <c r="Y42" s="1343"/>
      <c r="Z42" s="1343"/>
    </row>
    <row r="43" spans="1:32" ht="16.5" customHeight="1" x14ac:dyDescent="0.3">
      <c r="A43" s="299"/>
      <c r="B43" s="188" t="s">
        <v>300</v>
      </c>
      <c r="C43" s="1346" t="str">
        <f t="shared" si="1"/>
        <v>2x6 trimmers</v>
      </c>
      <c r="D43" s="1346"/>
      <c r="E43" s="1346"/>
      <c r="F43" s="1346"/>
      <c r="G43" s="1346"/>
      <c r="H43" s="1346"/>
      <c r="I43" s="1346"/>
      <c r="J43" s="1346"/>
      <c r="K43" s="307">
        <f>IF('Data entry'!L68&gt;0,'Data entry'!L68," ")</f>
        <v>39</v>
      </c>
      <c r="L43" s="1348" t="str">
        <f t="shared" si="2"/>
        <v>in. window</v>
      </c>
      <c r="M43" s="1348"/>
      <c r="N43" s="1348"/>
      <c r="O43" s="1348"/>
      <c r="P43" s="1361" t="str">
        <f t="shared" si="3"/>
        <v>2x6x16'</v>
      </c>
      <c r="Q43" s="1361"/>
      <c r="R43" s="1361"/>
      <c r="S43" s="1361"/>
      <c r="T43" s="1362">
        <f>IF('Data entry'!P68=0," ",'Data entry'!P68*2)</f>
        <v>2</v>
      </c>
      <c r="U43" s="1362"/>
      <c r="V43" s="1362"/>
      <c r="W43" s="309" t="str">
        <f t="shared" si="4"/>
        <v>@</v>
      </c>
      <c r="X43" s="1343">
        <f t="shared" si="5"/>
        <v>39</v>
      </c>
      <c r="Y43" s="1343"/>
      <c r="Z43" s="1343"/>
    </row>
    <row r="44" spans="1:32" ht="16.5" customHeight="1" x14ac:dyDescent="0.3">
      <c r="A44" s="299"/>
      <c r="C44" s="1346" t="str">
        <f t="shared" si="1"/>
        <v xml:space="preserve"> </v>
      </c>
      <c r="D44" s="1346"/>
      <c r="E44" s="1346"/>
      <c r="F44" s="1346"/>
      <c r="G44" s="1346"/>
      <c r="H44" s="1346"/>
      <c r="I44" s="1346"/>
      <c r="J44" s="1346"/>
      <c r="K44" s="307" t="str">
        <f>IF('Data entry'!L69&gt;0,'Data entry'!L69," ")</f>
        <v xml:space="preserve"> </v>
      </c>
      <c r="L44" s="1348" t="str">
        <f t="shared" si="2"/>
        <v xml:space="preserve"> </v>
      </c>
      <c r="M44" s="1348"/>
      <c r="N44" s="1348"/>
      <c r="O44" s="1348"/>
      <c r="P44" s="1361" t="str">
        <f t="shared" si="3"/>
        <v xml:space="preserve"> </v>
      </c>
      <c r="Q44" s="1361"/>
      <c r="R44" s="1361"/>
      <c r="S44" s="1361"/>
      <c r="T44" s="1362" t="str">
        <f>IF('Data entry'!P69=0," ",'Data entry'!P69*2)</f>
        <v xml:space="preserve"> </v>
      </c>
      <c r="U44" s="1362"/>
      <c r="V44" s="1362"/>
      <c r="W44" s="309" t="str">
        <f t="shared" si="4"/>
        <v xml:space="preserve"> </v>
      </c>
      <c r="X44" s="1343" t="str">
        <f t="shared" si="5"/>
        <v xml:space="preserve"> </v>
      </c>
      <c r="Y44" s="1343"/>
      <c r="Z44" s="1343"/>
    </row>
    <row r="45" spans="1:32" ht="16.5" customHeight="1" x14ac:dyDescent="0.3">
      <c r="A45" s="299"/>
      <c r="C45" s="1346" t="str">
        <f t="shared" si="1"/>
        <v xml:space="preserve"> </v>
      </c>
      <c r="D45" s="1346"/>
      <c r="E45" s="1346"/>
      <c r="F45" s="1346"/>
      <c r="G45" s="1346"/>
      <c r="H45" s="1346"/>
      <c r="I45" s="1346"/>
      <c r="J45" s="1346"/>
      <c r="K45" s="307" t="str">
        <f>IF('Data entry'!L70&gt;0,'Data entry'!L70," ")</f>
        <v xml:space="preserve"> </v>
      </c>
      <c r="L45" s="1348" t="str">
        <f t="shared" si="2"/>
        <v xml:space="preserve"> </v>
      </c>
      <c r="M45" s="1348"/>
      <c r="N45" s="1348"/>
      <c r="O45" s="1348"/>
      <c r="P45" s="1361" t="str">
        <f t="shared" si="3"/>
        <v xml:space="preserve"> </v>
      </c>
      <c r="Q45" s="1361"/>
      <c r="R45" s="1361"/>
      <c r="S45" s="1361"/>
      <c r="T45" s="1362" t="str">
        <f>IF('Data entry'!P70=0," ",'Data entry'!P70*2)</f>
        <v xml:space="preserve"> </v>
      </c>
      <c r="U45" s="1362"/>
      <c r="V45" s="1362"/>
      <c r="W45" s="309" t="str">
        <f t="shared" si="4"/>
        <v xml:space="preserve"> </v>
      </c>
      <c r="X45" s="1343" t="str">
        <f t="shared" si="5"/>
        <v xml:space="preserve"> </v>
      </c>
      <c r="Y45" s="1343"/>
      <c r="Z45" s="1343"/>
      <c r="AF45" s="18" t="str">
        <f>IF(T45&gt;0,T45,IF(T46&gt;0,T46,IF(T47&gt;0,T47,IF(T48&gt;0,T48,IF(T49&gt;0,T49,IF(T50&gt;0,T50," "))))))</f>
        <v xml:space="preserve"> </v>
      </c>
    </row>
    <row r="46" spans="1:32" ht="16.5" customHeight="1" x14ac:dyDescent="0.3">
      <c r="A46" s="299"/>
    </row>
    <row r="47" spans="1:32" ht="28.5" customHeight="1" x14ac:dyDescent="0.4">
      <c r="A47" s="299"/>
      <c r="J47" s="1345" t="s">
        <v>301</v>
      </c>
      <c r="K47" s="1345"/>
      <c r="L47" s="1345"/>
      <c r="M47" s="1345"/>
      <c r="N47" s="1345"/>
      <c r="O47" s="1345"/>
      <c r="P47" s="1345"/>
      <c r="Q47" s="1345"/>
      <c r="R47" s="1345"/>
      <c r="S47" s="1345"/>
    </row>
    <row r="48" spans="1:32" ht="16.5" customHeight="1" x14ac:dyDescent="0.3">
      <c r="A48" s="299"/>
    </row>
    <row r="49" spans="1:26" ht="16.5" customHeight="1" x14ac:dyDescent="0.3">
      <c r="A49" s="299"/>
      <c r="B49" s="188" t="s">
        <v>300</v>
      </c>
      <c r="C49" s="1346" t="str">
        <f t="shared" ref="C49:C63" si="7">IF(K49=" "," ","2x6 Jack studs – 2 beveled,1 square")</f>
        <v>2x6 Jack studs – 2 beveled,1 square</v>
      </c>
      <c r="D49" s="1346"/>
      <c r="E49" s="1346"/>
      <c r="F49" s="1346"/>
      <c r="G49" s="1346"/>
      <c r="H49" s="1346"/>
      <c r="I49" s="1346"/>
      <c r="J49" s="1346"/>
      <c r="K49" s="312">
        <f t="shared" ref="K49:K63" si="8">K31</f>
        <v>57</v>
      </c>
      <c r="L49" s="1348" t="str">
        <f t="shared" ref="L49:L60" si="9">IF(K49=" "," ","in. window")</f>
        <v>in. window</v>
      </c>
      <c r="M49" s="1348"/>
      <c r="N49" s="1348"/>
      <c r="O49" s="1348" t="str">
        <f t="shared" ref="O49:O54" si="10">L31</f>
        <v>in. window</v>
      </c>
      <c r="P49" s="1339" t="str">
        <f t="shared" ref="P49:P63" si="11">P31</f>
        <v>2x6x16'</v>
      </c>
      <c r="Q49" s="1339"/>
      <c r="R49" s="1339"/>
      <c r="S49" s="1339"/>
      <c r="T49" s="1340">
        <f>IF('Data entry'!P51=0," ",SUM(3*'Data entry'!P51))</f>
        <v>3</v>
      </c>
      <c r="U49" s="1340"/>
      <c r="V49" s="1340"/>
      <c r="W49" s="309" t="str">
        <f t="shared" ref="W49:W63" si="12">IF(T49=" "," ","@")</f>
        <v>@</v>
      </c>
      <c r="X49" s="1341">
        <f>IF('Data entry'!N51=0," ",SUM('Data entry'!N51-3))</f>
        <v>20</v>
      </c>
      <c r="Y49" s="1341"/>
      <c r="Z49" s="1341"/>
    </row>
    <row r="50" spans="1:26" ht="16.5" customHeight="1" x14ac:dyDescent="0.3">
      <c r="A50" s="299"/>
      <c r="C50" s="1346" t="str">
        <f t="shared" si="7"/>
        <v xml:space="preserve"> </v>
      </c>
      <c r="D50" s="1346"/>
      <c r="E50" s="1346"/>
      <c r="F50" s="1346"/>
      <c r="G50" s="1346"/>
      <c r="H50" s="1346"/>
      <c r="I50" s="1346"/>
      <c r="J50" s="1346"/>
      <c r="K50" s="312" t="str">
        <f t="shared" si="8"/>
        <v xml:space="preserve"> </v>
      </c>
      <c r="L50" s="1348" t="str">
        <f t="shared" si="9"/>
        <v xml:space="preserve"> </v>
      </c>
      <c r="M50" s="1348"/>
      <c r="N50" s="1348"/>
      <c r="O50" s="1348" t="str">
        <f t="shared" si="10"/>
        <v xml:space="preserve"> </v>
      </c>
      <c r="P50" s="1339" t="str">
        <f t="shared" si="11"/>
        <v xml:space="preserve"> </v>
      </c>
      <c r="Q50" s="1339"/>
      <c r="R50" s="1339"/>
      <c r="S50" s="1339"/>
      <c r="T50" s="1340" t="str">
        <f>IF('Data entry'!P52=0," ",SUM(3*'Data entry'!P52))</f>
        <v xml:space="preserve"> </v>
      </c>
      <c r="U50" s="1340"/>
      <c r="V50" s="1340"/>
      <c r="W50" s="309" t="str">
        <f t="shared" si="12"/>
        <v xml:space="preserve"> </v>
      </c>
      <c r="X50" s="1341" t="str">
        <f>IF('Data entry'!N52=0," ",SUM('Data entry'!N52-3))</f>
        <v xml:space="preserve"> </v>
      </c>
      <c r="Y50" s="1341"/>
      <c r="Z50" s="1341"/>
    </row>
    <row r="51" spans="1:26" ht="16.5" customHeight="1" x14ac:dyDescent="0.25">
      <c r="A51" s="316"/>
      <c r="C51" s="1346" t="str">
        <f t="shared" si="7"/>
        <v xml:space="preserve"> </v>
      </c>
      <c r="D51" s="1346"/>
      <c r="E51" s="1346"/>
      <c r="F51" s="1346"/>
      <c r="G51" s="1346"/>
      <c r="H51" s="1346"/>
      <c r="I51" s="1346"/>
      <c r="J51" s="1346"/>
      <c r="K51" s="312" t="str">
        <f t="shared" si="8"/>
        <v xml:space="preserve"> </v>
      </c>
      <c r="L51" s="1348" t="str">
        <f t="shared" si="9"/>
        <v xml:space="preserve"> </v>
      </c>
      <c r="M51" s="1348"/>
      <c r="N51" s="1348"/>
      <c r="O51" s="1348" t="str">
        <f t="shared" si="10"/>
        <v xml:space="preserve"> </v>
      </c>
      <c r="P51" s="1339" t="str">
        <f t="shared" si="11"/>
        <v xml:space="preserve"> </v>
      </c>
      <c r="Q51" s="1339"/>
      <c r="R51" s="1339"/>
      <c r="S51" s="1339"/>
      <c r="T51" s="1340" t="str">
        <f>IF('Data entry'!P53=0," ",SUM(3*'Data entry'!P53))</f>
        <v xml:space="preserve"> </v>
      </c>
      <c r="U51" s="1340"/>
      <c r="V51" s="1340"/>
      <c r="W51" s="309" t="str">
        <f t="shared" si="12"/>
        <v xml:space="preserve"> </v>
      </c>
      <c r="X51" s="1341" t="str">
        <f>IF('Data entry'!N53=0," ",SUM('Data entry'!N53-3))</f>
        <v xml:space="preserve"> </v>
      </c>
      <c r="Y51" s="1341"/>
      <c r="Z51" s="1341"/>
    </row>
    <row r="52" spans="1:26" ht="16.5" customHeight="1" x14ac:dyDescent="0.3">
      <c r="A52" s="299"/>
      <c r="C52" s="1346" t="str">
        <f t="shared" si="7"/>
        <v xml:space="preserve"> </v>
      </c>
      <c r="D52" s="1346"/>
      <c r="E52" s="1346"/>
      <c r="F52" s="1346"/>
      <c r="G52" s="1346"/>
      <c r="H52" s="1346"/>
      <c r="I52" s="1346"/>
      <c r="J52" s="1346"/>
      <c r="K52" s="312" t="str">
        <f t="shared" si="8"/>
        <v xml:space="preserve"> </v>
      </c>
      <c r="L52" s="1348" t="str">
        <f t="shared" si="9"/>
        <v xml:space="preserve"> </v>
      </c>
      <c r="M52" s="1348"/>
      <c r="N52" s="1348"/>
      <c r="O52" s="1348" t="str">
        <f t="shared" si="10"/>
        <v xml:space="preserve"> </v>
      </c>
      <c r="P52" s="1339" t="str">
        <f t="shared" si="11"/>
        <v xml:space="preserve"> </v>
      </c>
      <c r="Q52" s="1339"/>
      <c r="R52" s="1339"/>
      <c r="S52" s="1339"/>
      <c r="T52" s="1340" t="str">
        <f>IF('Data entry'!P54=0," ",SUM(3*'Data entry'!P54))</f>
        <v xml:space="preserve"> </v>
      </c>
      <c r="U52" s="1340"/>
      <c r="V52" s="1340"/>
      <c r="W52" s="309" t="str">
        <f t="shared" si="12"/>
        <v xml:space="preserve"> </v>
      </c>
      <c r="X52" s="1341" t="str">
        <f>IF('Data entry'!N54=0," ",SUM('Data entry'!N54-3))</f>
        <v xml:space="preserve"> </v>
      </c>
      <c r="Y52" s="1341"/>
      <c r="Z52" s="1341"/>
    </row>
    <row r="53" spans="1:26" ht="16.5" customHeight="1" x14ac:dyDescent="0.3">
      <c r="A53" s="299"/>
      <c r="C53" s="1346" t="str">
        <f t="shared" si="7"/>
        <v xml:space="preserve"> </v>
      </c>
      <c r="D53" s="1346"/>
      <c r="E53" s="1346"/>
      <c r="F53" s="1346"/>
      <c r="G53" s="1346"/>
      <c r="H53" s="1346"/>
      <c r="I53" s="1346"/>
      <c r="J53" s="1346"/>
      <c r="K53" s="312" t="str">
        <f t="shared" si="8"/>
        <v xml:space="preserve"> </v>
      </c>
      <c r="L53" s="1348" t="str">
        <f t="shared" si="9"/>
        <v xml:space="preserve"> </v>
      </c>
      <c r="M53" s="1348"/>
      <c r="N53" s="1348"/>
      <c r="O53" s="1348" t="str">
        <f t="shared" si="10"/>
        <v xml:space="preserve"> </v>
      </c>
      <c r="P53" s="1339" t="str">
        <f t="shared" si="11"/>
        <v xml:space="preserve"> </v>
      </c>
      <c r="Q53" s="1339"/>
      <c r="R53" s="1339"/>
      <c r="S53" s="1339"/>
      <c r="T53" s="1340" t="str">
        <f>IF('Data entry'!P55=0," ",SUM(3*'Data entry'!P55))</f>
        <v xml:space="preserve"> </v>
      </c>
      <c r="U53" s="1340"/>
      <c r="V53" s="1340"/>
      <c r="W53" s="309" t="str">
        <f t="shared" si="12"/>
        <v xml:space="preserve"> </v>
      </c>
      <c r="X53" s="1341" t="str">
        <f>IF('Data entry'!N55=0," ",SUM('Data entry'!N55-3))</f>
        <v xml:space="preserve"> </v>
      </c>
      <c r="Y53" s="1341"/>
      <c r="Z53" s="1341"/>
    </row>
    <row r="54" spans="1:26" ht="16.5" customHeight="1" x14ac:dyDescent="0.25">
      <c r="A54" s="317"/>
      <c r="C54" s="1346" t="str">
        <f t="shared" si="7"/>
        <v xml:space="preserve"> </v>
      </c>
      <c r="D54" s="1346"/>
      <c r="E54" s="1346"/>
      <c r="F54" s="1346"/>
      <c r="G54" s="1346"/>
      <c r="H54" s="1346"/>
      <c r="I54" s="1346"/>
      <c r="J54" s="1346"/>
      <c r="K54" s="312" t="str">
        <f t="shared" si="8"/>
        <v xml:space="preserve"> </v>
      </c>
      <c r="L54" s="1348" t="str">
        <f t="shared" si="9"/>
        <v xml:space="preserve"> </v>
      </c>
      <c r="M54" s="1348"/>
      <c r="N54" s="1348"/>
      <c r="O54" s="1348" t="str">
        <f t="shared" si="10"/>
        <v xml:space="preserve"> </v>
      </c>
      <c r="P54" s="1339" t="str">
        <f t="shared" si="11"/>
        <v xml:space="preserve"> </v>
      </c>
      <c r="Q54" s="1339"/>
      <c r="R54" s="1339"/>
      <c r="S54" s="1339"/>
      <c r="T54" s="1340" t="str">
        <f>IF('Data entry'!P56=0," ",SUM(3*'Data entry'!P56))</f>
        <v xml:space="preserve"> </v>
      </c>
      <c r="U54" s="1340"/>
      <c r="V54" s="1340"/>
      <c r="W54" s="309" t="str">
        <f t="shared" si="12"/>
        <v xml:space="preserve"> </v>
      </c>
      <c r="X54" s="1341" t="str">
        <f>IF('Data entry'!N56=0," ",SUM('Data entry'!N56-3))</f>
        <v xml:space="preserve"> </v>
      </c>
      <c r="Y54" s="1341"/>
      <c r="Z54" s="1341"/>
    </row>
    <row r="55" spans="1:26" ht="16.5" customHeight="1" x14ac:dyDescent="0.35">
      <c r="A55" s="318"/>
      <c r="C55" s="1346" t="str">
        <f t="shared" si="7"/>
        <v xml:space="preserve"> </v>
      </c>
      <c r="D55" s="1346"/>
      <c r="E55" s="1346"/>
      <c r="F55" s="1346"/>
      <c r="G55" s="1346"/>
      <c r="H55" s="1346"/>
      <c r="I55" s="1346"/>
      <c r="J55" s="1346"/>
      <c r="K55" s="312" t="str">
        <f t="shared" si="8"/>
        <v xml:space="preserve"> </v>
      </c>
      <c r="L55" s="1341" t="str">
        <f t="shared" si="9"/>
        <v xml:space="preserve"> </v>
      </c>
      <c r="M55" s="1341"/>
      <c r="N55" s="1341"/>
      <c r="O55" s="1341"/>
      <c r="P55" s="1339" t="str">
        <f t="shared" si="11"/>
        <v xml:space="preserve"> </v>
      </c>
      <c r="Q55" s="1339"/>
      <c r="R55" s="1339"/>
      <c r="S55" s="1339"/>
      <c r="T55" s="1340" t="str">
        <f>IF('Data entry'!P57=0," ",SUM(3*'Data entry'!P57))</f>
        <v xml:space="preserve"> </v>
      </c>
      <c r="U55" s="1340"/>
      <c r="V55" s="1340"/>
      <c r="W55" s="309" t="str">
        <f t="shared" si="12"/>
        <v xml:space="preserve"> </v>
      </c>
      <c r="X55" s="1341" t="str">
        <f>IF('Data entry'!N57=0," ",SUM('Data entry'!N57-3))</f>
        <v xml:space="preserve"> </v>
      </c>
      <c r="Y55" s="1341"/>
      <c r="Z55" s="1341"/>
    </row>
    <row r="56" spans="1:26" ht="16.5" customHeight="1" x14ac:dyDescent="0.35">
      <c r="A56" s="318"/>
      <c r="C56" s="1346" t="str">
        <f t="shared" si="7"/>
        <v xml:space="preserve"> </v>
      </c>
      <c r="D56" s="1346"/>
      <c r="E56" s="1346"/>
      <c r="F56" s="1346"/>
      <c r="G56" s="1346"/>
      <c r="H56" s="1346"/>
      <c r="I56" s="1346"/>
      <c r="J56" s="1346"/>
      <c r="K56" s="312" t="str">
        <f t="shared" si="8"/>
        <v xml:space="preserve"> </v>
      </c>
      <c r="L56" s="1341" t="str">
        <f t="shared" si="9"/>
        <v xml:space="preserve"> </v>
      </c>
      <c r="M56" s="1341"/>
      <c r="N56" s="1341"/>
      <c r="O56" s="1341"/>
      <c r="P56" s="1339" t="str">
        <f t="shared" si="11"/>
        <v xml:space="preserve"> </v>
      </c>
      <c r="Q56" s="1339"/>
      <c r="R56" s="1339"/>
      <c r="S56" s="1339"/>
      <c r="T56" s="1340" t="str">
        <f>IF('Data entry'!P58=0," ",SUM(3*'Data entry'!P58))</f>
        <v xml:space="preserve"> </v>
      </c>
      <c r="U56" s="1340"/>
      <c r="V56" s="1340"/>
      <c r="W56" s="309" t="str">
        <f t="shared" si="12"/>
        <v xml:space="preserve"> </v>
      </c>
      <c r="X56" s="1341" t="str">
        <f>IF('Data entry'!N58=0," ",SUM('Data entry'!N58-3))</f>
        <v xml:space="preserve"> </v>
      </c>
      <c r="Y56" s="1341"/>
      <c r="Z56" s="1341"/>
    </row>
    <row r="57" spans="1:26" ht="16.5" customHeight="1" x14ac:dyDescent="0.35">
      <c r="A57" s="318"/>
      <c r="C57" s="1346" t="str">
        <f t="shared" si="7"/>
        <v xml:space="preserve"> </v>
      </c>
      <c r="D57" s="1346"/>
      <c r="E57" s="1346"/>
      <c r="F57" s="1346"/>
      <c r="G57" s="1346"/>
      <c r="H57" s="1346"/>
      <c r="I57" s="1346"/>
      <c r="J57" s="1346"/>
      <c r="K57" s="312" t="str">
        <f t="shared" si="8"/>
        <v xml:space="preserve"> </v>
      </c>
      <c r="L57" s="1341" t="str">
        <f t="shared" si="9"/>
        <v xml:space="preserve"> </v>
      </c>
      <c r="M57" s="1341"/>
      <c r="N57" s="1341"/>
      <c r="O57" s="1341"/>
      <c r="P57" s="1339" t="str">
        <f t="shared" si="11"/>
        <v xml:space="preserve"> </v>
      </c>
      <c r="Q57" s="1339"/>
      <c r="R57" s="1339"/>
      <c r="S57" s="1339"/>
      <c r="T57" s="1340" t="str">
        <f>IF('Data entry'!P59=0," ",SUM(3*'Data entry'!P59))</f>
        <v xml:space="preserve"> </v>
      </c>
      <c r="U57" s="1340"/>
      <c r="V57" s="1340"/>
      <c r="W57" s="309" t="str">
        <f t="shared" si="12"/>
        <v xml:space="preserve"> </v>
      </c>
      <c r="X57" s="1341" t="str">
        <f>IF('Data entry'!N59=0," ",SUM('Data entry'!N59-3))</f>
        <v xml:space="preserve"> </v>
      </c>
      <c r="Y57" s="1341"/>
      <c r="Z57" s="1341"/>
    </row>
    <row r="58" spans="1:26" ht="16.5" customHeight="1" x14ac:dyDescent="0.35">
      <c r="A58" s="318"/>
      <c r="C58" s="1346" t="str">
        <f t="shared" si="7"/>
        <v xml:space="preserve"> </v>
      </c>
      <c r="D58" s="1346"/>
      <c r="E58" s="1346"/>
      <c r="F58" s="1346"/>
      <c r="G58" s="1346"/>
      <c r="H58" s="1346"/>
      <c r="I58" s="1346"/>
      <c r="J58" s="1346"/>
      <c r="K58" s="312" t="str">
        <f t="shared" si="8"/>
        <v xml:space="preserve"> </v>
      </c>
      <c r="L58" s="1341" t="str">
        <f t="shared" si="9"/>
        <v xml:space="preserve"> </v>
      </c>
      <c r="M58" s="1341"/>
      <c r="N58" s="1341"/>
      <c r="O58" s="1341"/>
      <c r="P58" s="1339" t="str">
        <f t="shared" si="11"/>
        <v xml:space="preserve"> </v>
      </c>
      <c r="Q58" s="1339"/>
      <c r="R58" s="1339"/>
      <c r="S58" s="1339"/>
      <c r="T58" s="1340" t="str">
        <f>IF('Data entry'!P60=0," ",SUM(3*'Data entry'!P60))</f>
        <v xml:space="preserve"> </v>
      </c>
      <c r="U58" s="1340"/>
      <c r="V58" s="1340"/>
      <c r="W58" s="309" t="str">
        <f t="shared" si="12"/>
        <v xml:space="preserve"> </v>
      </c>
      <c r="X58" s="1341" t="str">
        <f>IF('Data entry'!N60=0," ",SUM('Data entry'!N60-3))</f>
        <v xml:space="preserve"> </v>
      </c>
      <c r="Y58" s="1341"/>
      <c r="Z58" s="1341"/>
    </row>
    <row r="59" spans="1:26" ht="16.5" customHeight="1" x14ac:dyDescent="0.3">
      <c r="A59" s="319"/>
      <c r="C59" s="1346" t="str">
        <f t="shared" si="7"/>
        <v xml:space="preserve"> </v>
      </c>
      <c r="D59" s="1346"/>
      <c r="E59" s="1346"/>
      <c r="F59" s="1346"/>
      <c r="G59" s="1346"/>
      <c r="H59" s="1346"/>
      <c r="I59" s="1346"/>
      <c r="J59" s="1346"/>
      <c r="K59" s="312" t="str">
        <f t="shared" si="8"/>
        <v xml:space="preserve"> </v>
      </c>
      <c r="L59" s="1348" t="str">
        <f t="shared" si="9"/>
        <v xml:space="preserve"> </v>
      </c>
      <c r="M59" s="1348"/>
      <c r="N59" s="1348"/>
      <c r="O59" s="1348" t="str">
        <f>L41</f>
        <v xml:space="preserve"> </v>
      </c>
      <c r="P59" s="1339" t="str">
        <f t="shared" si="11"/>
        <v xml:space="preserve"> </v>
      </c>
      <c r="Q59" s="1339"/>
      <c r="R59" s="1339"/>
      <c r="S59" s="1339"/>
      <c r="T59" s="1340" t="str">
        <f>IF('Data entry'!P61=0," ",SUM(3*'Data entry'!P61))</f>
        <v xml:space="preserve"> </v>
      </c>
      <c r="U59" s="1340"/>
      <c r="V59" s="1340"/>
      <c r="W59" s="309" t="str">
        <f t="shared" si="12"/>
        <v xml:space="preserve"> </v>
      </c>
      <c r="X59" s="1341" t="str">
        <f>IF('Data entry'!N61=0," ",SUM('Data entry'!N61-3))</f>
        <v xml:space="preserve"> </v>
      </c>
      <c r="Y59" s="1341"/>
      <c r="Z59" s="1341"/>
    </row>
    <row r="60" spans="1:26" ht="16.5" customHeight="1" x14ac:dyDescent="0.25">
      <c r="A60" s="283"/>
      <c r="C60" s="1346" t="str">
        <f t="shared" si="7"/>
        <v xml:space="preserve"> </v>
      </c>
      <c r="D60" s="1346"/>
      <c r="E60" s="1346"/>
      <c r="F60" s="1346"/>
      <c r="G60" s="1346"/>
      <c r="H60" s="1346"/>
      <c r="I60" s="1346"/>
      <c r="J60" s="1346"/>
      <c r="K60" s="312" t="str">
        <f t="shared" si="8"/>
        <v xml:space="preserve"> </v>
      </c>
      <c r="L60" s="1348" t="str">
        <f t="shared" si="9"/>
        <v xml:space="preserve"> </v>
      </c>
      <c r="M60" s="1348"/>
      <c r="N60" s="1348"/>
      <c r="O60" s="1348" t="str">
        <f>L42</f>
        <v xml:space="preserve"> </v>
      </c>
      <c r="P60" s="1339" t="str">
        <f t="shared" si="11"/>
        <v xml:space="preserve"> </v>
      </c>
      <c r="Q60" s="1339"/>
      <c r="R60" s="1339"/>
      <c r="S60" s="1339"/>
      <c r="T60" s="1340" t="str">
        <f>IF('Data entry'!P62=0," ",SUM(3*'Data entry'!P62))</f>
        <v xml:space="preserve"> </v>
      </c>
      <c r="U60" s="1340"/>
      <c r="V60" s="1340"/>
      <c r="W60" s="309" t="str">
        <f t="shared" si="12"/>
        <v xml:space="preserve"> </v>
      </c>
      <c r="X60" s="1341" t="str">
        <f>IF('Data entry'!N62=0," ",SUM('Data entry'!N62-3))</f>
        <v xml:space="preserve"> </v>
      </c>
      <c r="Y60" s="1341"/>
      <c r="Z60" s="1341"/>
    </row>
    <row r="61" spans="1:26" ht="16.5" customHeight="1" x14ac:dyDescent="0.25">
      <c r="A61" s="283"/>
      <c r="B61" s="188" t="s">
        <v>300</v>
      </c>
      <c r="C61" s="1346" t="str">
        <f t="shared" si="7"/>
        <v>2x6 Jack studs – 2 beveled,1 square</v>
      </c>
      <c r="D61" s="1346"/>
      <c r="E61" s="1346"/>
      <c r="F61" s="1346"/>
      <c r="G61" s="1346"/>
      <c r="H61" s="1346"/>
      <c r="I61" s="1346"/>
      <c r="J61" s="1346"/>
      <c r="K61" s="312">
        <f t="shared" si="8"/>
        <v>39</v>
      </c>
      <c r="L61" s="1348" t="str">
        <f>IF(K61=" "," ","in. transom window")</f>
        <v>in. transom window</v>
      </c>
      <c r="M61" s="1348"/>
      <c r="N61" s="1348"/>
      <c r="O61" s="1348"/>
      <c r="P61" s="1339" t="str">
        <f t="shared" si="11"/>
        <v>2x6x16'</v>
      </c>
      <c r="Q61" s="1339"/>
      <c r="R61" s="1339"/>
      <c r="S61" s="1339"/>
      <c r="T61" s="1340">
        <f>IF('Data entry'!P68=0," ",SUM(3*'Data entry'!P68))</f>
        <v>3</v>
      </c>
      <c r="U61" s="1340"/>
      <c r="V61" s="1340"/>
      <c r="W61" s="309" t="str">
        <f t="shared" si="12"/>
        <v>@</v>
      </c>
      <c r="X61" s="1341" t="str">
        <f>IF(K61=" "," ","see drawing")</f>
        <v>see drawing</v>
      </c>
      <c r="Y61" s="1341"/>
      <c r="Z61" s="1341"/>
    </row>
    <row r="62" spans="1:26" ht="16.5" customHeight="1" x14ac:dyDescent="0.25">
      <c r="A62" s="317"/>
      <c r="C62" s="1346" t="str">
        <f t="shared" si="7"/>
        <v xml:space="preserve"> </v>
      </c>
      <c r="D62" s="1346"/>
      <c r="E62" s="1346"/>
      <c r="F62" s="1346"/>
      <c r="G62" s="1346"/>
      <c r="H62" s="1346"/>
      <c r="I62" s="1346"/>
      <c r="J62" s="1346"/>
      <c r="K62" s="312" t="str">
        <f t="shared" si="8"/>
        <v xml:space="preserve"> </v>
      </c>
      <c r="L62" s="1348" t="str">
        <f>IF(K62=" "," ","in. transom window")</f>
        <v xml:space="preserve"> </v>
      </c>
      <c r="M62" s="1348"/>
      <c r="N62" s="1348"/>
      <c r="O62" s="1348"/>
      <c r="P62" s="1339" t="str">
        <f t="shared" si="11"/>
        <v xml:space="preserve"> </v>
      </c>
      <c r="Q62" s="1339"/>
      <c r="R62" s="1339"/>
      <c r="S62" s="1339"/>
      <c r="T62" s="1340" t="str">
        <f>IF('Data entry'!P69=0," ",SUM(3*'Data entry'!P69))</f>
        <v xml:space="preserve"> </v>
      </c>
      <c r="U62" s="1340"/>
      <c r="V62" s="1340"/>
      <c r="W62" s="309" t="str">
        <f t="shared" si="12"/>
        <v xml:space="preserve"> </v>
      </c>
      <c r="X62" s="1341" t="str">
        <f>IF(K62=" "," ","see drawing")</f>
        <v xml:space="preserve"> </v>
      </c>
      <c r="Y62" s="1341"/>
      <c r="Z62" s="1341"/>
    </row>
    <row r="63" spans="1:26" ht="16.5" customHeight="1" x14ac:dyDescent="0.25">
      <c r="A63" s="317"/>
      <c r="C63" s="1346" t="str">
        <f t="shared" si="7"/>
        <v xml:space="preserve"> </v>
      </c>
      <c r="D63" s="1346"/>
      <c r="E63" s="1346"/>
      <c r="F63" s="1346"/>
      <c r="G63" s="1346"/>
      <c r="H63" s="1346"/>
      <c r="I63" s="1346"/>
      <c r="J63" s="1346"/>
      <c r="K63" s="312" t="str">
        <f t="shared" si="8"/>
        <v xml:space="preserve"> </v>
      </c>
      <c r="L63" s="1348" t="str">
        <f>IF(K63=" "," ","in. transom window")</f>
        <v xml:space="preserve"> </v>
      </c>
      <c r="M63" s="1348"/>
      <c r="N63" s="1348"/>
      <c r="O63" s="1348"/>
      <c r="P63" s="1339" t="str">
        <f t="shared" si="11"/>
        <v xml:space="preserve"> </v>
      </c>
      <c r="Q63" s="1339"/>
      <c r="R63" s="1339"/>
      <c r="S63" s="1339"/>
      <c r="T63" s="1340" t="str">
        <f>IF('Data entry'!P70=0," ",SUM(3*'Data entry'!P70))</f>
        <v xml:space="preserve"> </v>
      </c>
      <c r="U63" s="1340"/>
      <c r="V63" s="1340"/>
      <c r="W63" s="309" t="str">
        <f t="shared" si="12"/>
        <v xml:space="preserve"> </v>
      </c>
      <c r="X63" s="1341" t="str">
        <f>IF(K63=" "," ","see drawing")</f>
        <v xml:space="preserve"> </v>
      </c>
      <c r="Y63" s="1341"/>
      <c r="Z63" s="1341"/>
    </row>
    <row r="64" spans="1:26" ht="16.5" customHeight="1" x14ac:dyDescent="0.2">
      <c r="A64" s="320"/>
    </row>
    <row r="65" spans="1:26" ht="27" customHeight="1" x14ac:dyDescent="0.4">
      <c r="A65" s="320"/>
      <c r="J65" s="1345" t="s">
        <v>302</v>
      </c>
      <c r="K65" s="1345"/>
      <c r="L65" s="1345"/>
      <c r="M65" s="1345"/>
      <c r="N65" s="1345"/>
      <c r="O65" s="1345"/>
      <c r="P65" s="1345"/>
      <c r="Q65" s="1345"/>
      <c r="R65" s="1345"/>
      <c r="S65" s="1345"/>
    </row>
    <row r="66" spans="1:26" ht="16.5" customHeight="1" x14ac:dyDescent="0.3">
      <c r="A66" s="299"/>
    </row>
    <row r="67" spans="1:26" ht="16.5" customHeight="1" x14ac:dyDescent="0.3">
      <c r="A67" s="299"/>
      <c r="B67" s="188" t="s">
        <v>300</v>
      </c>
      <c r="C67" s="1346" t="str">
        <f t="shared" ref="C67:C74" si="13">IF(K67=" "," ","Casement Jack stud-1 square cut ea.")</f>
        <v>Casement Jack stud-1 square cut ea.</v>
      </c>
      <c r="D67" s="1346"/>
      <c r="E67" s="1346"/>
      <c r="F67" s="1346"/>
      <c r="G67" s="1346"/>
      <c r="H67" s="1346"/>
      <c r="I67" s="1346"/>
      <c r="J67" s="1346"/>
      <c r="K67" s="314">
        <f>IF('Data entry'!L63&gt;0,'Data entry'!L63," ")</f>
        <v>30</v>
      </c>
      <c r="L67" s="1357" t="str">
        <f>IF(K67=" "," ","in. casement window")</f>
        <v>in. casement window</v>
      </c>
      <c r="M67" s="1357"/>
      <c r="N67" s="1357"/>
      <c r="O67" s="1357"/>
      <c r="P67" s="1339" t="str">
        <f t="shared" ref="P67:P74" si="14">IF(K67=" "," ","2x6x16")</f>
        <v>2x6x16</v>
      </c>
      <c r="Q67" s="1339"/>
      <c r="R67" s="1339"/>
      <c r="S67" s="1339"/>
      <c r="T67" s="1340">
        <f>IF(K67=" "," ",SUM('Data entry'!P63))</f>
        <v>1</v>
      </c>
      <c r="U67" s="1340"/>
      <c r="V67" s="1340"/>
      <c r="W67" s="309" t="str">
        <f t="shared" ref="W67:W74" si="15">IF(K67=" "," ","@")</f>
        <v>@</v>
      </c>
      <c r="X67" s="1341">
        <f>IF(K67=" "," ",SUM('Data entry'!N63-3))</f>
        <v>47</v>
      </c>
      <c r="Y67" s="1341"/>
      <c r="Z67" s="1341"/>
    </row>
    <row r="68" spans="1:26" ht="16.5" customHeight="1" x14ac:dyDescent="0.3">
      <c r="A68" s="299"/>
      <c r="C68" s="1346" t="str">
        <f t="shared" si="13"/>
        <v>Casement Jack stud-1 square cut ea.</v>
      </c>
      <c r="D68" s="1346"/>
      <c r="E68" s="1346"/>
      <c r="F68" s="1346"/>
      <c r="G68" s="1346"/>
      <c r="H68" s="1346"/>
      <c r="I68" s="1346"/>
      <c r="J68" s="1346"/>
      <c r="K68" s="314">
        <f>IF('Data entry'!L64&gt;0,'Data entry'!L64," ")</f>
        <v>42</v>
      </c>
      <c r="L68" s="1357" t="str">
        <f>IF(K68=" "," ","in. casement window")</f>
        <v>in. casement window</v>
      </c>
      <c r="M68" s="1357"/>
      <c r="N68" s="1357"/>
      <c r="O68" s="1357"/>
      <c r="P68" s="1339" t="str">
        <f t="shared" si="14"/>
        <v>2x6x16</v>
      </c>
      <c r="Q68" s="1339"/>
      <c r="R68" s="1339"/>
      <c r="S68" s="1339"/>
      <c r="T68" s="1340">
        <f>IF(K68=" "," ",SUM('Data entry'!P64))</f>
        <v>2</v>
      </c>
      <c r="U68" s="1340"/>
      <c r="V68" s="1340"/>
      <c r="W68" s="309" t="str">
        <f t="shared" si="15"/>
        <v>@</v>
      </c>
      <c r="X68" s="1341">
        <f>IF(K68=" "," ",SUM('Data entry'!N64-3))</f>
        <v>35</v>
      </c>
      <c r="Y68" s="1341"/>
      <c r="Z68" s="1341"/>
    </row>
    <row r="69" spans="1:26" ht="16.5" customHeight="1" x14ac:dyDescent="0.3">
      <c r="A69" s="299"/>
      <c r="C69" s="1346" t="str">
        <f t="shared" si="13"/>
        <v>Casement Jack stud-1 square cut ea.</v>
      </c>
      <c r="D69" s="1346"/>
      <c r="E69" s="1346"/>
      <c r="F69" s="1346"/>
      <c r="G69" s="1346"/>
      <c r="H69" s="1346"/>
      <c r="I69" s="1346"/>
      <c r="J69" s="1346"/>
      <c r="K69" s="314">
        <f>IF('Data entry'!L65&gt;0,'Data entry'!L65," ")</f>
        <v>42</v>
      </c>
      <c r="L69" s="1357" t="str">
        <f>IF(K69=" "," ","in. casement window")</f>
        <v>in. casement window</v>
      </c>
      <c r="M69" s="1357"/>
      <c r="N69" s="1357"/>
      <c r="O69" s="1357"/>
      <c r="P69" s="1339" t="str">
        <f t="shared" si="14"/>
        <v>2x6x16</v>
      </c>
      <c r="Q69" s="1339"/>
      <c r="R69" s="1339"/>
      <c r="S69" s="1339"/>
      <c r="T69" s="1340">
        <f>IF(K69=" "," ",SUM('Data entry'!P65))</f>
        <v>2</v>
      </c>
      <c r="U69" s="1340"/>
      <c r="V69" s="1340"/>
      <c r="W69" s="309" t="str">
        <f t="shared" si="15"/>
        <v>@</v>
      </c>
      <c r="X69" s="1341">
        <f>IF(K69=" "," ",SUM('Data entry'!N65-3))</f>
        <v>35</v>
      </c>
      <c r="Y69" s="1341"/>
      <c r="Z69" s="1341"/>
    </row>
    <row r="70" spans="1:26" ht="16.5" customHeight="1" x14ac:dyDescent="0.3">
      <c r="A70" s="299"/>
      <c r="C70" s="1346" t="str">
        <f t="shared" si="13"/>
        <v>Casement Jack stud-1 square cut ea.</v>
      </c>
      <c r="D70" s="1346"/>
      <c r="E70" s="1346"/>
      <c r="F70" s="1346"/>
      <c r="G70" s="1346"/>
      <c r="H70" s="1346"/>
      <c r="I70" s="1346"/>
      <c r="J70" s="1346"/>
      <c r="K70" s="314">
        <f>IF('Data entry'!L66&gt;0,'Data entry'!L66," ")</f>
        <v>36</v>
      </c>
      <c r="L70" s="1357" t="str">
        <f>IF(K70=" "," ","in. casement window")</f>
        <v>in. casement window</v>
      </c>
      <c r="M70" s="1357"/>
      <c r="N70" s="1357"/>
      <c r="O70" s="1357"/>
      <c r="P70" s="1339" t="str">
        <f t="shared" si="14"/>
        <v>2x6x16</v>
      </c>
      <c r="Q70" s="1339"/>
      <c r="R70" s="1339"/>
      <c r="S70" s="1339"/>
      <c r="T70" s="1340">
        <f>IF(K70=" "," ",SUM('Data entry'!P66))</f>
        <v>1</v>
      </c>
      <c r="U70" s="1340"/>
      <c r="V70" s="1340"/>
      <c r="W70" s="309" t="str">
        <f t="shared" si="15"/>
        <v>@</v>
      </c>
      <c r="X70" s="1341">
        <f>IF(K70=" "," ",SUM('Data entry'!N66-3))</f>
        <v>41</v>
      </c>
      <c r="Y70" s="1341"/>
      <c r="Z70" s="1341"/>
    </row>
    <row r="71" spans="1:26" ht="16.5" customHeight="1" x14ac:dyDescent="0.25">
      <c r="A71" s="316"/>
      <c r="C71" s="1346" t="str">
        <f t="shared" si="13"/>
        <v xml:space="preserve"> </v>
      </c>
      <c r="D71" s="1346"/>
      <c r="E71" s="1346"/>
      <c r="F71" s="1346"/>
      <c r="G71" s="1346"/>
      <c r="H71" s="1346"/>
      <c r="I71" s="1346"/>
      <c r="J71" s="1346"/>
      <c r="K71" s="314" t="str">
        <f>IF('Data entry'!L67&gt;0,'Data entry'!L67," ")</f>
        <v xml:space="preserve"> </v>
      </c>
      <c r="L71" s="1357" t="str">
        <f>IF(K71=" "," ","in. casement window")</f>
        <v xml:space="preserve"> </v>
      </c>
      <c r="M71" s="1357"/>
      <c r="N71" s="1357"/>
      <c r="O71" s="1357"/>
      <c r="P71" s="1339" t="str">
        <f t="shared" si="14"/>
        <v xml:space="preserve"> </v>
      </c>
      <c r="Q71" s="1339"/>
      <c r="R71" s="1339"/>
      <c r="S71" s="1339"/>
      <c r="T71" s="1340" t="str">
        <f>IF(K71=" "," ",SUM('Data entry'!P67))</f>
        <v xml:space="preserve"> </v>
      </c>
      <c r="U71" s="1340"/>
      <c r="V71" s="1340"/>
      <c r="W71" s="309" t="str">
        <f t="shared" si="15"/>
        <v xml:space="preserve"> </v>
      </c>
      <c r="X71" s="1341" t="str">
        <f>IF(K71=" "," ",SUM('Data entry'!N67-3))</f>
        <v xml:space="preserve"> </v>
      </c>
      <c r="Y71" s="1341"/>
      <c r="Z71" s="1341"/>
    </row>
    <row r="72" spans="1:26" ht="16.5" customHeight="1" x14ac:dyDescent="0.25">
      <c r="A72" s="316"/>
      <c r="B72" s="188" t="s">
        <v>300</v>
      </c>
      <c r="C72" s="1346" t="str">
        <f t="shared" si="13"/>
        <v>Casement Jack stud-1 square cut ea.</v>
      </c>
      <c r="D72" s="1346"/>
      <c r="E72" s="1346"/>
      <c r="F72" s="1346"/>
      <c r="G72" s="1346"/>
      <c r="H72" s="1346"/>
      <c r="I72" s="1346"/>
      <c r="J72" s="1346"/>
      <c r="K72" s="314">
        <f>IF('Data entry'!L71&gt;0,'Data entry'!L71," ")</f>
        <v>39</v>
      </c>
      <c r="L72" s="1357" t="str">
        <f>IF(K72=" "," ","in. case. trans window")</f>
        <v>in. case. trans window</v>
      </c>
      <c r="M72" s="1357"/>
      <c r="N72" s="1357"/>
      <c r="O72" s="1357"/>
      <c r="P72" s="1339" t="str">
        <f t="shared" si="14"/>
        <v>2x6x16</v>
      </c>
      <c r="Q72" s="1339"/>
      <c r="R72" s="1339"/>
      <c r="S72" s="1339"/>
      <c r="T72" s="1340">
        <f>IF(K72=" "," ",SUM('Data entry'!P71))</f>
        <v>5</v>
      </c>
      <c r="U72" s="1340"/>
      <c r="V72" s="1340"/>
      <c r="W72" s="309" t="str">
        <f t="shared" si="15"/>
        <v>@</v>
      </c>
      <c r="X72" s="1341">
        <f>IF(K72=" "," ",SUM('Data entry'!N68-3))</f>
        <v>115.5</v>
      </c>
      <c r="Y72" s="1341"/>
      <c r="Z72" s="1341"/>
    </row>
    <row r="73" spans="1:26" ht="16.5" customHeight="1" x14ac:dyDescent="0.25">
      <c r="A73" s="316"/>
      <c r="C73" s="1346" t="str">
        <f t="shared" si="13"/>
        <v>Casement Jack stud-1 square cut ea.</v>
      </c>
      <c r="D73" s="1346"/>
      <c r="E73" s="1346"/>
      <c r="F73" s="1346"/>
      <c r="G73" s="1346"/>
      <c r="H73" s="1346"/>
      <c r="I73" s="1346"/>
      <c r="J73" s="1346"/>
      <c r="K73" s="314">
        <f>IF('Data entry'!L72&gt;0,'Data entry'!L72," ")</f>
        <v>30</v>
      </c>
      <c r="L73" s="1357" t="str">
        <f>IF(K73=" "," ","in. case. trans window")</f>
        <v>in. case. trans window</v>
      </c>
      <c r="M73" s="1357"/>
      <c r="N73" s="1357"/>
      <c r="O73" s="1357"/>
      <c r="P73" s="1339" t="str">
        <f t="shared" si="14"/>
        <v>2x6x16</v>
      </c>
      <c r="Q73" s="1339"/>
      <c r="R73" s="1339"/>
      <c r="S73" s="1339"/>
      <c r="T73" s="1340">
        <f>IF(K73=" "," ",SUM('Data entry'!P69))</f>
        <v>0</v>
      </c>
      <c r="U73" s="1340"/>
      <c r="V73" s="1340"/>
      <c r="W73" s="309" t="str">
        <f t="shared" si="15"/>
        <v>@</v>
      </c>
      <c r="X73" s="1341">
        <f>IF(K73=" "," ",SUM('Data entry'!N69-3))</f>
        <v>-3</v>
      </c>
      <c r="Y73" s="1341"/>
      <c r="Z73" s="1341"/>
    </row>
    <row r="74" spans="1:26" ht="16.5" customHeight="1" x14ac:dyDescent="0.3">
      <c r="A74" s="299"/>
      <c r="C74" s="1346" t="str">
        <f t="shared" si="13"/>
        <v xml:space="preserve"> </v>
      </c>
      <c r="D74" s="1346"/>
      <c r="E74" s="1346"/>
      <c r="F74" s="1346"/>
      <c r="G74" s="1346"/>
      <c r="H74" s="1346"/>
      <c r="I74" s="1346"/>
      <c r="J74" s="1346"/>
      <c r="K74" s="314" t="str">
        <f>IF('Data entry'!L73&gt;0,'Data entry'!L73," ")</f>
        <v xml:space="preserve"> </v>
      </c>
      <c r="L74" s="1357" t="str">
        <f>IF(K74=" "," ","in. case. trans window")</f>
        <v xml:space="preserve"> </v>
      </c>
      <c r="M74" s="1357"/>
      <c r="N74" s="1357"/>
      <c r="O74" s="1357"/>
      <c r="P74" s="1339" t="str">
        <f t="shared" si="14"/>
        <v xml:space="preserve"> </v>
      </c>
      <c r="Q74" s="1339"/>
      <c r="R74" s="1339"/>
      <c r="S74" s="1339"/>
      <c r="T74" s="1340" t="str">
        <f>IF(K74=" "," ",SUM('Data entry'!P70))</f>
        <v xml:space="preserve"> </v>
      </c>
      <c r="U74" s="1340"/>
      <c r="V74" s="1340"/>
      <c r="W74" s="309" t="str">
        <f t="shared" si="15"/>
        <v xml:space="preserve"> </v>
      </c>
      <c r="X74" s="1341" t="str">
        <f>IF(K74=" "," ",SUM('Data entry'!N70-3))</f>
        <v xml:space="preserve"> </v>
      </c>
      <c r="Y74" s="1341"/>
      <c r="Z74" s="1341"/>
    </row>
    <row r="75" spans="1:26" ht="16.5" customHeight="1" x14ac:dyDescent="0.2"/>
    <row r="76" spans="1:26" ht="26.25" customHeight="1" x14ac:dyDescent="0.4">
      <c r="J76" s="1345" t="s">
        <v>303</v>
      </c>
      <c r="K76" s="1345"/>
      <c r="L76" s="1345"/>
      <c r="M76" s="1345"/>
      <c r="N76" s="1345"/>
      <c r="O76" s="1345"/>
      <c r="P76" s="1345"/>
      <c r="Q76" s="1345"/>
      <c r="R76" s="1345"/>
      <c r="S76" s="1345"/>
    </row>
    <row r="77" spans="1:26" ht="16.5" customHeight="1" x14ac:dyDescent="0.2"/>
    <row r="78" spans="1:26" ht="16.5" customHeight="1" x14ac:dyDescent="0.25">
      <c r="B78" s="188" t="s">
        <v>300</v>
      </c>
      <c r="C78" s="1346" t="str">
        <f t="shared" ref="C78:C85" si="16">IF(K67=" "," ","Casement King studs- square cut ")</f>
        <v xml:space="preserve">Casement King studs- square cut </v>
      </c>
      <c r="D78" s="1346"/>
      <c r="E78" s="1346"/>
      <c r="F78" s="1346"/>
      <c r="G78" s="1346"/>
      <c r="H78" s="1346"/>
      <c r="I78" s="1346"/>
      <c r="J78" s="1346"/>
      <c r="K78" s="314">
        <f>IF('Data entry'!L63&gt;0,'Data entry'!L63," ")</f>
        <v>30</v>
      </c>
      <c r="L78" s="1357" t="str">
        <f>IF(K78=" "," ","in. casement window")</f>
        <v>in. casement window</v>
      </c>
      <c r="M78" s="1357"/>
      <c r="N78" s="1357"/>
      <c r="O78" s="1357"/>
      <c r="P78" s="1339" t="str">
        <f t="shared" ref="P78:P85" si="17">IF(K78=" "," ","2x6x16")</f>
        <v>2x6x16</v>
      </c>
      <c r="Q78" s="1339"/>
      <c r="R78" s="1339"/>
      <c r="S78" s="1339"/>
      <c r="T78" s="1340">
        <f>IF(K78=" "," ",SUM('Data entry'!P63*2))</f>
        <v>2</v>
      </c>
      <c r="U78" s="1340"/>
      <c r="V78" s="1340"/>
      <c r="W78" s="309" t="str">
        <f t="shared" ref="W78:W85" si="18">IF(K78=" "," ","@")</f>
        <v>@</v>
      </c>
      <c r="X78" s="1341">
        <f>IF(K78=" "," ",SUM(('Data entry'!L63+'Data entry'!N63)-1.5))</f>
        <v>78.5</v>
      </c>
      <c r="Y78" s="1341"/>
      <c r="Z78" s="1341"/>
    </row>
    <row r="79" spans="1:26" ht="16.5" customHeight="1" x14ac:dyDescent="0.25">
      <c r="C79" s="1346" t="str">
        <f t="shared" si="16"/>
        <v xml:space="preserve">Casement King studs- square cut </v>
      </c>
      <c r="D79" s="1346"/>
      <c r="E79" s="1346"/>
      <c r="F79" s="1346"/>
      <c r="G79" s="1346"/>
      <c r="H79" s="1346"/>
      <c r="I79" s="1346"/>
      <c r="J79" s="1346"/>
      <c r="K79" s="314">
        <f>IF('Data entry'!L64&gt;0,'Data entry'!L64," ")</f>
        <v>42</v>
      </c>
      <c r="L79" s="1357" t="str">
        <f>IF(K79=" "," ","in. casement window")</f>
        <v>in. casement window</v>
      </c>
      <c r="M79" s="1357"/>
      <c r="N79" s="1357"/>
      <c r="O79" s="1357"/>
      <c r="P79" s="1339" t="str">
        <f t="shared" si="17"/>
        <v>2x6x16</v>
      </c>
      <c r="Q79" s="1339"/>
      <c r="R79" s="1339"/>
      <c r="S79" s="1339"/>
      <c r="T79" s="1340">
        <f>IF(K79=" "," ",SUM('Data entry'!P64*2))</f>
        <v>4</v>
      </c>
      <c r="U79" s="1340"/>
      <c r="V79" s="1340"/>
      <c r="W79" s="309" t="str">
        <f t="shared" si="18"/>
        <v>@</v>
      </c>
      <c r="X79" s="1341">
        <f>IF(K79=" "," ",SUM(('Data entry'!L64+'Data entry'!N64)-1.5))</f>
        <v>78.5</v>
      </c>
      <c r="Y79" s="1341"/>
      <c r="Z79" s="1341"/>
    </row>
    <row r="80" spans="1:26" ht="16.5" customHeight="1" x14ac:dyDescent="0.25">
      <c r="C80" s="1346" t="str">
        <f t="shared" si="16"/>
        <v xml:space="preserve">Casement King studs- square cut </v>
      </c>
      <c r="D80" s="1346"/>
      <c r="E80" s="1346"/>
      <c r="F80" s="1346"/>
      <c r="G80" s="1346"/>
      <c r="H80" s="1346"/>
      <c r="I80" s="1346"/>
      <c r="J80" s="1346"/>
      <c r="K80" s="314">
        <f>IF('Data entry'!L65&gt;0,'Data entry'!L65," ")</f>
        <v>42</v>
      </c>
      <c r="L80" s="1357" t="str">
        <f>IF(K80=" "," ","in. casement window")</f>
        <v>in. casement window</v>
      </c>
      <c r="M80" s="1357"/>
      <c r="N80" s="1357"/>
      <c r="O80" s="1357"/>
      <c r="P80" s="1339" t="str">
        <f t="shared" si="17"/>
        <v>2x6x16</v>
      </c>
      <c r="Q80" s="1339"/>
      <c r="R80" s="1339"/>
      <c r="S80" s="1339"/>
      <c r="T80" s="1340">
        <f>IF(K80=" "," ",SUM('Data entry'!P65*2))</f>
        <v>4</v>
      </c>
      <c r="U80" s="1340"/>
      <c r="V80" s="1340"/>
      <c r="W80" s="309" t="str">
        <f t="shared" si="18"/>
        <v>@</v>
      </c>
      <c r="X80" s="1341">
        <f>IF(K80=" "," ",SUM(('Data entry'!L65+'Data entry'!N65)-1.5))</f>
        <v>78.5</v>
      </c>
      <c r="Y80" s="1341"/>
      <c r="Z80" s="1341"/>
    </row>
    <row r="81" spans="1:26" ht="16.5" customHeight="1" x14ac:dyDescent="0.25">
      <c r="C81" s="1346" t="str">
        <f t="shared" si="16"/>
        <v xml:space="preserve">Casement King studs- square cut </v>
      </c>
      <c r="D81" s="1346"/>
      <c r="E81" s="1346"/>
      <c r="F81" s="1346"/>
      <c r="G81" s="1346"/>
      <c r="H81" s="1346"/>
      <c r="I81" s="1346"/>
      <c r="J81" s="1346"/>
      <c r="K81" s="314">
        <f>IF('Data entry'!L66&gt;0,'Data entry'!L66," ")</f>
        <v>36</v>
      </c>
      <c r="L81" s="1357" t="str">
        <f>IF(K81=" "," ","in. casement window")</f>
        <v>in. casement window</v>
      </c>
      <c r="M81" s="1357"/>
      <c r="N81" s="1357"/>
      <c r="O81" s="1357"/>
      <c r="P81" s="1339" t="str">
        <f t="shared" si="17"/>
        <v>2x6x16</v>
      </c>
      <c r="Q81" s="1339"/>
      <c r="R81" s="1339"/>
      <c r="S81" s="1339"/>
      <c r="T81" s="1340">
        <f>IF(K81=" "," ",SUM('Data entry'!P66*2))</f>
        <v>2</v>
      </c>
      <c r="U81" s="1340"/>
      <c r="V81" s="1340"/>
      <c r="W81" s="309" t="str">
        <f t="shared" si="18"/>
        <v>@</v>
      </c>
      <c r="X81" s="1341">
        <f>IF(K81=" "," ",SUM(('Data entry'!L66+'Data entry'!N66)-1.5))</f>
        <v>78.5</v>
      </c>
      <c r="Y81" s="1341"/>
      <c r="Z81" s="1341"/>
    </row>
    <row r="82" spans="1:26" ht="16.5" customHeight="1" x14ac:dyDescent="0.25">
      <c r="C82" s="1346" t="str">
        <f t="shared" si="16"/>
        <v xml:space="preserve"> </v>
      </c>
      <c r="D82" s="1346"/>
      <c r="E82" s="1346"/>
      <c r="F82" s="1346"/>
      <c r="G82" s="1346"/>
      <c r="H82" s="1346"/>
      <c r="I82" s="1346"/>
      <c r="J82" s="1346"/>
      <c r="K82" s="314" t="str">
        <f>IF('Data entry'!L67&gt;0,'Data entry'!L67," ")</f>
        <v xml:space="preserve"> </v>
      </c>
      <c r="L82" s="1357" t="str">
        <f>IF(K82=" "," ","in. casement window")</f>
        <v xml:space="preserve"> </v>
      </c>
      <c r="M82" s="1357"/>
      <c r="N82" s="1357"/>
      <c r="O82" s="1357"/>
      <c r="P82" s="1339" t="str">
        <f t="shared" si="17"/>
        <v xml:space="preserve"> </v>
      </c>
      <c r="Q82" s="1339"/>
      <c r="R82" s="1339"/>
      <c r="S82" s="1339"/>
      <c r="T82" s="1340" t="str">
        <f>IF(K82=" "," ",SUM('Data entry'!P67*2))</f>
        <v xml:space="preserve"> </v>
      </c>
      <c r="U82" s="1340"/>
      <c r="V82" s="1340"/>
      <c r="W82" s="309" t="str">
        <f t="shared" si="18"/>
        <v xml:space="preserve"> </v>
      </c>
      <c r="X82" s="1341" t="str">
        <f>IF(K82=" "," ",SUM(('Data entry'!L67+'Data entry'!N67)-1.5))</f>
        <v xml:space="preserve"> </v>
      </c>
      <c r="Y82" s="1341"/>
      <c r="Z82" s="1341"/>
    </row>
    <row r="83" spans="1:26" ht="16.5" customHeight="1" x14ac:dyDescent="0.25">
      <c r="B83" s="188" t="s">
        <v>300</v>
      </c>
      <c r="C83" s="1346" t="str">
        <f t="shared" si="16"/>
        <v xml:space="preserve">Casement King studs- square cut </v>
      </c>
      <c r="D83" s="1346"/>
      <c r="E83" s="1346"/>
      <c r="F83" s="1346"/>
      <c r="G83" s="1346"/>
      <c r="H83" s="1346"/>
      <c r="I83" s="1346"/>
      <c r="J83" s="1346"/>
      <c r="K83" s="314">
        <f>IF('Data entry'!L71&gt;0,'Data entry'!L71," ")</f>
        <v>39</v>
      </c>
      <c r="L83" s="1357" t="str">
        <f>IF(K83=" "," ","in. case. trans window")</f>
        <v>in. case. trans window</v>
      </c>
      <c r="M83" s="1357"/>
      <c r="N83" s="1357"/>
      <c r="O83" s="1357"/>
      <c r="P83" s="1339" t="str">
        <f t="shared" si="17"/>
        <v>2x6x16</v>
      </c>
      <c r="Q83" s="1339"/>
      <c r="R83" s="1339"/>
      <c r="S83" s="1339"/>
      <c r="T83" s="1340">
        <f>IF(K83=" "," ",SUM('Data entry'!P71*2))</f>
        <v>10</v>
      </c>
      <c r="U83" s="1340"/>
      <c r="V83" s="1340"/>
      <c r="W83" s="309" t="str">
        <f t="shared" si="18"/>
        <v>@</v>
      </c>
      <c r="X83" s="1341">
        <f>IF(K83=" "," ",SUM(('Data entry'!L68+'Data entry'!N68)-1.5))</f>
        <v>156</v>
      </c>
      <c r="Y83" s="1341"/>
      <c r="Z83" s="1341"/>
    </row>
    <row r="84" spans="1:26" ht="16.5" customHeight="1" x14ac:dyDescent="0.25">
      <c r="C84" s="1346" t="str">
        <f t="shared" si="16"/>
        <v xml:space="preserve">Casement King studs- square cut </v>
      </c>
      <c r="D84" s="1346"/>
      <c r="E84" s="1346"/>
      <c r="F84" s="1346"/>
      <c r="G84" s="1346"/>
      <c r="H84" s="1346"/>
      <c r="I84" s="1346"/>
      <c r="J84" s="1346"/>
      <c r="K84" s="314">
        <f>IF('Data entry'!L72&gt;0,'Data entry'!L72," ")</f>
        <v>30</v>
      </c>
      <c r="L84" s="1357" t="str">
        <f>IF(K84=" "," ","in. case. trans window")</f>
        <v>in. case. trans window</v>
      </c>
      <c r="M84" s="1357"/>
      <c r="N84" s="1357"/>
      <c r="O84" s="1357"/>
      <c r="P84" s="1339" t="str">
        <f t="shared" si="17"/>
        <v>2x6x16</v>
      </c>
      <c r="Q84" s="1339"/>
      <c r="R84" s="1339"/>
      <c r="S84" s="1339"/>
      <c r="T84" s="1340">
        <f>IF(K84=" "," ",SUM('Data entry'!P72*2))</f>
        <v>2</v>
      </c>
      <c r="U84" s="1340"/>
      <c r="V84" s="1340"/>
      <c r="W84" s="309" t="str">
        <f t="shared" si="18"/>
        <v>@</v>
      </c>
      <c r="X84" s="1341">
        <f>IF(K84=" "," ",SUM(('Data entry'!L69+'Data entry'!N69)-1.5))</f>
        <v>-1.5</v>
      </c>
      <c r="Y84" s="1341"/>
      <c r="Z84" s="1341"/>
    </row>
    <row r="85" spans="1:26" ht="16.5" customHeight="1" x14ac:dyDescent="0.25">
      <c r="C85" s="1346" t="str">
        <f t="shared" si="16"/>
        <v xml:space="preserve"> </v>
      </c>
      <c r="D85" s="1346"/>
      <c r="E85" s="1346"/>
      <c r="F85" s="1346"/>
      <c r="G85" s="1346"/>
      <c r="H85" s="1346"/>
      <c r="I85" s="1346"/>
      <c r="J85" s="1346"/>
      <c r="K85" s="314" t="str">
        <f>IF('Data entry'!L73&gt;0,'Data entry'!L73," ")</f>
        <v xml:space="preserve"> </v>
      </c>
      <c r="L85" s="1357" t="str">
        <f>IF(K85=" "," ","in. case. trans window")</f>
        <v xml:space="preserve"> </v>
      </c>
      <c r="M85" s="1357"/>
      <c r="N85" s="1357"/>
      <c r="O85" s="1357"/>
      <c r="P85" s="1339" t="str">
        <f t="shared" si="17"/>
        <v xml:space="preserve"> </v>
      </c>
      <c r="Q85" s="1339"/>
      <c r="R85" s="1339"/>
      <c r="S85" s="1339"/>
      <c r="T85" s="1340" t="str">
        <f>IF(K85=" "," ",SUM('Data entry'!P73*2))</f>
        <v xml:space="preserve"> </v>
      </c>
      <c r="U85" s="1340"/>
      <c r="V85" s="1340"/>
      <c r="W85" s="309" t="str">
        <f t="shared" si="18"/>
        <v xml:space="preserve"> </v>
      </c>
      <c r="X85" s="1341" t="str">
        <f>IF(K85=" "," ",SUM(('Data entry'!L70+'Data entry'!N70)-1.5))</f>
        <v xml:space="preserve"> </v>
      </c>
      <c r="Y85" s="1341"/>
      <c r="Z85" s="1341"/>
    </row>
    <row r="86" spans="1:26" ht="16.5" customHeight="1" x14ac:dyDescent="0.2"/>
    <row r="87" spans="1:26" ht="29.25" customHeight="1" x14ac:dyDescent="0.4">
      <c r="J87" s="1345" t="s">
        <v>304</v>
      </c>
      <c r="K87" s="1345"/>
      <c r="L87" s="1345"/>
      <c r="M87" s="1345"/>
      <c r="N87" s="1345"/>
      <c r="O87" s="1345"/>
      <c r="P87" s="1345"/>
      <c r="Q87" s="1345"/>
      <c r="R87" s="1345"/>
      <c r="S87" s="1345"/>
    </row>
    <row r="88" spans="1:26" ht="16.5" customHeight="1" x14ac:dyDescent="0.2"/>
    <row r="89" spans="1:26" ht="16.5" customHeight="1" x14ac:dyDescent="0.25">
      <c r="A89" s="321"/>
      <c r="B89" s="188" t="s">
        <v>300</v>
      </c>
      <c r="C89" s="1346" t="str">
        <f>IF(K89=" "," ","Cedar 1x4  - rip to 2 7/8 ")</f>
        <v xml:space="preserve">Cedar 1x4  - rip to 2 7/8 </v>
      </c>
      <c r="D89" s="1346"/>
      <c r="E89" s="1346"/>
      <c r="F89" s="1346"/>
      <c r="G89" s="1346"/>
      <c r="H89" s="1346"/>
      <c r="I89" s="1346"/>
      <c r="J89" s="1346"/>
      <c r="K89" s="312">
        <f t="shared" ref="K89:K103" si="19">K31</f>
        <v>57</v>
      </c>
      <c r="L89" s="1357" t="str">
        <f t="shared" ref="L89:L103" si="20">IF(K89=" "," ","in. window edge siding")</f>
        <v>in. window edge siding</v>
      </c>
      <c r="M89" s="1357"/>
      <c r="N89" s="1357"/>
      <c r="O89" s="1357"/>
      <c r="P89" s="1339" t="str">
        <f t="shared" ref="P89:P103" si="21">IF(K89=" "," ",IF($K89&lt;47.5,"1x4x8",IF($K89&lt;54.25,"1x4x10",IF($K89&lt;71.5,"1x4x12",IF($K89&gt;71.5,"1x4x8"," ")))))</f>
        <v>1x4x12</v>
      </c>
      <c r="Q89" s="1339"/>
      <c r="R89" s="1339"/>
      <c r="S89" s="1339"/>
      <c r="T89" s="1340">
        <f t="shared" ref="T89:T103" si="22">IF(T31=0," ",T31)</f>
        <v>2</v>
      </c>
      <c r="U89" s="1340"/>
      <c r="V89" s="1340"/>
      <c r="W89" s="309" t="str">
        <f t="shared" ref="W89:W103" si="23">IF(K89=" "," ","@")</f>
        <v>@</v>
      </c>
      <c r="X89" s="1360">
        <f t="shared" ref="X89:X103" si="24">IF(K89=0," ",K89)</f>
        <v>57</v>
      </c>
      <c r="Y89" s="1360"/>
      <c r="Z89" s="1360"/>
    </row>
    <row r="90" spans="1:26" ht="16.5" customHeight="1" x14ac:dyDescent="0.25">
      <c r="C90" s="1346" t="str">
        <f t="shared" ref="C90:C103" si="25">IF(K90=" "," ","Cedar 1x4  - rip to 2 7/8")</f>
        <v xml:space="preserve"> </v>
      </c>
      <c r="D90" s="1346"/>
      <c r="E90" s="1346"/>
      <c r="F90" s="1346"/>
      <c r="G90" s="1346"/>
      <c r="H90" s="1346"/>
      <c r="I90" s="1346"/>
      <c r="J90" s="1346"/>
      <c r="K90" s="312" t="str">
        <f t="shared" si="19"/>
        <v xml:space="preserve"> </v>
      </c>
      <c r="L90" s="1357" t="str">
        <f t="shared" si="20"/>
        <v xml:space="preserve"> </v>
      </c>
      <c r="M90" s="1357"/>
      <c r="N90" s="1357"/>
      <c r="O90" s="1357"/>
      <c r="P90" s="1339" t="str">
        <f t="shared" si="21"/>
        <v xml:space="preserve"> </v>
      </c>
      <c r="Q90" s="1339"/>
      <c r="R90" s="1339"/>
      <c r="S90" s="1339"/>
      <c r="T90" s="1340" t="str">
        <f t="shared" si="22"/>
        <v xml:space="preserve"> </v>
      </c>
      <c r="U90" s="1340"/>
      <c r="V90" s="1340"/>
      <c r="W90" s="309" t="str">
        <f t="shared" si="23"/>
        <v xml:space="preserve"> </v>
      </c>
      <c r="X90" s="1360" t="str">
        <f t="shared" si="24"/>
        <v xml:space="preserve"> </v>
      </c>
      <c r="Y90" s="1360"/>
      <c r="Z90" s="1360"/>
    </row>
    <row r="91" spans="1:26" ht="16.5" customHeight="1" x14ac:dyDescent="0.25">
      <c r="C91" s="1346" t="str">
        <f t="shared" si="25"/>
        <v xml:space="preserve"> </v>
      </c>
      <c r="D91" s="1346"/>
      <c r="E91" s="1346"/>
      <c r="F91" s="1346"/>
      <c r="G91" s="1346"/>
      <c r="H91" s="1346"/>
      <c r="I91" s="1346"/>
      <c r="J91" s="1346"/>
      <c r="K91" s="312" t="str">
        <f t="shared" si="19"/>
        <v xml:space="preserve"> </v>
      </c>
      <c r="L91" s="1357" t="str">
        <f t="shared" si="20"/>
        <v xml:space="preserve"> </v>
      </c>
      <c r="M91" s="1357"/>
      <c r="N91" s="1357"/>
      <c r="O91" s="1357"/>
      <c r="P91" s="1339" t="str">
        <f t="shared" si="21"/>
        <v xml:space="preserve"> </v>
      </c>
      <c r="Q91" s="1339"/>
      <c r="R91" s="1339"/>
      <c r="S91" s="1339"/>
      <c r="T91" s="1340" t="str">
        <f t="shared" si="22"/>
        <v xml:space="preserve"> </v>
      </c>
      <c r="U91" s="1340"/>
      <c r="V91" s="1340"/>
      <c r="W91" s="309" t="str">
        <f t="shared" si="23"/>
        <v xml:space="preserve"> </v>
      </c>
      <c r="X91" s="1360" t="str">
        <f t="shared" si="24"/>
        <v xml:space="preserve"> </v>
      </c>
      <c r="Y91" s="1360"/>
      <c r="Z91" s="1360"/>
    </row>
    <row r="92" spans="1:26" ht="16.5" customHeight="1" x14ac:dyDescent="0.25">
      <c r="C92" s="1346" t="str">
        <f t="shared" si="25"/>
        <v xml:space="preserve"> </v>
      </c>
      <c r="D92" s="1346"/>
      <c r="E92" s="1346"/>
      <c r="F92" s="1346"/>
      <c r="G92" s="1346"/>
      <c r="H92" s="1346"/>
      <c r="I92" s="1346"/>
      <c r="J92" s="1346"/>
      <c r="K92" s="312" t="str">
        <f t="shared" si="19"/>
        <v xml:space="preserve"> </v>
      </c>
      <c r="L92" s="1357" t="str">
        <f t="shared" si="20"/>
        <v xml:space="preserve"> </v>
      </c>
      <c r="M92" s="1357"/>
      <c r="N92" s="1357"/>
      <c r="O92" s="1357"/>
      <c r="P92" s="1339" t="str">
        <f t="shared" si="21"/>
        <v xml:space="preserve"> </v>
      </c>
      <c r="Q92" s="1339"/>
      <c r="R92" s="1339"/>
      <c r="S92" s="1339"/>
      <c r="T92" s="1340" t="str">
        <f t="shared" si="22"/>
        <v xml:space="preserve"> </v>
      </c>
      <c r="U92" s="1340"/>
      <c r="V92" s="1340"/>
      <c r="W92" s="309" t="str">
        <f t="shared" si="23"/>
        <v xml:space="preserve"> </v>
      </c>
      <c r="X92" s="1360" t="str">
        <f t="shared" si="24"/>
        <v xml:space="preserve"> </v>
      </c>
      <c r="Y92" s="1360"/>
      <c r="Z92" s="1360"/>
    </row>
    <row r="93" spans="1:26" ht="16.5" customHeight="1" x14ac:dyDescent="0.25">
      <c r="C93" s="1346" t="str">
        <f t="shared" si="25"/>
        <v xml:space="preserve"> </v>
      </c>
      <c r="D93" s="1346"/>
      <c r="E93" s="1346"/>
      <c r="F93" s="1346"/>
      <c r="G93" s="1346"/>
      <c r="H93" s="1346"/>
      <c r="I93" s="1346"/>
      <c r="J93" s="1346"/>
      <c r="K93" s="312" t="str">
        <f t="shared" si="19"/>
        <v xml:space="preserve"> </v>
      </c>
      <c r="L93" s="1357" t="str">
        <f t="shared" si="20"/>
        <v xml:space="preserve"> </v>
      </c>
      <c r="M93" s="1357"/>
      <c r="N93" s="1357"/>
      <c r="O93" s="1357"/>
      <c r="P93" s="1339" t="str">
        <f t="shared" si="21"/>
        <v xml:space="preserve"> </v>
      </c>
      <c r="Q93" s="1339"/>
      <c r="R93" s="1339"/>
      <c r="S93" s="1339"/>
      <c r="T93" s="1340" t="str">
        <f t="shared" si="22"/>
        <v xml:space="preserve"> </v>
      </c>
      <c r="U93" s="1340"/>
      <c r="V93" s="1340"/>
      <c r="W93" s="309" t="str">
        <f t="shared" si="23"/>
        <v xml:space="preserve"> </v>
      </c>
      <c r="X93" s="1360" t="str">
        <f t="shared" si="24"/>
        <v xml:space="preserve"> </v>
      </c>
      <c r="Y93" s="1360"/>
      <c r="Z93" s="1360"/>
    </row>
    <row r="94" spans="1:26" ht="16.5" customHeight="1" x14ac:dyDescent="0.25">
      <c r="C94" s="1346" t="str">
        <f t="shared" si="25"/>
        <v xml:space="preserve"> </v>
      </c>
      <c r="D94" s="1346"/>
      <c r="E94" s="1346"/>
      <c r="F94" s="1346"/>
      <c r="G94" s="1346"/>
      <c r="H94" s="1346"/>
      <c r="I94" s="1346"/>
      <c r="J94" s="1346"/>
      <c r="K94" s="312" t="str">
        <f t="shared" si="19"/>
        <v xml:space="preserve"> </v>
      </c>
      <c r="L94" s="1357" t="str">
        <f t="shared" si="20"/>
        <v xml:space="preserve"> </v>
      </c>
      <c r="M94" s="1357"/>
      <c r="N94" s="1357"/>
      <c r="O94" s="1357"/>
      <c r="P94" s="1339" t="str">
        <f t="shared" si="21"/>
        <v xml:space="preserve"> </v>
      </c>
      <c r="Q94" s="1339"/>
      <c r="R94" s="1339"/>
      <c r="S94" s="1339"/>
      <c r="T94" s="1340" t="str">
        <f t="shared" si="22"/>
        <v xml:space="preserve"> </v>
      </c>
      <c r="U94" s="1340"/>
      <c r="V94" s="1340"/>
      <c r="W94" s="309" t="str">
        <f t="shared" si="23"/>
        <v xml:space="preserve"> </v>
      </c>
      <c r="X94" s="1360" t="str">
        <f t="shared" si="24"/>
        <v xml:space="preserve"> </v>
      </c>
      <c r="Y94" s="1360"/>
      <c r="Z94" s="1360"/>
    </row>
    <row r="95" spans="1:26" ht="16.5" customHeight="1" x14ac:dyDescent="0.25">
      <c r="C95" s="1346" t="str">
        <f t="shared" si="25"/>
        <v xml:space="preserve"> </v>
      </c>
      <c r="D95" s="1346"/>
      <c r="E95" s="1346"/>
      <c r="F95" s="1346"/>
      <c r="G95" s="1346"/>
      <c r="H95" s="1346"/>
      <c r="I95" s="1346"/>
      <c r="J95" s="1346"/>
      <c r="K95" s="312" t="str">
        <f t="shared" si="19"/>
        <v xml:space="preserve"> </v>
      </c>
      <c r="L95" s="1357" t="str">
        <f t="shared" si="20"/>
        <v xml:space="preserve"> </v>
      </c>
      <c r="M95" s="1357"/>
      <c r="N95" s="1357"/>
      <c r="O95" s="1357"/>
      <c r="P95" s="1339" t="str">
        <f t="shared" si="21"/>
        <v xml:space="preserve"> </v>
      </c>
      <c r="Q95" s="1339"/>
      <c r="R95" s="1339"/>
      <c r="S95" s="1339"/>
      <c r="T95" s="1340" t="str">
        <f t="shared" si="22"/>
        <v xml:space="preserve"> </v>
      </c>
      <c r="U95" s="1340"/>
      <c r="V95" s="1340"/>
      <c r="W95" s="309" t="str">
        <f t="shared" si="23"/>
        <v xml:space="preserve"> </v>
      </c>
      <c r="X95" s="1341" t="str">
        <f t="shared" si="24"/>
        <v xml:space="preserve"> </v>
      </c>
      <c r="Y95" s="1341"/>
      <c r="Z95" s="1341"/>
    </row>
    <row r="96" spans="1:26" ht="16.5" customHeight="1" x14ac:dyDescent="0.25">
      <c r="C96" s="1346" t="str">
        <f t="shared" si="25"/>
        <v xml:space="preserve"> </v>
      </c>
      <c r="D96" s="1346"/>
      <c r="E96" s="1346"/>
      <c r="F96" s="1346"/>
      <c r="G96" s="1346"/>
      <c r="H96" s="1346"/>
      <c r="I96" s="1346"/>
      <c r="J96" s="1346"/>
      <c r="K96" s="312" t="str">
        <f t="shared" si="19"/>
        <v xml:space="preserve"> </v>
      </c>
      <c r="L96" s="1357" t="str">
        <f t="shared" si="20"/>
        <v xml:space="preserve"> </v>
      </c>
      <c r="M96" s="1357"/>
      <c r="N96" s="1357"/>
      <c r="O96" s="1357"/>
      <c r="P96" s="1339" t="str">
        <f t="shared" si="21"/>
        <v xml:space="preserve"> </v>
      </c>
      <c r="Q96" s="1339"/>
      <c r="R96" s="1339"/>
      <c r="S96" s="1339"/>
      <c r="T96" s="1340" t="str">
        <f t="shared" si="22"/>
        <v xml:space="preserve"> </v>
      </c>
      <c r="U96" s="1340"/>
      <c r="V96" s="1340"/>
      <c r="W96" s="309" t="str">
        <f t="shared" si="23"/>
        <v xml:space="preserve"> </v>
      </c>
      <c r="X96" s="1341" t="str">
        <f t="shared" si="24"/>
        <v xml:space="preserve"> </v>
      </c>
      <c r="Y96" s="1341"/>
      <c r="Z96" s="1341"/>
    </row>
    <row r="97" spans="2:29" ht="16.5" customHeight="1" x14ac:dyDescent="0.25">
      <c r="C97" s="1346" t="str">
        <f t="shared" si="25"/>
        <v xml:space="preserve"> </v>
      </c>
      <c r="D97" s="1346"/>
      <c r="E97" s="1346"/>
      <c r="F97" s="1346"/>
      <c r="G97" s="1346"/>
      <c r="H97" s="1346"/>
      <c r="I97" s="1346"/>
      <c r="J97" s="1346"/>
      <c r="K97" s="312" t="str">
        <f t="shared" si="19"/>
        <v xml:space="preserve"> </v>
      </c>
      <c r="L97" s="1357" t="str">
        <f t="shared" si="20"/>
        <v xml:space="preserve"> </v>
      </c>
      <c r="M97" s="1357"/>
      <c r="N97" s="1357"/>
      <c r="O97" s="1357"/>
      <c r="P97" s="1339" t="str">
        <f t="shared" si="21"/>
        <v xml:space="preserve"> </v>
      </c>
      <c r="Q97" s="1339"/>
      <c r="R97" s="1339"/>
      <c r="S97" s="1339"/>
      <c r="T97" s="1340" t="str">
        <f t="shared" si="22"/>
        <v xml:space="preserve"> </v>
      </c>
      <c r="U97" s="1340"/>
      <c r="V97" s="1340"/>
      <c r="W97" s="309" t="str">
        <f t="shared" si="23"/>
        <v xml:space="preserve"> </v>
      </c>
      <c r="X97" s="1341" t="str">
        <f t="shared" si="24"/>
        <v xml:space="preserve"> </v>
      </c>
      <c r="Y97" s="1341"/>
      <c r="Z97" s="1341"/>
    </row>
    <row r="98" spans="2:29" ht="16.5" customHeight="1" x14ac:dyDescent="0.25">
      <c r="C98" s="1346" t="str">
        <f t="shared" si="25"/>
        <v xml:space="preserve"> </v>
      </c>
      <c r="D98" s="1346"/>
      <c r="E98" s="1346"/>
      <c r="F98" s="1346"/>
      <c r="G98" s="1346"/>
      <c r="H98" s="1346"/>
      <c r="I98" s="1346"/>
      <c r="J98" s="1346"/>
      <c r="K98" s="312" t="str">
        <f t="shared" si="19"/>
        <v xml:space="preserve"> </v>
      </c>
      <c r="L98" s="1357" t="str">
        <f t="shared" si="20"/>
        <v xml:space="preserve"> </v>
      </c>
      <c r="M98" s="1357"/>
      <c r="N98" s="1357"/>
      <c r="O98" s="1357"/>
      <c r="P98" s="1339" t="str">
        <f t="shared" si="21"/>
        <v xml:space="preserve"> </v>
      </c>
      <c r="Q98" s="1339"/>
      <c r="R98" s="1339"/>
      <c r="S98" s="1339"/>
      <c r="T98" s="1340" t="str">
        <f t="shared" si="22"/>
        <v xml:space="preserve"> </v>
      </c>
      <c r="U98" s="1340"/>
      <c r="V98" s="1340"/>
      <c r="W98" s="309" t="str">
        <f t="shared" si="23"/>
        <v xml:space="preserve"> </v>
      </c>
      <c r="X98" s="1341" t="str">
        <f t="shared" si="24"/>
        <v xml:space="preserve"> </v>
      </c>
      <c r="Y98" s="1341"/>
      <c r="Z98" s="1341"/>
    </row>
    <row r="99" spans="2:29" ht="16.5" customHeight="1" x14ac:dyDescent="0.25">
      <c r="C99" s="1346" t="str">
        <f t="shared" si="25"/>
        <v xml:space="preserve"> </v>
      </c>
      <c r="D99" s="1346"/>
      <c r="E99" s="1346"/>
      <c r="F99" s="1346"/>
      <c r="G99" s="1346"/>
      <c r="H99" s="1346"/>
      <c r="I99" s="1346"/>
      <c r="J99" s="1346"/>
      <c r="K99" s="312" t="str">
        <f t="shared" si="19"/>
        <v xml:space="preserve"> </v>
      </c>
      <c r="L99" s="1357" t="str">
        <f t="shared" si="20"/>
        <v xml:space="preserve"> </v>
      </c>
      <c r="M99" s="1357"/>
      <c r="N99" s="1357"/>
      <c r="O99" s="1357"/>
      <c r="P99" s="1339" t="str">
        <f t="shared" si="21"/>
        <v xml:space="preserve"> </v>
      </c>
      <c r="Q99" s="1339"/>
      <c r="R99" s="1339"/>
      <c r="S99" s="1339"/>
      <c r="T99" s="1340" t="str">
        <f t="shared" si="22"/>
        <v xml:space="preserve"> </v>
      </c>
      <c r="U99" s="1340"/>
      <c r="V99" s="1340"/>
      <c r="W99" s="309" t="str">
        <f t="shared" si="23"/>
        <v xml:space="preserve"> </v>
      </c>
      <c r="X99" s="1341" t="str">
        <f t="shared" si="24"/>
        <v xml:space="preserve"> </v>
      </c>
      <c r="Y99" s="1341"/>
      <c r="Z99" s="1341"/>
    </row>
    <row r="100" spans="2:29" ht="16.5" customHeight="1" x14ac:dyDescent="0.25">
      <c r="C100" s="1346" t="str">
        <f t="shared" si="25"/>
        <v xml:space="preserve"> </v>
      </c>
      <c r="D100" s="1346"/>
      <c r="E100" s="1346"/>
      <c r="F100" s="1346"/>
      <c r="G100" s="1346"/>
      <c r="H100" s="1346"/>
      <c r="I100" s="1346"/>
      <c r="J100" s="1346"/>
      <c r="K100" s="312" t="str">
        <f t="shared" si="19"/>
        <v xml:space="preserve"> </v>
      </c>
      <c r="L100" s="1357" t="str">
        <f t="shared" si="20"/>
        <v xml:space="preserve"> </v>
      </c>
      <c r="M100" s="1357"/>
      <c r="N100" s="1357"/>
      <c r="O100" s="1357"/>
      <c r="P100" s="1339" t="str">
        <f t="shared" si="21"/>
        <v xml:space="preserve"> </v>
      </c>
      <c r="Q100" s="1339"/>
      <c r="R100" s="1339"/>
      <c r="S100" s="1339"/>
      <c r="T100" s="1340" t="str">
        <f t="shared" si="22"/>
        <v xml:space="preserve"> </v>
      </c>
      <c r="U100" s="1340"/>
      <c r="V100" s="1340"/>
      <c r="W100" s="309" t="str">
        <f t="shared" si="23"/>
        <v xml:space="preserve"> </v>
      </c>
      <c r="X100" s="1341" t="str">
        <f t="shared" si="24"/>
        <v xml:space="preserve"> </v>
      </c>
      <c r="Y100" s="1341"/>
      <c r="Z100" s="1341"/>
    </row>
    <row r="101" spans="2:29" ht="16.5" customHeight="1" x14ac:dyDescent="0.25">
      <c r="B101" s="188" t="s">
        <v>300</v>
      </c>
      <c r="C101" s="1346" t="str">
        <f t="shared" si="25"/>
        <v>Cedar 1x4  - rip to 2 7/8</v>
      </c>
      <c r="D101" s="1346"/>
      <c r="E101" s="1346"/>
      <c r="F101" s="1346"/>
      <c r="G101" s="1346"/>
      <c r="H101" s="1346"/>
      <c r="I101" s="1346"/>
      <c r="J101" s="1346"/>
      <c r="K101" s="312">
        <f t="shared" si="19"/>
        <v>39</v>
      </c>
      <c r="L101" s="1357" t="str">
        <f t="shared" si="20"/>
        <v>in. window edge siding</v>
      </c>
      <c r="M101" s="1357"/>
      <c r="N101" s="1357"/>
      <c r="O101" s="1357"/>
      <c r="P101" s="1339" t="str">
        <f t="shared" si="21"/>
        <v>1x4x8</v>
      </c>
      <c r="Q101" s="1339"/>
      <c r="R101" s="1339"/>
      <c r="S101" s="1339"/>
      <c r="T101" s="1340">
        <f t="shared" si="22"/>
        <v>2</v>
      </c>
      <c r="U101" s="1340"/>
      <c r="V101" s="1340"/>
      <c r="W101" s="309" t="str">
        <f t="shared" si="23"/>
        <v>@</v>
      </c>
      <c r="X101" s="1360">
        <f t="shared" si="24"/>
        <v>39</v>
      </c>
      <c r="Y101" s="1360"/>
      <c r="Z101" s="1360"/>
    </row>
    <row r="102" spans="2:29" ht="16.5" customHeight="1" x14ac:dyDescent="0.25">
      <c r="C102" s="1346" t="str">
        <f t="shared" si="25"/>
        <v xml:space="preserve"> </v>
      </c>
      <c r="D102" s="1346"/>
      <c r="E102" s="1346"/>
      <c r="F102" s="1346"/>
      <c r="G102" s="1346"/>
      <c r="H102" s="1346"/>
      <c r="I102" s="1346"/>
      <c r="J102" s="1346"/>
      <c r="K102" s="312" t="str">
        <f t="shared" si="19"/>
        <v xml:space="preserve"> </v>
      </c>
      <c r="L102" s="1357" t="str">
        <f t="shared" si="20"/>
        <v xml:space="preserve"> </v>
      </c>
      <c r="M102" s="1357"/>
      <c r="N102" s="1357"/>
      <c r="O102" s="1357"/>
      <c r="P102" s="1339" t="str">
        <f t="shared" si="21"/>
        <v xml:space="preserve"> </v>
      </c>
      <c r="Q102" s="1339"/>
      <c r="R102" s="1339"/>
      <c r="S102" s="1339"/>
      <c r="T102" s="1340" t="str">
        <f t="shared" si="22"/>
        <v xml:space="preserve"> </v>
      </c>
      <c r="U102" s="1340"/>
      <c r="V102" s="1340"/>
      <c r="W102" s="309" t="str">
        <f t="shared" si="23"/>
        <v xml:space="preserve"> </v>
      </c>
      <c r="X102" s="1360" t="str">
        <f t="shared" si="24"/>
        <v xml:space="preserve"> </v>
      </c>
      <c r="Y102" s="1360"/>
      <c r="Z102" s="1360"/>
    </row>
    <row r="103" spans="2:29" ht="16.5" customHeight="1" x14ac:dyDescent="0.25">
      <c r="C103" s="1346" t="str">
        <f t="shared" si="25"/>
        <v xml:space="preserve"> </v>
      </c>
      <c r="D103" s="1346"/>
      <c r="E103" s="1346"/>
      <c r="F103" s="1346"/>
      <c r="G103" s="1346"/>
      <c r="H103" s="1346"/>
      <c r="I103" s="1346"/>
      <c r="J103" s="1346"/>
      <c r="K103" s="312" t="str">
        <f t="shared" si="19"/>
        <v xml:space="preserve"> </v>
      </c>
      <c r="L103" s="1357" t="str">
        <f t="shared" si="20"/>
        <v xml:space="preserve"> </v>
      </c>
      <c r="M103" s="1357"/>
      <c r="N103" s="1357"/>
      <c r="O103" s="1357"/>
      <c r="P103" s="1339" t="str">
        <f t="shared" si="21"/>
        <v xml:space="preserve"> </v>
      </c>
      <c r="Q103" s="1339"/>
      <c r="R103" s="1339"/>
      <c r="S103" s="1339"/>
      <c r="T103" s="1340" t="str">
        <f t="shared" si="22"/>
        <v xml:space="preserve"> </v>
      </c>
      <c r="U103" s="1340"/>
      <c r="V103" s="1340"/>
      <c r="W103" s="309" t="str">
        <f t="shared" si="23"/>
        <v xml:space="preserve"> </v>
      </c>
      <c r="X103" s="1341" t="str">
        <f t="shared" si="24"/>
        <v xml:space="preserve"> </v>
      </c>
      <c r="Y103" s="1341"/>
      <c r="Z103" s="1341"/>
    </row>
    <row r="104" spans="2:29" ht="16.5" customHeight="1" x14ac:dyDescent="0.2"/>
    <row r="105" spans="2:29" ht="26.25" customHeight="1" x14ac:dyDescent="0.4">
      <c r="J105" s="1345" t="s">
        <v>305</v>
      </c>
      <c r="K105" s="1345"/>
      <c r="L105" s="1345"/>
      <c r="M105" s="1345"/>
      <c r="N105" s="1345"/>
      <c r="O105" s="1345"/>
      <c r="P105" s="1345"/>
      <c r="Q105" s="1345"/>
      <c r="R105" s="1345"/>
      <c r="S105" s="1345"/>
    </row>
    <row r="106" spans="2:29" ht="16.5" customHeight="1" x14ac:dyDescent="0.2"/>
    <row r="107" spans="2:29" ht="16.5" customHeight="1" x14ac:dyDescent="0.25">
      <c r="B107" s="188" t="s">
        <v>300</v>
      </c>
      <c r="C107" s="1346" t="str">
        <f t="shared" ref="C107:C114" si="26">IF(K107=" "," ","Cedar 1x6  casement ")</f>
        <v xml:space="preserve">Cedar 1x6  casement </v>
      </c>
      <c r="D107" s="1346"/>
      <c r="E107" s="1346"/>
      <c r="F107" s="1346"/>
      <c r="G107" s="1346"/>
      <c r="H107" s="1346"/>
      <c r="I107" s="1346"/>
      <c r="J107" s="1346"/>
      <c r="K107" s="314">
        <f t="shared" ref="K107:K114" si="27">K67</f>
        <v>30</v>
      </c>
      <c r="L107" s="1357" t="str">
        <f t="shared" ref="L107:L114" si="28">IF(K107=" "," ","in. window edge siding")</f>
        <v>in. window edge siding</v>
      </c>
      <c r="M107" s="1357"/>
      <c r="N107" s="1357"/>
      <c r="O107" s="1357"/>
      <c r="P107" s="1339" t="str">
        <f t="shared" ref="P107:P114" si="29">IF(K107=" "," ",IF(K107&lt;47.5,"1x6x8",IF(K107&lt;54.25,"1x6x10",IF(K107&lt;71.5,"1x6x12",IF(K107&gt;71.5,"1x6x8"," ")))))</f>
        <v>1x6x8</v>
      </c>
      <c r="Q107" s="1339"/>
      <c r="R107" s="1339"/>
      <c r="S107" s="1339"/>
      <c r="T107" s="1340">
        <f t="shared" ref="T107:T114" si="30">T78</f>
        <v>2</v>
      </c>
      <c r="U107" s="1340"/>
      <c r="V107" s="1340"/>
      <c r="W107" s="309" t="str">
        <f t="shared" ref="W107:W114" si="31">IF(K107=" "," ","@")</f>
        <v>@</v>
      </c>
      <c r="X107" s="1341">
        <f t="shared" ref="X107:X114" si="32">K107</f>
        <v>30</v>
      </c>
      <c r="Y107" s="1341"/>
      <c r="Z107" s="1341"/>
      <c r="AA107" s="1359"/>
      <c r="AB107" s="1359"/>
      <c r="AC107" s="1359"/>
    </row>
    <row r="108" spans="2:29" ht="16.5" customHeight="1" x14ac:dyDescent="0.25">
      <c r="C108" s="1346" t="str">
        <f t="shared" si="26"/>
        <v xml:space="preserve">Cedar 1x6  casement </v>
      </c>
      <c r="D108" s="1346"/>
      <c r="E108" s="1346"/>
      <c r="F108" s="1346"/>
      <c r="G108" s="1346"/>
      <c r="H108" s="1346"/>
      <c r="I108" s="1346"/>
      <c r="J108" s="1346"/>
      <c r="K108" s="314">
        <f t="shared" si="27"/>
        <v>42</v>
      </c>
      <c r="L108" s="1357" t="str">
        <f t="shared" si="28"/>
        <v>in. window edge siding</v>
      </c>
      <c r="M108" s="1357"/>
      <c r="N108" s="1357"/>
      <c r="O108" s="1357"/>
      <c r="P108" s="1339" t="str">
        <f t="shared" si="29"/>
        <v>1x6x8</v>
      </c>
      <c r="Q108" s="1339"/>
      <c r="R108" s="1339"/>
      <c r="S108" s="1339"/>
      <c r="T108" s="1340">
        <f t="shared" si="30"/>
        <v>4</v>
      </c>
      <c r="U108" s="1340"/>
      <c r="V108" s="1340"/>
      <c r="W108" s="309" t="str">
        <f t="shared" si="31"/>
        <v>@</v>
      </c>
      <c r="X108" s="1341">
        <f t="shared" si="32"/>
        <v>42</v>
      </c>
      <c r="Y108" s="1341"/>
      <c r="Z108" s="1341"/>
    </row>
    <row r="109" spans="2:29" ht="16.5" customHeight="1" x14ac:dyDescent="0.25">
      <c r="C109" s="1346" t="str">
        <f t="shared" si="26"/>
        <v xml:space="preserve">Cedar 1x6  casement </v>
      </c>
      <c r="D109" s="1346"/>
      <c r="E109" s="1346"/>
      <c r="F109" s="1346"/>
      <c r="G109" s="1346"/>
      <c r="H109" s="1346"/>
      <c r="I109" s="1346"/>
      <c r="J109" s="1346"/>
      <c r="K109" s="314">
        <f t="shared" si="27"/>
        <v>42</v>
      </c>
      <c r="L109" s="1357" t="str">
        <f t="shared" si="28"/>
        <v>in. window edge siding</v>
      </c>
      <c r="M109" s="1357"/>
      <c r="N109" s="1357"/>
      <c r="O109" s="1357"/>
      <c r="P109" s="1339" t="str">
        <f t="shared" si="29"/>
        <v>1x6x8</v>
      </c>
      <c r="Q109" s="1339"/>
      <c r="R109" s="1339"/>
      <c r="S109" s="1339"/>
      <c r="T109" s="1340">
        <f t="shared" si="30"/>
        <v>4</v>
      </c>
      <c r="U109" s="1340"/>
      <c r="V109" s="1340"/>
      <c r="W109" s="309" t="str">
        <f t="shared" si="31"/>
        <v>@</v>
      </c>
      <c r="X109" s="1341">
        <f t="shared" si="32"/>
        <v>42</v>
      </c>
      <c r="Y109" s="1341"/>
      <c r="Z109" s="1341"/>
    </row>
    <row r="110" spans="2:29" ht="16.5" customHeight="1" x14ac:dyDescent="0.25">
      <c r="C110" s="1346" t="str">
        <f t="shared" si="26"/>
        <v xml:space="preserve">Cedar 1x6  casement </v>
      </c>
      <c r="D110" s="1346"/>
      <c r="E110" s="1346"/>
      <c r="F110" s="1346"/>
      <c r="G110" s="1346"/>
      <c r="H110" s="1346"/>
      <c r="I110" s="1346"/>
      <c r="J110" s="1346"/>
      <c r="K110" s="314">
        <f t="shared" si="27"/>
        <v>36</v>
      </c>
      <c r="L110" s="1357" t="str">
        <f t="shared" si="28"/>
        <v>in. window edge siding</v>
      </c>
      <c r="M110" s="1357"/>
      <c r="N110" s="1357"/>
      <c r="O110" s="1357"/>
      <c r="P110" s="1339" t="str">
        <f t="shared" si="29"/>
        <v>1x6x8</v>
      </c>
      <c r="Q110" s="1339"/>
      <c r="R110" s="1339"/>
      <c r="S110" s="1339"/>
      <c r="T110" s="1340">
        <f t="shared" si="30"/>
        <v>2</v>
      </c>
      <c r="U110" s="1340"/>
      <c r="V110" s="1340"/>
      <c r="W110" s="309" t="str">
        <f t="shared" si="31"/>
        <v>@</v>
      </c>
      <c r="X110" s="1341">
        <f t="shared" si="32"/>
        <v>36</v>
      </c>
      <c r="Y110" s="1341"/>
      <c r="Z110" s="1341"/>
    </row>
    <row r="111" spans="2:29" ht="16.5" customHeight="1" x14ac:dyDescent="0.25">
      <c r="C111" s="1346" t="str">
        <f t="shared" si="26"/>
        <v xml:space="preserve"> </v>
      </c>
      <c r="D111" s="1346"/>
      <c r="E111" s="1346"/>
      <c r="F111" s="1346"/>
      <c r="G111" s="1346"/>
      <c r="H111" s="1346"/>
      <c r="I111" s="1346"/>
      <c r="J111" s="1346"/>
      <c r="K111" s="314" t="str">
        <f t="shared" si="27"/>
        <v xml:space="preserve"> </v>
      </c>
      <c r="L111" s="1357" t="str">
        <f t="shared" si="28"/>
        <v xml:space="preserve"> </v>
      </c>
      <c r="M111" s="1357"/>
      <c r="N111" s="1357"/>
      <c r="O111" s="1357"/>
      <c r="P111" s="1339" t="str">
        <f t="shared" si="29"/>
        <v xml:space="preserve"> </v>
      </c>
      <c r="Q111" s="1339"/>
      <c r="R111" s="1339"/>
      <c r="S111" s="1339"/>
      <c r="T111" s="1340" t="str">
        <f t="shared" si="30"/>
        <v xml:space="preserve"> </v>
      </c>
      <c r="U111" s="1340"/>
      <c r="V111" s="1340"/>
      <c r="W111" s="309" t="str">
        <f t="shared" si="31"/>
        <v xml:space="preserve"> </v>
      </c>
      <c r="X111" s="1341" t="str">
        <f t="shared" si="32"/>
        <v xml:space="preserve"> </v>
      </c>
      <c r="Y111" s="1341"/>
      <c r="Z111" s="1341"/>
    </row>
    <row r="112" spans="2:29" ht="16.5" customHeight="1" x14ac:dyDescent="0.25">
      <c r="B112" s="188" t="s">
        <v>300</v>
      </c>
      <c r="C112" s="1346" t="str">
        <f t="shared" si="26"/>
        <v xml:space="preserve">Cedar 1x6  casement </v>
      </c>
      <c r="D112" s="1346"/>
      <c r="E112" s="1346"/>
      <c r="F112" s="1346"/>
      <c r="G112" s="1346"/>
      <c r="H112" s="1346"/>
      <c r="I112" s="1346"/>
      <c r="J112" s="1346"/>
      <c r="K112" s="314">
        <f t="shared" si="27"/>
        <v>39</v>
      </c>
      <c r="L112" s="1357" t="str">
        <f t="shared" si="28"/>
        <v>in. window edge siding</v>
      </c>
      <c r="M112" s="1357"/>
      <c r="N112" s="1357"/>
      <c r="O112" s="1357"/>
      <c r="P112" s="1339" t="str">
        <f t="shared" si="29"/>
        <v>1x6x8</v>
      </c>
      <c r="Q112" s="1339"/>
      <c r="R112" s="1339"/>
      <c r="S112" s="1339"/>
      <c r="T112" s="1340">
        <f t="shared" si="30"/>
        <v>10</v>
      </c>
      <c r="U112" s="1340"/>
      <c r="V112" s="1340"/>
      <c r="W112" s="309" t="str">
        <f t="shared" si="31"/>
        <v>@</v>
      </c>
      <c r="X112" s="1341">
        <f t="shared" si="32"/>
        <v>39</v>
      </c>
      <c r="Y112" s="1341"/>
      <c r="Z112" s="1341"/>
    </row>
    <row r="113" spans="3:37" ht="16.5" customHeight="1" x14ac:dyDescent="0.25">
      <c r="C113" s="1346" t="str">
        <f t="shared" si="26"/>
        <v xml:space="preserve">Cedar 1x6  casement </v>
      </c>
      <c r="D113" s="1346"/>
      <c r="E113" s="1346"/>
      <c r="F113" s="1346"/>
      <c r="G113" s="1346"/>
      <c r="H113" s="1346"/>
      <c r="I113" s="1346"/>
      <c r="J113" s="1346"/>
      <c r="K113" s="314">
        <f t="shared" si="27"/>
        <v>30</v>
      </c>
      <c r="L113" s="1357" t="str">
        <f t="shared" si="28"/>
        <v>in. window edge siding</v>
      </c>
      <c r="M113" s="1357"/>
      <c r="N113" s="1357"/>
      <c r="O113" s="1357"/>
      <c r="P113" s="1339" t="str">
        <f t="shared" si="29"/>
        <v>1x6x8</v>
      </c>
      <c r="Q113" s="1339"/>
      <c r="R113" s="1339"/>
      <c r="S113" s="1339"/>
      <c r="T113" s="1340">
        <f t="shared" si="30"/>
        <v>2</v>
      </c>
      <c r="U113" s="1340"/>
      <c r="V113" s="1340"/>
      <c r="W113" s="309" t="str">
        <f t="shared" si="31"/>
        <v>@</v>
      </c>
      <c r="X113" s="1341">
        <f t="shared" si="32"/>
        <v>30</v>
      </c>
      <c r="Y113" s="1341"/>
      <c r="Z113" s="1341"/>
    </row>
    <row r="114" spans="3:37" ht="16.5" customHeight="1" x14ac:dyDescent="0.25">
      <c r="C114" s="1346" t="str">
        <f t="shared" si="26"/>
        <v xml:space="preserve"> </v>
      </c>
      <c r="D114" s="1346"/>
      <c r="E114" s="1346"/>
      <c r="F114" s="1346"/>
      <c r="G114" s="1346"/>
      <c r="H114" s="1346"/>
      <c r="I114" s="1346"/>
      <c r="J114" s="1346"/>
      <c r="K114" s="314" t="str">
        <f t="shared" si="27"/>
        <v xml:space="preserve"> </v>
      </c>
      <c r="L114" s="1357" t="str">
        <f t="shared" si="28"/>
        <v xml:space="preserve"> </v>
      </c>
      <c r="M114" s="1357"/>
      <c r="N114" s="1357"/>
      <c r="O114" s="1357"/>
      <c r="P114" s="1339" t="str">
        <f t="shared" si="29"/>
        <v xml:space="preserve"> </v>
      </c>
      <c r="Q114" s="1339"/>
      <c r="R114" s="1339"/>
      <c r="S114" s="1339"/>
      <c r="T114" s="1340" t="str">
        <f t="shared" si="30"/>
        <v xml:space="preserve"> </v>
      </c>
      <c r="U114" s="1340"/>
      <c r="V114" s="1340"/>
      <c r="W114" s="309" t="str">
        <f t="shared" si="31"/>
        <v xml:space="preserve"> </v>
      </c>
      <c r="X114" s="1341" t="str">
        <f t="shared" si="32"/>
        <v xml:space="preserve"> </v>
      </c>
      <c r="Y114" s="1341"/>
      <c r="Z114" s="1341"/>
    </row>
    <row r="115" spans="3:37" ht="16.5" customHeight="1" x14ac:dyDescent="0.25">
      <c r="C115" s="261"/>
      <c r="D115" s="261"/>
      <c r="E115" s="261"/>
      <c r="F115" s="261"/>
      <c r="G115" s="261"/>
      <c r="H115" s="261"/>
      <c r="I115" s="261"/>
      <c r="J115" s="261"/>
      <c r="K115" s="322"/>
      <c r="L115" s="261"/>
      <c r="M115" s="261"/>
      <c r="N115" s="261"/>
      <c r="O115" s="261"/>
      <c r="P115" s="322"/>
      <c r="Q115" s="322"/>
      <c r="R115" s="322"/>
      <c r="S115" s="322"/>
      <c r="T115" s="322"/>
      <c r="U115" s="322"/>
      <c r="V115" s="322"/>
      <c r="W115" s="322"/>
      <c r="X115" s="322"/>
      <c r="Y115" s="322"/>
      <c r="Z115" s="322"/>
    </row>
    <row r="116" spans="3:37" ht="26.25" customHeight="1" x14ac:dyDescent="0.4">
      <c r="C116" s="261"/>
      <c r="D116" s="261"/>
      <c r="E116" s="261"/>
      <c r="F116" s="1358" t="s">
        <v>306</v>
      </c>
      <c r="G116" s="1358"/>
      <c r="H116" s="1358"/>
      <c r="I116" s="1358"/>
      <c r="J116" s="1358"/>
      <c r="K116" s="1358"/>
      <c r="L116" s="1358"/>
      <c r="M116" s="1358"/>
      <c r="N116" s="1358"/>
      <c r="O116" s="1358"/>
      <c r="P116" s="1358"/>
      <c r="Q116" s="1358"/>
      <c r="R116" s="1358"/>
      <c r="S116" s="1358"/>
      <c r="T116" s="1358"/>
      <c r="U116" s="322"/>
      <c r="V116" s="322"/>
      <c r="W116" s="322"/>
      <c r="X116" s="322"/>
      <c r="Y116" s="322"/>
      <c r="Z116" s="322"/>
    </row>
    <row r="117" spans="3:37" ht="16.5" customHeight="1" x14ac:dyDescent="0.25">
      <c r="C117" s="323"/>
      <c r="D117" s="323"/>
      <c r="E117" s="323"/>
      <c r="F117" s="323"/>
      <c r="G117" s="323"/>
      <c r="H117" s="323"/>
      <c r="I117" s="323"/>
      <c r="J117" s="323"/>
      <c r="K117" s="322"/>
      <c r="L117" s="323"/>
      <c r="M117" s="323"/>
      <c r="N117" s="323"/>
      <c r="O117" s="323"/>
      <c r="P117" s="323"/>
      <c r="Q117" s="323"/>
      <c r="R117" s="323"/>
      <c r="S117" s="323"/>
      <c r="T117" s="323"/>
      <c r="U117" s="323"/>
      <c r="V117" s="323"/>
      <c r="W117" s="322"/>
      <c r="X117" s="323"/>
      <c r="Y117" s="323"/>
      <c r="Z117" s="323"/>
      <c r="AD117" s="324"/>
      <c r="AE117" s="324"/>
      <c r="AF117" s="324"/>
      <c r="AG117" s="324"/>
      <c r="AH117" s="324"/>
      <c r="AI117" s="324"/>
      <c r="AJ117" s="324"/>
    </row>
    <row r="118" spans="3:37" ht="16.5" customHeight="1" x14ac:dyDescent="0.3">
      <c r="C118" s="1339" t="str">
        <f t="shared" ref="C118:C125" si="33">IF(F118=" "," ","Door Sill")</f>
        <v>Door Sill</v>
      </c>
      <c r="D118" s="1339"/>
      <c r="E118" s="1339"/>
      <c r="F118" s="1340">
        <f>IF(SUM('Data entry'!J87:K87)&gt;0,SUM('Data entry'!J87:K87)," ")</f>
        <v>1</v>
      </c>
      <c r="G118" s="1340"/>
      <c r="H118" s="309" t="str">
        <f t="shared" ref="H118:H125" si="34">IF(F118=" "," ","@")</f>
        <v>@</v>
      </c>
      <c r="I118" s="1341">
        <f>IF(F118&gt;0,IF('Data entry'!L87="3'0",41,IF('Data entry'!L87="2'8",37,IF('Data entry'!L87="2'6",35," ")))," ")</f>
        <v>41</v>
      </c>
      <c r="J118" s="1341"/>
      <c r="L118" s="1340" t="str">
        <f t="shared" ref="L118:L125" si="35">IF(N118=" "," ","H1 Header")</f>
        <v>H1 Header</v>
      </c>
      <c r="M118" s="1340"/>
      <c r="N118" s="1340">
        <f>IF('Data entry'!V87&gt;0,'Data entry'!V87," ")</f>
        <v>1</v>
      </c>
      <c r="O118" s="1340"/>
      <c r="P118" s="309" t="str">
        <f t="shared" ref="P118:P125" si="36">IF(N118=" "," ","@")</f>
        <v>@</v>
      </c>
      <c r="Q118" s="315">
        <f t="shared" ref="Q118:Q125" si="37">IF(N118=" "," ",I118)</f>
        <v>41</v>
      </c>
      <c r="S118" s="1355" t="str">
        <f t="shared" ref="S118:S125" si="38">IF(U118=" "," ","H2 Header")</f>
        <v xml:space="preserve"> </v>
      </c>
      <c r="T118" s="1355"/>
      <c r="U118" s="1355" t="str">
        <f>IF('Data entry'!X87&gt;0,'Data entry'!X87," ")</f>
        <v xml:space="preserve"> </v>
      </c>
      <c r="V118" s="1355"/>
      <c r="W118" s="325" t="str">
        <f t="shared" ref="W118:W125" si="39">IF(U118=" "," ","@")</f>
        <v xml:space="preserve"> </v>
      </c>
      <c r="X118" s="1356" t="str">
        <f t="shared" ref="X118:X125" si="40">IF(U118=" "," ",I118)</f>
        <v xml:space="preserve"> </v>
      </c>
      <c r="Y118" s="1356"/>
      <c r="Z118" s="323"/>
      <c r="AD118" s="326"/>
      <c r="AE118" s="327"/>
      <c r="AF118" s="327"/>
      <c r="AG118" s="328"/>
      <c r="AH118" s="328"/>
      <c r="AI118" s="329"/>
      <c r="AJ118" s="329"/>
      <c r="AK118" s="329"/>
    </row>
    <row r="119" spans="3:37" ht="16.5" customHeight="1" x14ac:dyDescent="0.25">
      <c r="C119" s="1339" t="str">
        <f t="shared" si="33"/>
        <v xml:space="preserve"> </v>
      </c>
      <c r="D119" s="1339"/>
      <c r="E119" s="1339"/>
      <c r="F119" s="1340" t="str">
        <f>IF(SUM('Data entry'!J88:K88)&gt;0,SUM('Data entry'!J88:K88)," ")</f>
        <v xml:space="preserve"> </v>
      </c>
      <c r="G119" s="1340"/>
      <c r="H119" s="309" t="str">
        <f t="shared" si="34"/>
        <v xml:space="preserve"> </v>
      </c>
      <c r="I119" s="1341" t="str">
        <f>IF(F119&gt;0,IF('Data entry'!L88="3'0",41,IF('Data entry'!L88="2'8",37,IF('Data entry'!L88="2'6",35," ")))," ")</f>
        <v xml:space="preserve"> </v>
      </c>
      <c r="J119" s="1341"/>
      <c r="L119" s="1340" t="str">
        <f t="shared" si="35"/>
        <v xml:space="preserve"> </v>
      </c>
      <c r="M119" s="1340"/>
      <c r="N119" s="1340" t="str">
        <f>IF('Data entry'!V88&gt;0,'Data entry'!V88," ")</f>
        <v xml:space="preserve"> </v>
      </c>
      <c r="O119" s="1340"/>
      <c r="P119" s="309" t="str">
        <f t="shared" si="36"/>
        <v xml:space="preserve"> </v>
      </c>
      <c r="Q119" s="315" t="str">
        <f t="shared" si="37"/>
        <v xml:space="preserve"> </v>
      </c>
      <c r="S119" s="1355" t="str">
        <f t="shared" si="38"/>
        <v xml:space="preserve"> </v>
      </c>
      <c r="T119" s="1355"/>
      <c r="U119" s="1355" t="str">
        <f>IF('Data entry'!X88&gt;0,'Data entry'!X88," ")</f>
        <v xml:space="preserve"> </v>
      </c>
      <c r="V119" s="1355"/>
      <c r="W119" s="325" t="str">
        <f t="shared" si="39"/>
        <v xml:space="preserve"> </v>
      </c>
      <c r="X119" s="1356" t="str">
        <f t="shared" si="40"/>
        <v xml:space="preserve"> </v>
      </c>
      <c r="Y119" s="1356"/>
      <c r="Z119" s="323"/>
      <c r="AD119" s="326"/>
      <c r="AE119" s="12"/>
      <c r="AF119" s="12"/>
      <c r="AG119" s="328"/>
      <c r="AH119" s="328"/>
      <c r="AI119" s="329"/>
      <c r="AJ119" s="329"/>
    </row>
    <row r="120" spans="3:37" ht="16.5" customHeight="1" x14ac:dyDescent="0.3">
      <c r="C120" s="1339" t="str">
        <f t="shared" si="33"/>
        <v xml:space="preserve"> </v>
      </c>
      <c r="D120" s="1339"/>
      <c r="E120" s="1339"/>
      <c r="F120" s="1340" t="str">
        <f>IF(SUM('Data entry'!J89:K89)&gt;0,SUM('Data entry'!J89:K89)," ")</f>
        <v xml:space="preserve"> </v>
      </c>
      <c r="G120" s="1340"/>
      <c r="H120" s="309" t="str">
        <f t="shared" si="34"/>
        <v xml:space="preserve"> </v>
      </c>
      <c r="I120" s="1341" t="str">
        <f>IF(F120&gt;0,IF('Data entry'!L89="3'0",41,IF('Data entry'!L89="2'8",37,IF('Data entry'!L89="2'6",35," ")))," ")</f>
        <v xml:space="preserve"> </v>
      </c>
      <c r="J120" s="1341"/>
      <c r="L120" s="1340" t="str">
        <f t="shared" si="35"/>
        <v xml:space="preserve"> </v>
      </c>
      <c r="M120" s="1340"/>
      <c r="N120" s="1340" t="str">
        <f>IF('Data entry'!V89&gt;0,'Data entry'!V89," ")</f>
        <v xml:space="preserve"> </v>
      </c>
      <c r="O120" s="1340"/>
      <c r="P120" s="309" t="str">
        <f t="shared" si="36"/>
        <v xml:space="preserve"> </v>
      </c>
      <c r="Q120" s="315" t="str">
        <f t="shared" si="37"/>
        <v xml:space="preserve"> </v>
      </c>
      <c r="S120" s="1355" t="str">
        <f t="shared" si="38"/>
        <v xml:space="preserve"> </v>
      </c>
      <c r="T120" s="1355"/>
      <c r="U120" s="1355" t="str">
        <f>IF('Data entry'!X89&gt;0,'Data entry'!X89," ")</f>
        <v xml:space="preserve"> </v>
      </c>
      <c r="V120" s="1355"/>
      <c r="W120" s="325" t="str">
        <f t="shared" si="39"/>
        <v xml:space="preserve"> </v>
      </c>
      <c r="X120" s="1356" t="str">
        <f t="shared" si="40"/>
        <v xml:space="preserve"> </v>
      </c>
      <c r="Y120" s="1356"/>
      <c r="Z120" s="323"/>
      <c r="AD120" s="330"/>
      <c r="AE120" s="331"/>
      <c r="AF120" s="331"/>
      <c r="AG120" s="332"/>
      <c r="AH120" s="332"/>
      <c r="AI120" s="333"/>
      <c r="AJ120" s="329"/>
    </row>
    <row r="121" spans="3:37" ht="16.5" customHeight="1" x14ac:dyDescent="0.3">
      <c r="C121" s="1339" t="str">
        <f t="shared" si="33"/>
        <v xml:space="preserve"> </v>
      </c>
      <c r="D121" s="1339"/>
      <c r="E121" s="1339"/>
      <c r="F121" s="1340" t="str">
        <f>IF(SUM('Data entry'!J90:K90)&gt;0,SUM('Data entry'!J90:K90)," ")</f>
        <v xml:space="preserve"> </v>
      </c>
      <c r="G121" s="1340"/>
      <c r="H121" s="309" t="str">
        <f t="shared" si="34"/>
        <v xml:space="preserve"> </v>
      </c>
      <c r="I121" s="1341" t="str">
        <f>IF(F121&gt;0,IF('Data entry'!L90="3'0",41,IF('Data entry'!L90="2'8",37,IF('Data entry'!L90="2'6",35," ")))," ")</f>
        <v xml:space="preserve"> </v>
      </c>
      <c r="J121" s="1341"/>
      <c r="L121" s="1340" t="str">
        <f t="shared" si="35"/>
        <v xml:space="preserve"> </v>
      </c>
      <c r="M121" s="1340"/>
      <c r="N121" s="1340" t="str">
        <f>IF('Data entry'!V90&gt;0,'Data entry'!V90," ")</f>
        <v xml:space="preserve"> </v>
      </c>
      <c r="O121" s="1340"/>
      <c r="P121" s="309" t="str">
        <f t="shared" si="36"/>
        <v xml:space="preserve"> </v>
      </c>
      <c r="Q121" s="315" t="str">
        <f t="shared" si="37"/>
        <v xml:space="preserve"> </v>
      </c>
      <c r="S121" s="1355" t="str">
        <f t="shared" si="38"/>
        <v xml:space="preserve"> </v>
      </c>
      <c r="T121" s="1355"/>
      <c r="U121" s="1355" t="str">
        <f>IF('Data entry'!X90&gt;0,'Data entry'!X90," ")</f>
        <v xml:space="preserve"> </v>
      </c>
      <c r="V121" s="1355"/>
      <c r="W121" s="325" t="str">
        <f t="shared" si="39"/>
        <v xml:space="preserve"> </v>
      </c>
      <c r="X121" s="1356" t="str">
        <f t="shared" si="40"/>
        <v xml:space="preserve"> </v>
      </c>
      <c r="Y121" s="1356"/>
      <c r="Z121" s="322"/>
      <c r="AD121" s="330"/>
      <c r="AE121" s="334"/>
      <c r="AF121" s="334"/>
      <c r="AG121" s="335"/>
      <c r="AH121" s="335"/>
      <c r="AI121" s="336"/>
      <c r="AJ121" s="329"/>
    </row>
    <row r="122" spans="3:37" ht="16.5" customHeight="1" x14ac:dyDescent="0.3">
      <c r="C122" s="1339" t="str">
        <f t="shared" si="33"/>
        <v xml:space="preserve"> </v>
      </c>
      <c r="D122" s="1339"/>
      <c r="E122" s="1339"/>
      <c r="F122" s="1340" t="str">
        <f>IF(SUM('Data entry'!J91:K91)&gt;0,SUM('Data entry'!J91:K91)," ")</f>
        <v xml:space="preserve"> </v>
      </c>
      <c r="G122" s="1340"/>
      <c r="H122" s="309" t="str">
        <f t="shared" si="34"/>
        <v xml:space="preserve"> </v>
      </c>
      <c r="I122" s="1341" t="str">
        <f>IF(F122&gt;0,IF('Data entry'!L91="3'0",41,IF('Data entry'!L91="2'8",37,IF('Data entry'!L91="2'6",35," ")))," ")</f>
        <v xml:space="preserve"> </v>
      </c>
      <c r="J122" s="1341"/>
      <c r="L122" s="1340" t="str">
        <f t="shared" si="35"/>
        <v xml:space="preserve"> </v>
      </c>
      <c r="M122" s="1340"/>
      <c r="N122" s="1340" t="str">
        <f>IF('Data entry'!V91&gt;0,'Data entry'!V91," ")</f>
        <v xml:space="preserve"> </v>
      </c>
      <c r="O122" s="1340"/>
      <c r="P122" s="309" t="str">
        <f t="shared" si="36"/>
        <v xml:space="preserve"> </v>
      </c>
      <c r="Q122" s="315" t="str">
        <f t="shared" si="37"/>
        <v xml:space="preserve"> </v>
      </c>
      <c r="S122" s="1355" t="str">
        <f t="shared" si="38"/>
        <v xml:space="preserve"> </v>
      </c>
      <c r="T122" s="1355"/>
      <c r="U122" s="1355" t="str">
        <f>IF('Data entry'!X91&gt;0,'Data entry'!X91," ")</f>
        <v xml:space="preserve"> </v>
      </c>
      <c r="V122" s="1355"/>
      <c r="W122" s="325" t="str">
        <f t="shared" si="39"/>
        <v xml:space="preserve"> </v>
      </c>
      <c r="X122" s="1356" t="str">
        <f t="shared" si="40"/>
        <v xml:space="preserve"> </v>
      </c>
      <c r="Y122" s="1356"/>
      <c r="Z122" s="322"/>
      <c r="AD122" s="330"/>
      <c r="AE122" s="334"/>
      <c r="AF122" s="334"/>
      <c r="AG122" s="335"/>
      <c r="AH122" s="335"/>
      <c r="AI122" s="336"/>
      <c r="AJ122" s="329"/>
    </row>
    <row r="123" spans="3:37" ht="16.5" customHeight="1" x14ac:dyDescent="0.25">
      <c r="C123" s="1339" t="str">
        <f t="shared" si="33"/>
        <v xml:space="preserve"> </v>
      </c>
      <c r="D123" s="1339"/>
      <c r="E123" s="1339"/>
      <c r="F123" s="1340" t="str">
        <f>IF(SUM('Data entry'!J92:K92)&gt;0,SUM('Data entry'!J92:K92)," ")</f>
        <v xml:space="preserve"> </v>
      </c>
      <c r="G123" s="1340"/>
      <c r="H123" s="309" t="str">
        <f t="shared" si="34"/>
        <v xml:space="preserve"> </v>
      </c>
      <c r="I123" s="1341" t="str">
        <f>IF(F123&gt;0,IF('Data entry'!L92="3'0",41,IF('Data entry'!L92="2'8",37,IF('Data entry'!L92="2'6",35," ")))," ")</f>
        <v xml:space="preserve"> </v>
      </c>
      <c r="J123" s="1341"/>
      <c r="L123" s="1340" t="str">
        <f t="shared" si="35"/>
        <v xml:space="preserve"> </v>
      </c>
      <c r="M123" s="1340"/>
      <c r="N123" s="1340" t="str">
        <f>IF('Data entry'!V92&gt;0,'Data entry'!V92," ")</f>
        <v xml:space="preserve"> </v>
      </c>
      <c r="O123" s="1340"/>
      <c r="P123" s="309" t="str">
        <f t="shared" si="36"/>
        <v xml:space="preserve"> </v>
      </c>
      <c r="Q123" s="315" t="str">
        <f t="shared" si="37"/>
        <v xml:space="preserve"> </v>
      </c>
      <c r="S123" s="1355" t="str">
        <f t="shared" si="38"/>
        <v xml:space="preserve"> </v>
      </c>
      <c r="T123" s="1355"/>
      <c r="U123" s="1355" t="str">
        <f>IF('Data entry'!X92&gt;0,'Data entry'!X92," ")</f>
        <v xml:space="preserve"> </v>
      </c>
      <c r="V123" s="1355"/>
      <c r="W123" s="325" t="str">
        <f t="shared" si="39"/>
        <v xml:space="preserve"> </v>
      </c>
      <c r="X123" s="1356" t="str">
        <f t="shared" si="40"/>
        <v xml:space="preserve"> </v>
      </c>
      <c r="Y123" s="1356"/>
      <c r="Z123" s="322"/>
      <c r="AD123" s="330"/>
      <c r="AE123" s="337"/>
      <c r="AF123" s="337"/>
      <c r="AG123" s="332"/>
      <c r="AH123" s="332"/>
      <c r="AI123" s="333"/>
      <c r="AJ123" s="329"/>
    </row>
    <row r="124" spans="3:37" ht="16.5" customHeight="1" x14ac:dyDescent="0.25">
      <c r="C124" s="1339" t="str">
        <f t="shared" si="33"/>
        <v xml:space="preserve"> </v>
      </c>
      <c r="D124" s="1339"/>
      <c r="E124" s="1339"/>
      <c r="F124" s="1340" t="str">
        <f>IF(SUM('Data entry'!J93:K93)&gt;0,SUM('Data entry'!J93:K93)," ")</f>
        <v xml:space="preserve"> </v>
      </c>
      <c r="G124" s="1340"/>
      <c r="H124" s="309" t="str">
        <f t="shared" si="34"/>
        <v xml:space="preserve"> </v>
      </c>
      <c r="I124" s="1341" t="str">
        <f>IF(F124&gt;0,IF('Data entry'!L93="3'0",41,IF('Data entry'!L93="2'8",37,IF('Data entry'!L93="2'6",35," ")))," ")</f>
        <v xml:space="preserve"> </v>
      </c>
      <c r="J124" s="1341"/>
      <c r="L124" s="1340" t="str">
        <f t="shared" si="35"/>
        <v xml:space="preserve"> </v>
      </c>
      <c r="M124" s="1340"/>
      <c r="N124" s="1340" t="str">
        <f>IF('Data entry'!V93&gt;0,'Data entry'!V93," ")</f>
        <v xml:space="preserve"> </v>
      </c>
      <c r="O124" s="1340"/>
      <c r="P124" s="309" t="str">
        <f t="shared" si="36"/>
        <v xml:space="preserve"> </v>
      </c>
      <c r="Q124" s="315" t="str">
        <f t="shared" si="37"/>
        <v xml:space="preserve"> </v>
      </c>
      <c r="S124" s="1355" t="str">
        <f t="shared" si="38"/>
        <v xml:space="preserve"> </v>
      </c>
      <c r="T124" s="1355"/>
      <c r="U124" s="1355" t="str">
        <f>IF('Data entry'!X93&gt;0,'Data entry'!X93," ")</f>
        <v xml:space="preserve"> </v>
      </c>
      <c r="V124" s="1355"/>
      <c r="W124" s="325" t="str">
        <f t="shared" si="39"/>
        <v xml:space="preserve"> </v>
      </c>
      <c r="X124" s="1356" t="str">
        <f t="shared" si="40"/>
        <v xml:space="preserve"> </v>
      </c>
      <c r="Y124" s="1356"/>
      <c r="Z124" s="322"/>
      <c r="AJ124" s="329"/>
    </row>
    <row r="125" spans="3:37" ht="16.5" customHeight="1" x14ac:dyDescent="0.25">
      <c r="C125" s="1339" t="str">
        <f t="shared" si="33"/>
        <v xml:space="preserve"> </v>
      </c>
      <c r="D125" s="1339"/>
      <c r="E125" s="1339"/>
      <c r="F125" s="1340" t="str">
        <f>IF(SUM('Data entry'!J94:K94)&gt;0,SUM('Data entry'!J94:K94)," ")</f>
        <v xml:space="preserve"> </v>
      </c>
      <c r="G125" s="1340"/>
      <c r="H125" s="309" t="str">
        <f t="shared" si="34"/>
        <v xml:space="preserve"> </v>
      </c>
      <c r="I125" s="1341" t="str">
        <f>IF(F125&gt;0,IF('Data entry'!L94="3'0",41,IF('Data entry'!L94="2'8",37,IF('Data entry'!L94="2'6",35," ")))," ")</f>
        <v xml:space="preserve"> </v>
      </c>
      <c r="J125" s="1341"/>
      <c r="L125" s="1340" t="str">
        <f t="shared" si="35"/>
        <v xml:space="preserve"> </v>
      </c>
      <c r="M125" s="1340"/>
      <c r="N125" s="1340" t="str">
        <f>IF('Data entry'!V94&gt;0,'Data entry'!V94," ")</f>
        <v xml:space="preserve"> </v>
      </c>
      <c r="O125" s="1340"/>
      <c r="P125" s="309" t="str">
        <f t="shared" si="36"/>
        <v xml:space="preserve"> </v>
      </c>
      <c r="Q125" s="315" t="str">
        <f t="shared" si="37"/>
        <v xml:space="preserve"> </v>
      </c>
      <c r="S125" s="1355" t="str">
        <f t="shared" si="38"/>
        <v xml:space="preserve"> </v>
      </c>
      <c r="T125" s="1355"/>
      <c r="U125" s="1355" t="str">
        <f>IF('Data entry'!X94&gt;0,'Data entry'!X94," ")</f>
        <v xml:space="preserve"> </v>
      </c>
      <c r="V125" s="1355"/>
      <c r="W125" s="325" t="str">
        <f t="shared" si="39"/>
        <v xml:space="preserve"> </v>
      </c>
      <c r="X125" s="1356" t="str">
        <f t="shared" si="40"/>
        <v xml:space="preserve"> </v>
      </c>
      <c r="Y125" s="1356"/>
      <c r="Z125" s="322"/>
      <c r="AJ125" s="329"/>
    </row>
    <row r="126" spans="3:37" ht="16.5" customHeight="1" x14ac:dyDescent="0.25">
      <c r="C126" s="261"/>
      <c r="D126" s="261"/>
      <c r="E126" s="261"/>
      <c r="F126" s="261"/>
      <c r="G126" s="261"/>
      <c r="H126" s="261"/>
      <c r="I126" s="261"/>
      <c r="J126" s="261"/>
      <c r="K126" s="322"/>
      <c r="L126" s="261"/>
      <c r="M126" s="261"/>
      <c r="N126" s="261"/>
      <c r="O126" s="261"/>
      <c r="P126" s="322"/>
      <c r="Q126" s="322"/>
      <c r="R126" s="322"/>
      <c r="S126" s="322"/>
      <c r="T126" s="322"/>
      <c r="U126" s="322"/>
      <c r="V126" s="322"/>
      <c r="W126" s="322"/>
      <c r="X126" s="322"/>
      <c r="Y126" s="322"/>
      <c r="Z126" s="322"/>
      <c r="AJ126" s="329"/>
    </row>
    <row r="127" spans="3:37" ht="16.5" customHeight="1" x14ac:dyDescent="0.2"/>
    <row r="128" spans="3:37" ht="24.75" customHeight="1" x14ac:dyDescent="0.2">
      <c r="D128" s="1353" t="s">
        <v>307</v>
      </c>
      <c r="E128" s="1353"/>
      <c r="F128" s="1353"/>
      <c r="G128" s="1353"/>
      <c r="H128" s="1353"/>
      <c r="I128" s="1353"/>
      <c r="J128" s="1353"/>
      <c r="K128" s="1353"/>
      <c r="L128" s="1353"/>
      <c r="M128" s="1353"/>
      <c r="N128" s="1353"/>
      <c r="O128" s="1354" t="e">
        <f>IF('Data entry'!#REF!=0," ",'Data entry'!#REF!-1.5)</f>
        <v>#REF!</v>
      </c>
      <c r="P128" s="1354"/>
      <c r="Q128" s="1353" t="s">
        <v>308</v>
      </c>
      <c r="R128" s="1353"/>
      <c r="S128" s="1353"/>
      <c r="T128" s="1353"/>
      <c r="U128" s="1353"/>
      <c r="V128" s="1353"/>
      <c r="W128" s="1353"/>
      <c r="X128" s="1353"/>
      <c r="Y128" s="338"/>
      <c r="Z128" s="339"/>
      <c r="AA128" s="339"/>
    </row>
    <row r="129" spans="3:31" ht="16.5" customHeight="1" x14ac:dyDescent="0.2"/>
    <row r="130" spans="3:31" ht="16.5" customHeight="1" x14ac:dyDescent="0.25">
      <c r="C130" s="1346" t="e">
        <f>IF(T130=" "," ","Cripples notched for header – doors")</f>
        <v>#REF!</v>
      </c>
      <c r="D130" s="1346"/>
      <c r="E130" s="1346"/>
      <c r="F130" s="1346"/>
      <c r="G130" s="1346"/>
      <c r="H130" s="1346"/>
      <c r="I130" s="1346"/>
      <c r="J130" s="1346"/>
      <c r="K130" s="899" t="e">
        <f>IF(T130=" "," ","no addition notch")</f>
        <v>#REF!</v>
      </c>
      <c r="L130" s="899"/>
      <c r="M130" s="899"/>
      <c r="N130" s="899"/>
      <c r="O130" s="899"/>
      <c r="P130" s="1339" t="e">
        <f>IF(T130=" "," ","2x6 drop offs")</f>
        <v>#REF!</v>
      </c>
      <c r="Q130" s="1339"/>
      <c r="R130" s="1339"/>
      <c r="S130" s="1339"/>
      <c r="T130" s="1351" t="e">
        <f>IF(('Data entry'!#REF!)&gt;='Data entry'!J95," ",SUM('Data entry'!J95)-('Data entry'!#REF!))</f>
        <v>#REF!</v>
      </c>
      <c r="U130" s="1351"/>
      <c r="V130" s="1351"/>
      <c r="W130" s="309" t="e">
        <f>IF(T130=" "," ","@")</f>
        <v>#REF!</v>
      </c>
      <c r="X130" s="879" t="e">
        <f>IF(T130=" "," ",SUM('Data entry'!Q12-83.5))</f>
        <v>#REF!</v>
      </c>
      <c r="Y130" s="879"/>
      <c r="Z130" s="879"/>
      <c r="AE130" s="18">
        <f>'Data entry'!J95</f>
        <v>1</v>
      </c>
    </row>
    <row r="131" spans="3:31" ht="16.5" customHeight="1" x14ac:dyDescent="0.25">
      <c r="C131" s="1346" t="e">
        <f>IF('Data entry'!#REF!=0," ","Cripples notched for header – doors")</f>
        <v>#REF!</v>
      </c>
      <c r="D131" s="1346"/>
      <c r="E131" s="1346"/>
      <c r="F131" s="1346"/>
      <c r="G131" s="1346"/>
      <c r="H131" s="1346"/>
      <c r="I131" s="1346"/>
      <c r="J131" s="1346"/>
      <c r="K131" s="899" t="e">
        <f>IF('Data entry'!#REF!=0," ","with addition notch")</f>
        <v>#REF!</v>
      </c>
      <c r="L131" s="899"/>
      <c r="M131" s="899"/>
      <c r="N131" s="899"/>
      <c r="O131" s="899"/>
      <c r="P131" s="1339" t="e">
        <f>IF('Data entry'!#REF!=0," ","2x6 drop offs")</f>
        <v>#REF!</v>
      </c>
      <c r="Q131" s="1339"/>
      <c r="R131" s="1339"/>
      <c r="S131" s="1339"/>
      <c r="T131" s="1351" t="e">
        <f>IF('Data entry'!#REF!=0," ",SUM('Data entry'!#REF!))</f>
        <v>#REF!</v>
      </c>
      <c r="U131" s="1351"/>
      <c r="V131" s="1351"/>
      <c r="W131" s="309" t="e">
        <f>IF(T131=" "," ","@")</f>
        <v>#REF!</v>
      </c>
      <c r="X131" s="879" t="e">
        <f>IF('Data entry'!#REF!=0," ",SUM('Data entry'!Q12-83.5))</f>
        <v>#REF!</v>
      </c>
      <c r="Y131" s="879"/>
      <c r="Z131" s="879"/>
    </row>
    <row r="132" spans="3:31" ht="16.5" customHeight="1" x14ac:dyDescent="0.2"/>
    <row r="133" spans="3:31" ht="31.5" customHeight="1" x14ac:dyDescent="0.2">
      <c r="J133" s="1352" t="s">
        <v>309</v>
      </c>
      <c r="K133" s="1352"/>
      <c r="L133" s="1352"/>
      <c r="M133" s="1352"/>
      <c r="N133" s="1352"/>
      <c r="O133" s="1352"/>
      <c r="P133" s="1352"/>
      <c r="Q133" s="1352"/>
      <c r="R133" s="1352"/>
      <c r="S133" s="1352"/>
    </row>
    <row r="134" spans="3:31" ht="16.5" customHeight="1" x14ac:dyDescent="0.25">
      <c r="D134" s="305"/>
      <c r="E134" s="305"/>
      <c r="F134" s="305"/>
      <c r="G134" s="305"/>
      <c r="H134" s="305"/>
      <c r="I134" s="305"/>
      <c r="J134" s="305"/>
    </row>
    <row r="135" spans="3:31" ht="16.5" customHeight="1" x14ac:dyDescent="0.25">
      <c r="C135" s="1346" t="str">
        <f t="shared" ref="C135:C151" si="41">IF(K135=" "," ","2x6 Cripple - notched for header")</f>
        <v>2x6 Cripple - notched for header</v>
      </c>
      <c r="D135" s="1346"/>
      <c r="E135" s="1346"/>
      <c r="F135" s="1346"/>
      <c r="G135" s="1346"/>
      <c r="H135" s="1346"/>
      <c r="I135" s="1346"/>
      <c r="J135" s="1346"/>
      <c r="K135" s="262">
        <f>IF('Data entry'!L51=0," ",'Data entry'!L51)</f>
        <v>57</v>
      </c>
      <c r="L135" s="1348" t="str">
        <f t="shared" ref="L135:L151" si="42">IF(K135=" "," ","in. window")</f>
        <v>in. window</v>
      </c>
      <c r="M135" s="1348"/>
      <c r="N135" s="1339" t="str">
        <f t="shared" ref="N135:N151" si="43">IF(K135=" "," ","2x6 drop offs")</f>
        <v>2x6 drop offs</v>
      </c>
      <c r="O135" s="1339"/>
      <c r="P135" s="1339"/>
      <c r="Q135" s="1339"/>
      <c r="R135" s="877">
        <f>IF(K135=" "," ",'Data entry'!P51)</f>
        <v>1</v>
      </c>
      <c r="S135" s="877"/>
      <c r="T135" s="309" t="str">
        <f t="shared" ref="T135:T151" si="44">IF(R135=" "," ","@")</f>
        <v>@</v>
      </c>
      <c r="U135" s="879">
        <f>IF(K135=" "," ",SUM('Data entry'!$Q$12-('Data entry'!L51+'Data entry'!N51)))</f>
        <v>83.5</v>
      </c>
      <c r="V135" s="879"/>
      <c r="W135" s="264" t="str">
        <f>IF('Data entry'!R51=0," ",'Data entry'!R51)</f>
        <v xml:space="preserve"> </v>
      </c>
      <c r="X135" s="1350" t="str">
        <f t="shared" ref="X135:X151" si="45">IF(W135=" "," ","w/add. Blocking")</f>
        <v xml:space="preserve"> </v>
      </c>
      <c r="Y135" s="1350"/>
      <c r="Z135" s="1350"/>
    </row>
    <row r="136" spans="3:31" ht="16.5" customHeight="1" x14ac:dyDescent="0.25">
      <c r="C136" s="1346" t="str">
        <f t="shared" si="41"/>
        <v xml:space="preserve"> </v>
      </c>
      <c r="D136" s="1346"/>
      <c r="E136" s="1346"/>
      <c r="F136" s="1346"/>
      <c r="G136" s="1346"/>
      <c r="H136" s="1346"/>
      <c r="I136" s="1346"/>
      <c r="J136" s="1346"/>
      <c r="K136" s="262" t="str">
        <f>IF('Data entry'!L52=0," ",'Data entry'!L52)</f>
        <v xml:space="preserve"> </v>
      </c>
      <c r="L136" s="1348" t="str">
        <f t="shared" si="42"/>
        <v xml:space="preserve"> </v>
      </c>
      <c r="M136" s="1348"/>
      <c r="N136" s="1339" t="str">
        <f t="shared" si="43"/>
        <v xml:space="preserve"> </v>
      </c>
      <c r="O136" s="1339"/>
      <c r="P136" s="1339"/>
      <c r="Q136" s="1339"/>
      <c r="R136" s="877" t="str">
        <f>IF(K136=" "," ",'Data entry'!P52)</f>
        <v xml:space="preserve"> </v>
      </c>
      <c r="S136" s="877"/>
      <c r="T136" s="309" t="str">
        <f t="shared" si="44"/>
        <v xml:space="preserve"> </v>
      </c>
      <c r="U136" s="879" t="str">
        <f>IF(K136=" "," ",SUM('Data entry'!$Q$12-('Data entry'!L52+'Data entry'!N52)))</f>
        <v xml:space="preserve"> </v>
      </c>
      <c r="V136" s="879"/>
      <c r="W136" s="264" t="str">
        <f>IF('Data entry'!R52=0," ",'Data entry'!R52)</f>
        <v xml:space="preserve"> </v>
      </c>
      <c r="X136" s="1350" t="str">
        <f t="shared" si="45"/>
        <v xml:space="preserve"> </v>
      </c>
      <c r="Y136" s="1350"/>
      <c r="Z136" s="1350"/>
    </row>
    <row r="137" spans="3:31" ht="16.5" customHeight="1" x14ac:dyDescent="0.25">
      <c r="C137" s="1346" t="str">
        <f t="shared" si="41"/>
        <v xml:space="preserve"> </v>
      </c>
      <c r="D137" s="1346"/>
      <c r="E137" s="1346"/>
      <c r="F137" s="1346"/>
      <c r="G137" s="1346"/>
      <c r="H137" s="1346"/>
      <c r="I137" s="1346"/>
      <c r="J137" s="1346"/>
      <c r="K137" s="262" t="str">
        <f>IF('Data entry'!L53=0," ",'Data entry'!L53)</f>
        <v xml:space="preserve"> </v>
      </c>
      <c r="L137" s="1348" t="str">
        <f t="shared" si="42"/>
        <v xml:space="preserve"> </v>
      </c>
      <c r="M137" s="1348"/>
      <c r="N137" s="1339" t="str">
        <f t="shared" si="43"/>
        <v xml:space="preserve"> </v>
      </c>
      <c r="O137" s="1339"/>
      <c r="P137" s="1339"/>
      <c r="Q137" s="1339"/>
      <c r="R137" s="877" t="str">
        <f>IF(K137=" "," ",'Data entry'!P53)</f>
        <v xml:space="preserve"> </v>
      </c>
      <c r="S137" s="877"/>
      <c r="T137" s="309" t="str">
        <f t="shared" si="44"/>
        <v xml:space="preserve"> </v>
      </c>
      <c r="U137" s="879" t="str">
        <f>IF(K137=" "," ",SUM('Data entry'!$Q$12-('Data entry'!L53+'Data entry'!N53)))</f>
        <v xml:space="preserve"> </v>
      </c>
      <c r="V137" s="879"/>
      <c r="W137" s="264" t="str">
        <f>IF('Data entry'!R53=0," ",'Data entry'!R53)</f>
        <v xml:space="preserve"> </v>
      </c>
      <c r="X137" s="1350" t="str">
        <f t="shared" si="45"/>
        <v xml:space="preserve"> </v>
      </c>
      <c r="Y137" s="1350"/>
      <c r="Z137" s="1350"/>
    </row>
    <row r="138" spans="3:31" ht="16.5" customHeight="1" x14ac:dyDescent="0.25">
      <c r="C138" s="1346" t="str">
        <f t="shared" si="41"/>
        <v xml:space="preserve"> </v>
      </c>
      <c r="D138" s="1346"/>
      <c r="E138" s="1346"/>
      <c r="F138" s="1346"/>
      <c r="G138" s="1346"/>
      <c r="H138" s="1346"/>
      <c r="I138" s="1346"/>
      <c r="J138" s="1346"/>
      <c r="K138" s="262" t="str">
        <f>IF('Data entry'!L54=0," ",'Data entry'!L54)</f>
        <v xml:space="preserve"> </v>
      </c>
      <c r="L138" s="1348" t="str">
        <f t="shared" si="42"/>
        <v xml:space="preserve"> </v>
      </c>
      <c r="M138" s="1348"/>
      <c r="N138" s="1339" t="str">
        <f t="shared" si="43"/>
        <v xml:space="preserve"> </v>
      </c>
      <c r="O138" s="1339"/>
      <c r="P138" s="1339"/>
      <c r="Q138" s="1339"/>
      <c r="R138" s="877" t="str">
        <f>IF(K138=" "," ",'Data entry'!P54)</f>
        <v xml:space="preserve"> </v>
      </c>
      <c r="S138" s="877"/>
      <c r="T138" s="309" t="str">
        <f t="shared" si="44"/>
        <v xml:space="preserve"> </v>
      </c>
      <c r="U138" s="879" t="str">
        <f>IF(K138=" "," ",SUM('Data entry'!$Q$12-('Data entry'!L54+'Data entry'!N54)))</f>
        <v xml:space="preserve"> </v>
      </c>
      <c r="V138" s="879"/>
      <c r="W138" s="264" t="str">
        <f>IF('Data entry'!R54=0," ",'Data entry'!R54)</f>
        <v xml:space="preserve"> </v>
      </c>
      <c r="X138" s="1350" t="str">
        <f t="shared" si="45"/>
        <v xml:space="preserve"> </v>
      </c>
      <c r="Y138" s="1350"/>
      <c r="Z138" s="1350"/>
    </row>
    <row r="139" spans="3:31" ht="16.5" customHeight="1" x14ac:dyDescent="0.25">
      <c r="C139" s="1346" t="str">
        <f t="shared" si="41"/>
        <v xml:space="preserve"> </v>
      </c>
      <c r="D139" s="1346"/>
      <c r="E139" s="1346"/>
      <c r="F139" s="1346"/>
      <c r="G139" s="1346"/>
      <c r="H139" s="1346"/>
      <c r="I139" s="1346"/>
      <c r="J139" s="1346"/>
      <c r="K139" s="262" t="str">
        <f>IF('Data entry'!L55=0," ",'Data entry'!L55)</f>
        <v xml:space="preserve"> </v>
      </c>
      <c r="L139" s="1348" t="str">
        <f t="shared" si="42"/>
        <v xml:space="preserve"> </v>
      </c>
      <c r="M139" s="1348"/>
      <c r="N139" s="1339" t="str">
        <f t="shared" si="43"/>
        <v xml:space="preserve"> </v>
      </c>
      <c r="O139" s="1339"/>
      <c r="P139" s="1339"/>
      <c r="Q139" s="1339"/>
      <c r="R139" s="877" t="str">
        <f>IF(K139=" "," ",'Data entry'!P55)</f>
        <v xml:space="preserve"> </v>
      </c>
      <c r="S139" s="877"/>
      <c r="T139" s="309" t="str">
        <f t="shared" si="44"/>
        <v xml:space="preserve"> </v>
      </c>
      <c r="U139" s="879" t="str">
        <f>IF(K139=" "," ",SUM('Data entry'!$Q$12-('Data entry'!L55+'Data entry'!N55)))</f>
        <v xml:space="preserve"> </v>
      </c>
      <c r="V139" s="879"/>
      <c r="W139" s="264" t="str">
        <f>IF('Data entry'!R55=0," ",'Data entry'!R55)</f>
        <v xml:space="preserve"> </v>
      </c>
      <c r="X139" s="1350" t="str">
        <f t="shared" si="45"/>
        <v xml:space="preserve"> </v>
      </c>
      <c r="Y139" s="1350"/>
      <c r="Z139" s="1350"/>
    </row>
    <row r="140" spans="3:31" ht="16.5" customHeight="1" x14ac:dyDescent="0.25">
      <c r="C140" s="1346" t="str">
        <f t="shared" si="41"/>
        <v xml:space="preserve"> </v>
      </c>
      <c r="D140" s="1346"/>
      <c r="E140" s="1346"/>
      <c r="F140" s="1346"/>
      <c r="G140" s="1346"/>
      <c r="H140" s="1346"/>
      <c r="I140" s="1346"/>
      <c r="J140" s="1346"/>
      <c r="K140" s="262" t="str">
        <f>IF('Data entry'!L56=0," ",'Data entry'!L56)</f>
        <v xml:space="preserve"> </v>
      </c>
      <c r="L140" s="1348" t="str">
        <f t="shared" si="42"/>
        <v xml:space="preserve"> </v>
      </c>
      <c r="M140" s="1348"/>
      <c r="N140" s="1339" t="str">
        <f t="shared" si="43"/>
        <v xml:space="preserve"> </v>
      </c>
      <c r="O140" s="1339"/>
      <c r="P140" s="1339"/>
      <c r="Q140" s="1339"/>
      <c r="R140" s="877" t="str">
        <f>IF(K140=" "," ",'Data entry'!P56)</f>
        <v xml:space="preserve"> </v>
      </c>
      <c r="S140" s="877"/>
      <c r="T140" s="309" t="str">
        <f t="shared" si="44"/>
        <v xml:space="preserve"> </v>
      </c>
      <c r="U140" s="879" t="str">
        <f>IF(K140=" "," ",SUM('Data entry'!$Q$12-('Data entry'!L56+'Data entry'!N56)))</f>
        <v xml:space="preserve"> </v>
      </c>
      <c r="V140" s="879"/>
      <c r="W140" s="264" t="str">
        <f>IF('Data entry'!R56=0," ",'Data entry'!R56)</f>
        <v xml:space="preserve"> </v>
      </c>
      <c r="X140" s="1350" t="str">
        <f t="shared" si="45"/>
        <v xml:space="preserve"> </v>
      </c>
      <c r="Y140" s="1350"/>
      <c r="Z140" s="1350"/>
    </row>
    <row r="141" spans="3:31" ht="16.5" customHeight="1" x14ac:dyDescent="0.25">
      <c r="C141" s="1346" t="str">
        <f t="shared" si="41"/>
        <v xml:space="preserve"> </v>
      </c>
      <c r="D141" s="1346"/>
      <c r="E141" s="1346"/>
      <c r="F141" s="1346"/>
      <c r="G141" s="1346"/>
      <c r="H141" s="1346"/>
      <c r="I141" s="1346"/>
      <c r="J141" s="1346"/>
      <c r="K141" s="262" t="str">
        <f>IF('Data entry'!L57=0," ",'Data entry'!L57)</f>
        <v xml:space="preserve"> </v>
      </c>
      <c r="L141" s="1348" t="str">
        <f t="shared" si="42"/>
        <v xml:space="preserve"> </v>
      </c>
      <c r="M141" s="1348"/>
      <c r="N141" s="1339" t="str">
        <f t="shared" si="43"/>
        <v xml:space="preserve"> </v>
      </c>
      <c r="O141" s="1339"/>
      <c r="P141" s="1339"/>
      <c r="Q141" s="1339"/>
      <c r="R141" s="877" t="str">
        <f>IF(K141=" "," ",'Data entry'!P57)</f>
        <v xml:space="preserve"> </v>
      </c>
      <c r="S141" s="877"/>
      <c r="T141" s="309" t="str">
        <f t="shared" si="44"/>
        <v xml:space="preserve"> </v>
      </c>
      <c r="U141" s="879" t="str">
        <f>IF(K141=" "," ",SUM('Data entry'!$Q$12-('Data entry'!L57+'Data entry'!N57)))</f>
        <v xml:space="preserve"> </v>
      </c>
      <c r="V141" s="879"/>
      <c r="W141" s="264" t="str">
        <f>IF('Data entry'!R57=0," ",'Data entry'!R57)</f>
        <v xml:space="preserve"> </v>
      </c>
      <c r="X141" s="1350" t="str">
        <f t="shared" si="45"/>
        <v xml:space="preserve"> </v>
      </c>
      <c r="Y141" s="1350"/>
      <c r="Z141" s="1350"/>
    </row>
    <row r="142" spans="3:31" ht="16.5" customHeight="1" x14ac:dyDescent="0.25">
      <c r="C142" s="1346" t="str">
        <f t="shared" si="41"/>
        <v xml:space="preserve"> </v>
      </c>
      <c r="D142" s="1346"/>
      <c r="E142" s="1346"/>
      <c r="F142" s="1346"/>
      <c r="G142" s="1346"/>
      <c r="H142" s="1346"/>
      <c r="I142" s="1346"/>
      <c r="J142" s="1346"/>
      <c r="K142" s="262" t="str">
        <f>IF('Data entry'!L58=0," ",'Data entry'!L58)</f>
        <v xml:space="preserve"> </v>
      </c>
      <c r="L142" s="1348" t="str">
        <f t="shared" si="42"/>
        <v xml:space="preserve"> </v>
      </c>
      <c r="M142" s="1348"/>
      <c r="N142" s="1339" t="str">
        <f t="shared" si="43"/>
        <v xml:space="preserve"> </v>
      </c>
      <c r="O142" s="1339"/>
      <c r="P142" s="1339"/>
      <c r="Q142" s="1339"/>
      <c r="R142" s="877" t="str">
        <f>IF(K142=" "," ",'Data entry'!P58)</f>
        <v xml:space="preserve"> </v>
      </c>
      <c r="S142" s="877"/>
      <c r="T142" s="309" t="str">
        <f t="shared" si="44"/>
        <v xml:space="preserve"> </v>
      </c>
      <c r="U142" s="879" t="str">
        <f>IF(K142=" "," ",SUM('Data entry'!$Q$12-('Data entry'!L58+'Data entry'!N58)))</f>
        <v xml:space="preserve"> </v>
      </c>
      <c r="V142" s="879"/>
      <c r="W142" s="264" t="str">
        <f>IF('Data entry'!R58=0," ",'Data entry'!R58)</f>
        <v xml:space="preserve"> </v>
      </c>
      <c r="X142" s="1350" t="str">
        <f t="shared" si="45"/>
        <v xml:space="preserve"> </v>
      </c>
      <c r="Y142" s="1350"/>
      <c r="Z142" s="1350"/>
    </row>
    <row r="143" spans="3:31" ht="16.5" customHeight="1" x14ac:dyDescent="0.25">
      <c r="C143" s="1346" t="str">
        <f t="shared" si="41"/>
        <v xml:space="preserve"> </v>
      </c>
      <c r="D143" s="1346"/>
      <c r="E143" s="1346"/>
      <c r="F143" s="1346"/>
      <c r="G143" s="1346"/>
      <c r="H143" s="1346"/>
      <c r="I143" s="1346"/>
      <c r="J143" s="1346"/>
      <c r="K143" s="262" t="str">
        <f>IF('Data entry'!L59=0," ",'Data entry'!L59)</f>
        <v xml:space="preserve"> </v>
      </c>
      <c r="L143" s="1348" t="str">
        <f t="shared" si="42"/>
        <v xml:space="preserve"> </v>
      </c>
      <c r="M143" s="1348"/>
      <c r="N143" s="1339" t="str">
        <f t="shared" si="43"/>
        <v xml:space="preserve"> </v>
      </c>
      <c r="O143" s="1339"/>
      <c r="P143" s="1339"/>
      <c r="Q143" s="1339"/>
      <c r="R143" s="877" t="str">
        <f>IF(K143=" "," ",'Data entry'!P59)</f>
        <v xml:space="preserve"> </v>
      </c>
      <c r="S143" s="877"/>
      <c r="T143" s="309" t="str">
        <f t="shared" si="44"/>
        <v xml:space="preserve"> </v>
      </c>
      <c r="U143" s="879" t="str">
        <f>IF(K143=" "," ",SUM('Data entry'!$Q$12-('Data entry'!L59+'Data entry'!N59)))</f>
        <v xml:space="preserve"> </v>
      </c>
      <c r="V143" s="879"/>
      <c r="W143" s="264" t="str">
        <f>IF('Data entry'!R59=0," ",'Data entry'!R59)</f>
        <v xml:space="preserve"> </v>
      </c>
      <c r="X143" s="1350" t="str">
        <f t="shared" si="45"/>
        <v xml:space="preserve"> </v>
      </c>
      <c r="Y143" s="1350"/>
      <c r="Z143" s="1350"/>
    </row>
    <row r="144" spans="3:31" ht="16.5" customHeight="1" x14ac:dyDescent="0.25">
      <c r="C144" s="1346" t="str">
        <f t="shared" si="41"/>
        <v xml:space="preserve"> </v>
      </c>
      <c r="D144" s="1346"/>
      <c r="E144" s="1346"/>
      <c r="F144" s="1346"/>
      <c r="G144" s="1346"/>
      <c r="H144" s="1346"/>
      <c r="I144" s="1346"/>
      <c r="J144" s="1346"/>
      <c r="K144" s="262" t="str">
        <f>IF('Data entry'!L60=0," ",'Data entry'!L60)</f>
        <v xml:space="preserve"> </v>
      </c>
      <c r="L144" s="1348" t="str">
        <f t="shared" si="42"/>
        <v xml:space="preserve"> </v>
      </c>
      <c r="M144" s="1348"/>
      <c r="N144" s="1339" t="str">
        <f t="shared" si="43"/>
        <v xml:space="preserve"> </v>
      </c>
      <c r="O144" s="1339"/>
      <c r="P144" s="1339"/>
      <c r="Q144" s="1339"/>
      <c r="R144" s="877" t="str">
        <f>IF(K144=" "," ",'Data entry'!P60)</f>
        <v xml:space="preserve"> </v>
      </c>
      <c r="S144" s="877"/>
      <c r="T144" s="309" t="str">
        <f t="shared" si="44"/>
        <v xml:space="preserve"> </v>
      </c>
      <c r="U144" s="879" t="str">
        <f>IF(K144=" "," ",SUM('Data entry'!$Q$12-('Data entry'!L60+'Data entry'!N60)))</f>
        <v xml:space="preserve"> </v>
      </c>
      <c r="V144" s="879"/>
      <c r="W144" s="264" t="str">
        <f>IF('Data entry'!R60=0," ",'Data entry'!R60)</f>
        <v xml:space="preserve"> </v>
      </c>
      <c r="X144" s="1350" t="str">
        <f t="shared" si="45"/>
        <v xml:space="preserve"> </v>
      </c>
      <c r="Y144" s="1350"/>
      <c r="Z144" s="1350"/>
    </row>
    <row r="145" spans="3:26" ht="16.5" customHeight="1" x14ac:dyDescent="0.25">
      <c r="C145" s="1346" t="str">
        <f t="shared" si="41"/>
        <v xml:space="preserve"> </v>
      </c>
      <c r="D145" s="1346"/>
      <c r="E145" s="1346"/>
      <c r="F145" s="1346"/>
      <c r="G145" s="1346"/>
      <c r="H145" s="1346"/>
      <c r="I145" s="1346"/>
      <c r="J145" s="1346"/>
      <c r="K145" s="262" t="str">
        <f>IF('Data entry'!L61=0," ",'Data entry'!L61)</f>
        <v xml:space="preserve"> </v>
      </c>
      <c r="L145" s="1348" t="str">
        <f t="shared" si="42"/>
        <v xml:space="preserve"> </v>
      </c>
      <c r="M145" s="1348"/>
      <c r="N145" s="1339" t="str">
        <f t="shared" si="43"/>
        <v xml:space="preserve"> </v>
      </c>
      <c r="O145" s="1339"/>
      <c r="P145" s="1339"/>
      <c r="Q145" s="1339"/>
      <c r="R145" s="877" t="str">
        <f>IF(K145=" "," ",'Data entry'!P61)</f>
        <v xml:space="preserve"> </v>
      </c>
      <c r="S145" s="877"/>
      <c r="T145" s="309" t="str">
        <f t="shared" si="44"/>
        <v xml:space="preserve"> </v>
      </c>
      <c r="U145" s="879" t="str">
        <f>IF(K145=" "," ",SUM('Data entry'!$Q$12-('Data entry'!L61+'Data entry'!N61)))</f>
        <v xml:space="preserve"> </v>
      </c>
      <c r="V145" s="879"/>
      <c r="W145" s="264" t="str">
        <f>IF('Data entry'!R61=0," ",'Data entry'!R61)</f>
        <v xml:space="preserve"> </v>
      </c>
      <c r="X145" s="1350" t="str">
        <f t="shared" si="45"/>
        <v xml:space="preserve"> </v>
      </c>
      <c r="Y145" s="1350"/>
      <c r="Z145" s="1350"/>
    </row>
    <row r="146" spans="3:26" ht="16.5" customHeight="1" x14ac:dyDescent="0.25">
      <c r="C146" s="1346" t="str">
        <f t="shared" si="41"/>
        <v xml:space="preserve"> </v>
      </c>
      <c r="D146" s="1346"/>
      <c r="E146" s="1346"/>
      <c r="F146" s="1346"/>
      <c r="G146" s="1346"/>
      <c r="H146" s="1346"/>
      <c r="I146" s="1346"/>
      <c r="J146" s="1346"/>
      <c r="K146" s="262" t="str">
        <f>IF('Data entry'!L62=0," ",'Data entry'!L62)</f>
        <v xml:space="preserve"> </v>
      </c>
      <c r="L146" s="1348" t="str">
        <f t="shared" si="42"/>
        <v xml:space="preserve"> </v>
      </c>
      <c r="M146" s="1348"/>
      <c r="N146" s="1339" t="str">
        <f t="shared" si="43"/>
        <v xml:space="preserve"> </v>
      </c>
      <c r="O146" s="1339"/>
      <c r="P146" s="1339"/>
      <c r="Q146" s="1339"/>
      <c r="R146" s="877" t="str">
        <f>IF(K146=" "," ",'Data entry'!P62)</f>
        <v xml:space="preserve"> </v>
      </c>
      <c r="S146" s="877"/>
      <c r="T146" s="309" t="str">
        <f t="shared" si="44"/>
        <v xml:space="preserve"> </v>
      </c>
      <c r="U146" s="879" t="str">
        <f>IF(K146=" "," ",SUM('Data entry'!$Q$12-('Data entry'!L62+'Data entry'!N62)))</f>
        <v xml:space="preserve"> </v>
      </c>
      <c r="V146" s="879"/>
      <c r="W146" s="264" t="str">
        <f>IF('Data entry'!R62=0," ",'Data entry'!R62)</f>
        <v xml:space="preserve"> </v>
      </c>
      <c r="X146" s="1350" t="str">
        <f t="shared" si="45"/>
        <v xml:space="preserve"> </v>
      </c>
      <c r="Y146" s="1350"/>
      <c r="Z146" s="1350"/>
    </row>
    <row r="147" spans="3:26" ht="16.5" customHeight="1" x14ac:dyDescent="0.25">
      <c r="C147" s="1346" t="str">
        <f t="shared" si="41"/>
        <v>2x6 Cripple - notched for header</v>
      </c>
      <c r="D147" s="1346"/>
      <c r="E147" s="1346"/>
      <c r="F147" s="1346"/>
      <c r="G147" s="1346"/>
      <c r="H147" s="1346"/>
      <c r="I147" s="1346"/>
      <c r="J147" s="1346"/>
      <c r="K147" s="262">
        <f>IF('Data entry'!L63=0," ",'Data entry'!L63)</f>
        <v>30</v>
      </c>
      <c r="L147" s="1348" t="str">
        <f t="shared" si="42"/>
        <v>in. window</v>
      </c>
      <c r="M147" s="1348"/>
      <c r="N147" s="1339" t="str">
        <f t="shared" si="43"/>
        <v>2x6 drop offs</v>
      </c>
      <c r="O147" s="1339"/>
      <c r="P147" s="1339"/>
      <c r="Q147" s="1339"/>
      <c r="R147" s="877">
        <f>IF(K147=" "," ",'Data entry'!P63)</f>
        <v>1</v>
      </c>
      <c r="S147" s="877"/>
      <c r="T147" s="309" t="str">
        <f t="shared" si="44"/>
        <v>@</v>
      </c>
      <c r="U147" s="879">
        <f>IF(K147=" "," ",SUM('Data entry'!$Q$12-('Data entry'!L63+'Data entry'!N63)))</f>
        <v>83.5</v>
      </c>
      <c r="V147" s="879"/>
      <c r="W147" s="264" t="str">
        <f>IF('Data entry'!R63=0," ",'Data entry'!R63)</f>
        <v xml:space="preserve"> </v>
      </c>
      <c r="X147" s="1350" t="str">
        <f t="shared" si="45"/>
        <v xml:space="preserve"> </v>
      </c>
      <c r="Y147" s="1350"/>
      <c r="Z147" s="1350"/>
    </row>
    <row r="148" spans="3:26" ht="16.5" customHeight="1" x14ac:dyDescent="0.25">
      <c r="C148" s="1346" t="str">
        <f t="shared" si="41"/>
        <v>2x6 Cripple - notched for header</v>
      </c>
      <c r="D148" s="1346"/>
      <c r="E148" s="1346"/>
      <c r="F148" s="1346"/>
      <c r="G148" s="1346"/>
      <c r="H148" s="1346"/>
      <c r="I148" s="1346"/>
      <c r="J148" s="1346"/>
      <c r="K148" s="262">
        <f>IF('Data entry'!L64=0," ",'Data entry'!L64)</f>
        <v>42</v>
      </c>
      <c r="L148" s="1348" t="str">
        <f t="shared" si="42"/>
        <v>in. window</v>
      </c>
      <c r="M148" s="1348"/>
      <c r="N148" s="1339" t="str">
        <f t="shared" si="43"/>
        <v>2x6 drop offs</v>
      </c>
      <c r="O148" s="1339"/>
      <c r="P148" s="1339"/>
      <c r="Q148" s="1339"/>
      <c r="R148" s="877">
        <f>IF(K148=" "," ",'Data entry'!P64)</f>
        <v>2</v>
      </c>
      <c r="S148" s="877"/>
      <c r="T148" s="309" t="str">
        <f t="shared" si="44"/>
        <v>@</v>
      </c>
      <c r="U148" s="879">
        <f>IF(K148=" "," ",SUM('Data entry'!$Q$12-('Data entry'!L64+'Data entry'!N64)))</f>
        <v>83.5</v>
      </c>
      <c r="V148" s="879"/>
      <c r="W148" s="264" t="str">
        <f>IF('Data entry'!R64=0," ",'Data entry'!R64)</f>
        <v xml:space="preserve"> </v>
      </c>
      <c r="X148" s="1350" t="str">
        <f t="shared" si="45"/>
        <v xml:space="preserve"> </v>
      </c>
      <c r="Y148" s="1350"/>
      <c r="Z148" s="1350"/>
    </row>
    <row r="149" spans="3:26" ht="16.5" customHeight="1" x14ac:dyDescent="0.25">
      <c r="C149" s="1346" t="str">
        <f t="shared" si="41"/>
        <v>2x6 Cripple - notched for header</v>
      </c>
      <c r="D149" s="1346"/>
      <c r="E149" s="1346"/>
      <c r="F149" s="1346"/>
      <c r="G149" s="1346"/>
      <c r="H149" s="1346"/>
      <c r="I149" s="1346"/>
      <c r="J149" s="1346"/>
      <c r="K149" s="262">
        <f>IF('Data entry'!L65=0," ",'Data entry'!L65)</f>
        <v>42</v>
      </c>
      <c r="L149" s="1348" t="str">
        <f t="shared" si="42"/>
        <v>in. window</v>
      </c>
      <c r="M149" s="1348"/>
      <c r="N149" s="1339" t="str">
        <f t="shared" si="43"/>
        <v>2x6 drop offs</v>
      </c>
      <c r="O149" s="1339"/>
      <c r="P149" s="1339"/>
      <c r="Q149" s="1339"/>
      <c r="R149" s="877">
        <f>IF(K149=" "," ",'Data entry'!P65)</f>
        <v>2</v>
      </c>
      <c r="S149" s="877"/>
      <c r="T149" s="309" t="str">
        <f t="shared" si="44"/>
        <v>@</v>
      </c>
      <c r="U149" s="879">
        <f>IF(K149=" "," ",SUM('Data entry'!$Q$12-('Data entry'!L65+'Data entry'!N65)))</f>
        <v>83.5</v>
      </c>
      <c r="V149" s="879"/>
      <c r="W149" s="264" t="str">
        <f>IF('Data entry'!R65=0," ",'Data entry'!R65)</f>
        <v xml:space="preserve"> </v>
      </c>
      <c r="X149" s="1350" t="str">
        <f t="shared" si="45"/>
        <v xml:space="preserve"> </v>
      </c>
      <c r="Y149" s="1350"/>
      <c r="Z149" s="1350"/>
    </row>
    <row r="150" spans="3:26" ht="16.5" customHeight="1" x14ac:dyDescent="0.25">
      <c r="C150" s="1346" t="str">
        <f t="shared" si="41"/>
        <v>2x6 Cripple - notched for header</v>
      </c>
      <c r="D150" s="1346"/>
      <c r="E150" s="1346"/>
      <c r="F150" s="1346"/>
      <c r="G150" s="1346"/>
      <c r="H150" s="1346"/>
      <c r="I150" s="1346"/>
      <c r="J150" s="1346"/>
      <c r="K150" s="262">
        <f>IF('Data entry'!L66=0," ",'Data entry'!L66)</f>
        <v>36</v>
      </c>
      <c r="L150" s="1348" t="str">
        <f t="shared" si="42"/>
        <v>in. window</v>
      </c>
      <c r="M150" s="1348"/>
      <c r="N150" s="1339" t="str">
        <f t="shared" si="43"/>
        <v>2x6 drop offs</v>
      </c>
      <c r="O150" s="1339"/>
      <c r="P150" s="1339"/>
      <c r="Q150" s="1339"/>
      <c r="R150" s="877">
        <f>IF(K150=" "," ",'Data entry'!P66)</f>
        <v>1</v>
      </c>
      <c r="S150" s="877"/>
      <c r="T150" s="309" t="str">
        <f t="shared" si="44"/>
        <v>@</v>
      </c>
      <c r="U150" s="879">
        <f>IF(K150=" "," ",SUM('Data entry'!$Q$12-('Data entry'!L66+'Data entry'!N66)))</f>
        <v>83.5</v>
      </c>
      <c r="V150" s="879"/>
      <c r="W150" s="264" t="str">
        <f>IF('Data entry'!R66=0," ",'Data entry'!R66)</f>
        <v xml:space="preserve"> </v>
      </c>
      <c r="X150" s="1350" t="str">
        <f t="shared" si="45"/>
        <v xml:space="preserve"> </v>
      </c>
      <c r="Y150" s="1350"/>
      <c r="Z150" s="1350"/>
    </row>
    <row r="151" spans="3:26" ht="16.5" customHeight="1" x14ac:dyDescent="0.25">
      <c r="C151" s="1346" t="str">
        <f t="shared" si="41"/>
        <v xml:space="preserve"> </v>
      </c>
      <c r="D151" s="1346"/>
      <c r="E151" s="1346"/>
      <c r="F151" s="1346"/>
      <c r="G151" s="1346"/>
      <c r="H151" s="1346"/>
      <c r="I151" s="1346"/>
      <c r="J151" s="1346"/>
      <c r="K151" s="262" t="str">
        <f>IF('Data entry'!L67=0," ",'Data entry'!L67)</f>
        <v xml:space="preserve"> </v>
      </c>
      <c r="L151" s="1348" t="str">
        <f t="shared" si="42"/>
        <v xml:space="preserve"> </v>
      </c>
      <c r="M151" s="1348"/>
      <c r="N151" s="1339" t="str">
        <f t="shared" si="43"/>
        <v xml:space="preserve"> </v>
      </c>
      <c r="O151" s="1339"/>
      <c r="P151" s="1339"/>
      <c r="Q151" s="1339"/>
      <c r="R151" s="877" t="str">
        <f>IF(K151=" "," ",'Data entry'!P67)</f>
        <v xml:space="preserve"> </v>
      </c>
      <c r="S151" s="877"/>
      <c r="T151" s="309" t="str">
        <f t="shared" si="44"/>
        <v xml:space="preserve"> </v>
      </c>
      <c r="U151" s="879" t="str">
        <f>IF(K151=" "," ",SUM('Data entry'!$Q$12-('Data entry'!L67+'Data entry'!N67)))</f>
        <v xml:space="preserve"> </v>
      </c>
      <c r="V151" s="879"/>
      <c r="W151" s="264" t="str">
        <f>IF('Data entry'!R67=0," ",'Data entry'!R67)</f>
        <v xml:space="preserve"> </v>
      </c>
      <c r="X151" s="1350" t="str">
        <f t="shared" si="45"/>
        <v xml:space="preserve"> </v>
      </c>
      <c r="Y151" s="1350"/>
      <c r="Z151" s="1350"/>
    </row>
    <row r="152" spans="3:26" ht="16.5" customHeight="1" x14ac:dyDescent="0.2"/>
    <row r="153" spans="3:26" ht="24" customHeight="1" x14ac:dyDescent="0.4">
      <c r="J153" s="1345" t="s">
        <v>310</v>
      </c>
      <c r="K153" s="1345"/>
      <c r="L153" s="1345"/>
      <c r="M153" s="1345"/>
      <c r="N153" s="1345"/>
      <c r="O153" s="1345"/>
      <c r="P153" s="1345"/>
      <c r="Q153" s="1345"/>
      <c r="R153" s="1345"/>
      <c r="S153" s="1345"/>
    </row>
    <row r="154" spans="3:26" ht="16.5" customHeight="1" x14ac:dyDescent="0.2"/>
    <row r="155" spans="3:26" ht="16.5" customHeight="1" x14ac:dyDescent="0.25">
      <c r="C155" s="1346" t="str">
        <f>IF('Data entry'!Q12&gt;91.5,"2X4 Blocking    (for walls taller than 8')"," ")</f>
        <v>2X4 Blocking    (for walls taller than 8')</v>
      </c>
      <c r="D155" s="1346"/>
      <c r="E155" s="1346"/>
      <c r="F155" s="1346"/>
      <c r="G155" s="1346"/>
      <c r="H155" s="1346"/>
      <c r="I155" s="1346"/>
      <c r="J155" s="1346"/>
      <c r="K155" s="1339" t="str">
        <f>IF('Data entry'!Q12&gt;91.5,"2x4x8' "," ")</f>
        <v xml:space="preserve">2x4x8' </v>
      </c>
      <c r="L155" s="1339"/>
      <c r="M155" s="1339"/>
      <c r="N155" s="1339"/>
      <c r="O155" s="1339"/>
      <c r="P155" s="1340">
        <f>IF('Data entry'!Q12&gt;91.5,'Data entry'!AB68," ")</f>
        <v>42</v>
      </c>
      <c r="Q155" s="1340"/>
      <c r="R155" s="1340"/>
      <c r="S155" s="309" t="str">
        <f>IF(K155=" "," ","@")</f>
        <v>@</v>
      </c>
      <c r="T155" s="1341" t="str">
        <f>IF('Data entry'!Q12&gt;91.5,"23in. square - rough cut"," ")</f>
        <v>23in. square - rough cut</v>
      </c>
      <c r="U155" s="1341"/>
      <c r="V155" s="1341"/>
      <c r="W155" s="1341"/>
      <c r="X155" s="1341"/>
      <c r="Y155" s="1341"/>
      <c r="Z155" s="1341"/>
    </row>
    <row r="156" spans="3:26" ht="16.5" customHeight="1" x14ac:dyDescent="0.25">
      <c r="C156" s="1346" t="e">
        <f>IF(P156=" "," ","2x12 blocking    (for addition walls)")</f>
        <v>#REF!</v>
      </c>
      <c r="D156" s="1346"/>
      <c r="E156" s="1346"/>
      <c r="F156" s="1346"/>
      <c r="G156" s="1346"/>
      <c r="H156" s="1346"/>
      <c r="I156" s="1346"/>
      <c r="J156" s="1346"/>
      <c r="K156" s="1339" t="e">
        <f>IF(P156=" "," ","2x12x 4' increments")</f>
        <v>#REF!</v>
      </c>
      <c r="L156" s="1339"/>
      <c r="M156" s="1339"/>
      <c r="N156" s="1339"/>
      <c r="O156" s="1339"/>
      <c r="P156" s="1340" t="e">
        <f>SUM('Data entry'!#REF!,'Data entry'!#REF!,'Data entry'!#REF!,'Data entry'!#REF!)</f>
        <v>#REF!</v>
      </c>
      <c r="Q156" s="1340"/>
      <c r="R156" s="1340"/>
      <c r="S156" s="309" t="e">
        <f>IF(K156=" "," ","@")</f>
        <v>#REF!</v>
      </c>
      <c r="T156" s="1341" t="e">
        <f>IF(P156=" "," ","45in.  square - rough cut")</f>
        <v>#REF!</v>
      </c>
      <c r="U156" s="1341"/>
      <c r="V156" s="1341"/>
      <c r="W156" s="1341"/>
      <c r="X156" s="1341"/>
      <c r="Y156" s="1341"/>
      <c r="Z156" s="1341"/>
    </row>
    <row r="157" spans="3:26" ht="16.5" customHeight="1" x14ac:dyDescent="0.2"/>
    <row r="158" spans="3:26" ht="27" customHeight="1" x14ac:dyDescent="0.4">
      <c r="J158" s="1345" t="s">
        <v>311</v>
      </c>
      <c r="K158" s="1345"/>
      <c r="L158" s="1345"/>
      <c r="M158" s="1345"/>
      <c r="N158" s="1345"/>
      <c r="O158" s="1345"/>
      <c r="P158" s="1345"/>
      <c r="Q158" s="1345"/>
      <c r="R158" s="1345"/>
      <c r="S158" s="1345"/>
    </row>
    <row r="159" spans="3:26" ht="16.5" customHeight="1" x14ac:dyDescent="0.2"/>
    <row r="160" spans="3:26" ht="16.5" customHeight="1" x14ac:dyDescent="0.25">
      <c r="C160" s="1346" t="str">
        <f>IF(P160=" "," ","Plywood -    94 1/2in. long")</f>
        <v xml:space="preserve"> </v>
      </c>
      <c r="D160" s="1346"/>
      <c r="E160" s="1346"/>
      <c r="F160" s="1346"/>
      <c r="G160" s="1346"/>
      <c r="H160" s="1346"/>
      <c r="I160" s="1346"/>
      <c r="J160" s="1346"/>
      <c r="K160" s="1339" t="str">
        <f>IF(P160=" "," ","4x8 sheet")</f>
        <v xml:space="preserve"> </v>
      </c>
      <c r="L160" s="1339"/>
      <c r="M160" s="1339"/>
      <c r="N160" s="1339"/>
      <c r="O160" s="1339"/>
      <c r="P160" s="1340" t="str">
        <f>IF('Data entry'!Q12&gt;92," ",SUM('Data entry'!Q35-('Data entry'!Q33+'Data entry'!Q34)))</f>
        <v xml:space="preserve"> </v>
      </c>
      <c r="Q160" s="1340"/>
      <c r="R160" s="1340"/>
      <c r="S160" s="309" t="str">
        <f t="shared" ref="S160:S166" si="46">IF(K160=" "," ","@")</f>
        <v xml:space="preserve"> </v>
      </c>
      <c r="T160" s="1347" t="str">
        <f>IF(P160=" "," ",94.5)</f>
        <v xml:space="preserve"> </v>
      </c>
      <c r="U160" s="1347"/>
      <c r="V160" s="1348" t="str">
        <f>IF('Data entry'!Q12&gt;92," ",IF(K6&lt;21,"  x 47 5/8in.",IF(K6&gt;21,"  x 47 3/4in.")))</f>
        <v xml:space="preserve"> </v>
      </c>
      <c r="W160" s="1348"/>
      <c r="X160" s="1348"/>
      <c r="Y160" s="1348"/>
      <c r="Z160" s="1348"/>
    </row>
    <row r="161" spans="3:26" ht="16.5" customHeight="1" x14ac:dyDescent="0.25">
      <c r="C161" s="1346" t="str">
        <f>IF(P161=" "," ","Plywood -    Full length")</f>
        <v>Plywood -    Full length</v>
      </c>
      <c r="D161" s="1346"/>
      <c r="E161" s="1346"/>
      <c r="F161" s="1346"/>
      <c r="G161" s="1346"/>
      <c r="H161" s="1346"/>
      <c r="I161" s="1346"/>
      <c r="J161" s="1346"/>
      <c r="K161" s="1339" t="str">
        <f>IF(P161=" "," ","4x8 sheet")</f>
        <v>4x8 sheet</v>
      </c>
      <c r="L161" s="1339"/>
      <c r="M161" s="1339"/>
      <c r="N161" s="1339"/>
      <c r="O161" s="1339"/>
      <c r="P161" s="1340">
        <f>IF('Data entry'!Q12&lt;92," ",SUM('Data entry'!Q35-('Data entry'!Q33+'Data entry'!Q34)))</f>
        <v>22</v>
      </c>
      <c r="Q161" s="1340"/>
      <c r="R161" s="1340"/>
      <c r="S161" s="309" t="str">
        <f t="shared" si="46"/>
        <v>@</v>
      </c>
      <c r="T161" s="1347">
        <f>IF(P161=" "," ",96)</f>
        <v>96</v>
      </c>
      <c r="U161" s="1347"/>
      <c r="V161" s="1348" t="str">
        <f>IF('Data entry'!$Q$12&lt;92," ",IF(K6&lt;21,"  x 47 5/8in.",IF(K6&gt;21,"  x 47 3/4in.")))</f>
        <v xml:space="preserve">  x 47 3/4in.</v>
      </c>
      <c r="W161" s="1348"/>
      <c r="X161" s="1348"/>
      <c r="Y161" s="1348"/>
      <c r="Z161" s="1348"/>
    </row>
    <row r="162" spans="3:26" ht="16.5" customHeight="1" x14ac:dyDescent="0.25">
      <c r="C162" s="1338" t="str">
        <f>IF(P162=" "," ","Plywood -     in addition to full sheet - (Taller then 8' walls)")</f>
        <v>Plywood -     in addition to full sheet - (Taller then 8' walls)</v>
      </c>
      <c r="D162" s="1338"/>
      <c r="E162" s="1338"/>
      <c r="F162" s="1338"/>
      <c r="G162" s="1338"/>
      <c r="H162" s="1338"/>
      <c r="I162" s="1338"/>
      <c r="J162" s="1338"/>
      <c r="K162" s="1339" t="str">
        <f>IF(P162=" "," ","4x8 sheet")</f>
        <v>4x8 sheet</v>
      </c>
      <c r="L162" s="1339"/>
      <c r="M162" s="1339"/>
      <c r="N162" s="1339"/>
      <c r="O162" s="1339"/>
      <c r="P162" s="1340">
        <f>IF('Data entry'!Q12&lt;92," ",SUM('Data entry'!Q35-('Data entry'!Q33+'Data entry'!Q34)))</f>
        <v>22</v>
      </c>
      <c r="Q162" s="1340"/>
      <c r="R162" s="1340"/>
      <c r="S162" s="309" t="str">
        <f t="shared" si="46"/>
        <v>@</v>
      </c>
      <c r="T162" s="1347">
        <f>SUM('Data entry'!Q12-93)</f>
        <v>70.5</v>
      </c>
      <c r="U162" s="1347"/>
      <c r="V162" s="1348" t="str">
        <f>IF('Data entry'!$Q$12&lt;92," ",IF(K6&lt;21,"  x 47 5/8in.",IF(K6&gt;21,"  x 47 3/4in.")))</f>
        <v xml:space="preserve">  x 47 3/4in.</v>
      </c>
      <c r="W162" s="1348"/>
      <c r="X162" s="1348"/>
      <c r="Y162" s="1348"/>
      <c r="Z162" s="1348"/>
    </row>
    <row r="163" spans="3:26" ht="16.5" customHeight="1" x14ac:dyDescent="0.25">
      <c r="C163" s="1346" t="str">
        <f>IF(P163=" "," ","Plywood -    (Door walls)")</f>
        <v>Plywood -    (Door walls)</v>
      </c>
      <c r="D163" s="1346"/>
      <c r="E163" s="1346"/>
      <c r="F163" s="1346"/>
      <c r="G163" s="1346"/>
      <c r="H163" s="1346"/>
      <c r="I163" s="1346"/>
      <c r="J163" s="1346"/>
      <c r="K163" s="1339" t="str">
        <f>IF(P163=" "," ","4x8 sheet")</f>
        <v>4x8 sheet</v>
      </c>
      <c r="L163" s="1339"/>
      <c r="M163" s="1339"/>
      <c r="N163" s="1339"/>
      <c r="O163" s="1339"/>
      <c r="P163" s="1340">
        <f>IF('Data entry'!Q12&gt;91,SUM(('Data entry'!Q33))," ")</f>
        <v>1</v>
      </c>
      <c r="Q163" s="1340"/>
      <c r="R163" s="1340"/>
      <c r="S163" s="309" t="str">
        <f t="shared" si="46"/>
        <v>@</v>
      </c>
      <c r="T163" s="1347">
        <f>SUM('Data entry'!Q12-80)</f>
        <v>83.5</v>
      </c>
      <c r="U163" s="1347"/>
      <c r="V163" s="1348" t="str">
        <f>IF('Data entry'!$Q$12&lt;92," ",IF(K6&lt;21,"  x 47 5/8in.",IF(K6&gt;21,"  x 47 3/4in.")))</f>
        <v xml:space="preserve">  x 47 3/4in.</v>
      </c>
      <c r="W163" s="1348"/>
      <c r="X163" s="1348"/>
      <c r="Y163" s="1348"/>
      <c r="Z163" s="1348"/>
    </row>
    <row r="164" spans="3:26" ht="16.5" customHeight="1" x14ac:dyDescent="0.25">
      <c r="C164" s="1346" t="str">
        <f>IF(P164=" "," ","Plywood  -   Door edges - (3'0 door)")</f>
        <v>Plywood  -   Door edges - (3'0 door)</v>
      </c>
      <c r="D164" s="1346"/>
      <c r="E164" s="1346"/>
      <c r="F164" s="1346"/>
      <c r="G164" s="1346"/>
      <c r="H164" s="1346"/>
      <c r="I164" s="1346"/>
      <c r="J164" s="1346"/>
      <c r="K164" s="1339" t="str">
        <f>IF(P164=" "," ","plywood scraps")</f>
        <v>plywood scraps</v>
      </c>
      <c r="L164" s="1339"/>
      <c r="M164" s="1339"/>
      <c r="N164" s="1339"/>
      <c r="O164" s="1339"/>
      <c r="P164" s="1340">
        <f>IF('Data entry'!Q33&gt;0,'Data entry'!Q33," ")</f>
        <v>1</v>
      </c>
      <c r="Q164" s="1340"/>
      <c r="R164" s="1340"/>
      <c r="S164" s="309" t="str">
        <f t="shared" si="46"/>
        <v>@</v>
      </c>
      <c r="T164" s="1349" t="str">
        <f>IF(P164=" "," ","4  7/8in.x 82 7/8in.")</f>
        <v>4  7/8in.x 82 7/8in.</v>
      </c>
      <c r="U164" s="1349"/>
      <c r="V164" s="1349"/>
      <c r="W164" s="1349"/>
      <c r="X164" s="1349"/>
      <c r="Y164" s="1349"/>
      <c r="Z164" s="1349"/>
    </row>
    <row r="165" spans="3:26" ht="16.5" customHeight="1" x14ac:dyDescent="0.25">
      <c r="C165" s="1346" t="str">
        <f>IF(P165=" "," ","Plywood -    (French door short wall)")</f>
        <v>Plywood -    (French door short wall)</v>
      </c>
      <c r="D165" s="1346"/>
      <c r="E165" s="1346"/>
      <c r="F165" s="1346"/>
      <c r="G165" s="1346"/>
      <c r="H165" s="1346"/>
      <c r="I165" s="1346"/>
      <c r="J165" s="1346"/>
      <c r="K165" s="1339" t="str">
        <f>IF(P165=" "," ","plywood scraps")</f>
        <v>plywood scraps</v>
      </c>
      <c r="L165" s="1339"/>
      <c r="M165" s="1339"/>
      <c r="N165" s="1339"/>
      <c r="O165" s="1339"/>
      <c r="P165" s="1340">
        <f>IF('Data entry'!Q34&gt;0,'Data entry'!Q34," ")</f>
        <v>1</v>
      </c>
      <c r="Q165" s="1340"/>
      <c r="R165" s="1340"/>
      <c r="S165" s="309" t="str">
        <f t="shared" si="46"/>
        <v>@</v>
      </c>
      <c r="T165" s="1347">
        <f>SUM('Data entry'!Q12-81.5)</f>
        <v>82</v>
      </c>
      <c r="U165" s="1347"/>
      <c r="V165" s="1348" t="s">
        <v>312</v>
      </c>
      <c r="W165" s="1348"/>
      <c r="X165" s="1348"/>
      <c r="Y165" s="1348"/>
      <c r="Z165" s="1348"/>
    </row>
    <row r="166" spans="3:26" ht="16.5" customHeight="1" x14ac:dyDescent="0.25">
      <c r="C166" s="1346" t="str">
        <f>IF(P166=" "," ","Plywood -    (French door jack stud)")</f>
        <v>Plywood -    (French door jack stud)</v>
      </c>
      <c r="D166" s="1346"/>
      <c r="E166" s="1346"/>
      <c r="F166" s="1346"/>
      <c r="G166" s="1346"/>
      <c r="H166" s="1346"/>
      <c r="I166" s="1346"/>
      <c r="J166" s="1346"/>
      <c r="K166" s="1339" t="str">
        <f>IF(P166=" "," ","plywood scraps")</f>
        <v>plywood scraps</v>
      </c>
      <c r="L166" s="1339"/>
      <c r="M166" s="1339"/>
      <c r="N166" s="1339"/>
      <c r="O166" s="1339"/>
      <c r="P166" s="1340">
        <f>IF('Data entry'!Q34=" "," ",'Data entry'!Q34*2)</f>
        <v>2</v>
      </c>
      <c r="Q166" s="1340"/>
      <c r="R166" s="1340"/>
      <c r="S166" s="309" t="str">
        <f t="shared" si="46"/>
        <v>@</v>
      </c>
      <c r="T166" s="1349" t="str">
        <f>IF(P166=" "," ","1 1/2in x 83 1/2in")</f>
        <v>1 1/2in x 83 1/2in</v>
      </c>
      <c r="U166" s="1349"/>
      <c r="V166" s="1349"/>
      <c r="W166" s="1349"/>
      <c r="X166" s="1349"/>
      <c r="Y166" s="1349"/>
      <c r="Z166" s="1349"/>
    </row>
    <row r="167" spans="3:26" ht="16.5" customHeight="1" x14ac:dyDescent="0.25">
      <c r="H167" s="1344" t="s">
        <v>313</v>
      </c>
      <c r="I167" s="1344"/>
      <c r="J167" s="1344"/>
      <c r="K167" s="1344"/>
      <c r="L167" s="1344"/>
      <c r="M167" s="1344"/>
      <c r="N167" s="1344"/>
      <c r="O167" s="1344"/>
      <c r="P167" s="1344"/>
      <c r="Q167" s="1344"/>
      <c r="R167" s="1344"/>
      <c r="S167" s="1344"/>
      <c r="T167" s="1344"/>
      <c r="U167" s="1344"/>
      <c r="V167" s="1344"/>
      <c r="W167" s="1344"/>
      <c r="X167" s="1344"/>
      <c r="Y167" s="1344"/>
    </row>
    <row r="168" spans="3:26" ht="16.5" customHeight="1" x14ac:dyDescent="0.2"/>
    <row r="169" spans="3:26" ht="24.75" customHeight="1" x14ac:dyDescent="0.4">
      <c r="J169" s="1345" t="s">
        <v>314</v>
      </c>
      <c r="K169" s="1345"/>
      <c r="L169" s="1345"/>
      <c r="M169" s="1345"/>
      <c r="N169" s="1345"/>
      <c r="O169" s="1345"/>
      <c r="P169" s="1345"/>
      <c r="Q169" s="1345"/>
      <c r="R169" s="1345"/>
      <c r="S169" s="1345"/>
    </row>
    <row r="170" spans="3:26" ht="16.5" customHeight="1" x14ac:dyDescent="0.2"/>
    <row r="171" spans="3:26" ht="16.5" customHeight="1" x14ac:dyDescent="0.3">
      <c r="C171" s="1342" t="str">
        <f>IF(P171=" "," ","Short Wall Studs (square cut)")</f>
        <v>Short Wall Studs (square cut)</v>
      </c>
      <c r="D171" s="1342"/>
      <c r="E171" s="1342"/>
      <c r="F171" s="1342"/>
      <c r="G171" s="1342"/>
      <c r="H171" s="1342"/>
      <c r="I171" s="1342"/>
      <c r="J171" s="1342"/>
      <c r="K171" s="1339" t="str">
        <f>IF(P171=" "," ","Misc. 2x6  ")</f>
        <v xml:space="preserve">Misc. 2x6  </v>
      </c>
      <c r="L171" s="1339"/>
      <c r="M171" s="1339"/>
      <c r="N171" s="1339"/>
      <c r="O171" s="1339"/>
      <c r="P171" s="313">
        <f>IF('Data entry'!Q34=" "," ",SUM('Data entry'!Q34*3))</f>
        <v>3</v>
      </c>
      <c r="Q171" s="309" t="str">
        <f>IF(P171=" "," ","@")</f>
        <v>@</v>
      </c>
      <c r="R171" s="1343">
        <f>IF(P171=" "," ",SUM(('Data entry'!Q12-82)-('Data entry'!S22-0.75)-1.625))</f>
        <v>68.625</v>
      </c>
      <c r="S171" s="1343"/>
      <c r="T171" s="1339" t="str">
        <f>IF(P171=" "," ","Stud length - header height- 83 1/2")</f>
        <v>Stud length - header height- 83 1/2</v>
      </c>
      <c r="U171" s="1339"/>
      <c r="V171" s="1339"/>
      <c r="W171" s="1339"/>
      <c r="X171" s="1339"/>
      <c r="Y171" s="1339"/>
      <c r="Z171" s="1339"/>
    </row>
    <row r="172" spans="3:26" ht="16.5" customHeight="1" x14ac:dyDescent="0.3">
      <c r="C172" s="1342" t="str">
        <f>IF(P172=" "," ","Short Wall Corner Studs (cut from Corner stud(s)")</f>
        <v>Short Wall Corner Studs (cut from Corner stud(s)</v>
      </c>
      <c r="D172" s="1342"/>
      <c r="E172" s="1342"/>
      <c r="F172" s="1342"/>
      <c r="G172" s="1342"/>
      <c r="H172" s="1342"/>
      <c r="I172" s="1342"/>
      <c r="J172" s="1342"/>
      <c r="K172" s="1339" t="str">
        <f>IF(P172=" "," ","Normal Corner Stud(s)")</f>
        <v>Normal Corner Stud(s)</v>
      </c>
      <c r="L172" s="1339"/>
      <c r="M172" s="1339"/>
      <c r="N172" s="1339"/>
      <c r="O172" s="1339"/>
      <c r="P172" s="313">
        <f>IF('Data entry'!Q34=" "," ",SUM('Data entry'!Q34*4))</f>
        <v>4</v>
      </c>
      <c r="Q172" s="309" t="str">
        <f>IF(P172=" "," ","@")</f>
        <v>@</v>
      </c>
      <c r="R172" s="1343">
        <f>IF(P172=" "," ",SUM(('Data entry'!Q12-82)-('Data entry'!S22-0.75)-1.625))</f>
        <v>68.625</v>
      </c>
      <c r="S172" s="1343"/>
      <c r="T172" s="1339" t="str">
        <f>IF(P172=" "," ","Stud length - header height- 83 ½")</f>
        <v>Stud length - header height- 83 ½</v>
      </c>
      <c r="U172" s="1339"/>
      <c r="V172" s="1339"/>
      <c r="W172" s="1339"/>
      <c r="X172" s="1339"/>
      <c r="Y172" s="1339"/>
      <c r="Z172" s="1339"/>
    </row>
    <row r="173" spans="3:26" ht="16.5" customHeight="1" x14ac:dyDescent="0.25">
      <c r="C173" s="1338" t="str">
        <f>IF(P173=" "," ","Short Plate -  (use appropriate yurt size FD template)")</f>
        <v>Short Plate -  (use appropriate yurt size FD template)</v>
      </c>
      <c r="D173" s="1338"/>
      <c r="E173" s="1338"/>
      <c r="F173" s="1338"/>
      <c r="G173" s="1338"/>
      <c r="H173" s="1338"/>
      <c r="I173" s="1338"/>
      <c r="J173" s="1338"/>
      <c r="K173" s="1339" t="str">
        <f>IF(P173=" "," ","Cut 2 from one standard Plate")</f>
        <v>Cut 2 from one standard Plate</v>
      </c>
      <c r="L173" s="1339"/>
      <c r="M173" s="1339"/>
      <c r="N173" s="1339"/>
      <c r="O173" s="1339"/>
      <c r="P173" s="1340">
        <f>IF('Data entry'!Q34=" "," ",SUM('Data entry'!Q34*2))</f>
        <v>2</v>
      </c>
      <c r="Q173" s="1340"/>
      <c r="R173" s="1340"/>
      <c r="S173" s="309" t="str">
        <f>IF(P173=" "," ","@")</f>
        <v>@</v>
      </c>
      <c r="T173" s="1341" t="str">
        <f>IF(P173=" "," ","Cut to template size &amp; angle(s)")</f>
        <v>Cut to template size &amp; angle(s)</v>
      </c>
      <c r="U173" s="1341"/>
      <c r="V173" s="1341"/>
      <c r="W173" s="1341"/>
      <c r="X173" s="1341"/>
      <c r="Y173" s="1341"/>
      <c r="Z173" s="1341"/>
    </row>
    <row r="174" spans="3:26" ht="16.5" customHeight="1" x14ac:dyDescent="0.25">
      <c r="C174" s="1338" t="str">
        <f>IF(P174=" "," ","Sills &amp; Lintels  (French Doors side windows")</f>
        <v xml:space="preserve"> </v>
      </c>
      <c r="D174" s="1338"/>
      <c r="E174" s="1338"/>
      <c r="F174" s="1338"/>
      <c r="G174" s="1338"/>
      <c r="H174" s="1338"/>
      <c r="I174" s="1338"/>
      <c r="J174" s="1338"/>
      <c r="K174" s="1339" t="str">
        <f>IF(P174=" "," ","Misc. 2x6  ")</f>
        <v xml:space="preserve"> </v>
      </c>
      <c r="L174" s="1339"/>
      <c r="M174" s="1339"/>
      <c r="N174" s="1339"/>
      <c r="O174" s="1339"/>
      <c r="P174" s="1340" t="str">
        <f>IF('Data entry'!N101="yes",4*'Data entry'!N98," ")</f>
        <v xml:space="preserve"> </v>
      </c>
      <c r="Q174" s="1340"/>
      <c r="R174" s="1340"/>
      <c r="S174" s="309" t="str">
        <f>IF(P174=" "," ","@")</f>
        <v xml:space="preserve"> </v>
      </c>
      <c r="T174" s="1341" t="str">
        <f>IF(P174=" "," ","18in")</f>
        <v xml:space="preserve"> </v>
      </c>
      <c r="U174" s="1341"/>
      <c r="V174" s="1341"/>
      <c r="W174" s="1341"/>
      <c r="X174" s="1341"/>
      <c r="Y174" s="1341"/>
      <c r="Z174" s="1341"/>
    </row>
    <row r="175" spans="3:26" ht="16.5" customHeight="1" x14ac:dyDescent="0.25">
      <c r="C175" s="1338" t="str">
        <f>IF(P175=" "," ","Sills &amp; Lintels (French Doors side windows)")</f>
        <v xml:space="preserve"> </v>
      </c>
      <c r="D175" s="1338"/>
      <c r="E175" s="1338"/>
      <c r="F175" s="1338"/>
      <c r="G175" s="1338"/>
      <c r="H175" s="1338"/>
      <c r="I175" s="1338"/>
      <c r="J175" s="1338"/>
      <c r="K175" s="1339" t="str">
        <f>IF(P175=" "," ","Misc. 2x6  ")</f>
        <v xml:space="preserve"> </v>
      </c>
      <c r="L175" s="1339"/>
      <c r="M175" s="1339"/>
      <c r="N175" s="1339"/>
      <c r="O175" s="1339"/>
      <c r="P175" s="1340" t="str">
        <f>IF('Data entry'!V101="yes",'Data entry'!V98*4," ")</f>
        <v xml:space="preserve"> </v>
      </c>
      <c r="Q175" s="1340"/>
      <c r="R175" s="1340"/>
      <c r="S175" s="309" t="str">
        <f>IF(P175=" "," ","@")</f>
        <v xml:space="preserve"> </v>
      </c>
      <c r="T175" s="1341" t="str">
        <f>IF(P175=" "," ","24in")</f>
        <v xml:space="preserve"> </v>
      </c>
      <c r="U175" s="1341"/>
      <c r="V175" s="1341"/>
      <c r="W175" s="1341"/>
      <c r="X175" s="1341"/>
      <c r="Y175" s="1341"/>
      <c r="Z175" s="1341"/>
    </row>
    <row r="176" spans="3:26" ht="16.5" customHeight="1" x14ac:dyDescent="0.25">
      <c r="C176" s="1338" t="str">
        <f>IF(P176=" "," ","Plywood -    5'0 French door header")</f>
        <v xml:space="preserve"> </v>
      </c>
      <c r="D176" s="1338"/>
      <c r="E176" s="1338"/>
      <c r="F176" s="1338"/>
      <c r="G176" s="1338"/>
      <c r="H176" s="1338"/>
      <c r="I176" s="1338"/>
      <c r="J176" s="1338"/>
      <c r="K176" s="1339" t="str">
        <f>IF(P176=" "," ","Header ht. x66in from scraps")</f>
        <v xml:space="preserve"> </v>
      </c>
      <c r="L176" s="1339"/>
      <c r="M176" s="1339"/>
      <c r="N176" s="1339"/>
      <c r="O176" s="1339"/>
      <c r="P176" s="1340" t="str">
        <f>IF('Data entry'!N98=0," ",'Data entry'!N98)</f>
        <v xml:space="preserve"> </v>
      </c>
      <c r="Q176" s="1340"/>
      <c r="R176" s="1340"/>
      <c r="S176" s="309" t="str">
        <f>IF(K176=" "," ","@")</f>
        <v xml:space="preserve"> </v>
      </c>
      <c r="T176" s="1341" t="str">
        <f>IF(P176=" "," ","Min. 78in - add to rafter pallet")</f>
        <v xml:space="preserve"> </v>
      </c>
      <c r="U176" s="1341"/>
      <c r="V176" s="1341"/>
      <c r="W176" s="1341"/>
      <c r="X176" s="1341"/>
      <c r="Y176" s="1341"/>
      <c r="Z176" s="1341"/>
    </row>
    <row r="177" spans="3:26" ht="16.5" customHeight="1" x14ac:dyDescent="0.25">
      <c r="C177" s="1338" t="str">
        <f>IF(P177=" "," ","Plywood -    6'0 French door header")</f>
        <v>Plywood -    6'0 French door header</v>
      </c>
      <c r="D177" s="1338"/>
      <c r="E177" s="1338"/>
      <c r="F177" s="1338"/>
      <c r="G177" s="1338"/>
      <c r="H177" s="1338"/>
      <c r="I177" s="1338"/>
      <c r="J177" s="1338"/>
      <c r="K177" s="1339" t="str">
        <f>IF(P177=" "," ","Header ht. x78in from scraps")</f>
        <v>Header ht. x78in from scraps</v>
      </c>
      <c r="L177" s="1339"/>
      <c r="M177" s="1339"/>
      <c r="N177" s="1339"/>
      <c r="O177" s="1339"/>
      <c r="P177" s="1340">
        <f>IF('Data entry'!V98=0," ",'Data entry'!V98)</f>
        <v>1</v>
      </c>
      <c r="Q177" s="1340"/>
      <c r="R177" s="1340"/>
      <c r="S177" s="309" t="str">
        <f>IF(P177=" "," ","@")</f>
        <v>@</v>
      </c>
      <c r="T177" s="1341" t="str">
        <f>IF(P177=" "," ","Min. 66in - add to rafter pallet")</f>
        <v>Min. 66in - add to rafter pallet</v>
      </c>
      <c r="U177" s="1341"/>
      <c r="V177" s="1341"/>
      <c r="W177" s="1341"/>
      <c r="X177" s="1341"/>
      <c r="Y177" s="1341"/>
      <c r="Z177" s="1341"/>
    </row>
    <row r="178" spans="3:26" ht="15.75" customHeight="1" x14ac:dyDescent="0.2"/>
    <row r="179" spans="3:26" x14ac:dyDescent="0.2">
      <c r="T179" s="340"/>
    </row>
  </sheetData>
  <sheetProtection selectLockedCells="1" selectUnlockedCells="1"/>
  <mergeCells count="689">
    <mergeCell ref="H9:P9"/>
    <mergeCell ref="Q9:T9"/>
    <mergeCell ref="C12:K12"/>
    <mergeCell ref="L12:O12"/>
    <mergeCell ref="P12:S12"/>
    <mergeCell ref="U12:AB12"/>
    <mergeCell ref="K2:U2"/>
    <mergeCell ref="H4:L4"/>
    <mergeCell ref="M4:T4"/>
    <mergeCell ref="H6:J6"/>
    <mergeCell ref="M6:P6"/>
    <mergeCell ref="H8:P8"/>
    <mergeCell ref="C13:K13"/>
    <mergeCell ref="L13:O13"/>
    <mergeCell ref="P13:S13"/>
    <mergeCell ref="U13:AB13"/>
    <mergeCell ref="AY13:BR13"/>
    <mergeCell ref="C14:K14"/>
    <mergeCell ref="L14:O14"/>
    <mergeCell ref="P14:S14"/>
    <mergeCell ref="U14:AB14"/>
    <mergeCell ref="C17:K17"/>
    <mergeCell ref="L17:O17"/>
    <mergeCell ref="P17:S17"/>
    <mergeCell ref="U17:AB17"/>
    <mergeCell ref="C18:K18"/>
    <mergeCell ref="L18:O18"/>
    <mergeCell ref="P18:S18"/>
    <mergeCell ref="U18:AB18"/>
    <mergeCell ref="C15:K15"/>
    <mergeCell ref="L15:O15"/>
    <mergeCell ref="P15:S15"/>
    <mergeCell ref="U15:AB15"/>
    <mergeCell ref="C16:K16"/>
    <mergeCell ref="L16:O16"/>
    <mergeCell ref="P16:S16"/>
    <mergeCell ref="U16:AB16"/>
    <mergeCell ref="C21:K21"/>
    <mergeCell ref="L21:O21"/>
    <mergeCell ref="P21:S21"/>
    <mergeCell ref="U21:AB21"/>
    <mergeCell ref="C22:K22"/>
    <mergeCell ref="L22:O22"/>
    <mergeCell ref="P22:S22"/>
    <mergeCell ref="U22:AB22"/>
    <mergeCell ref="C19:K19"/>
    <mergeCell ref="L19:O19"/>
    <mergeCell ref="P19:S19"/>
    <mergeCell ref="U19:AB19"/>
    <mergeCell ref="C20:K20"/>
    <mergeCell ref="L20:O20"/>
    <mergeCell ref="P20:S20"/>
    <mergeCell ref="U20:AB20"/>
    <mergeCell ref="C24:K24"/>
    <mergeCell ref="L24:O24"/>
    <mergeCell ref="P24:S24"/>
    <mergeCell ref="U24:AB24"/>
    <mergeCell ref="AG24:AK24"/>
    <mergeCell ref="AM24:AQ24"/>
    <mergeCell ref="AG22:AK22"/>
    <mergeCell ref="AM22:AQ22"/>
    <mergeCell ref="C23:K23"/>
    <mergeCell ref="L23:O23"/>
    <mergeCell ref="P23:S23"/>
    <mergeCell ref="U23:AB23"/>
    <mergeCell ref="AG23:AK23"/>
    <mergeCell ref="AM23:AQ23"/>
    <mergeCell ref="AG25:AK25"/>
    <mergeCell ref="AM25:AQ25"/>
    <mergeCell ref="C26:K26"/>
    <mergeCell ref="L26:M26"/>
    <mergeCell ref="N26:O26"/>
    <mergeCell ref="P26:Q26"/>
    <mergeCell ref="R26:S26"/>
    <mergeCell ref="U26:AB26"/>
    <mergeCell ref="C25:K25"/>
    <mergeCell ref="L25:M25"/>
    <mergeCell ref="N25:O25"/>
    <mergeCell ref="P25:Q25"/>
    <mergeCell ref="R25:S25"/>
    <mergeCell ref="U25:AB25"/>
    <mergeCell ref="T31:V31"/>
    <mergeCell ref="X31:Z31"/>
    <mergeCell ref="C32:J32"/>
    <mergeCell ref="L32:O32"/>
    <mergeCell ref="P32:S32"/>
    <mergeCell ref="T32:V32"/>
    <mergeCell ref="X32:Z32"/>
    <mergeCell ref="I27:J27"/>
    <mergeCell ref="P27:Q27"/>
    <mergeCell ref="J29:S29"/>
    <mergeCell ref="C31:J31"/>
    <mergeCell ref="L31:O31"/>
    <mergeCell ref="P31:S31"/>
    <mergeCell ref="C33:J33"/>
    <mergeCell ref="L33:O33"/>
    <mergeCell ref="P33:S33"/>
    <mergeCell ref="T33:V33"/>
    <mergeCell ref="X33:Z33"/>
    <mergeCell ref="C34:J34"/>
    <mergeCell ref="L34:O34"/>
    <mergeCell ref="P34:S34"/>
    <mergeCell ref="T34:V34"/>
    <mergeCell ref="X34:Z34"/>
    <mergeCell ref="C35:J35"/>
    <mergeCell ref="L35:O35"/>
    <mergeCell ref="P35:S35"/>
    <mergeCell ref="T35:V35"/>
    <mergeCell ref="X35:Z35"/>
    <mergeCell ref="C36:J36"/>
    <mergeCell ref="L36:O36"/>
    <mergeCell ref="P36:S36"/>
    <mergeCell ref="T36:V36"/>
    <mergeCell ref="X36:Z36"/>
    <mergeCell ref="C37:J37"/>
    <mergeCell ref="L37:O37"/>
    <mergeCell ref="P37:S37"/>
    <mergeCell ref="T37:V37"/>
    <mergeCell ref="X37:Z37"/>
    <mergeCell ref="C38:J38"/>
    <mergeCell ref="L38:O38"/>
    <mergeCell ref="P38:S38"/>
    <mergeCell ref="T38:V38"/>
    <mergeCell ref="X38:Z38"/>
    <mergeCell ref="C39:J39"/>
    <mergeCell ref="L39:O39"/>
    <mergeCell ref="P39:S39"/>
    <mergeCell ref="T39:V39"/>
    <mergeCell ref="X39:Z39"/>
    <mergeCell ref="C40:J40"/>
    <mergeCell ref="L40:O40"/>
    <mergeCell ref="P40:S40"/>
    <mergeCell ref="T40:V40"/>
    <mergeCell ref="X40:Z40"/>
    <mergeCell ref="C41:J41"/>
    <mergeCell ref="L41:O41"/>
    <mergeCell ref="P41:S41"/>
    <mergeCell ref="T41:V41"/>
    <mergeCell ref="X41:Z41"/>
    <mergeCell ref="C42:J42"/>
    <mergeCell ref="L42:O42"/>
    <mergeCell ref="P42:S42"/>
    <mergeCell ref="T42:V42"/>
    <mergeCell ref="X42:Z42"/>
    <mergeCell ref="C45:J45"/>
    <mergeCell ref="L45:O45"/>
    <mergeCell ref="P45:S45"/>
    <mergeCell ref="T45:V45"/>
    <mergeCell ref="X45:Z45"/>
    <mergeCell ref="J47:S47"/>
    <mergeCell ref="C43:J43"/>
    <mergeCell ref="L43:O43"/>
    <mergeCell ref="P43:S43"/>
    <mergeCell ref="T43:V43"/>
    <mergeCell ref="X43:Z43"/>
    <mergeCell ref="C44:J44"/>
    <mergeCell ref="L44:O44"/>
    <mergeCell ref="P44:S44"/>
    <mergeCell ref="T44:V44"/>
    <mergeCell ref="X44:Z44"/>
    <mergeCell ref="C49:J49"/>
    <mergeCell ref="L49:O49"/>
    <mergeCell ref="P49:S49"/>
    <mergeCell ref="T49:V49"/>
    <mergeCell ref="X49:Z49"/>
    <mergeCell ref="C50:J50"/>
    <mergeCell ref="L50:O50"/>
    <mergeCell ref="P50:S50"/>
    <mergeCell ref="T50:V50"/>
    <mergeCell ref="X50:Z50"/>
    <mergeCell ref="C51:J51"/>
    <mergeCell ref="L51:O51"/>
    <mergeCell ref="P51:S51"/>
    <mergeCell ref="T51:V51"/>
    <mergeCell ref="X51:Z51"/>
    <mergeCell ref="C52:J52"/>
    <mergeCell ref="L52:O52"/>
    <mergeCell ref="P52:S52"/>
    <mergeCell ref="T52:V52"/>
    <mergeCell ref="X52:Z52"/>
    <mergeCell ref="C53:J53"/>
    <mergeCell ref="L53:O53"/>
    <mergeCell ref="P53:S53"/>
    <mergeCell ref="T53:V53"/>
    <mergeCell ref="X53:Z53"/>
    <mergeCell ref="C54:J54"/>
    <mergeCell ref="L54:O54"/>
    <mergeCell ref="P54:S54"/>
    <mergeCell ref="T54:V54"/>
    <mergeCell ref="X54:Z54"/>
    <mergeCell ref="C55:J55"/>
    <mergeCell ref="L55:O55"/>
    <mergeCell ref="P55:S55"/>
    <mergeCell ref="T55:V55"/>
    <mergeCell ref="X55:Z55"/>
    <mergeCell ref="C56:J56"/>
    <mergeCell ref="L56:O56"/>
    <mergeCell ref="P56:S56"/>
    <mergeCell ref="T56:V56"/>
    <mergeCell ref="X56:Z56"/>
    <mergeCell ref="C57:J57"/>
    <mergeCell ref="L57:O57"/>
    <mergeCell ref="P57:S57"/>
    <mergeCell ref="T57:V57"/>
    <mergeCell ref="X57:Z57"/>
    <mergeCell ref="C58:J58"/>
    <mergeCell ref="L58:O58"/>
    <mergeCell ref="P58:S58"/>
    <mergeCell ref="T58:V58"/>
    <mergeCell ref="X58:Z58"/>
    <mergeCell ref="C59:J59"/>
    <mergeCell ref="L59:O59"/>
    <mergeCell ref="P59:S59"/>
    <mergeCell ref="T59:V59"/>
    <mergeCell ref="X59:Z59"/>
    <mergeCell ref="C60:J60"/>
    <mergeCell ref="L60:O60"/>
    <mergeCell ref="P60:S60"/>
    <mergeCell ref="T60:V60"/>
    <mergeCell ref="X60:Z60"/>
    <mergeCell ref="C63:J63"/>
    <mergeCell ref="L63:O63"/>
    <mergeCell ref="P63:S63"/>
    <mergeCell ref="T63:V63"/>
    <mergeCell ref="X63:Z63"/>
    <mergeCell ref="J65:S65"/>
    <mergeCell ref="C61:J61"/>
    <mergeCell ref="L61:O61"/>
    <mergeCell ref="P61:S61"/>
    <mergeCell ref="T61:V61"/>
    <mergeCell ref="X61:Z61"/>
    <mergeCell ref="C62:J62"/>
    <mergeCell ref="L62:O62"/>
    <mergeCell ref="P62:S62"/>
    <mergeCell ref="T62:V62"/>
    <mergeCell ref="X62:Z62"/>
    <mergeCell ref="C67:J67"/>
    <mergeCell ref="L67:O67"/>
    <mergeCell ref="P67:S67"/>
    <mergeCell ref="T67:V67"/>
    <mergeCell ref="X67:Z67"/>
    <mergeCell ref="C68:J68"/>
    <mergeCell ref="L68:O68"/>
    <mergeCell ref="P68:S68"/>
    <mergeCell ref="T68:V68"/>
    <mergeCell ref="X68:Z68"/>
    <mergeCell ref="C69:J69"/>
    <mergeCell ref="L69:O69"/>
    <mergeCell ref="P69:S69"/>
    <mergeCell ref="T69:V69"/>
    <mergeCell ref="X69:Z69"/>
    <mergeCell ref="C70:J70"/>
    <mergeCell ref="L70:O70"/>
    <mergeCell ref="P70:S70"/>
    <mergeCell ref="T70:V70"/>
    <mergeCell ref="X70:Z70"/>
    <mergeCell ref="C71:J71"/>
    <mergeCell ref="L71:O71"/>
    <mergeCell ref="P71:S71"/>
    <mergeCell ref="T71:V71"/>
    <mergeCell ref="X71:Z71"/>
    <mergeCell ref="C72:J72"/>
    <mergeCell ref="L72:O72"/>
    <mergeCell ref="P72:S72"/>
    <mergeCell ref="T72:V72"/>
    <mergeCell ref="X72:Z72"/>
    <mergeCell ref="J76:S76"/>
    <mergeCell ref="C78:J78"/>
    <mergeCell ref="L78:O78"/>
    <mergeCell ref="P78:S78"/>
    <mergeCell ref="T78:V78"/>
    <mergeCell ref="X78:Z78"/>
    <mergeCell ref="C73:J73"/>
    <mergeCell ref="L73:O73"/>
    <mergeCell ref="P73:S73"/>
    <mergeCell ref="T73:V73"/>
    <mergeCell ref="X73:Z73"/>
    <mergeCell ref="C74:J74"/>
    <mergeCell ref="L74:O74"/>
    <mergeCell ref="P74:S74"/>
    <mergeCell ref="T74:V74"/>
    <mergeCell ref="X74:Z74"/>
    <mergeCell ref="C79:J79"/>
    <mergeCell ref="L79:O79"/>
    <mergeCell ref="P79:S79"/>
    <mergeCell ref="T79:V79"/>
    <mergeCell ref="X79:Z79"/>
    <mergeCell ref="C80:J80"/>
    <mergeCell ref="L80:O80"/>
    <mergeCell ref="P80:S80"/>
    <mergeCell ref="T80:V80"/>
    <mergeCell ref="X80:Z80"/>
    <mergeCell ref="C81:J81"/>
    <mergeCell ref="L81:O81"/>
    <mergeCell ref="P81:S81"/>
    <mergeCell ref="T81:V81"/>
    <mergeCell ref="X81:Z81"/>
    <mergeCell ref="C82:J82"/>
    <mergeCell ref="L82:O82"/>
    <mergeCell ref="P82:S82"/>
    <mergeCell ref="T82:V82"/>
    <mergeCell ref="X82:Z82"/>
    <mergeCell ref="C85:J85"/>
    <mergeCell ref="L85:O85"/>
    <mergeCell ref="P85:S85"/>
    <mergeCell ref="T85:V85"/>
    <mergeCell ref="X85:Z85"/>
    <mergeCell ref="J87:S87"/>
    <mergeCell ref="C83:J83"/>
    <mergeCell ref="L83:O83"/>
    <mergeCell ref="P83:S83"/>
    <mergeCell ref="T83:V83"/>
    <mergeCell ref="X83:Z83"/>
    <mergeCell ref="C84:J84"/>
    <mergeCell ref="L84:O84"/>
    <mergeCell ref="P84:S84"/>
    <mergeCell ref="T84:V84"/>
    <mergeCell ref="X84:Z84"/>
    <mergeCell ref="C89:J89"/>
    <mergeCell ref="L89:O89"/>
    <mergeCell ref="P89:S89"/>
    <mergeCell ref="T89:V89"/>
    <mergeCell ref="X89:Z89"/>
    <mergeCell ref="C90:J90"/>
    <mergeCell ref="L90:O90"/>
    <mergeCell ref="P90:S90"/>
    <mergeCell ref="T90:V90"/>
    <mergeCell ref="X90:Z90"/>
    <mergeCell ref="C91:J91"/>
    <mergeCell ref="L91:O91"/>
    <mergeCell ref="P91:S91"/>
    <mergeCell ref="T91:V91"/>
    <mergeCell ref="X91:Z91"/>
    <mergeCell ref="C92:J92"/>
    <mergeCell ref="L92:O92"/>
    <mergeCell ref="P92:S92"/>
    <mergeCell ref="T92:V92"/>
    <mergeCell ref="X92:Z92"/>
    <mergeCell ref="C93:J93"/>
    <mergeCell ref="L93:O93"/>
    <mergeCell ref="P93:S93"/>
    <mergeCell ref="T93:V93"/>
    <mergeCell ref="X93:Z93"/>
    <mergeCell ref="C94:J94"/>
    <mergeCell ref="L94:O94"/>
    <mergeCell ref="P94:S94"/>
    <mergeCell ref="T94:V94"/>
    <mergeCell ref="X94:Z94"/>
    <mergeCell ref="C95:J95"/>
    <mergeCell ref="L95:O95"/>
    <mergeCell ref="P95:S95"/>
    <mergeCell ref="T95:V95"/>
    <mergeCell ref="X95:Z95"/>
    <mergeCell ref="C96:J96"/>
    <mergeCell ref="L96:O96"/>
    <mergeCell ref="P96:S96"/>
    <mergeCell ref="T96:V96"/>
    <mergeCell ref="X96:Z96"/>
    <mergeCell ref="C97:J97"/>
    <mergeCell ref="L97:O97"/>
    <mergeCell ref="P97:S97"/>
    <mergeCell ref="T97:V97"/>
    <mergeCell ref="X97:Z97"/>
    <mergeCell ref="C98:J98"/>
    <mergeCell ref="L98:O98"/>
    <mergeCell ref="P98:S98"/>
    <mergeCell ref="T98:V98"/>
    <mergeCell ref="X98:Z98"/>
    <mergeCell ref="C99:J99"/>
    <mergeCell ref="L99:O99"/>
    <mergeCell ref="P99:S99"/>
    <mergeCell ref="T99:V99"/>
    <mergeCell ref="X99:Z99"/>
    <mergeCell ref="C100:J100"/>
    <mergeCell ref="L100:O100"/>
    <mergeCell ref="P100:S100"/>
    <mergeCell ref="T100:V100"/>
    <mergeCell ref="X100:Z100"/>
    <mergeCell ref="C101:J101"/>
    <mergeCell ref="L101:O101"/>
    <mergeCell ref="P101:S101"/>
    <mergeCell ref="T101:V101"/>
    <mergeCell ref="X101:Z101"/>
    <mergeCell ref="C102:J102"/>
    <mergeCell ref="L102:O102"/>
    <mergeCell ref="P102:S102"/>
    <mergeCell ref="T102:V102"/>
    <mergeCell ref="X102:Z102"/>
    <mergeCell ref="C107:J107"/>
    <mergeCell ref="L107:O107"/>
    <mergeCell ref="P107:S107"/>
    <mergeCell ref="T107:V107"/>
    <mergeCell ref="X107:Z107"/>
    <mergeCell ref="AA107:AC107"/>
    <mergeCell ref="C103:J103"/>
    <mergeCell ref="L103:O103"/>
    <mergeCell ref="P103:S103"/>
    <mergeCell ref="T103:V103"/>
    <mergeCell ref="X103:Z103"/>
    <mergeCell ref="J105:S105"/>
    <mergeCell ref="C108:J108"/>
    <mergeCell ref="L108:O108"/>
    <mergeCell ref="P108:S108"/>
    <mergeCell ref="T108:V108"/>
    <mergeCell ref="X108:Z108"/>
    <mergeCell ref="C109:J109"/>
    <mergeCell ref="L109:O109"/>
    <mergeCell ref="P109:S109"/>
    <mergeCell ref="T109:V109"/>
    <mergeCell ref="X109:Z109"/>
    <mergeCell ref="C110:J110"/>
    <mergeCell ref="L110:O110"/>
    <mergeCell ref="P110:S110"/>
    <mergeCell ref="T110:V110"/>
    <mergeCell ref="X110:Z110"/>
    <mergeCell ref="C111:J111"/>
    <mergeCell ref="L111:O111"/>
    <mergeCell ref="P111:S111"/>
    <mergeCell ref="T111:V111"/>
    <mergeCell ref="X111:Z111"/>
    <mergeCell ref="C114:J114"/>
    <mergeCell ref="L114:O114"/>
    <mergeCell ref="P114:S114"/>
    <mergeCell ref="T114:V114"/>
    <mergeCell ref="X114:Z114"/>
    <mergeCell ref="F116:T116"/>
    <mergeCell ref="C112:J112"/>
    <mergeCell ref="L112:O112"/>
    <mergeCell ref="P112:S112"/>
    <mergeCell ref="T112:V112"/>
    <mergeCell ref="X112:Z112"/>
    <mergeCell ref="C113:J113"/>
    <mergeCell ref="L113:O113"/>
    <mergeCell ref="P113:S113"/>
    <mergeCell ref="T113:V113"/>
    <mergeCell ref="X113:Z113"/>
    <mergeCell ref="U118:V118"/>
    <mergeCell ref="X118:Y118"/>
    <mergeCell ref="C119:E119"/>
    <mergeCell ref="F119:G119"/>
    <mergeCell ref="I119:J119"/>
    <mergeCell ref="L119:M119"/>
    <mergeCell ref="N119:O119"/>
    <mergeCell ref="S119:T119"/>
    <mergeCell ref="U119:V119"/>
    <mergeCell ref="X119:Y119"/>
    <mergeCell ref="C118:E118"/>
    <mergeCell ref="F118:G118"/>
    <mergeCell ref="I118:J118"/>
    <mergeCell ref="L118:M118"/>
    <mergeCell ref="N118:O118"/>
    <mergeCell ref="S118:T118"/>
    <mergeCell ref="U120:V120"/>
    <mergeCell ref="X120:Y120"/>
    <mergeCell ref="C121:E121"/>
    <mergeCell ref="F121:G121"/>
    <mergeCell ref="I121:J121"/>
    <mergeCell ref="L121:M121"/>
    <mergeCell ref="N121:O121"/>
    <mergeCell ref="S121:T121"/>
    <mergeCell ref="U121:V121"/>
    <mergeCell ref="X121:Y121"/>
    <mergeCell ref="C120:E120"/>
    <mergeCell ref="F120:G120"/>
    <mergeCell ref="I120:J120"/>
    <mergeCell ref="L120:M120"/>
    <mergeCell ref="N120:O120"/>
    <mergeCell ref="S120:T120"/>
    <mergeCell ref="U122:V122"/>
    <mergeCell ref="X122:Y122"/>
    <mergeCell ref="C123:E123"/>
    <mergeCell ref="F123:G123"/>
    <mergeCell ref="I123:J123"/>
    <mergeCell ref="L123:M123"/>
    <mergeCell ref="N123:O123"/>
    <mergeCell ref="S123:T123"/>
    <mergeCell ref="U123:V123"/>
    <mergeCell ref="X123:Y123"/>
    <mergeCell ref="C122:E122"/>
    <mergeCell ref="F122:G122"/>
    <mergeCell ref="I122:J122"/>
    <mergeCell ref="L122:M122"/>
    <mergeCell ref="N122:O122"/>
    <mergeCell ref="S122:T122"/>
    <mergeCell ref="D128:N128"/>
    <mergeCell ref="O128:P128"/>
    <mergeCell ref="Q128:X128"/>
    <mergeCell ref="C130:J130"/>
    <mergeCell ref="K130:O130"/>
    <mergeCell ref="P130:S130"/>
    <mergeCell ref="T130:V130"/>
    <mergeCell ref="X130:Z130"/>
    <mergeCell ref="U124:V124"/>
    <mergeCell ref="X124:Y124"/>
    <mergeCell ref="C125:E125"/>
    <mergeCell ref="F125:G125"/>
    <mergeCell ref="I125:J125"/>
    <mergeCell ref="L125:M125"/>
    <mergeCell ref="N125:O125"/>
    <mergeCell ref="S125:T125"/>
    <mergeCell ref="U125:V125"/>
    <mergeCell ref="X125:Y125"/>
    <mergeCell ref="C124:E124"/>
    <mergeCell ref="F124:G124"/>
    <mergeCell ref="I124:J124"/>
    <mergeCell ref="L124:M124"/>
    <mergeCell ref="N124:O124"/>
    <mergeCell ref="S124:T124"/>
    <mergeCell ref="C135:J135"/>
    <mergeCell ref="L135:M135"/>
    <mergeCell ref="N135:Q135"/>
    <mergeCell ref="R135:S135"/>
    <mergeCell ref="U135:V135"/>
    <mergeCell ref="X135:Z135"/>
    <mergeCell ref="C131:J131"/>
    <mergeCell ref="K131:O131"/>
    <mergeCell ref="P131:S131"/>
    <mergeCell ref="T131:V131"/>
    <mergeCell ref="X131:Z131"/>
    <mergeCell ref="J133:S133"/>
    <mergeCell ref="C137:J137"/>
    <mergeCell ref="L137:M137"/>
    <mergeCell ref="N137:Q137"/>
    <mergeCell ref="R137:S137"/>
    <mergeCell ref="U137:V137"/>
    <mergeCell ref="X137:Z137"/>
    <mergeCell ref="C136:J136"/>
    <mergeCell ref="L136:M136"/>
    <mergeCell ref="N136:Q136"/>
    <mergeCell ref="R136:S136"/>
    <mergeCell ref="U136:V136"/>
    <mergeCell ref="X136:Z136"/>
    <mergeCell ref="C139:J139"/>
    <mergeCell ref="L139:M139"/>
    <mergeCell ref="N139:Q139"/>
    <mergeCell ref="R139:S139"/>
    <mergeCell ref="U139:V139"/>
    <mergeCell ref="X139:Z139"/>
    <mergeCell ref="C138:J138"/>
    <mergeCell ref="L138:M138"/>
    <mergeCell ref="N138:Q138"/>
    <mergeCell ref="R138:S138"/>
    <mergeCell ref="U138:V138"/>
    <mergeCell ref="X138:Z138"/>
    <mergeCell ref="C141:J141"/>
    <mergeCell ref="L141:M141"/>
    <mergeCell ref="N141:Q141"/>
    <mergeCell ref="R141:S141"/>
    <mergeCell ref="U141:V141"/>
    <mergeCell ref="X141:Z141"/>
    <mergeCell ref="C140:J140"/>
    <mergeCell ref="L140:M140"/>
    <mergeCell ref="N140:Q140"/>
    <mergeCell ref="R140:S140"/>
    <mergeCell ref="U140:V140"/>
    <mergeCell ref="X140:Z140"/>
    <mergeCell ref="C143:J143"/>
    <mergeCell ref="L143:M143"/>
    <mergeCell ref="N143:Q143"/>
    <mergeCell ref="R143:S143"/>
    <mergeCell ref="U143:V143"/>
    <mergeCell ref="X143:Z143"/>
    <mergeCell ref="C142:J142"/>
    <mergeCell ref="L142:M142"/>
    <mergeCell ref="N142:Q142"/>
    <mergeCell ref="R142:S142"/>
    <mergeCell ref="U142:V142"/>
    <mergeCell ref="X142:Z142"/>
    <mergeCell ref="C145:J145"/>
    <mergeCell ref="L145:M145"/>
    <mergeCell ref="N145:Q145"/>
    <mergeCell ref="R145:S145"/>
    <mergeCell ref="U145:V145"/>
    <mergeCell ref="X145:Z145"/>
    <mergeCell ref="C144:J144"/>
    <mergeCell ref="L144:M144"/>
    <mergeCell ref="N144:Q144"/>
    <mergeCell ref="R144:S144"/>
    <mergeCell ref="U144:V144"/>
    <mergeCell ref="X144:Z144"/>
    <mergeCell ref="C147:J147"/>
    <mergeCell ref="L147:M147"/>
    <mergeCell ref="N147:Q147"/>
    <mergeCell ref="R147:S147"/>
    <mergeCell ref="U147:V147"/>
    <mergeCell ref="X147:Z147"/>
    <mergeCell ref="C146:J146"/>
    <mergeCell ref="L146:M146"/>
    <mergeCell ref="N146:Q146"/>
    <mergeCell ref="R146:S146"/>
    <mergeCell ref="U146:V146"/>
    <mergeCell ref="X146:Z146"/>
    <mergeCell ref="C149:J149"/>
    <mergeCell ref="L149:M149"/>
    <mergeCell ref="N149:Q149"/>
    <mergeCell ref="R149:S149"/>
    <mergeCell ref="U149:V149"/>
    <mergeCell ref="X149:Z149"/>
    <mergeCell ref="C148:J148"/>
    <mergeCell ref="L148:M148"/>
    <mergeCell ref="N148:Q148"/>
    <mergeCell ref="R148:S148"/>
    <mergeCell ref="U148:V148"/>
    <mergeCell ref="X148:Z148"/>
    <mergeCell ref="C151:J151"/>
    <mergeCell ref="L151:M151"/>
    <mergeCell ref="N151:Q151"/>
    <mergeCell ref="R151:S151"/>
    <mergeCell ref="U151:V151"/>
    <mergeCell ref="X151:Z151"/>
    <mergeCell ref="C150:J150"/>
    <mergeCell ref="L150:M150"/>
    <mergeCell ref="N150:Q150"/>
    <mergeCell ref="R150:S150"/>
    <mergeCell ref="U150:V150"/>
    <mergeCell ref="X150:Z150"/>
    <mergeCell ref="J158:S158"/>
    <mergeCell ref="C160:J160"/>
    <mergeCell ref="K160:O160"/>
    <mergeCell ref="P160:R160"/>
    <mergeCell ref="T160:U160"/>
    <mergeCell ref="V160:Z160"/>
    <mergeCell ref="J153:S153"/>
    <mergeCell ref="C155:J155"/>
    <mergeCell ref="K155:O155"/>
    <mergeCell ref="P155:R155"/>
    <mergeCell ref="T155:Z155"/>
    <mergeCell ref="C156:J156"/>
    <mergeCell ref="K156:O156"/>
    <mergeCell ref="P156:R156"/>
    <mergeCell ref="T156:Z156"/>
    <mergeCell ref="C161:J161"/>
    <mergeCell ref="K161:O161"/>
    <mergeCell ref="P161:R161"/>
    <mergeCell ref="T161:U161"/>
    <mergeCell ref="V161:Z161"/>
    <mergeCell ref="C162:J162"/>
    <mergeCell ref="K162:O162"/>
    <mergeCell ref="P162:R162"/>
    <mergeCell ref="T162:U162"/>
    <mergeCell ref="V162:Z162"/>
    <mergeCell ref="C163:J163"/>
    <mergeCell ref="K163:O163"/>
    <mergeCell ref="P163:R163"/>
    <mergeCell ref="T163:U163"/>
    <mergeCell ref="V163:Z163"/>
    <mergeCell ref="C164:J164"/>
    <mergeCell ref="K164:O164"/>
    <mergeCell ref="P164:R164"/>
    <mergeCell ref="T164:Z164"/>
    <mergeCell ref="C165:J165"/>
    <mergeCell ref="K165:O165"/>
    <mergeCell ref="P165:R165"/>
    <mergeCell ref="T165:U165"/>
    <mergeCell ref="V165:Z165"/>
    <mergeCell ref="C166:J166"/>
    <mergeCell ref="K166:O166"/>
    <mergeCell ref="P166:R166"/>
    <mergeCell ref="T166:Z166"/>
    <mergeCell ref="C172:J172"/>
    <mergeCell ref="K172:O172"/>
    <mergeCell ref="R172:S172"/>
    <mergeCell ref="T172:Z172"/>
    <mergeCell ref="C173:J173"/>
    <mergeCell ref="K173:O173"/>
    <mergeCell ref="P173:R173"/>
    <mergeCell ref="T173:Z173"/>
    <mergeCell ref="H167:Y167"/>
    <mergeCell ref="J169:S169"/>
    <mergeCell ref="C171:J171"/>
    <mergeCell ref="K171:O171"/>
    <mergeCell ref="R171:S171"/>
    <mergeCell ref="T171:Z171"/>
    <mergeCell ref="C176:J176"/>
    <mergeCell ref="K176:O176"/>
    <mergeCell ref="P176:R176"/>
    <mergeCell ref="T176:Z176"/>
    <mergeCell ref="C177:J177"/>
    <mergeCell ref="K177:O177"/>
    <mergeCell ref="P177:R177"/>
    <mergeCell ref="T177:Z177"/>
    <mergeCell ref="C174:J174"/>
    <mergeCell ref="K174:O174"/>
    <mergeCell ref="P174:R174"/>
    <mergeCell ref="T174:Z174"/>
    <mergeCell ref="C175:J175"/>
    <mergeCell ref="K175:O175"/>
    <mergeCell ref="P175:R175"/>
    <mergeCell ref="T175:Z175"/>
  </mergeCells>
  <pageMargins left="0.78749999999999998" right="0.78749999999999998" top="1.0527777777777778" bottom="1.0527777777777778" header="0.78749999999999998" footer="0.78749999999999998"/>
  <pageSetup firstPageNumber="0" fitToHeight="3" orientation="portrait" horizontalDpi="300" verticalDpi="300"/>
  <headerFooter alignWithMargins="0">
    <oddHeader>&amp;C&amp;"Times New Roman,Regular"&amp;12&amp;A</oddHeader>
    <oddFooter>&amp;C&amp;"Times New Roman,Regular"&amp;12Page &amp;P</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80" zoomScaleNormal="80" workbookViewId="0"/>
  </sheetViews>
  <sheetFormatPr defaultColWidth="8.7109375" defaultRowHeight="12.75" x14ac:dyDescent="0.2"/>
  <cols>
    <col min="1" max="16384" width="8.7109375" style="18"/>
  </cols>
  <sheetData/>
  <sheetProtection selectLockedCells="1" selectUnlockedCells="1"/>
  <pageMargins left="0.7" right="0.7" top="0.75" bottom="0.75" header="0.51180555555555551" footer="0.51180555555555551"/>
  <pageSetup firstPageNumber="0" orientation="portrait" horizontalDpi="300" verticalDpi="300"/>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80" zoomScaleNormal="80" workbookViewId="0">
      <selection activeCell="M26" sqref="M26"/>
    </sheetView>
  </sheetViews>
  <sheetFormatPr defaultColWidth="8.7109375" defaultRowHeight="12.75" x14ac:dyDescent="0.2"/>
  <cols>
    <col min="1" max="16384" width="8.7109375" style="18"/>
  </cols>
  <sheetData/>
  <sheetProtection selectLockedCells="1" selectUnlockedCells="1"/>
  <pageMargins left="0.7" right="0.7" top="0.75" bottom="0.75" header="0.51180555555555551" footer="0.51180555555555551"/>
  <pageSetup firstPageNumber="0" orientation="portrait" horizontalDpi="300" verticalDpi="300"/>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5"/>
  <sheetViews>
    <sheetView zoomScale="80" zoomScaleNormal="80" workbookViewId="0">
      <selection activeCell="A15" sqref="A15"/>
    </sheetView>
  </sheetViews>
  <sheetFormatPr defaultColWidth="11.5703125" defaultRowHeight="12.75" x14ac:dyDescent="0.2"/>
  <cols>
    <col min="1" max="16384" width="11.5703125" style="18"/>
  </cols>
  <sheetData>
    <row r="2" spans="1:8" x14ac:dyDescent="0.2">
      <c r="B2" s="1384" t="s">
        <v>663</v>
      </c>
      <c r="C2" s="1384"/>
      <c r="D2" s="1384"/>
      <c r="E2" s="1384"/>
      <c r="F2" s="1384"/>
      <c r="G2" s="1384"/>
      <c r="H2" s="1384"/>
    </row>
    <row r="3" spans="1:8" x14ac:dyDescent="0.2">
      <c r="C3" s="18" t="s">
        <v>664</v>
      </c>
    </row>
    <row r="4" spans="1:8" x14ac:dyDescent="0.2">
      <c r="C4" s="18" t="s">
        <v>665</v>
      </c>
    </row>
    <row r="6" spans="1:8" x14ac:dyDescent="0.2">
      <c r="A6" s="18" t="s">
        <v>666</v>
      </c>
      <c r="B6" s="18" t="s">
        <v>667</v>
      </c>
    </row>
    <row r="8" spans="1:8" x14ac:dyDescent="0.2">
      <c r="B8" s="18" t="s">
        <v>668</v>
      </c>
    </row>
    <row r="10" spans="1:8" x14ac:dyDescent="0.2">
      <c r="B10" s="18" t="s">
        <v>669</v>
      </c>
    </row>
    <row r="13" spans="1:8" x14ac:dyDescent="0.2">
      <c r="B13" s="18" t="s">
        <v>670</v>
      </c>
    </row>
    <row r="15" spans="1:8" x14ac:dyDescent="0.2">
      <c r="B15" s="18" t="s">
        <v>671</v>
      </c>
    </row>
  </sheetData>
  <sheetProtection selectLockedCells="1" selectUnlockedCells="1"/>
  <mergeCells count="1">
    <mergeCell ref="B2:H2"/>
  </mergeCells>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147"/>
  <sheetViews>
    <sheetView topLeftCell="A55" zoomScaleNormal="100" workbookViewId="0">
      <selection activeCell="T20" sqref="T20"/>
    </sheetView>
  </sheetViews>
  <sheetFormatPr defaultColWidth="8.85546875" defaultRowHeight="15" x14ac:dyDescent="0.2"/>
  <cols>
    <col min="1" max="1" width="3.42578125" style="19" customWidth="1"/>
    <col min="2" max="2" width="14.85546875" style="19" customWidth="1"/>
    <col min="3" max="3" width="5.5703125" style="20" customWidth="1"/>
    <col min="4" max="9" width="3.42578125" style="20" customWidth="1"/>
    <col min="10" max="10" width="4.140625" style="20" customWidth="1"/>
    <col min="11" max="12" width="3.42578125" style="20" customWidth="1"/>
    <col min="13" max="14" width="4.7109375" style="20" customWidth="1"/>
    <col min="15" max="15" width="4.85546875" style="20" customWidth="1"/>
    <col min="16" max="16" width="10.42578125" style="20" customWidth="1"/>
    <col min="17" max="17" width="6.140625" style="20" customWidth="1"/>
    <col min="18" max="18" width="5.28515625" style="20" customWidth="1"/>
    <col min="19" max="19" width="4.7109375" style="20" customWidth="1"/>
    <col min="20" max="20" width="5" style="20" customWidth="1"/>
    <col min="21" max="21" width="3.85546875" style="20" customWidth="1"/>
    <col min="22" max="22" width="9.140625" style="20" customWidth="1"/>
    <col min="23" max="23" width="7.85546875" style="20" customWidth="1"/>
    <col min="24" max="24" width="7.28515625" style="20" customWidth="1"/>
    <col min="25" max="25" width="7.5703125" style="20" customWidth="1"/>
    <col min="26" max="26" width="7.140625" style="20" customWidth="1"/>
    <col min="27" max="27" width="3.42578125" style="20" customWidth="1"/>
    <col min="28" max="28" width="5.42578125" style="20" customWidth="1"/>
    <col min="29" max="29" width="5.7109375" style="20" customWidth="1"/>
    <col min="30" max="30" width="8.7109375" style="20" customWidth="1"/>
    <col min="31" max="32" width="3.42578125" style="20" customWidth="1"/>
    <col min="33" max="33" width="5.140625" style="20" customWidth="1"/>
    <col min="34" max="34" width="7" style="20" customWidth="1"/>
    <col min="35" max="35" width="9.42578125" style="20" customWidth="1"/>
    <col min="36" max="36" width="14.85546875" style="20" customWidth="1"/>
    <col min="37" max="37" width="6" style="20" customWidth="1"/>
    <col min="38" max="38" width="7.85546875" style="20" customWidth="1"/>
    <col min="39" max="39" width="10.140625" style="20" customWidth="1"/>
    <col min="40" max="40" width="8.85546875" style="20"/>
    <col min="41" max="41" width="11.42578125" style="20" customWidth="1"/>
    <col min="42" max="42" width="8.85546875" style="20"/>
    <col min="43" max="45" width="4" style="20" customWidth="1"/>
    <col min="46" max="16384" width="8.85546875" style="20"/>
  </cols>
  <sheetData>
    <row r="2" spans="4:46" ht="19.5" x14ac:dyDescent="0.2">
      <c r="E2" s="810" t="s">
        <v>40</v>
      </c>
      <c r="F2" s="810"/>
      <c r="G2" s="810"/>
      <c r="H2" s="810"/>
      <c r="I2" s="810"/>
      <c r="J2" s="810"/>
      <c r="K2" s="810"/>
      <c r="L2" s="811" t="str">
        <f>'[2]DATA ENTRY FORM'!$L$2:$R$2</f>
        <v>Phillips</v>
      </c>
      <c r="M2" s="811"/>
      <c r="N2" s="811"/>
      <c r="O2" s="811"/>
      <c r="P2" s="811"/>
      <c r="Q2" s="811"/>
      <c r="R2" s="811"/>
    </row>
    <row r="3" spans="4:46" ht="20.25" thickBot="1" x14ac:dyDescent="0.25">
      <c r="E3" s="21"/>
      <c r="F3" s="21"/>
      <c r="G3" s="21"/>
      <c r="H3" s="21"/>
      <c r="I3" s="21"/>
      <c r="J3" s="21"/>
      <c r="K3" s="21"/>
      <c r="L3" s="22"/>
      <c r="M3" s="22"/>
      <c r="N3" s="22"/>
      <c r="O3" s="22"/>
      <c r="P3" s="22"/>
      <c r="Q3" s="22"/>
      <c r="R3" s="22"/>
      <c r="AH3" s="23"/>
      <c r="AI3" s="23"/>
      <c r="AJ3" s="23"/>
      <c r="AK3" s="23"/>
      <c r="AL3" s="23"/>
      <c r="AM3" s="23"/>
      <c r="AN3" s="23"/>
      <c r="AO3" s="23"/>
      <c r="AP3" s="23"/>
      <c r="AQ3" s="23"/>
      <c r="AR3" s="23"/>
      <c r="AS3" s="23"/>
      <c r="AT3" s="23"/>
    </row>
    <row r="4" spans="4:46" ht="24" thickBot="1" x14ac:dyDescent="0.25">
      <c r="E4" s="21"/>
      <c r="F4" s="754" t="s">
        <v>41</v>
      </c>
      <c r="G4" s="754"/>
      <c r="H4" s="754"/>
      <c r="I4" s="754"/>
      <c r="J4" s="754"/>
      <c r="K4" s="754"/>
      <c r="L4" s="754"/>
      <c r="M4" s="812" t="str">
        <f>'[2]DATA ENTRY FORM'!$M$4:$U$4</f>
        <v>Delware Water Gap, PA</v>
      </c>
      <c r="N4" s="812"/>
      <c r="O4" s="812"/>
      <c r="P4" s="812"/>
      <c r="Q4" s="812"/>
      <c r="R4" s="812"/>
      <c r="S4" s="812"/>
      <c r="T4" s="812"/>
      <c r="U4" s="812"/>
      <c r="V4" s="730" t="str">
        <f>'[2]DATA ENTRY FORM'!$V$4:$Y$4</f>
        <v>High Altitude?  --&gt;</v>
      </c>
      <c r="W4" s="731"/>
      <c r="X4" s="731"/>
      <c r="Y4" s="731"/>
      <c r="Z4" s="673" t="str">
        <f>'[2]DATA ENTRY FORM'!$Z$4</f>
        <v>No</v>
      </c>
      <c r="AH4" s="23"/>
      <c r="AI4" s="23"/>
      <c r="AJ4" s="23"/>
      <c r="AK4" s="23"/>
      <c r="AL4" s="23"/>
      <c r="AM4" s="23"/>
      <c r="AN4" s="23"/>
      <c r="AO4" s="23"/>
      <c r="AP4" s="23"/>
      <c r="AQ4" s="23"/>
      <c r="AR4" s="23"/>
      <c r="AS4" s="23"/>
      <c r="AT4" s="23"/>
    </row>
    <row r="5" spans="4:46" x14ac:dyDescent="0.2">
      <c r="L5" s="25"/>
      <c r="AH5" s="23"/>
      <c r="AI5" s="23"/>
      <c r="AJ5" s="23"/>
      <c r="AK5" s="23"/>
      <c r="AL5" s="23"/>
      <c r="AM5" s="23"/>
      <c r="AN5" s="23"/>
      <c r="AO5" s="23"/>
      <c r="AP5" s="23"/>
      <c r="AQ5" s="23"/>
      <c r="AR5" s="23"/>
      <c r="AS5" s="23"/>
      <c r="AT5" s="23"/>
    </row>
    <row r="6" spans="4:46" ht="22.35" customHeight="1" x14ac:dyDescent="0.2">
      <c r="E6" s="813" t="s">
        <v>42</v>
      </c>
      <c r="F6" s="813"/>
      <c r="G6" s="813"/>
      <c r="H6" s="813"/>
      <c r="I6" s="813"/>
      <c r="J6" s="813"/>
      <c r="K6" s="813"/>
      <c r="L6" s="813"/>
      <c r="M6" s="813"/>
      <c r="AH6" s="23"/>
      <c r="AI6" s="23"/>
      <c r="AJ6" s="23"/>
      <c r="AK6" s="23"/>
      <c r="AL6" s="23"/>
      <c r="AM6" s="26"/>
      <c r="AN6" s="23"/>
      <c r="AO6" s="23"/>
      <c r="AP6" s="23"/>
      <c r="AQ6" s="23"/>
      <c r="AR6" s="23"/>
      <c r="AS6" s="23"/>
      <c r="AT6" s="23"/>
    </row>
    <row r="7" spans="4:46" ht="24.4" customHeight="1" x14ac:dyDescent="0.2">
      <c r="D7" s="814" t="s">
        <v>43</v>
      </c>
      <c r="E7" s="814" t="s">
        <v>44</v>
      </c>
      <c r="F7" s="814"/>
      <c r="G7" s="815" t="s">
        <v>44</v>
      </c>
      <c r="H7" s="815"/>
      <c r="I7" s="815"/>
      <c r="J7" s="27"/>
      <c r="AH7" s="23"/>
      <c r="AI7" s="23"/>
      <c r="AJ7" s="23"/>
      <c r="AK7" s="23"/>
      <c r="AL7" s="23"/>
      <c r="AM7" s="26"/>
      <c r="AN7" s="23"/>
      <c r="AO7" s="23"/>
      <c r="AP7" s="23"/>
      <c r="AQ7" s="23"/>
      <c r="AR7" s="23"/>
      <c r="AS7" s="23"/>
      <c r="AT7" s="23"/>
    </row>
    <row r="8" spans="4:46" x14ac:dyDescent="0.2">
      <c r="D8" s="755">
        <f>'[2]DATA ENTRY FORM'!$D$8:$F$8</f>
        <v>0</v>
      </c>
      <c r="E8" s="755"/>
      <c r="F8" s="755"/>
      <c r="G8" s="806">
        <f>'[2]DATA ENTRY FORM'!$G$8:$I$8</f>
        <v>0</v>
      </c>
      <c r="H8" s="806"/>
      <c r="I8" s="806"/>
      <c r="J8" s="754" t="s">
        <v>713</v>
      </c>
      <c r="K8" s="754"/>
      <c r="L8" s="754"/>
      <c r="M8" s="754"/>
      <c r="N8" s="754"/>
      <c r="O8" s="754"/>
      <c r="P8" s="754"/>
      <c r="Q8" s="816">
        <f>'[2]DATA ENTRY FORM'!$Q$8:$S$8</f>
        <v>16</v>
      </c>
      <c r="R8" s="817"/>
      <c r="S8" s="817"/>
      <c r="AH8" s="23"/>
      <c r="AI8" s="23"/>
      <c r="AJ8" s="23"/>
      <c r="AK8" s="23"/>
      <c r="AL8" s="23"/>
      <c r="AM8" s="26"/>
      <c r="AN8" s="23"/>
      <c r="AO8" s="23"/>
      <c r="AP8" s="23"/>
      <c r="AQ8" s="23"/>
      <c r="AR8" s="23"/>
      <c r="AS8" s="23"/>
      <c r="AT8" s="23"/>
    </row>
    <row r="9" spans="4:46" x14ac:dyDescent="0.2">
      <c r="D9" s="732">
        <f t="shared" ref="D9:D15" si="0">$D$8</f>
        <v>0</v>
      </c>
      <c r="E9" s="732"/>
      <c r="F9" s="732"/>
      <c r="G9" s="749">
        <f t="shared" ref="G9:G15" si="1">$G$8</f>
        <v>0</v>
      </c>
      <c r="H9" s="749"/>
      <c r="I9" s="749"/>
      <c r="J9" s="807" t="s">
        <v>714</v>
      </c>
      <c r="K9" s="808"/>
      <c r="L9" s="808"/>
      <c r="M9" s="808"/>
      <c r="N9" s="808"/>
      <c r="O9" s="808"/>
      <c r="P9" s="809"/>
      <c r="Q9" s="755" t="str">
        <f>'[2]DATA ENTRY FORM'!$Q$9:$S$11</f>
        <v>high</v>
      </c>
      <c r="R9" s="755"/>
      <c r="S9" s="755"/>
      <c r="AH9" s="23"/>
      <c r="AI9" s="23"/>
      <c r="AJ9" s="23" t="s">
        <v>773</v>
      </c>
      <c r="AK9" s="23">
        <f>IF(Q10=20,32,IF(Q10=25,40,IF(Q10=30,48,IF(Q10=35,54,IF(Q10=41,64)))))</f>
        <v>48</v>
      </c>
      <c r="AL9" s="23"/>
      <c r="AM9" s="26"/>
      <c r="AN9" s="23"/>
      <c r="AO9" s="23"/>
      <c r="AP9" s="23"/>
      <c r="AQ9" s="23"/>
      <c r="AR9" s="23"/>
      <c r="AS9" s="23"/>
      <c r="AT9" s="23"/>
    </row>
    <row r="10" spans="4:46" ht="15.75" thickBot="1" x14ac:dyDescent="0.25">
      <c r="D10" s="732">
        <f t="shared" si="0"/>
        <v>0</v>
      </c>
      <c r="E10" s="732"/>
      <c r="F10" s="732"/>
      <c r="G10" s="749">
        <f t="shared" si="1"/>
        <v>0</v>
      </c>
      <c r="H10" s="749"/>
      <c r="I10" s="749"/>
      <c r="J10" s="754" t="s">
        <v>45</v>
      </c>
      <c r="K10" s="754"/>
      <c r="L10" s="754"/>
      <c r="M10" s="754"/>
      <c r="N10" s="754"/>
      <c r="O10" s="754"/>
      <c r="P10" s="754"/>
      <c r="Q10" s="755">
        <f>'[2]DATA ENTRY FORM'!$Q$10:$S$10</f>
        <v>30</v>
      </c>
      <c r="R10" s="755"/>
      <c r="S10" s="755"/>
      <c r="T10" s="29" t="s">
        <v>46</v>
      </c>
      <c r="AH10" s="23"/>
      <c r="AI10" s="23"/>
      <c r="AJ10" s="23"/>
      <c r="AK10" s="23"/>
      <c r="AL10" s="23"/>
      <c r="AM10" s="26"/>
      <c r="AN10" s="23"/>
      <c r="AO10" s="23"/>
      <c r="AP10" s="23"/>
      <c r="AQ10" s="23"/>
      <c r="AR10" s="23"/>
      <c r="AS10" s="23"/>
      <c r="AT10" s="23">
        <f>IF(Q10=20,16,IF(Q10=25,20,IF(Q10=30,24,IF(Q10=35,27,IF(Q10&gt;39,32," ")))))</f>
        <v>24</v>
      </c>
    </row>
    <row r="11" spans="4:46" x14ac:dyDescent="0.2">
      <c r="D11" s="732">
        <f t="shared" si="0"/>
        <v>0</v>
      </c>
      <c r="E11" s="732"/>
      <c r="F11" s="732"/>
      <c r="G11" s="749">
        <f t="shared" si="1"/>
        <v>0</v>
      </c>
      <c r="H11" s="749"/>
      <c r="I11" s="749"/>
      <c r="J11" s="754" t="s">
        <v>47</v>
      </c>
      <c r="K11" s="754"/>
      <c r="L11" s="754"/>
      <c r="M11" s="754"/>
      <c r="N11" s="754"/>
      <c r="O11" s="754"/>
      <c r="P11" s="754"/>
      <c r="Q11" s="755">
        <f>'[2]DATA ENTRY FORM'!$Q$11:$S$11</f>
        <v>168</v>
      </c>
      <c r="R11" s="755"/>
      <c r="S11" s="755"/>
      <c r="T11" s="802">
        <f>'[3]DATA ENTRY FORM'!T11</f>
        <v>0</v>
      </c>
      <c r="U11" s="802"/>
      <c r="AH11" s="23"/>
      <c r="AI11" s="30">
        <f>IF(Q11=96,SUM(Q35-(Q33+Q34))+((Q33)*AK16),IF(Q11=108,SUM(Q35-(Q33+Q34))+(Q33*AK15)+(Q35*0.125),IF(Q11=120,SUM(Q35-(Q33+Q34))+(Q33*AK14)+(Q35*0.25),IF(Q11=132,SUM(Q35-(Q33+Q34))+(Q33*AN14)+(Q35*0.25),IF(Q11=144,SUM(Q35-(Q33+Q34))+(Q33*AK13)+(Q35*0.5),IF(Q11=168,SUM(Q35-(Q33+Q34))+(Q33*AK12)+(Q35*0.75)))))))</f>
        <v>41</v>
      </c>
      <c r="AJ11" s="23" t="s">
        <v>48</v>
      </c>
      <c r="AK11" s="31"/>
      <c r="AL11" s="23"/>
      <c r="AM11" s="26"/>
      <c r="AN11" s="23"/>
      <c r="AO11" s="23"/>
      <c r="AP11" s="23"/>
      <c r="AQ11" s="23"/>
      <c r="AR11" s="23"/>
      <c r="AS11" s="23"/>
      <c r="AT11" s="23"/>
    </row>
    <row r="12" spans="4:46" ht="15.75" thickBot="1" x14ac:dyDescent="0.25">
      <c r="D12" s="732">
        <f t="shared" si="0"/>
        <v>0</v>
      </c>
      <c r="E12" s="732"/>
      <c r="F12" s="732"/>
      <c r="G12" s="749">
        <f t="shared" si="1"/>
        <v>0</v>
      </c>
      <c r="H12" s="749"/>
      <c r="I12" s="749"/>
      <c r="J12" s="803" t="s">
        <v>49</v>
      </c>
      <c r="K12" s="803"/>
      <c r="L12" s="803"/>
      <c r="M12" s="803"/>
      <c r="N12" s="803"/>
      <c r="O12" s="803"/>
      <c r="P12" s="803"/>
      <c r="Q12" s="804">
        <f>IF(Q11&lt;=0,"0",Q11-4.5)</f>
        <v>163.5</v>
      </c>
      <c r="R12" s="804"/>
      <c r="S12" s="804"/>
      <c r="T12" s="805" t="str">
        <f>'[3]DATA ENTRY FORM'!T12</f>
        <v>0</v>
      </c>
      <c r="U12" s="805"/>
      <c r="AH12" s="23"/>
      <c r="AI12" s="23"/>
      <c r="AJ12" s="23" t="s">
        <v>50</v>
      </c>
      <c r="AK12" s="32">
        <v>1</v>
      </c>
      <c r="AL12" s="23"/>
      <c r="AM12" s="26"/>
      <c r="AN12" s="23"/>
      <c r="AO12" s="23"/>
      <c r="AP12" s="23"/>
      <c r="AQ12" s="23"/>
      <c r="AR12" s="23"/>
      <c r="AS12" s="23"/>
      <c r="AT12" s="23"/>
    </row>
    <row r="13" spans="4:46" ht="18" customHeight="1" thickBot="1" x14ac:dyDescent="0.25">
      <c r="D13" s="732">
        <f t="shared" si="0"/>
        <v>0</v>
      </c>
      <c r="E13" s="732"/>
      <c r="F13" s="732"/>
      <c r="G13" s="749">
        <f t="shared" si="1"/>
        <v>0</v>
      </c>
      <c r="H13" s="749"/>
      <c r="I13" s="749"/>
      <c r="J13" s="754" t="s">
        <v>51</v>
      </c>
      <c r="K13" s="754"/>
      <c r="L13" s="754"/>
      <c r="M13" s="754"/>
      <c r="N13" s="754"/>
      <c r="O13" s="754"/>
      <c r="P13" s="754"/>
      <c r="Q13" s="33">
        <f>'[2]DATA ENTRY FORM'!$Q$13</f>
        <v>2</v>
      </c>
      <c r="R13" s="34" t="str">
        <f>'[3]DATA ENTRY FORM'!R13</f>
        <v>x</v>
      </c>
      <c r="S13" s="35">
        <f>'[2]DATA ENTRY FORM'!$S$13</f>
        <v>12</v>
      </c>
      <c r="W13" s="637">
        <f>'[2]DATA ENTRY FORM'!$W$13</f>
        <v>16</v>
      </c>
      <c r="X13" s="800" t="s">
        <v>743</v>
      </c>
      <c r="Y13" s="801"/>
      <c r="Z13" s="801"/>
      <c r="AA13" s="801"/>
      <c r="AH13" s="23"/>
      <c r="AI13" s="36">
        <f>SUM(((Q12-83.5)*(Q33)/12)/8)</f>
        <v>0.83333333333333337</v>
      </c>
      <c r="AJ13" s="23" t="s">
        <v>52</v>
      </c>
      <c r="AK13" s="32">
        <v>0.5</v>
      </c>
      <c r="AL13" s="23"/>
      <c r="AM13" s="26"/>
      <c r="AN13" s="23"/>
      <c r="AO13" s="23"/>
      <c r="AP13" s="23"/>
      <c r="AQ13" s="23"/>
      <c r="AR13" s="23"/>
      <c r="AS13" s="23"/>
      <c r="AT13" s="23"/>
    </row>
    <row r="14" spans="4:46" ht="18.75" x14ac:dyDescent="0.2">
      <c r="D14" s="732">
        <f t="shared" si="0"/>
        <v>0</v>
      </c>
      <c r="E14" s="732"/>
      <c r="F14" s="732"/>
      <c r="G14" s="749">
        <f t="shared" si="1"/>
        <v>0</v>
      </c>
      <c r="H14" s="749"/>
      <c r="I14" s="749"/>
      <c r="J14" s="754" t="s">
        <v>53</v>
      </c>
      <c r="K14" s="754"/>
      <c r="L14" s="754"/>
      <c r="M14" s="754"/>
      <c r="N14" s="754"/>
      <c r="O14" s="754"/>
      <c r="P14" s="754"/>
      <c r="Q14" s="797" t="str">
        <f>'[2]DATA ENTRY FORM'!$Q$14:$S$14</f>
        <v>Galv.</v>
      </c>
      <c r="R14" s="797"/>
      <c r="S14" s="797"/>
      <c r="T14" s="798" t="s">
        <v>54</v>
      </c>
      <c r="U14" s="798"/>
      <c r="V14" s="798"/>
      <c r="W14" s="638">
        <f>'[2]DATA ENTRY FORM'!$W$14</f>
        <v>0</v>
      </c>
      <c r="X14" s="799" t="s">
        <v>55</v>
      </c>
      <c r="Y14" s="799"/>
      <c r="Z14" s="799"/>
      <c r="AA14" s="799"/>
      <c r="AH14" s="23"/>
      <c r="AI14" s="37">
        <f>SUM(Q33)*(Q12-83.5)</f>
        <v>80</v>
      </c>
      <c r="AJ14" s="23" t="s">
        <v>56</v>
      </c>
      <c r="AK14" s="32">
        <v>0.33</v>
      </c>
      <c r="AL14" s="23"/>
      <c r="AM14" s="26" t="s">
        <v>725</v>
      </c>
      <c r="AN14" s="630">
        <v>0.42</v>
      </c>
      <c r="AO14" s="23"/>
      <c r="AP14" s="23"/>
      <c r="AQ14" s="23"/>
      <c r="AR14" s="23"/>
      <c r="AS14" s="23"/>
      <c r="AT14" s="23"/>
    </row>
    <row r="15" spans="4:46" ht="18.75" x14ac:dyDescent="0.2">
      <c r="D15" s="732">
        <f t="shared" si="0"/>
        <v>0</v>
      </c>
      <c r="E15" s="732"/>
      <c r="F15" s="732"/>
      <c r="G15" s="749">
        <f t="shared" si="1"/>
        <v>0</v>
      </c>
      <c r="H15" s="749"/>
      <c r="I15" s="749"/>
      <c r="J15" s="754" t="s">
        <v>57</v>
      </c>
      <c r="K15" s="754"/>
      <c r="L15" s="754"/>
      <c r="M15" s="754"/>
      <c r="N15" s="754"/>
      <c r="O15" s="754"/>
      <c r="P15" s="754"/>
      <c r="Q15" s="797" t="str">
        <f>'[2]DATA ENTRY FORM'!$Q$15:$S$15</f>
        <v>post and pier</v>
      </c>
      <c r="R15" s="797"/>
      <c r="S15" s="797"/>
      <c r="T15" s="20" t="s">
        <v>58</v>
      </c>
      <c r="U15" s="793" t="s">
        <v>59</v>
      </c>
      <c r="V15" s="793"/>
      <c r="W15" s="793"/>
      <c r="X15" s="793"/>
      <c r="Y15" s="793"/>
      <c r="Z15" s="793"/>
      <c r="AA15" s="793"/>
      <c r="AB15" s="793"/>
      <c r="AC15" s="793"/>
      <c r="AD15" s="793"/>
      <c r="AH15" s="23"/>
      <c r="AI15" s="23"/>
      <c r="AJ15" s="23" t="s">
        <v>60</v>
      </c>
      <c r="AK15" s="32">
        <v>0.25</v>
      </c>
      <c r="AL15" s="23"/>
      <c r="AM15" s="26"/>
      <c r="AN15" s="23"/>
      <c r="AO15" s="23"/>
      <c r="AP15" s="23"/>
      <c r="AQ15" s="23"/>
      <c r="AR15" s="23"/>
      <c r="AS15" s="23"/>
      <c r="AT15" s="23"/>
    </row>
    <row r="16" spans="4:46" x14ac:dyDescent="0.2">
      <c r="D16" s="38"/>
      <c r="E16" s="39"/>
      <c r="F16" s="29"/>
      <c r="G16" s="40"/>
      <c r="H16" s="40"/>
      <c r="I16" s="29"/>
      <c r="J16" s="29"/>
      <c r="K16" s="29"/>
      <c r="AH16" s="23"/>
      <c r="AI16" s="23"/>
      <c r="AJ16" s="23" t="s">
        <v>61</v>
      </c>
      <c r="AK16" s="32">
        <v>0.16</v>
      </c>
      <c r="AL16" s="23"/>
      <c r="AM16" s="26"/>
      <c r="AN16" s="23"/>
      <c r="AO16" s="23"/>
      <c r="AP16" s="23"/>
      <c r="AQ16" s="23"/>
      <c r="AR16" s="23"/>
      <c r="AS16" s="23"/>
      <c r="AT16" s="23"/>
    </row>
    <row r="17" spans="4:46" ht="23.25" x14ac:dyDescent="0.2">
      <c r="D17" s="38"/>
      <c r="E17" s="39"/>
      <c r="F17" s="795" t="s">
        <v>62</v>
      </c>
      <c r="G17" s="795"/>
      <c r="H17" s="795"/>
      <c r="I17" s="795"/>
      <c r="J17" s="795"/>
      <c r="K17" s="795"/>
      <c r="L17" s="795"/>
      <c r="M17" s="795"/>
      <c r="N17" s="795"/>
      <c r="O17" s="795"/>
      <c r="AH17" s="23"/>
      <c r="AI17" s="23"/>
      <c r="AJ17" s="23"/>
      <c r="AK17" s="23"/>
      <c r="AL17" s="23"/>
      <c r="AM17" s="26"/>
      <c r="AN17" s="23"/>
      <c r="AO17" s="23"/>
      <c r="AP17" s="23"/>
      <c r="AQ17" s="23"/>
      <c r="AR17" s="23"/>
      <c r="AS17" s="23"/>
      <c r="AT17" s="23"/>
    </row>
    <row r="18" spans="4:46" x14ac:dyDescent="0.2">
      <c r="D18" s="732">
        <f>$D$8</f>
        <v>0</v>
      </c>
      <c r="E18" s="732"/>
      <c r="F18" s="732"/>
      <c r="G18" s="749">
        <f>$G$8</f>
        <v>0</v>
      </c>
      <c r="H18" s="749"/>
      <c r="I18" s="749"/>
      <c r="J18" s="796" t="s">
        <v>63</v>
      </c>
      <c r="K18" s="796"/>
      <c r="L18" s="796"/>
      <c r="M18" s="796"/>
      <c r="N18" s="796"/>
      <c r="O18" s="796"/>
      <c r="P18" s="791" t="s">
        <v>64</v>
      </c>
      <c r="Q18" s="791"/>
      <c r="R18" s="791" t="s">
        <v>65</v>
      </c>
      <c r="S18" s="791"/>
      <c r="X18" s="20" t="s">
        <v>66</v>
      </c>
      <c r="AH18" s="23"/>
      <c r="AI18" s="23"/>
      <c r="AJ18" s="23"/>
      <c r="AK18" s="41"/>
      <c r="AL18" s="41"/>
      <c r="AM18" s="42"/>
      <c r="AN18" s="23"/>
      <c r="AO18" s="23"/>
      <c r="AP18" s="23"/>
      <c r="AQ18" s="23"/>
      <c r="AR18" s="23"/>
      <c r="AS18" s="23"/>
      <c r="AT18" s="23"/>
    </row>
    <row r="19" spans="4:46" x14ac:dyDescent="0.2">
      <c r="D19" s="732"/>
      <c r="E19" s="732"/>
      <c r="F19" s="732"/>
      <c r="G19" s="749"/>
      <c r="H19" s="749"/>
      <c r="I19" s="749"/>
      <c r="J19" s="796"/>
      <c r="K19" s="796"/>
      <c r="L19" s="796"/>
      <c r="M19" s="796"/>
      <c r="N19" s="796"/>
      <c r="O19" s="796"/>
      <c r="P19" s="794">
        <f>'[2]DATA ENTRY FORM'!$P$19:$Q$19</f>
        <v>6</v>
      </c>
      <c r="Q19" s="794"/>
      <c r="R19" s="794">
        <f>'[2]DATA ENTRY FORM'!$R$19:$S$19</f>
        <v>12</v>
      </c>
      <c r="S19" s="794"/>
      <c r="T19" s="19" t="s">
        <v>67</v>
      </c>
      <c r="X19" s="754"/>
      <c r="Y19" s="754"/>
      <c r="Z19" s="754"/>
      <c r="AA19" s="754"/>
      <c r="AB19" s="754"/>
      <c r="AH19" s="23"/>
      <c r="AI19" s="23"/>
      <c r="AJ19" s="23"/>
      <c r="AK19" s="41"/>
      <c r="AL19" s="41"/>
      <c r="AM19" s="42"/>
      <c r="AN19" s="23"/>
      <c r="AO19" s="23"/>
      <c r="AP19" s="23"/>
      <c r="AQ19" s="23"/>
      <c r="AR19" s="23"/>
      <c r="AS19" s="23"/>
      <c r="AT19" s="23"/>
    </row>
    <row r="20" spans="4:46" x14ac:dyDescent="0.2">
      <c r="D20" s="732">
        <f t="shared" ref="D20:D27" si="2">$D$8</f>
        <v>0</v>
      </c>
      <c r="E20" s="732"/>
      <c r="F20" s="732"/>
      <c r="G20" s="749">
        <f t="shared" ref="G20:G27" si="3">$G$8</f>
        <v>0</v>
      </c>
      <c r="H20" s="749"/>
      <c r="I20" s="749"/>
      <c r="J20" s="791" t="s">
        <v>68</v>
      </c>
      <c r="K20" s="791"/>
      <c r="L20" s="791"/>
      <c r="M20" s="791"/>
      <c r="N20" s="791"/>
      <c r="O20" s="791"/>
      <c r="P20" s="791"/>
      <c r="Q20" s="43">
        <f>'[2]DATA ENTRY FORM'!$Q$20</f>
        <v>2</v>
      </c>
      <c r="R20" s="44" t="s">
        <v>5</v>
      </c>
      <c r="S20" s="43">
        <f>'[2]DATA ENTRY FORM'!$S$20</f>
        <v>6</v>
      </c>
      <c r="T20" s="45">
        <v>28</v>
      </c>
      <c r="U20" s="46" t="s">
        <v>69</v>
      </c>
      <c r="X20" s="754"/>
      <c r="Y20" s="754"/>
      <c r="Z20" s="754"/>
      <c r="AA20" s="754"/>
      <c r="AB20" s="754"/>
      <c r="AH20" s="23"/>
      <c r="AI20" s="23">
        <f>SUM(Q32:Q33)</f>
        <v>8</v>
      </c>
      <c r="AJ20" s="23"/>
      <c r="AK20" s="41"/>
      <c r="AL20" s="41"/>
      <c r="AM20" s="42"/>
      <c r="AN20" s="23"/>
      <c r="AO20" s="23"/>
      <c r="AP20" s="23"/>
      <c r="AQ20" s="23"/>
      <c r="AR20" s="23"/>
      <c r="AS20" s="23"/>
      <c r="AT20" s="23"/>
    </row>
    <row r="21" spans="4:46" x14ac:dyDescent="0.2">
      <c r="D21" s="732">
        <f t="shared" si="2"/>
        <v>0</v>
      </c>
      <c r="E21" s="732"/>
      <c r="F21" s="732"/>
      <c r="G21" s="749">
        <f t="shared" si="3"/>
        <v>0</v>
      </c>
      <c r="H21" s="749"/>
      <c r="I21" s="749"/>
      <c r="J21" s="791" t="s">
        <v>70</v>
      </c>
      <c r="K21" s="791"/>
      <c r="L21" s="791"/>
      <c r="M21" s="791"/>
      <c r="N21" s="791"/>
      <c r="O21" s="791"/>
      <c r="P21" s="791"/>
      <c r="Q21" s="43">
        <f>'[2]DATA ENTRY FORM'!$Q$21</f>
        <v>0</v>
      </c>
      <c r="R21" s="44" t="s">
        <v>5</v>
      </c>
      <c r="S21" s="43">
        <f>'[2]DATA ENTRY FORM'!$S$21</f>
        <v>0</v>
      </c>
      <c r="T21" s="45">
        <f>SUM(AG57:AG59)</f>
        <v>0</v>
      </c>
      <c r="U21" s="46" t="s">
        <v>71</v>
      </c>
      <c r="X21" s="754"/>
      <c r="Y21" s="754"/>
      <c r="Z21" s="754"/>
      <c r="AA21" s="754"/>
      <c r="AB21" s="754"/>
      <c r="AH21" s="23"/>
      <c r="AI21" s="23"/>
      <c r="AJ21" s="23"/>
      <c r="AK21" s="41"/>
      <c r="AL21" s="41"/>
      <c r="AM21" s="42"/>
      <c r="AN21" s="23"/>
      <c r="AO21" s="23"/>
      <c r="AP21" s="23"/>
      <c r="AQ21" s="23"/>
      <c r="AR21" s="23"/>
      <c r="AS21" s="23"/>
      <c r="AT21" s="23"/>
    </row>
    <row r="22" spans="4:46" x14ac:dyDescent="0.2">
      <c r="D22" s="732">
        <f t="shared" si="2"/>
        <v>0</v>
      </c>
      <c r="E22" s="732"/>
      <c r="F22" s="732"/>
      <c r="G22" s="749">
        <f t="shared" si="3"/>
        <v>0</v>
      </c>
      <c r="H22" s="749"/>
      <c r="I22" s="749"/>
      <c r="J22" s="791" t="s">
        <v>72</v>
      </c>
      <c r="K22" s="791"/>
      <c r="L22" s="791"/>
      <c r="M22" s="791"/>
      <c r="N22" s="791"/>
      <c r="O22" s="791"/>
      <c r="P22" s="791"/>
      <c r="Q22" s="43">
        <f>'[2]DATA ENTRY FORM'!$Q$22</f>
        <v>2</v>
      </c>
      <c r="R22" s="44" t="s">
        <v>5</v>
      </c>
      <c r="S22" s="43">
        <f>'[2]DATA ENTRY FORM'!$S$22</f>
        <v>12</v>
      </c>
      <c r="T22" s="47">
        <f>'[2]DATA ENTRY FORM'!$T$22</f>
        <v>1</v>
      </c>
      <c r="X22" s="754"/>
      <c r="Y22" s="754"/>
      <c r="Z22" s="754"/>
      <c r="AA22" s="754"/>
      <c r="AB22" s="754"/>
      <c r="AH22" s="23"/>
      <c r="AI22" s="23"/>
      <c r="AJ22" s="23"/>
      <c r="AK22" s="41"/>
      <c r="AL22" s="48">
        <f>SUM(Q35-(Q33+31+Q34))+((Q33)*AK13)</f>
        <v>-8.5</v>
      </c>
      <c r="AM22" s="42"/>
      <c r="AN22" s="23"/>
      <c r="AO22" s="23"/>
      <c r="AP22" s="23"/>
      <c r="AQ22" s="23"/>
      <c r="AR22" s="23"/>
      <c r="AS22" s="23"/>
      <c r="AT22" s="23"/>
    </row>
    <row r="23" spans="4:46" x14ac:dyDescent="0.2">
      <c r="D23" s="732">
        <f t="shared" si="2"/>
        <v>0</v>
      </c>
      <c r="E23" s="732"/>
      <c r="F23" s="732"/>
      <c r="G23" s="749">
        <f t="shared" si="3"/>
        <v>0</v>
      </c>
      <c r="H23" s="749"/>
      <c r="I23" s="749"/>
      <c r="J23" s="791" t="s">
        <v>73</v>
      </c>
      <c r="K23" s="791"/>
      <c r="L23" s="791"/>
      <c r="M23" s="791"/>
      <c r="N23" s="791"/>
      <c r="O23" s="791"/>
      <c r="P23" s="791"/>
      <c r="Q23" s="794" t="str">
        <f>'[2]DATA ENTRY FORM'!$Q$23:$S$23</f>
        <v>6'8</v>
      </c>
      <c r="R23" s="794"/>
      <c r="S23" s="794"/>
      <c r="T23" s="19"/>
      <c r="X23" s="754"/>
      <c r="Y23" s="754"/>
      <c r="Z23" s="754"/>
      <c r="AA23" s="754"/>
      <c r="AB23" s="754"/>
      <c r="AH23" s="23"/>
      <c r="AI23" s="23"/>
      <c r="AJ23" s="23"/>
      <c r="AK23" s="41"/>
      <c r="AL23" s="41"/>
      <c r="AM23" s="42"/>
      <c r="AN23" s="23"/>
      <c r="AO23" s="23"/>
      <c r="AP23" s="23"/>
      <c r="AQ23" s="23"/>
      <c r="AR23" s="23"/>
      <c r="AS23" s="23"/>
      <c r="AT23" s="23"/>
    </row>
    <row r="24" spans="4:46" x14ac:dyDescent="0.2">
      <c r="D24" s="732">
        <f t="shared" si="2"/>
        <v>0</v>
      </c>
      <c r="E24" s="732"/>
      <c r="F24" s="732"/>
      <c r="G24" s="749">
        <f t="shared" si="3"/>
        <v>0</v>
      </c>
      <c r="H24" s="749"/>
      <c r="I24" s="749"/>
      <c r="J24" s="754" t="s">
        <v>74</v>
      </c>
      <c r="K24" s="754"/>
      <c r="L24" s="754"/>
      <c r="M24" s="754"/>
      <c r="N24" s="754"/>
      <c r="O24" s="754"/>
      <c r="P24" s="754"/>
      <c r="Q24" s="755" t="str">
        <f>'[2]DATA ENTRY FORM'!$Q$24:$S$24</f>
        <v>no</v>
      </c>
      <c r="R24" s="755"/>
      <c r="S24" s="755"/>
      <c r="AH24" s="23"/>
      <c r="AI24" s="23"/>
      <c r="AJ24" s="23"/>
      <c r="AK24" s="41"/>
      <c r="AL24" s="41"/>
      <c r="AM24" s="42"/>
      <c r="AN24" s="23"/>
      <c r="AO24" s="23"/>
      <c r="AP24" s="23"/>
      <c r="AQ24" s="23"/>
      <c r="AR24" s="23"/>
      <c r="AS24" s="23"/>
      <c r="AT24" s="23"/>
    </row>
    <row r="25" spans="4:46" x14ac:dyDescent="0.2">
      <c r="D25" s="732">
        <f t="shared" si="2"/>
        <v>0</v>
      </c>
      <c r="E25" s="732"/>
      <c r="F25" s="732"/>
      <c r="G25" s="749">
        <f t="shared" si="3"/>
        <v>0</v>
      </c>
      <c r="H25" s="749"/>
      <c r="I25" s="749"/>
      <c r="J25" s="754" t="s">
        <v>75</v>
      </c>
      <c r="K25" s="754"/>
      <c r="L25" s="754"/>
      <c r="M25" s="754"/>
      <c r="N25" s="754"/>
      <c r="O25" s="754"/>
      <c r="P25" s="754"/>
      <c r="Q25" s="755">
        <f>'[2]DATA ENTRY FORM'!$Q$25:$S$25</f>
        <v>0</v>
      </c>
      <c r="R25" s="755"/>
      <c r="S25" s="755"/>
      <c r="V25" s="49">
        <f>'[2]DATA ENTRY FORM'!$V$25</f>
        <v>0</v>
      </c>
      <c r="AH25" s="23"/>
      <c r="AI25" s="23"/>
      <c r="AJ25" s="23"/>
      <c r="AK25" s="41"/>
      <c r="AL25" s="41"/>
      <c r="AM25" s="42"/>
      <c r="AN25" s="23"/>
      <c r="AO25" s="23"/>
      <c r="AP25" s="23"/>
      <c r="AQ25" s="23"/>
      <c r="AR25" s="23"/>
      <c r="AS25" s="23"/>
      <c r="AT25" s="23"/>
    </row>
    <row r="26" spans="4:46" x14ac:dyDescent="0.2">
      <c r="D26" s="732">
        <f t="shared" si="2"/>
        <v>0</v>
      </c>
      <c r="E26" s="732"/>
      <c r="F26" s="732"/>
      <c r="G26" s="749">
        <f t="shared" si="3"/>
        <v>0</v>
      </c>
      <c r="H26" s="749"/>
      <c r="I26" s="749"/>
      <c r="J26" s="754" t="s">
        <v>76</v>
      </c>
      <c r="K26" s="754"/>
      <c r="L26" s="754"/>
      <c r="M26" s="754"/>
      <c r="N26" s="754"/>
      <c r="O26" s="754"/>
      <c r="P26" s="754"/>
      <c r="Q26" s="755">
        <f>'[2]DATA ENTRY FORM'!$Q$26:$S$26</f>
        <v>6</v>
      </c>
      <c r="R26" s="755"/>
      <c r="S26" s="755"/>
      <c r="T26" s="19"/>
      <c r="AH26" s="23"/>
      <c r="AI26" s="23"/>
      <c r="AJ26" s="23"/>
      <c r="AK26" s="41"/>
      <c r="AL26" s="41"/>
      <c r="AM26" s="42"/>
      <c r="AN26" s="23"/>
      <c r="AO26" s="23"/>
      <c r="AP26" s="23"/>
      <c r="AQ26" s="23"/>
      <c r="AR26" s="23"/>
      <c r="AS26" s="23"/>
      <c r="AT26" s="23"/>
    </row>
    <row r="27" spans="4:46" ht="18.75" x14ac:dyDescent="0.2">
      <c r="D27" s="732">
        <f t="shared" si="2"/>
        <v>0</v>
      </c>
      <c r="E27" s="732"/>
      <c r="F27" s="732"/>
      <c r="G27" s="749">
        <f t="shared" si="3"/>
        <v>0</v>
      </c>
      <c r="H27" s="749"/>
      <c r="I27" s="749"/>
      <c r="J27" s="791" t="s">
        <v>77</v>
      </c>
      <c r="K27" s="791"/>
      <c r="L27" s="791"/>
      <c r="M27" s="791"/>
      <c r="N27" s="791"/>
      <c r="O27" s="791"/>
      <c r="P27" s="791"/>
      <c r="Q27" s="792" t="str">
        <f>'[2]DATA ENTRY FORM'!$Q$27:$S$27</f>
        <v>Fir</v>
      </c>
      <c r="R27" s="792"/>
      <c r="S27" s="792"/>
      <c r="T27" s="50" t="s">
        <v>58</v>
      </c>
      <c r="U27" s="793" t="s">
        <v>78</v>
      </c>
      <c r="V27" s="793"/>
      <c r="W27" s="793"/>
      <c r="AH27" s="23"/>
      <c r="AI27" s="51">
        <f>IF(Q27="cedar",48,96)</f>
        <v>96</v>
      </c>
      <c r="AJ27" s="23"/>
      <c r="AK27" s="41"/>
      <c r="AL27" s="41"/>
      <c r="AM27" s="42"/>
      <c r="AN27" s="23"/>
      <c r="AO27" s="23"/>
      <c r="AP27" s="23"/>
      <c r="AQ27" s="23"/>
      <c r="AR27" s="23"/>
      <c r="AS27" s="23"/>
      <c r="AT27" s="23"/>
    </row>
    <row r="28" spans="4:46" x14ac:dyDescent="0.2">
      <c r="D28" s="38"/>
      <c r="E28" s="39"/>
      <c r="F28" s="52"/>
      <c r="G28" s="40"/>
      <c r="H28" s="40"/>
      <c r="I28" s="40"/>
      <c r="J28" s="40"/>
      <c r="AH28" s="23"/>
      <c r="AI28" s="23"/>
      <c r="AJ28" s="23"/>
      <c r="AK28" s="41"/>
      <c r="AL28" s="41"/>
      <c r="AM28" s="42"/>
      <c r="AN28" s="23"/>
      <c r="AO28" s="23"/>
      <c r="AP28" s="23"/>
      <c r="AQ28" s="23"/>
      <c r="AR28" s="23"/>
      <c r="AS28" s="23"/>
      <c r="AT28" s="23"/>
    </row>
    <row r="29" spans="4:46" ht="23.25" x14ac:dyDescent="0.2">
      <c r="D29" s="38"/>
      <c r="E29" s="39"/>
      <c r="F29" s="756" t="s">
        <v>79</v>
      </c>
      <c r="G29" s="756"/>
      <c r="H29" s="756"/>
      <c r="I29" s="756"/>
      <c r="J29" s="756"/>
      <c r="K29" s="756"/>
      <c r="L29" s="756"/>
      <c r="M29" s="756"/>
      <c r="N29" s="756"/>
      <c r="O29" s="756"/>
      <c r="P29" s="756"/>
      <c r="AH29" s="23"/>
      <c r="AI29" s="23"/>
      <c r="AJ29" s="23"/>
      <c r="AK29" s="41"/>
      <c r="AL29" s="41"/>
      <c r="AM29" s="42"/>
      <c r="AN29" s="23"/>
      <c r="AO29" s="23"/>
      <c r="AP29" s="23"/>
      <c r="AQ29" s="23"/>
      <c r="AR29" s="23"/>
      <c r="AS29" s="23"/>
      <c r="AT29" s="23"/>
    </row>
    <row r="30" spans="4:46" x14ac:dyDescent="0.2">
      <c r="D30" s="788" t="s">
        <v>80</v>
      </c>
      <c r="E30" s="788"/>
      <c r="F30" s="788"/>
      <c r="G30" s="788"/>
      <c r="H30" s="788"/>
      <c r="I30" s="788"/>
      <c r="J30" s="732" t="s">
        <v>81</v>
      </c>
      <c r="K30" s="732"/>
      <c r="L30" s="732"/>
      <c r="M30" s="732"/>
      <c r="N30" s="732"/>
      <c r="O30" s="732"/>
      <c r="P30" s="732"/>
      <c r="Q30" s="791" t="s">
        <v>82</v>
      </c>
      <c r="R30" s="791"/>
      <c r="S30" s="791"/>
      <c r="AH30" s="23"/>
      <c r="AI30" s="23" t="s">
        <v>83</v>
      </c>
      <c r="AJ30" s="23"/>
      <c r="AK30" s="41"/>
      <c r="AL30" s="41"/>
      <c r="AM30" s="42"/>
      <c r="AN30" s="23"/>
      <c r="AO30" s="23"/>
      <c r="AP30" s="23"/>
      <c r="AQ30" s="23"/>
      <c r="AR30" s="23"/>
      <c r="AS30" s="23"/>
      <c r="AT30" s="23"/>
    </row>
    <row r="31" spans="4:46" x14ac:dyDescent="0.2">
      <c r="D31" s="732">
        <f>$D$8</f>
        <v>0</v>
      </c>
      <c r="E31" s="732"/>
      <c r="F31" s="732"/>
      <c r="G31" s="749">
        <f>$G$8</f>
        <v>0</v>
      </c>
      <c r="H31" s="749"/>
      <c r="I31" s="749"/>
      <c r="J31" s="732" t="s">
        <v>84</v>
      </c>
      <c r="K31" s="732"/>
      <c r="L31" s="732"/>
      <c r="M31" s="732"/>
      <c r="N31" s="732"/>
      <c r="O31" s="732"/>
      <c r="P31" s="732"/>
      <c r="Q31" s="755">
        <f>'[2]DATA ENTRY FORM'!$Q$31:$S$31</f>
        <v>13</v>
      </c>
      <c r="R31" s="755"/>
      <c r="S31" s="755"/>
      <c r="AD31" s="53">
        <f>IF(Q11=96,0,IF(Q11=108,SUM((Q31-#REF!)-SUM(R51:S68))*2,(Q31*2)))</f>
        <v>26</v>
      </c>
      <c r="AH31" s="23"/>
      <c r="AI31" s="54">
        <f>IF(Q12=91.5,SUM((Q31+(2*J95))*(AI27+91.5)/12/16),SUM((Q31+(2*J95))*AI27)/12/16)</f>
        <v>7.5</v>
      </c>
      <c r="AJ31" s="23"/>
      <c r="AK31" s="41"/>
      <c r="AL31" s="41"/>
      <c r="AM31" s="42"/>
      <c r="AN31" s="23"/>
      <c r="AO31" s="23"/>
      <c r="AP31" s="23"/>
      <c r="AQ31" s="23"/>
      <c r="AR31" s="23"/>
      <c r="AS31" s="23"/>
      <c r="AT31" s="23"/>
    </row>
    <row r="32" spans="4:46" x14ac:dyDescent="0.2">
      <c r="D32" s="732">
        <f>$D$8</f>
        <v>0</v>
      </c>
      <c r="E32" s="732"/>
      <c r="F32" s="732"/>
      <c r="G32" s="749">
        <f>$G$8</f>
        <v>0</v>
      </c>
      <c r="H32" s="749"/>
      <c r="I32" s="749"/>
      <c r="J32" s="732" t="s">
        <v>85</v>
      </c>
      <c r="K32" s="732"/>
      <c r="L32" s="732"/>
      <c r="M32" s="732"/>
      <c r="N32" s="732"/>
      <c r="O32" s="732"/>
      <c r="P32" s="732"/>
      <c r="Q32" s="766">
        <f>SUM(P51:P67)</f>
        <v>7</v>
      </c>
      <c r="R32" s="766"/>
      <c r="S32" s="766"/>
      <c r="T32" s="770">
        <f>SUM(W51:X62)</f>
        <v>0</v>
      </c>
      <c r="U32" s="770"/>
      <c r="V32" s="770"/>
      <c r="W32" s="750" t="s">
        <v>86</v>
      </c>
      <c r="X32" s="750"/>
      <c r="Y32" s="750"/>
      <c r="Z32" s="750"/>
      <c r="AA32" s="750"/>
      <c r="AB32" s="750"/>
      <c r="AH32" s="23"/>
      <c r="AI32" s="54">
        <f>SUM(((Q32*AI27)/12/16)+AD68)</f>
        <v>16.740885416666664</v>
      </c>
      <c r="AJ32" s="23"/>
      <c r="AK32" s="41"/>
      <c r="AL32" s="41"/>
      <c r="AM32" s="55"/>
      <c r="AN32" s="23"/>
      <c r="AO32" s="23"/>
      <c r="AP32" s="23"/>
      <c r="AQ32" s="23"/>
      <c r="AR32" s="23"/>
      <c r="AS32" s="23"/>
      <c r="AT32" s="23"/>
    </row>
    <row r="33" spans="1:50" x14ac:dyDescent="0.2">
      <c r="D33" s="732">
        <f>$D$8</f>
        <v>0</v>
      </c>
      <c r="E33" s="732"/>
      <c r="F33" s="732"/>
      <c r="G33" s="749">
        <f>$G$8</f>
        <v>0</v>
      </c>
      <c r="H33" s="749"/>
      <c r="I33" s="749"/>
      <c r="J33" s="732" t="s">
        <v>87</v>
      </c>
      <c r="K33" s="732"/>
      <c r="L33" s="732"/>
      <c r="M33" s="732"/>
      <c r="N33" s="732"/>
      <c r="O33" s="732"/>
      <c r="P33" s="732"/>
      <c r="Q33" s="789">
        <f>J95</f>
        <v>1</v>
      </c>
      <c r="R33" s="789"/>
      <c r="S33" s="789"/>
      <c r="AH33" s="23"/>
      <c r="AI33" s="54">
        <f>SUM(Q33*((2*82)+41+(AI27)+Q12-82))/12/16</f>
        <v>1.9921875</v>
      </c>
      <c r="AJ33" s="23"/>
      <c r="AK33" s="23"/>
      <c r="AL33" s="23"/>
      <c r="AM33" s="23"/>
      <c r="AN33" s="23"/>
      <c r="AO33" s="23"/>
      <c r="AP33" s="23"/>
      <c r="AQ33" s="23"/>
      <c r="AR33" s="23"/>
      <c r="AS33" s="23"/>
      <c r="AT33" s="23"/>
    </row>
    <row r="34" spans="1:50" x14ac:dyDescent="0.2">
      <c r="D34" s="732">
        <f>$D$8</f>
        <v>0</v>
      </c>
      <c r="E34" s="732"/>
      <c r="F34" s="732"/>
      <c r="G34" s="749">
        <f>$G$8</f>
        <v>0</v>
      </c>
      <c r="H34" s="749"/>
      <c r="I34" s="749"/>
      <c r="J34" s="732" t="s">
        <v>88</v>
      </c>
      <c r="K34" s="732"/>
      <c r="L34" s="732"/>
      <c r="M34" s="732"/>
      <c r="N34" s="732"/>
      <c r="O34" s="732"/>
      <c r="P34" s="732"/>
      <c r="Q34" s="790">
        <f>IF(SUM(N98+V98)=0,0,SUM(N98+V98))</f>
        <v>1</v>
      </c>
      <c r="R34" s="790"/>
      <c r="S34" s="790"/>
      <c r="T34" s="755">
        <f>'[2]DATA ENTRY FORM'!$T$34:$V$34</f>
        <v>0</v>
      </c>
      <c r="U34" s="755"/>
      <c r="V34" s="755"/>
      <c r="W34" s="29" t="s">
        <v>89</v>
      </c>
      <c r="X34" s="29"/>
      <c r="Y34" s="29"/>
      <c r="Z34" s="29"/>
      <c r="AA34" s="29"/>
      <c r="AH34" s="23"/>
      <c r="AI34" s="56">
        <f>IF(Q34=0,0,SUM(Q34*(3.5*AI27)+(2*83)+(5*(Q12-91.5)))/12/16)</f>
        <v>4.489583333333333</v>
      </c>
      <c r="AJ34" s="23"/>
      <c r="AK34" s="23"/>
      <c r="AL34" s="23"/>
      <c r="AM34" s="23"/>
      <c r="AN34" s="23"/>
      <c r="AO34" s="23"/>
      <c r="AP34" s="23"/>
      <c r="AQ34" s="23"/>
      <c r="AR34" s="23"/>
      <c r="AS34" s="23"/>
      <c r="AT34" s="23"/>
    </row>
    <row r="35" spans="1:50" x14ac:dyDescent="0.2">
      <c r="D35" s="38"/>
      <c r="E35" s="39"/>
      <c r="F35" s="52"/>
      <c r="G35" s="19"/>
      <c r="H35" s="19"/>
      <c r="I35" s="19"/>
      <c r="J35" s="40"/>
      <c r="Q35" s="785">
        <f>SUM(Q31:Q33)+(Q34*3)</f>
        <v>24</v>
      </c>
      <c r="R35" s="785"/>
      <c r="S35" s="785"/>
      <c r="AH35" s="23"/>
      <c r="AI35" s="57">
        <f>SUM(AI31:AI34)+4</f>
        <v>34.72265625</v>
      </c>
      <c r="AJ35" s="786" t="s">
        <v>90</v>
      </c>
      <c r="AK35" s="786"/>
      <c r="AL35" s="786"/>
      <c r="AM35" s="786"/>
      <c r="AN35" s="23"/>
      <c r="AO35" s="23"/>
      <c r="AP35" s="23"/>
      <c r="AQ35" s="23"/>
      <c r="AR35" s="23"/>
      <c r="AS35" s="23"/>
      <c r="AT35" s="23"/>
    </row>
    <row r="36" spans="1:50" ht="27" customHeight="1" x14ac:dyDescent="0.2">
      <c r="D36" s="38"/>
      <c r="E36" s="39"/>
      <c r="F36" s="52"/>
      <c r="G36" s="19"/>
      <c r="H36" s="19"/>
      <c r="I36" s="19"/>
      <c r="J36" s="40"/>
      <c r="M36" s="787" t="str">
        <f>IF(Q35=AT10," ","Wall number does not match Yurt diameter!!!")</f>
        <v xml:space="preserve"> </v>
      </c>
      <c r="N36" s="787"/>
      <c r="O36" s="787"/>
      <c r="P36" s="787"/>
      <c r="Q36" s="787"/>
      <c r="R36" s="787"/>
      <c r="S36" s="787"/>
      <c r="T36" s="787"/>
      <c r="U36" s="787"/>
      <c r="V36" s="787"/>
      <c r="W36" s="787"/>
      <c r="AH36" s="23"/>
      <c r="AI36" s="59"/>
      <c r="AJ36" s="58"/>
      <c r="AK36" s="58"/>
      <c r="AL36" s="58"/>
      <c r="AM36" s="58"/>
      <c r="AN36" s="23"/>
      <c r="AO36" s="23"/>
      <c r="AP36" s="23"/>
      <c r="AQ36" s="23"/>
      <c r="AR36" s="23"/>
      <c r="AS36" s="23"/>
      <c r="AT36" s="23"/>
    </row>
    <row r="37" spans="1:50" x14ac:dyDescent="0.2">
      <c r="D37" s="38"/>
      <c r="E37" s="39"/>
      <c r="F37" s="52"/>
      <c r="G37" s="19"/>
      <c r="H37" s="19"/>
      <c r="I37" s="19"/>
      <c r="J37" s="40"/>
      <c r="Q37" s="60"/>
      <c r="R37" s="60"/>
      <c r="S37" s="60"/>
      <c r="AH37" s="23"/>
      <c r="AI37" s="59"/>
      <c r="AJ37" s="58"/>
      <c r="AK37" s="58"/>
      <c r="AL37" s="58"/>
      <c r="AM37" s="58"/>
      <c r="AN37" s="23"/>
      <c r="AO37" s="23"/>
      <c r="AP37" s="23"/>
      <c r="AQ37" s="23"/>
      <c r="AR37" s="23"/>
      <c r="AS37" s="23"/>
      <c r="AT37" s="23"/>
    </row>
    <row r="38" spans="1:50" ht="23.25" x14ac:dyDescent="0.2">
      <c r="D38" s="38"/>
      <c r="E38" s="39"/>
      <c r="F38" s="756" t="s">
        <v>30</v>
      </c>
      <c r="G38" s="756"/>
      <c r="H38" s="756"/>
      <c r="I38" s="756"/>
      <c r="J38" s="756"/>
      <c r="K38" s="756"/>
      <c r="L38" s="756"/>
      <c r="M38" s="756"/>
      <c r="N38" s="756"/>
      <c r="O38" s="756"/>
      <c r="P38" s="756"/>
      <c r="AH38" s="23"/>
      <c r="AI38" s="31"/>
      <c r="AJ38" s="23"/>
      <c r="AK38" s="23"/>
      <c r="AL38" s="23"/>
      <c r="AM38" s="23"/>
      <c r="AN38" s="23"/>
      <c r="AO38" s="23"/>
      <c r="AP38" s="23"/>
      <c r="AQ38" s="23"/>
      <c r="AR38" s="23"/>
      <c r="AS38" s="23"/>
      <c r="AT38" s="23"/>
    </row>
    <row r="39" spans="1:50" x14ac:dyDescent="0.2">
      <c r="D39" s="788" t="s">
        <v>91</v>
      </c>
      <c r="E39" s="788"/>
      <c r="F39" s="788"/>
      <c r="G39" s="788"/>
      <c r="H39" s="788"/>
      <c r="I39" s="788"/>
      <c r="Q39" s="750" t="s">
        <v>92</v>
      </c>
      <c r="R39" s="750"/>
      <c r="S39" s="20" t="s">
        <v>93</v>
      </c>
      <c r="T39" s="750" t="s">
        <v>92</v>
      </c>
      <c r="U39" s="750"/>
      <c r="V39" s="20" t="s">
        <v>93</v>
      </c>
      <c r="W39" s="750" t="s">
        <v>92</v>
      </c>
      <c r="X39" s="750"/>
      <c r="Y39" s="20" t="s">
        <v>93</v>
      </c>
      <c r="AH39" s="23"/>
      <c r="AI39" s="23"/>
      <c r="AJ39" s="23"/>
      <c r="AK39" s="23"/>
      <c r="AL39" s="23"/>
      <c r="AM39" s="23"/>
      <c r="AN39" s="23"/>
      <c r="AO39" s="23"/>
      <c r="AP39" s="23"/>
      <c r="AQ39" s="23"/>
      <c r="AR39" s="23"/>
      <c r="AS39" s="23"/>
      <c r="AT39" s="23"/>
    </row>
    <row r="40" spans="1:50" x14ac:dyDescent="0.2">
      <c r="D40" s="732">
        <f t="shared" ref="D40:D46" si="4">$D$8</f>
        <v>0</v>
      </c>
      <c r="E40" s="732"/>
      <c r="F40" s="732"/>
      <c r="G40" s="749">
        <f t="shared" ref="G40:G46" si="5">$G$8</f>
        <v>0</v>
      </c>
      <c r="H40" s="749"/>
      <c r="I40" s="749"/>
      <c r="J40" s="754" t="s">
        <v>94</v>
      </c>
      <c r="K40" s="754"/>
      <c r="L40" s="754"/>
      <c r="M40" s="754"/>
      <c r="N40" s="754"/>
      <c r="O40" s="754"/>
      <c r="P40" s="754"/>
      <c r="Q40" s="784" t="s">
        <v>95</v>
      </c>
      <c r="R40" s="784"/>
      <c r="S40" s="61">
        <f>'[2]DATA ENTRY FORM'!$S$40</f>
        <v>0</v>
      </c>
      <c r="T40" s="784" t="s">
        <v>96</v>
      </c>
      <c r="U40" s="784"/>
      <c r="V40" s="61">
        <f>'[2]DATA ENTRY FORM'!$V$40</f>
        <v>2</v>
      </c>
      <c r="W40" s="784" t="s">
        <v>97</v>
      </c>
      <c r="X40" s="784"/>
      <c r="Y40" s="61">
        <f>'[2]DATA ENTRY FORM'!$Y$40</f>
        <v>0</v>
      </c>
      <c r="Z40" s="62">
        <f>'[2]DATA ENTRY FORM'!$Z$40</f>
        <v>0</v>
      </c>
      <c r="AH40" s="23"/>
      <c r="AI40" s="23"/>
      <c r="AJ40" s="23"/>
      <c r="AK40" s="23"/>
      <c r="AL40" s="23"/>
      <c r="AM40" s="23"/>
      <c r="AN40" s="23"/>
      <c r="AO40" s="23"/>
      <c r="AP40" s="23"/>
      <c r="AQ40" s="23"/>
      <c r="AR40" s="23"/>
      <c r="AS40" s="23"/>
      <c r="AT40" s="23"/>
    </row>
    <row r="41" spans="1:50" x14ac:dyDescent="0.2">
      <c r="D41" s="732">
        <f t="shared" si="4"/>
        <v>0</v>
      </c>
      <c r="E41" s="732"/>
      <c r="F41" s="732"/>
      <c r="G41" s="749">
        <f t="shared" si="5"/>
        <v>0</v>
      </c>
      <c r="H41" s="749"/>
      <c r="I41" s="749"/>
      <c r="J41" s="754" t="s">
        <v>98</v>
      </c>
      <c r="K41" s="754"/>
      <c r="L41" s="754"/>
      <c r="M41" s="754"/>
      <c r="N41" s="754"/>
      <c r="O41" s="754"/>
      <c r="P41" s="754"/>
      <c r="Q41" s="773">
        <f>'[2]DATA ENTRY FORM'!$Q$41:$S$41</f>
        <v>0</v>
      </c>
      <c r="R41" s="773"/>
      <c r="S41" s="773"/>
      <c r="T41" s="20" t="s">
        <v>99</v>
      </c>
      <c r="AH41" s="23"/>
      <c r="AI41" s="23"/>
      <c r="AJ41" s="23"/>
      <c r="AK41" s="23"/>
      <c r="AL41" s="23"/>
      <c r="AM41" s="23"/>
      <c r="AN41" s="23"/>
      <c r="AO41" s="23"/>
      <c r="AP41" s="23"/>
      <c r="AQ41" s="23"/>
      <c r="AR41" s="23"/>
      <c r="AS41" s="23"/>
      <c r="AT41" s="23">
        <v>97</v>
      </c>
      <c r="AU41" s="20">
        <v>160</v>
      </c>
      <c r="AV41" s="20">
        <v>238</v>
      </c>
      <c r="AW41" s="20">
        <v>305</v>
      </c>
      <c r="AX41" s="20">
        <v>414</v>
      </c>
    </row>
    <row r="42" spans="1:50" x14ac:dyDescent="0.2">
      <c r="A42" s="19" t="s">
        <v>100</v>
      </c>
      <c r="D42" s="732">
        <f t="shared" si="4"/>
        <v>0</v>
      </c>
      <c r="E42" s="732"/>
      <c r="F42" s="732"/>
      <c r="G42" s="749">
        <f t="shared" si="5"/>
        <v>0</v>
      </c>
      <c r="H42" s="749"/>
      <c r="I42" s="749"/>
      <c r="J42" s="754" t="s">
        <v>101</v>
      </c>
      <c r="K42" s="754"/>
      <c r="L42" s="754"/>
      <c r="M42" s="754"/>
      <c r="N42" s="754"/>
      <c r="O42" s="754"/>
      <c r="P42" s="754"/>
      <c r="Q42" s="783">
        <f>'[2]DATA ENTRY FORM'!$Q$42</f>
        <v>0</v>
      </c>
      <c r="R42" s="783"/>
      <c r="S42" s="783"/>
      <c r="T42" s="63">
        <f>'[2]DATA ENTRY FORM'!$T$42</f>
        <v>0</v>
      </c>
      <c r="U42" s="20" t="s">
        <v>102</v>
      </c>
      <c r="AH42" s="23"/>
      <c r="AI42" s="23"/>
      <c r="AJ42" s="23"/>
      <c r="AK42" s="23"/>
      <c r="AL42" s="23"/>
      <c r="AM42" s="23"/>
      <c r="AN42" s="23"/>
      <c r="AO42" s="23"/>
      <c r="AP42" s="23"/>
      <c r="AQ42" s="23"/>
      <c r="AR42" s="23"/>
      <c r="AS42" s="23"/>
      <c r="AT42" s="23"/>
    </row>
    <row r="43" spans="1:50" x14ac:dyDescent="0.2">
      <c r="D43" s="732">
        <f t="shared" si="4"/>
        <v>0</v>
      </c>
      <c r="E43" s="732"/>
      <c r="F43" s="732"/>
      <c r="G43" s="749">
        <f t="shared" si="5"/>
        <v>0</v>
      </c>
      <c r="H43" s="749"/>
      <c r="I43" s="749"/>
      <c r="J43" s="754" t="s">
        <v>103</v>
      </c>
      <c r="K43" s="754"/>
      <c r="L43" s="754"/>
      <c r="M43" s="754"/>
      <c r="N43" s="754"/>
      <c r="O43" s="754"/>
      <c r="P43" s="754"/>
      <c r="Q43" s="773" t="str">
        <f>'[2]DATA ENTRY FORM'!$Q$43:$S$43</f>
        <v>yes</v>
      </c>
      <c r="R43" s="773"/>
      <c r="S43" s="773"/>
      <c r="AH43" s="23"/>
      <c r="AI43" s="23"/>
      <c r="AJ43" s="23"/>
      <c r="AK43" s="23"/>
      <c r="AL43" s="23"/>
      <c r="AM43" s="23"/>
      <c r="AN43" s="23"/>
      <c r="AO43" s="23"/>
      <c r="AP43" s="23"/>
      <c r="AQ43" s="23"/>
      <c r="AR43" s="23"/>
      <c r="AS43" s="23"/>
      <c r="AT43" s="51">
        <f>IF(Q10=20,AT41,IF(Q10=25,AU41,IF(Q10=30,AV41,IF(Q10=35,AW41,IF(Q10&gt;39,AX41,0)))))</f>
        <v>238</v>
      </c>
    </row>
    <row r="44" spans="1:50" x14ac:dyDescent="0.2">
      <c r="D44" s="732">
        <f t="shared" si="4"/>
        <v>0</v>
      </c>
      <c r="E44" s="732"/>
      <c r="F44" s="732"/>
      <c r="G44" s="749">
        <f t="shared" si="5"/>
        <v>0</v>
      </c>
      <c r="H44" s="749"/>
      <c r="I44" s="749"/>
      <c r="J44" s="754" t="s">
        <v>104</v>
      </c>
      <c r="K44" s="754"/>
      <c r="L44" s="754"/>
      <c r="M44" s="754"/>
      <c r="N44" s="754"/>
      <c r="O44" s="754"/>
      <c r="P44" s="754"/>
      <c r="Q44" s="773" t="str">
        <f>'[2]DATA ENTRY FORM'!$Q$44</f>
        <v>yes</v>
      </c>
      <c r="R44" s="773"/>
      <c r="S44" s="773"/>
      <c r="V44" s="774" t="s">
        <v>105</v>
      </c>
      <c r="W44" s="774"/>
      <c r="X44" s="774"/>
      <c r="Y44" s="775" t="str">
        <f>'[2]DATA ENTRY FORM'!$X$44</f>
        <v>Pine T&amp;G</v>
      </c>
      <c r="Z44" s="775"/>
      <c r="AA44" s="775"/>
      <c r="AH44" s="23"/>
      <c r="AI44" s="23"/>
      <c r="AJ44" s="23"/>
      <c r="AK44" s="23"/>
      <c r="AL44" s="23"/>
      <c r="AM44" s="23"/>
      <c r="AN44" s="23"/>
      <c r="AO44" s="23"/>
      <c r="AP44" s="23"/>
      <c r="AQ44" s="23"/>
      <c r="AR44" s="23"/>
      <c r="AS44" s="23"/>
      <c r="AT44" s="23"/>
    </row>
    <row r="45" spans="1:50" x14ac:dyDescent="0.2">
      <c r="D45" s="732">
        <f t="shared" si="4"/>
        <v>0</v>
      </c>
      <c r="E45" s="732"/>
      <c r="F45" s="732"/>
      <c r="G45" s="749">
        <f t="shared" si="5"/>
        <v>0</v>
      </c>
      <c r="H45" s="749"/>
      <c r="I45" s="749"/>
      <c r="J45" s="754" t="s">
        <v>106</v>
      </c>
      <c r="K45" s="754"/>
      <c r="L45" s="754"/>
      <c r="M45" s="754"/>
      <c r="N45" s="754"/>
      <c r="O45" s="754"/>
      <c r="P45" s="754"/>
      <c r="Q45" s="773" t="str">
        <f>'[2]DATA ENTRY FORM'!$Q$45</f>
        <v>yes</v>
      </c>
      <c r="R45" s="773"/>
      <c r="S45" s="773"/>
      <c r="AH45" s="23"/>
      <c r="AI45" s="23"/>
      <c r="AJ45" s="23"/>
      <c r="AK45" s="23"/>
      <c r="AL45" s="23"/>
      <c r="AM45" s="23"/>
      <c r="AN45" s="23"/>
      <c r="AO45" s="23"/>
      <c r="AP45" s="23"/>
      <c r="AQ45" s="23"/>
      <c r="AR45" s="23"/>
      <c r="AS45" s="23"/>
      <c r="AT45" s="23"/>
    </row>
    <row r="46" spans="1:50" x14ac:dyDescent="0.2">
      <c r="D46" s="732">
        <f t="shared" si="4"/>
        <v>0</v>
      </c>
      <c r="E46" s="732"/>
      <c r="F46" s="732"/>
      <c r="G46" s="749">
        <f t="shared" si="5"/>
        <v>0</v>
      </c>
      <c r="H46" s="749"/>
      <c r="I46" s="749"/>
      <c r="J46" s="754" t="s">
        <v>107</v>
      </c>
      <c r="K46" s="754"/>
      <c r="L46" s="754"/>
      <c r="M46" s="754"/>
      <c r="N46" s="754"/>
      <c r="O46" s="754"/>
      <c r="P46" s="754"/>
      <c r="Q46" s="773" t="str">
        <f>'[2]DATA ENTRY FORM'!$Q$46</f>
        <v>yes</v>
      </c>
      <c r="R46" s="773"/>
      <c r="S46" s="773"/>
      <c r="AH46" s="23"/>
      <c r="AI46" s="23"/>
      <c r="AJ46" s="23"/>
      <c r="AK46" s="23"/>
      <c r="AL46" s="23"/>
      <c r="AM46" s="23"/>
      <c r="AN46" s="23"/>
      <c r="AO46" s="23"/>
      <c r="AP46" s="23"/>
      <c r="AQ46" s="23"/>
      <c r="AR46" s="23"/>
      <c r="AS46" s="23"/>
      <c r="AT46" s="23"/>
    </row>
    <row r="47" spans="1:50" x14ac:dyDescent="0.2">
      <c r="D47" s="38"/>
      <c r="E47" s="39"/>
      <c r="F47" s="52"/>
      <c r="G47" s="40"/>
      <c r="H47" s="40"/>
      <c r="I47" s="40"/>
      <c r="J47" s="40"/>
      <c r="R47" s="19"/>
    </row>
    <row r="48" spans="1:50" ht="12.75" customHeight="1" x14ac:dyDescent="0.2">
      <c r="D48" s="776" t="s">
        <v>109</v>
      </c>
      <c r="E48" s="776"/>
      <c r="F48" s="776"/>
      <c r="G48" s="776"/>
      <c r="H48" s="776"/>
      <c r="I48" s="776"/>
      <c r="J48" s="776"/>
      <c r="K48" s="776"/>
      <c r="L48" s="776"/>
      <c r="M48" s="776"/>
      <c r="N48" s="776"/>
      <c r="O48" s="776"/>
      <c r="P48" s="776"/>
      <c r="Q48" s="65"/>
      <c r="R48" s="65"/>
      <c r="S48" s="65"/>
    </row>
    <row r="49" spans="2:256" ht="16.7" customHeight="1" x14ac:dyDescent="0.2">
      <c r="D49" s="64"/>
      <c r="E49" s="64"/>
      <c r="F49" s="64"/>
      <c r="G49" s="64"/>
      <c r="H49" s="64"/>
      <c r="I49" s="64"/>
      <c r="J49" s="64"/>
      <c r="K49" s="64"/>
      <c r="L49" s="64"/>
      <c r="M49" s="64"/>
      <c r="N49" s="64"/>
      <c r="O49" s="64"/>
      <c r="P49" s="64"/>
      <c r="Q49" s="65"/>
      <c r="R49" s="65"/>
      <c r="S49" s="65"/>
    </row>
    <row r="50" spans="2:256" ht="77.650000000000006" customHeight="1" x14ac:dyDescent="0.2">
      <c r="C50" s="19"/>
      <c r="D50" s="777" t="s">
        <v>43</v>
      </c>
      <c r="E50" s="777"/>
      <c r="F50" s="777"/>
      <c r="G50" s="778" t="s">
        <v>44</v>
      </c>
      <c r="H50" s="778"/>
      <c r="I50" s="778"/>
      <c r="J50" s="779" t="s">
        <v>110</v>
      </c>
      <c r="K50" s="779"/>
      <c r="L50" s="779" t="s">
        <v>111</v>
      </c>
      <c r="M50" s="779"/>
      <c r="N50" s="780" t="s">
        <v>112</v>
      </c>
      <c r="O50" s="780"/>
      <c r="P50" s="65" t="s">
        <v>113</v>
      </c>
      <c r="Q50" s="65" t="s">
        <v>114</v>
      </c>
      <c r="R50" s="779" t="s">
        <v>115</v>
      </c>
      <c r="S50" s="779"/>
      <c r="T50" s="781" t="s">
        <v>116</v>
      </c>
      <c r="U50" s="781"/>
      <c r="V50" s="781"/>
      <c r="W50" s="782" t="s">
        <v>117</v>
      </c>
      <c r="X50" s="782"/>
      <c r="Y50" s="772" t="s">
        <v>118</v>
      </c>
      <c r="Z50" s="772"/>
      <c r="AB50" s="20" t="s">
        <v>119</v>
      </c>
      <c r="AD50" s="20" t="s">
        <v>120</v>
      </c>
      <c r="IL50" s="19"/>
      <c r="IM50" s="19"/>
      <c r="IN50" s="19"/>
      <c r="IO50" s="19"/>
      <c r="IP50" s="19"/>
      <c r="IQ50" s="19"/>
      <c r="IR50" s="19"/>
      <c r="IS50" s="19"/>
      <c r="IT50" s="19"/>
      <c r="IU50" s="19"/>
      <c r="IV50" s="19"/>
    </row>
    <row r="51" spans="2:256" ht="12.75" customHeight="1" x14ac:dyDescent="0.2">
      <c r="B51" s="771" t="s">
        <v>121</v>
      </c>
      <c r="C51" s="771"/>
      <c r="D51" s="732">
        <f t="shared" ref="D51:D73" si="6">IF(P51&gt;0,$D$8," ")</f>
        <v>0</v>
      </c>
      <c r="E51" s="732"/>
      <c r="F51" s="732"/>
      <c r="G51" s="749">
        <f t="shared" ref="G51:G73" si="7">IF(P51&gt;0,$G$8," ")</f>
        <v>0</v>
      </c>
      <c r="H51" s="749"/>
      <c r="I51" s="749"/>
      <c r="J51" s="766" t="str">
        <f>'[2]DATA ENTRY FORM'!$J$61:$X$61</f>
        <v>42</v>
      </c>
      <c r="K51" s="766"/>
      <c r="L51" s="755">
        <f>'[2]DATA ENTRY FORM'!$L$61:$M$61</f>
        <v>57</v>
      </c>
      <c r="M51" s="755"/>
      <c r="N51" s="755">
        <f>'[2]DATA ENTRY FORM'!$N$61:$O$61</f>
        <v>23</v>
      </c>
      <c r="O51" s="755" t="e">
        <f>'[3]DATA ENTRY FORM'!O61</f>
        <v>#REF!</v>
      </c>
      <c r="P51" s="28">
        <f>'[2]DATA ENTRY FORM'!$P$61</f>
        <v>1</v>
      </c>
      <c r="Q51" s="28" t="str">
        <f>'[2]DATA ENTRY FORM'!$Q$61</f>
        <v>Single Hung</v>
      </c>
      <c r="R51" s="755">
        <f>'[2]DATA ENTRY FORM'!$R$61:$S$61</f>
        <v>0</v>
      </c>
      <c r="S51" s="755"/>
      <c r="T51" s="755">
        <f>'[2]DATA ENTRY FORM'!$T$61:$V$61</f>
        <v>0</v>
      </c>
      <c r="U51" s="755"/>
      <c r="V51" s="755"/>
      <c r="W51" s="755">
        <f>'[2]DATA ENTRY FORM'!$W$61:$X$61</f>
        <v>0</v>
      </c>
      <c r="X51" s="755"/>
      <c r="Y51" s="770">
        <f t="shared" ref="Y51:Y67" si="8">IF(N51=0," ",IF($N51&gt;0,IF($Q$11-($L51+N51)&gt;8.75,SUM($L51+N51+8.75)," ")," "))</f>
        <v>88.75</v>
      </c>
      <c r="Z51" s="770"/>
      <c r="AB51" s="46">
        <f t="shared" ref="AB51:AB67" si="9">IF($Q$11=96," ",IF(Y51&lt;97,(2*P51)," "))</f>
        <v>2</v>
      </c>
      <c r="AD51" s="66">
        <f t="shared" ref="AD51:AD67" si="10">IF(N51&gt;0,IF(N51&gt;0,SUM(P51*((N51*3)+(L51*2)+(45*2)+($Q$12-Y51))))/12/16," ")</f>
        <v>1.8111979166666667</v>
      </c>
      <c r="AE51" s="19"/>
      <c r="AF51" s="19"/>
      <c r="AG51" s="46">
        <f>SUM(P51:P62)</f>
        <v>1</v>
      </c>
      <c r="AH51" s="20" t="s">
        <v>122</v>
      </c>
      <c r="IL51" s="19"/>
      <c r="IM51" s="19"/>
      <c r="IN51" s="19"/>
      <c r="IO51" s="19"/>
      <c r="IP51" s="19"/>
      <c r="IQ51" s="19"/>
      <c r="IR51" s="19"/>
      <c r="IS51" s="19"/>
      <c r="IT51" s="19"/>
      <c r="IU51" s="19"/>
      <c r="IV51" s="19"/>
    </row>
    <row r="52" spans="2:256" ht="21.6" customHeight="1" x14ac:dyDescent="0.2">
      <c r="B52" s="771"/>
      <c r="C52" s="771"/>
      <c r="D52" s="732" t="str">
        <f t="shared" si="6"/>
        <v xml:space="preserve"> </v>
      </c>
      <c r="E52" s="732"/>
      <c r="F52" s="732"/>
      <c r="G52" s="749" t="str">
        <f t="shared" si="7"/>
        <v xml:space="preserve"> </v>
      </c>
      <c r="H52" s="749"/>
      <c r="I52" s="749"/>
      <c r="J52" s="766" t="str">
        <f>'[2]DATA ENTRY FORM'!$J$62:$K$62</f>
        <v xml:space="preserve"> </v>
      </c>
      <c r="K52" s="766"/>
      <c r="L52" s="755">
        <f>'[2]DATA ENTRY FORM'!$L$62:$M$62</f>
        <v>0</v>
      </c>
      <c r="M52" s="755"/>
      <c r="N52" s="755">
        <f>'[2]DATA ENTRY FORM'!$N$62:$O$62</f>
        <v>0</v>
      </c>
      <c r="O52" s="755"/>
      <c r="P52" s="28">
        <f>'[2]DATA ENTRY FORM'!$P$62</f>
        <v>0</v>
      </c>
      <c r="Q52" s="28">
        <f>'[2]DATA ENTRY FORM'!$Q$62</f>
        <v>0</v>
      </c>
      <c r="R52" s="755">
        <f>'[2]DATA ENTRY FORM'!$R$62:$S$62</f>
        <v>0</v>
      </c>
      <c r="S52" s="755"/>
      <c r="T52" s="755">
        <f>'[2]DATA ENTRY FORM'!$T$62:$V$62</f>
        <v>0</v>
      </c>
      <c r="U52" s="755"/>
      <c r="V52" s="755"/>
      <c r="W52" s="755">
        <f>'[2]DATA ENTRY FORM'!$W$62:$X$62</f>
        <v>0</v>
      </c>
      <c r="X52" s="755"/>
      <c r="Y52" s="770" t="str">
        <f t="shared" si="8"/>
        <v xml:space="preserve"> </v>
      </c>
      <c r="Z52" s="770"/>
      <c r="AB52" s="46" t="str">
        <f t="shared" si="9"/>
        <v xml:space="preserve"> </v>
      </c>
      <c r="AD52" s="66" t="str">
        <f t="shared" si="10"/>
        <v xml:space="preserve"> </v>
      </c>
      <c r="AE52" s="19"/>
      <c r="AF52" s="19"/>
      <c r="AG52" s="46">
        <f>SUM(P63:P67)</f>
        <v>6</v>
      </c>
      <c r="AH52" s="20" t="s">
        <v>123</v>
      </c>
      <c r="IL52" s="19"/>
      <c r="IM52" s="19"/>
      <c r="IN52" s="19"/>
      <c r="IO52" s="19"/>
      <c r="IP52" s="19"/>
      <c r="IQ52" s="19"/>
      <c r="IR52" s="19"/>
      <c r="IS52" s="19"/>
      <c r="IT52" s="19"/>
      <c r="IU52" s="19"/>
      <c r="IV52" s="19"/>
    </row>
    <row r="53" spans="2:256" ht="15" customHeight="1" x14ac:dyDescent="0.2">
      <c r="B53" s="771"/>
      <c r="C53" s="771"/>
      <c r="D53" s="732" t="str">
        <f t="shared" si="6"/>
        <v xml:space="preserve"> </v>
      </c>
      <c r="E53" s="732"/>
      <c r="F53" s="732"/>
      <c r="G53" s="749" t="str">
        <f t="shared" si="7"/>
        <v xml:space="preserve"> </v>
      </c>
      <c r="H53" s="749"/>
      <c r="I53" s="749"/>
      <c r="J53" s="766" t="str">
        <f>'[2]DATA ENTRY FORM'!$J$63:$K$63</f>
        <v xml:space="preserve"> </v>
      </c>
      <c r="K53" s="766"/>
      <c r="L53" s="755">
        <f>'[2]DATA ENTRY FORM'!$L$63:$M$63</f>
        <v>0</v>
      </c>
      <c r="M53" s="755"/>
      <c r="N53" s="755">
        <f>'[2]DATA ENTRY FORM'!$N$63:$O$63</f>
        <v>0</v>
      </c>
      <c r="O53" s="755"/>
      <c r="P53" s="28">
        <f>'[2]DATA ENTRY FORM'!$P$63</f>
        <v>0</v>
      </c>
      <c r="Q53" s="28">
        <f>'[2]DATA ENTRY FORM'!$Q$63</f>
        <v>0</v>
      </c>
      <c r="R53" s="755">
        <f>'[2]DATA ENTRY FORM'!$R$63:$S$63</f>
        <v>0</v>
      </c>
      <c r="S53" s="755"/>
      <c r="T53" s="755">
        <f>'[2]DATA ENTRY FORM'!$T$63:$V$63</f>
        <v>0</v>
      </c>
      <c r="U53" s="755"/>
      <c r="V53" s="755"/>
      <c r="W53" s="755">
        <f>'[2]DATA ENTRY FORM'!$W$63:$X$63</f>
        <v>0</v>
      </c>
      <c r="X53" s="755"/>
      <c r="Y53" s="770" t="str">
        <f t="shared" si="8"/>
        <v xml:space="preserve"> </v>
      </c>
      <c r="Z53" s="770"/>
      <c r="AB53" s="46" t="str">
        <f t="shared" si="9"/>
        <v xml:space="preserve"> </v>
      </c>
      <c r="AD53" s="66" t="str">
        <f t="shared" si="10"/>
        <v xml:space="preserve"> </v>
      </c>
      <c r="AE53" s="19"/>
      <c r="AF53" s="19"/>
      <c r="AG53" s="46">
        <f>SUM(P68:P70)</f>
        <v>1</v>
      </c>
      <c r="AH53" s="20" t="s">
        <v>124</v>
      </c>
      <c r="IL53" s="19"/>
      <c r="IM53" s="19"/>
      <c r="IN53" s="19"/>
      <c r="IO53" s="19"/>
      <c r="IP53" s="19"/>
      <c r="IQ53" s="19"/>
      <c r="IR53" s="19"/>
      <c r="IS53" s="19"/>
      <c r="IT53" s="19"/>
      <c r="IU53" s="19"/>
      <c r="IV53" s="19"/>
    </row>
    <row r="54" spans="2:256" ht="15" customHeight="1" x14ac:dyDescent="0.2">
      <c r="B54" s="771"/>
      <c r="C54" s="771"/>
      <c r="D54" s="732" t="str">
        <f t="shared" si="6"/>
        <v xml:space="preserve"> </v>
      </c>
      <c r="E54" s="732"/>
      <c r="F54" s="732"/>
      <c r="G54" s="749" t="str">
        <f t="shared" si="7"/>
        <v xml:space="preserve"> </v>
      </c>
      <c r="H54" s="749"/>
      <c r="I54" s="749"/>
      <c r="J54" s="766" t="str">
        <f>'[2]DATA ENTRY FORM'!$J$64:$K$64</f>
        <v xml:space="preserve"> </v>
      </c>
      <c r="K54" s="766"/>
      <c r="L54" s="755">
        <f>'[2]DATA ENTRY FORM'!$L$64:$M$64</f>
        <v>0</v>
      </c>
      <c r="M54" s="755"/>
      <c r="N54" s="755">
        <f>'[2]DATA ENTRY FORM'!$N$64:$O$64</f>
        <v>0</v>
      </c>
      <c r="O54" s="755"/>
      <c r="P54" s="28">
        <f>'[2]DATA ENTRY FORM'!$P$64</f>
        <v>0</v>
      </c>
      <c r="Q54" s="28">
        <f>'[2]DATA ENTRY FORM'!$Q$64</f>
        <v>0</v>
      </c>
      <c r="R54" s="755">
        <f>'[2]DATA ENTRY FORM'!$R$64:$S$64</f>
        <v>0</v>
      </c>
      <c r="S54" s="755"/>
      <c r="T54" s="755">
        <f>'[2]DATA ENTRY FORM'!$T$64:$V$64</f>
        <v>0</v>
      </c>
      <c r="U54" s="755"/>
      <c r="V54" s="755"/>
      <c r="W54" s="755">
        <f>'[2]DATA ENTRY FORM'!$W$64:$X$64</f>
        <v>0</v>
      </c>
      <c r="X54" s="755"/>
      <c r="Y54" s="770" t="str">
        <f t="shared" si="8"/>
        <v xml:space="preserve"> </v>
      </c>
      <c r="Z54" s="770"/>
      <c r="AB54" s="46" t="str">
        <f t="shared" si="9"/>
        <v xml:space="preserve"> </v>
      </c>
      <c r="AD54" s="66" t="str">
        <f t="shared" si="10"/>
        <v xml:space="preserve"> </v>
      </c>
      <c r="AE54" s="19"/>
      <c r="AF54" s="19"/>
      <c r="AG54" s="46">
        <f>SUM(P71:P73)</f>
        <v>6</v>
      </c>
      <c r="AH54" s="20" t="s">
        <v>125</v>
      </c>
      <c r="IL54" s="19"/>
      <c r="IM54" s="19"/>
      <c r="IN54" s="19"/>
      <c r="IO54" s="19"/>
      <c r="IP54" s="19"/>
      <c r="IQ54" s="19"/>
      <c r="IR54" s="19"/>
      <c r="IS54" s="19"/>
      <c r="IT54" s="19"/>
      <c r="IU54" s="19"/>
      <c r="IV54" s="19"/>
    </row>
    <row r="55" spans="2:256" ht="15" customHeight="1" x14ac:dyDescent="0.2">
      <c r="B55" s="771"/>
      <c r="C55" s="771"/>
      <c r="D55" s="732" t="str">
        <f t="shared" si="6"/>
        <v xml:space="preserve"> </v>
      </c>
      <c r="E55" s="732"/>
      <c r="F55" s="732"/>
      <c r="G55" s="749" t="str">
        <f t="shared" si="7"/>
        <v xml:space="preserve"> </v>
      </c>
      <c r="H55" s="749"/>
      <c r="I55" s="749"/>
      <c r="J55" s="766" t="str">
        <f>'[2]DATA ENTRY FORM'!$J$65:$K$65</f>
        <v xml:space="preserve"> </v>
      </c>
      <c r="K55" s="766"/>
      <c r="L55" s="755">
        <f>'[2]DATA ENTRY FORM'!$L$65:$M$65</f>
        <v>0</v>
      </c>
      <c r="M55" s="755"/>
      <c r="N55" s="755">
        <f>'[2]DATA ENTRY FORM'!$N$65:$O$65</f>
        <v>0</v>
      </c>
      <c r="O55" s="755"/>
      <c r="P55" s="28">
        <f>'[2]DATA ENTRY FORM'!$P$65</f>
        <v>0</v>
      </c>
      <c r="Q55" s="28">
        <f>'[2]DATA ENTRY FORM'!$Q$65</f>
        <v>0</v>
      </c>
      <c r="R55" s="755">
        <f>'[2]DATA ENTRY FORM'!$R$65:$S$65</f>
        <v>0</v>
      </c>
      <c r="S55" s="755"/>
      <c r="T55" s="755">
        <f>'[2]DATA ENTRY FORM'!$T$65:$V$65</f>
        <v>0</v>
      </c>
      <c r="U55" s="755"/>
      <c r="V55" s="755"/>
      <c r="W55" s="755">
        <f>'[2]DATA ENTRY FORM'!$W$65:$X$65</f>
        <v>0</v>
      </c>
      <c r="X55" s="755"/>
      <c r="Y55" s="770" t="str">
        <f t="shared" si="8"/>
        <v xml:space="preserve"> </v>
      </c>
      <c r="Z55" s="770"/>
      <c r="AB55" s="46" t="str">
        <f t="shared" si="9"/>
        <v xml:space="preserve"> </v>
      </c>
      <c r="AD55" s="66" t="str">
        <f t="shared" si="10"/>
        <v xml:space="preserve"> </v>
      </c>
      <c r="AE55" s="19"/>
      <c r="AF55" s="19"/>
      <c r="IL55" s="19"/>
      <c r="IM55" s="19"/>
      <c r="IN55" s="19"/>
      <c r="IO55" s="19"/>
      <c r="IP55" s="19"/>
      <c r="IQ55" s="19"/>
      <c r="IR55" s="19"/>
      <c r="IS55" s="19"/>
      <c r="IT55" s="19"/>
      <c r="IU55" s="19"/>
      <c r="IV55" s="19"/>
    </row>
    <row r="56" spans="2:256" ht="15" customHeight="1" x14ac:dyDescent="0.2">
      <c r="B56" s="771"/>
      <c r="C56" s="771"/>
      <c r="D56" s="732" t="str">
        <f t="shared" si="6"/>
        <v xml:space="preserve"> </v>
      </c>
      <c r="E56" s="732"/>
      <c r="F56" s="732"/>
      <c r="G56" s="749" t="str">
        <f t="shared" si="7"/>
        <v xml:space="preserve"> </v>
      </c>
      <c r="H56" s="749"/>
      <c r="I56" s="749"/>
      <c r="J56" s="766" t="str">
        <f>'[2]DATA ENTRY FORM'!$J$66:$K$66</f>
        <v xml:space="preserve"> </v>
      </c>
      <c r="K56" s="766"/>
      <c r="L56" s="755">
        <f>'[2]DATA ENTRY FORM'!$L$66:$M$66</f>
        <v>0</v>
      </c>
      <c r="M56" s="755"/>
      <c r="N56" s="755">
        <f>'[2]DATA ENTRY FORM'!$N$66:$O$66</f>
        <v>0</v>
      </c>
      <c r="O56" s="755"/>
      <c r="P56" s="28">
        <f>'[2]DATA ENTRY FORM'!$P$66</f>
        <v>0</v>
      </c>
      <c r="Q56" s="28">
        <f>'[2]DATA ENTRY FORM'!$Q$66</f>
        <v>0</v>
      </c>
      <c r="R56" s="755">
        <f>'[2]DATA ENTRY FORM'!$R$66:$S$66</f>
        <v>0</v>
      </c>
      <c r="S56" s="755"/>
      <c r="T56" s="755">
        <f>'[2]DATA ENTRY FORM'!$T$66:$V$66</f>
        <v>0</v>
      </c>
      <c r="U56" s="755"/>
      <c r="V56" s="755"/>
      <c r="W56" s="755">
        <f>'[2]DATA ENTRY FORM'!$W$66:$X$66</f>
        <v>0</v>
      </c>
      <c r="X56" s="755"/>
      <c r="Y56" s="770" t="str">
        <f t="shared" si="8"/>
        <v xml:space="preserve"> </v>
      </c>
      <c r="Z56" s="770"/>
      <c r="AB56" s="46" t="str">
        <f t="shared" si="9"/>
        <v xml:space="preserve"> </v>
      </c>
      <c r="AD56" s="66" t="str">
        <f t="shared" si="10"/>
        <v xml:space="preserve"> </v>
      </c>
      <c r="AE56" s="19"/>
      <c r="AF56" s="19"/>
      <c r="IL56" s="19"/>
      <c r="IM56" s="19"/>
      <c r="IN56" s="19"/>
      <c r="IO56" s="19"/>
      <c r="IP56" s="19"/>
      <c r="IQ56" s="19"/>
      <c r="IR56" s="19"/>
      <c r="IS56" s="19"/>
      <c r="IT56" s="19"/>
      <c r="IU56" s="19"/>
      <c r="IV56" s="19"/>
    </row>
    <row r="57" spans="2:256" ht="15" customHeight="1" x14ac:dyDescent="0.2">
      <c r="B57" s="771"/>
      <c r="C57" s="771"/>
      <c r="D57" s="732" t="str">
        <f t="shared" si="6"/>
        <v xml:space="preserve"> </v>
      </c>
      <c r="E57" s="732"/>
      <c r="F57" s="732"/>
      <c r="G57" s="749" t="str">
        <f t="shared" si="7"/>
        <v xml:space="preserve"> </v>
      </c>
      <c r="H57" s="749"/>
      <c r="I57" s="749"/>
      <c r="J57" s="766" t="str">
        <f>'[2]DATA ENTRY FORM'!$J$67:$K$67</f>
        <v xml:space="preserve"> </v>
      </c>
      <c r="K57" s="766"/>
      <c r="L57" s="755">
        <f>'[2]DATA ENTRY FORM'!$L$67:$M$67</f>
        <v>0</v>
      </c>
      <c r="M57" s="755"/>
      <c r="N57" s="755">
        <f>'[2]DATA ENTRY FORM'!$N$67:$O$67</f>
        <v>0</v>
      </c>
      <c r="O57" s="755"/>
      <c r="P57" s="28">
        <f>'[2]DATA ENTRY FORM'!$P$67</f>
        <v>0</v>
      </c>
      <c r="Q57" s="28">
        <f>'[2]DATA ENTRY FORM'!$Q$67</f>
        <v>0</v>
      </c>
      <c r="R57" s="755">
        <f>'[2]DATA ENTRY FORM'!$R$67:$S$67</f>
        <v>0</v>
      </c>
      <c r="S57" s="755"/>
      <c r="T57" s="755">
        <f>'[2]DATA ENTRY FORM'!$T$67:$V$67</f>
        <v>0</v>
      </c>
      <c r="U57" s="755"/>
      <c r="V57" s="755"/>
      <c r="W57" s="755">
        <f>'[2]DATA ENTRY FORM'!$W$67:$X$67</f>
        <v>0</v>
      </c>
      <c r="X57" s="755"/>
      <c r="Y57" s="770" t="str">
        <f t="shared" si="8"/>
        <v xml:space="preserve"> </v>
      </c>
      <c r="Z57" s="770"/>
      <c r="AB57" s="46" t="str">
        <f t="shared" si="9"/>
        <v xml:space="preserve"> </v>
      </c>
      <c r="AD57" s="66" t="str">
        <f t="shared" si="10"/>
        <v xml:space="preserve"> </v>
      </c>
      <c r="AE57" s="19"/>
      <c r="AF57" s="19"/>
      <c r="AG57" s="53">
        <f>SUM(T51:V62)</f>
        <v>0</v>
      </c>
      <c r="AH57" s="20" t="s">
        <v>126</v>
      </c>
      <c r="IL57" s="19"/>
      <c r="IM57" s="19"/>
      <c r="IN57" s="19"/>
      <c r="IO57" s="19"/>
      <c r="IP57" s="19"/>
      <c r="IQ57" s="19"/>
      <c r="IR57" s="19"/>
      <c r="IS57" s="19"/>
      <c r="IT57" s="19"/>
      <c r="IU57" s="19"/>
      <c r="IV57" s="19"/>
    </row>
    <row r="58" spans="2:256" ht="15" customHeight="1" x14ac:dyDescent="0.2">
      <c r="B58" s="771"/>
      <c r="C58" s="771"/>
      <c r="D58" s="732" t="str">
        <f t="shared" si="6"/>
        <v xml:space="preserve"> </v>
      </c>
      <c r="E58" s="732"/>
      <c r="F58" s="732"/>
      <c r="G58" s="749" t="str">
        <f t="shared" si="7"/>
        <v xml:space="preserve"> </v>
      </c>
      <c r="H58" s="749"/>
      <c r="I58" s="749"/>
      <c r="J58" s="766" t="str">
        <f>'[2]DATA ENTRY FORM'!$J$68:$K$68</f>
        <v xml:space="preserve"> </v>
      </c>
      <c r="K58" s="766"/>
      <c r="L58" s="755">
        <f>'[2]DATA ENTRY FORM'!$L$68:$M$68</f>
        <v>0</v>
      </c>
      <c r="M58" s="755"/>
      <c r="N58" s="755">
        <f>'[2]DATA ENTRY FORM'!$N$68:$O$68</f>
        <v>0</v>
      </c>
      <c r="O58" s="755"/>
      <c r="P58" s="28">
        <f>'[2]DATA ENTRY FORM'!$P$68</f>
        <v>0</v>
      </c>
      <c r="Q58" s="28">
        <f>'[2]DATA ENTRY FORM'!$Q$68</f>
        <v>0</v>
      </c>
      <c r="R58" s="755">
        <f>'[2]DATA ENTRY FORM'!$R$68:$S$68</f>
        <v>0</v>
      </c>
      <c r="S58" s="755"/>
      <c r="T58" s="755">
        <f>'[2]DATA ENTRY FORM'!$T$68:$V$68</f>
        <v>0</v>
      </c>
      <c r="U58" s="755"/>
      <c r="V58" s="755"/>
      <c r="W58" s="755">
        <f>'[2]DATA ENTRY FORM'!$W$68:$X$68</f>
        <v>0</v>
      </c>
      <c r="X58" s="755"/>
      <c r="Y58" s="770" t="str">
        <f t="shared" si="8"/>
        <v xml:space="preserve"> </v>
      </c>
      <c r="Z58" s="770"/>
      <c r="AB58" s="46" t="str">
        <f t="shared" si="9"/>
        <v xml:space="preserve"> </v>
      </c>
      <c r="AD58" s="66" t="str">
        <f t="shared" si="10"/>
        <v xml:space="preserve"> </v>
      </c>
      <c r="AE58" s="19"/>
      <c r="AF58" s="19"/>
      <c r="AG58" s="53">
        <f>SUM(T63:V73)</f>
        <v>0</v>
      </c>
      <c r="AH58" s="20" t="s">
        <v>127</v>
      </c>
      <c r="IL58" s="19"/>
      <c r="IM58" s="19"/>
      <c r="IN58" s="19"/>
      <c r="IO58" s="19"/>
      <c r="IP58" s="19"/>
      <c r="IQ58" s="19"/>
      <c r="IR58" s="19"/>
      <c r="IS58" s="19"/>
      <c r="IT58" s="19"/>
      <c r="IU58" s="19"/>
      <c r="IV58" s="19"/>
    </row>
    <row r="59" spans="2:256" ht="15" customHeight="1" x14ac:dyDescent="0.2">
      <c r="B59" s="771"/>
      <c r="C59" s="771"/>
      <c r="D59" s="732" t="str">
        <f t="shared" si="6"/>
        <v xml:space="preserve"> </v>
      </c>
      <c r="E59" s="732"/>
      <c r="F59" s="732"/>
      <c r="G59" s="749" t="str">
        <f t="shared" si="7"/>
        <v xml:space="preserve"> </v>
      </c>
      <c r="H59" s="749"/>
      <c r="I59" s="749"/>
      <c r="J59" s="766" t="str">
        <f>'[2]DATA ENTRY FORM'!$J$69:$K$69</f>
        <v xml:space="preserve"> </v>
      </c>
      <c r="K59" s="766"/>
      <c r="L59" s="755">
        <f>'[2]DATA ENTRY FORM'!$L$69:$M$69</f>
        <v>0</v>
      </c>
      <c r="M59" s="755"/>
      <c r="N59" s="755">
        <f>'[2]DATA ENTRY FORM'!$N$69:$O$69</f>
        <v>0</v>
      </c>
      <c r="O59" s="755"/>
      <c r="P59" s="28">
        <f>'[2]DATA ENTRY FORM'!$P$69</f>
        <v>0</v>
      </c>
      <c r="Q59" s="28">
        <f>'[2]DATA ENTRY FORM'!$Q$69</f>
        <v>0</v>
      </c>
      <c r="R59" s="755">
        <f>'[2]DATA ENTRY FORM'!$R$69:$S$69</f>
        <v>0</v>
      </c>
      <c r="S59" s="755"/>
      <c r="T59" s="755">
        <f>'[2]DATA ENTRY FORM'!$T$69:$V$69</f>
        <v>0</v>
      </c>
      <c r="U59" s="755"/>
      <c r="V59" s="755"/>
      <c r="W59" s="755">
        <f>'[2]DATA ENTRY FORM'!$W$69:$X$69</f>
        <v>0</v>
      </c>
      <c r="X59" s="755"/>
      <c r="Y59" s="770" t="str">
        <f t="shared" si="8"/>
        <v xml:space="preserve"> </v>
      </c>
      <c r="Z59" s="770"/>
      <c r="AB59" s="46" t="str">
        <f t="shared" si="9"/>
        <v xml:space="preserve"> </v>
      </c>
      <c r="AD59" s="66" t="str">
        <f t="shared" si="10"/>
        <v xml:space="preserve"> </v>
      </c>
      <c r="AE59" s="19"/>
      <c r="AF59" s="19"/>
      <c r="AG59" s="67">
        <f>SUM(X87:X94)</f>
        <v>0</v>
      </c>
      <c r="AH59" s="20" t="s">
        <v>128</v>
      </c>
      <c r="AI59" s="25"/>
      <c r="IL59" s="19"/>
      <c r="IM59" s="19"/>
      <c r="IN59" s="19"/>
      <c r="IO59" s="19"/>
      <c r="IP59" s="19"/>
      <c r="IQ59" s="19"/>
      <c r="IR59" s="19"/>
      <c r="IS59" s="19"/>
      <c r="IT59" s="19"/>
      <c r="IU59" s="19"/>
      <c r="IV59" s="19"/>
    </row>
    <row r="60" spans="2:256" ht="15" customHeight="1" x14ac:dyDescent="0.2">
      <c r="B60" s="771"/>
      <c r="C60" s="771"/>
      <c r="D60" s="732" t="str">
        <f t="shared" si="6"/>
        <v xml:space="preserve"> </v>
      </c>
      <c r="E60" s="732"/>
      <c r="F60" s="732"/>
      <c r="G60" s="749" t="str">
        <f t="shared" si="7"/>
        <v xml:space="preserve"> </v>
      </c>
      <c r="H60" s="749"/>
      <c r="I60" s="749"/>
      <c r="J60" s="766" t="str">
        <f>'[2]DATA ENTRY FORM'!$J$70:$K$70</f>
        <v xml:space="preserve"> </v>
      </c>
      <c r="K60" s="766"/>
      <c r="L60" s="755">
        <f>'[2]DATA ENTRY FORM'!$L$70:$M$70</f>
        <v>0</v>
      </c>
      <c r="M60" s="755"/>
      <c r="N60" s="755">
        <f>'[2]DATA ENTRY FORM'!$N$70:$O$70</f>
        <v>0</v>
      </c>
      <c r="O60" s="755"/>
      <c r="P60" s="28">
        <f>'[2]DATA ENTRY FORM'!$P$70</f>
        <v>0</v>
      </c>
      <c r="Q60" s="28">
        <f>'[2]DATA ENTRY FORM'!$Q$70</f>
        <v>0</v>
      </c>
      <c r="R60" s="755">
        <f>'[2]DATA ENTRY FORM'!$R$70:$S$70</f>
        <v>0</v>
      </c>
      <c r="S60" s="755"/>
      <c r="T60" s="755">
        <f>'[2]DATA ENTRY FORM'!$T$70:$V$70</f>
        <v>0</v>
      </c>
      <c r="U60" s="755"/>
      <c r="V60" s="755"/>
      <c r="W60" s="755">
        <f>'[2]DATA ENTRY FORM'!$W$70:$X$70</f>
        <v>0</v>
      </c>
      <c r="X60" s="755"/>
      <c r="Y60" s="770" t="str">
        <f t="shared" si="8"/>
        <v xml:space="preserve"> </v>
      </c>
      <c r="Z60" s="770"/>
      <c r="AB60" s="46" t="str">
        <f t="shared" si="9"/>
        <v xml:space="preserve"> </v>
      </c>
      <c r="AD60" s="66" t="str">
        <f t="shared" si="10"/>
        <v xml:space="preserve"> </v>
      </c>
      <c r="AE60" s="19"/>
      <c r="AF60" s="19"/>
      <c r="IL60" s="19"/>
      <c r="IM60" s="19"/>
      <c r="IN60" s="19"/>
      <c r="IO60" s="19"/>
      <c r="IP60" s="19"/>
      <c r="IQ60" s="19"/>
      <c r="IR60" s="19"/>
      <c r="IS60" s="19"/>
      <c r="IT60" s="19"/>
      <c r="IU60" s="19"/>
      <c r="IV60" s="19"/>
    </row>
    <row r="61" spans="2:256" ht="15" customHeight="1" x14ac:dyDescent="0.2">
      <c r="B61" s="771"/>
      <c r="C61" s="771"/>
      <c r="D61" s="732" t="str">
        <f t="shared" si="6"/>
        <v xml:space="preserve"> </v>
      </c>
      <c r="E61" s="732"/>
      <c r="F61" s="732"/>
      <c r="G61" s="749" t="str">
        <f t="shared" si="7"/>
        <v xml:space="preserve"> </v>
      </c>
      <c r="H61" s="749"/>
      <c r="I61" s="749"/>
      <c r="J61" s="766" t="str">
        <f>'[2]DATA ENTRY FORM'!$J$71:$K$71</f>
        <v xml:space="preserve"> </v>
      </c>
      <c r="K61" s="766"/>
      <c r="L61" s="755">
        <f>'[2]DATA ENTRY FORM'!$L$71:$M$71</f>
        <v>0</v>
      </c>
      <c r="M61" s="755"/>
      <c r="N61" s="755">
        <f>'[2]DATA ENTRY FORM'!$N$71:$O$71</f>
        <v>0</v>
      </c>
      <c r="O61" s="755"/>
      <c r="P61" s="28">
        <f>'[2]DATA ENTRY FORM'!$P$71</f>
        <v>0</v>
      </c>
      <c r="Q61" s="28">
        <f>'[2]DATA ENTRY FORM'!$Q$71</f>
        <v>0</v>
      </c>
      <c r="R61" s="755">
        <f>'[2]DATA ENTRY FORM'!$R$71:$S$71</f>
        <v>0</v>
      </c>
      <c r="S61" s="755"/>
      <c r="T61" s="755">
        <f>'[2]DATA ENTRY FORM'!$T$71:$V$71</f>
        <v>0</v>
      </c>
      <c r="U61" s="755"/>
      <c r="V61" s="755"/>
      <c r="W61" s="755">
        <f>'[2]DATA ENTRY FORM'!$W$71:$X$71</f>
        <v>0</v>
      </c>
      <c r="X61" s="755"/>
      <c r="Y61" s="770" t="str">
        <f t="shared" si="8"/>
        <v xml:space="preserve"> </v>
      </c>
      <c r="Z61" s="770"/>
      <c r="AB61" s="46" t="str">
        <f t="shared" si="9"/>
        <v xml:space="preserve"> </v>
      </c>
      <c r="AD61" s="66" t="str">
        <f t="shared" si="10"/>
        <v xml:space="preserve"> </v>
      </c>
      <c r="AE61" s="19"/>
      <c r="AF61" s="19"/>
      <c r="IL61" s="19"/>
      <c r="IM61" s="19"/>
      <c r="IN61" s="19"/>
      <c r="IO61" s="19"/>
      <c r="IP61" s="19"/>
      <c r="IQ61" s="19"/>
      <c r="IR61" s="19"/>
      <c r="IS61" s="19"/>
      <c r="IT61" s="19"/>
      <c r="IU61" s="19"/>
      <c r="IV61" s="19"/>
    </row>
    <row r="62" spans="2:256" ht="15.75" customHeight="1" x14ac:dyDescent="0.2">
      <c r="B62" s="771"/>
      <c r="C62" s="771"/>
      <c r="D62" s="732" t="str">
        <f t="shared" si="6"/>
        <v xml:space="preserve"> </v>
      </c>
      <c r="E62" s="732"/>
      <c r="F62" s="732"/>
      <c r="G62" s="749" t="str">
        <f t="shared" si="7"/>
        <v xml:space="preserve"> </v>
      </c>
      <c r="H62" s="749"/>
      <c r="I62" s="749"/>
      <c r="J62" s="765" t="str">
        <f>'[2]DATA ENTRY FORM'!$J$72:$K$72</f>
        <v xml:space="preserve"> </v>
      </c>
      <c r="K62" s="765"/>
      <c r="L62" s="755">
        <f>'[2]DATA ENTRY FORM'!$L$72:$M$72</f>
        <v>0</v>
      </c>
      <c r="M62" s="755"/>
      <c r="N62" s="755">
        <f>'[2]DATA ENTRY FORM'!$N$72:$O$72</f>
        <v>0</v>
      </c>
      <c r="O62" s="755"/>
      <c r="P62" s="28">
        <f>'[2]DATA ENTRY FORM'!$P$72</f>
        <v>0</v>
      </c>
      <c r="Q62" s="28">
        <f>'[2]DATA ENTRY FORM'!$Q$72</f>
        <v>0</v>
      </c>
      <c r="R62" s="755">
        <f>'[2]DATA ENTRY FORM'!$R$72:$S$72</f>
        <v>0</v>
      </c>
      <c r="S62" s="755"/>
      <c r="T62" s="755">
        <f>'[2]DATA ENTRY FORM'!$T$72:$V$72</f>
        <v>0</v>
      </c>
      <c r="U62" s="755"/>
      <c r="V62" s="755"/>
      <c r="W62" s="755">
        <f>'[2]DATA ENTRY FORM'!$W$72:$X$72</f>
        <v>0</v>
      </c>
      <c r="X62" s="755"/>
      <c r="Y62" s="770" t="str">
        <f t="shared" si="8"/>
        <v xml:space="preserve"> </v>
      </c>
      <c r="Z62" s="770"/>
      <c r="AB62" s="46" t="str">
        <f t="shared" si="9"/>
        <v xml:space="preserve"> </v>
      </c>
      <c r="AD62" s="66" t="str">
        <f t="shared" si="10"/>
        <v xml:space="preserve"> </v>
      </c>
      <c r="AE62" s="19"/>
      <c r="AF62" s="19"/>
      <c r="IL62" s="19"/>
      <c r="IM62" s="19"/>
      <c r="IN62" s="19"/>
      <c r="IO62" s="19"/>
      <c r="IP62" s="19"/>
      <c r="IQ62" s="19"/>
      <c r="IR62" s="19"/>
      <c r="IS62" s="19"/>
      <c r="IT62" s="19"/>
      <c r="IU62" s="19"/>
      <c r="IV62" s="19"/>
    </row>
    <row r="63" spans="2:256" ht="12.75" customHeight="1" x14ac:dyDescent="0.2">
      <c r="B63" s="764" t="s">
        <v>129</v>
      </c>
      <c r="C63" s="764"/>
      <c r="D63" s="732">
        <f t="shared" si="6"/>
        <v>0</v>
      </c>
      <c r="E63" s="732"/>
      <c r="F63" s="732"/>
      <c r="G63" s="733">
        <f t="shared" si="7"/>
        <v>0</v>
      </c>
      <c r="H63" s="733"/>
      <c r="I63" s="733"/>
      <c r="J63" s="747">
        <f>'[2]DATA ENTRY FORM'!$J$73:$K$73</f>
        <v>24</v>
      </c>
      <c r="K63" s="747"/>
      <c r="L63" s="755">
        <f>'[2]DATA ENTRY FORM'!$L$73:$M$73</f>
        <v>30</v>
      </c>
      <c r="M63" s="755"/>
      <c r="N63" s="755">
        <f>'[2]DATA ENTRY FORM'!$N$73:$O$73</f>
        <v>50</v>
      </c>
      <c r="O63" s="755"/>
      <c r="P63" s="28">
        <f>'[2]DATA ENTRY FORM'!$P$73</f>
        <v>1</v>
      </c>
      <c r="Q63" s="28" t="str">
        <f>'[2]DATA ENTRY FORM'!$Q$73</f>
        <v>Slider XO Tempered</v>
      </c>
      <c r="R63" s="755">
        <f>'[2]DATA ENTRY FORM'!$R$73:$S$73</f>
        <v>0</v>
      </c>
      <c r="S63" s="755"/>
      <c r="T63" s="755">
        <f>'[2]DATA ENTRY FORM'!$T$73:$V$73</f>
        <v>0</v>
      </c>
      <c r="U63" s="755"/>
      <c r="V63" s="755"/>
      <c r="W63" s="755">
        <f>'[2]DATA ENTRY FORM'!$W$73:$X$73</f>
        <v>0</v>
      </c>
      <c r="X63" s="755"/>
      <c r="Y63" s="770">
        <f t="shared" si="8"/>
        <v>88.75</v>
      </c>
      <c r="Z63" s="770"/>
      <c r="AB63" s="46">
        <f t="shared" si="9"/>
        <v>2</v>
      </c>
      <c r="AD63" s="66">
        <f t="shared" si="10"/>
        <v>1.9518229166666667</v>
      </c>
      <c r="AE63" s="65"/>
      <c r="IL63" s="19"/>
      <c r="IM63" s="19"/>
      <c r="IN63" s="19"/>
      <c r="IO63" s="19"/>
      <c r="IP63" s="19"/>
      <c r="IQ63" s="19"/>
      <c r="IR63" s="19"/>
      <c r="IS63" s="19"/>
      <c r="IT63" s="19"/>
      <c r="IU63" s="19"/>
      <c r="IV63" s="19"/>
    </row>
    <row r="64" spans="2:256" x14ac:dyDescent="0.2">
      <c r="B64" s="764"/>
      <c r="C64" s="764"/>
      <c r="D64" s="732">
        <f t="shared" si="6"/>
        <v>0</v>
      </c>
      <c r="E64" s="732"/>
      <c r="F64" s="732"/>
      <c r="G64" s="733">
        <f t="shared" si="7"/>
        <v>0</v>
      </c>
      <c r="H64" s="733"/>
      <c r="I64" s="733"/>
      <c r="J64" s="747">
        <f>'[2]DATA ENTRY FORM'!$J$74:$K$74</f>
        <v>36</v>
      </c>
      <c r="K64" s="747"/>
      <c r="L64" s="755">
        <f>'[2]DATA ENTRY FORM'!$L$74:$M$74</f>
        <v>42</v>
      </c>
      <c r="M64" s="755"/>
      <c r="N64" s="755">
        <f>'[2]DATA ENTRY FORM'!$N$74:$O$74</f>
        <v>38</v>
      </c>
      <c r="O64" s="755"/>
      <c r="P64" s="28">
        <f>'[2]DATA ENTRY FORM'!$P$74</f>
        <v>2</v>
      </c>
      <c r="Q64" s="28" t="str">
        <f>'[2]DATA ENTRY FORM'!$Q$74</f>
        <v>Single Hung</v>
      </c>
      <c r="R64" s="755">
        <f>'[2]DATA ENTRY FORM'!$R$74:$S$74</f>
        <v>0</v>
      </c>
      <c r="S64" s="755"/>
      <c r="T64" s="755">
        <f>'[2]DATA ENTRY FORM'!$T$73:$V$73</f>
        <v>0</v>
      </c>
      <c r="U64" s="755"/>
      <c r="V64" s="755"/>
      <c r="W64" s="755">
        <f>'[2]DATA ENTRY FORM'!$W$74:$X$74</f>
        <v>0</v>
      </c>
      <c r="X64" s="755"/>
      <c r="Y64" s="770">
        <f t="shared" si="8"/>
        <v>88.75</v>
      </c>
      <c r="Z64" s="770"/>
      <c r="AB64" s="46">
        <f t="shared" si="9"/>
        <v>4</v>
      </c>
      <c r="AD64" s="66">
        <f t="shared" si="10"/>
        <v>3.7786458333333335</v>
      </c>
      <c r="AG64" s="53">
        <f>SUM(P51:P62)-AG57</f>
        <v>1</v>
      </c>
      <c r="AH64" s="20" t="s">
        <v>130</v>
      </c>
      <c r="IL64" s="19"/>
      <c r="IM64" s="19"/>
      <c r="IN64" s="19"/>
      <c r="IO64" s="19"/>
      <c r="IP64" s="19"/>
      <c r="IQ64" s="19"/>
      <c r="IR64" s="19"/>
      <c r="IS64" s="19"/>
      <c r="IT64" s="19"/>
      <c r="IU64" s="19"/>
      <c r="IV64" s="19"/>
    </row>
    <row r="65" spans="2:256" ht="15" customHeight="1" x14ac:dyDescent="0.2">
      <c r="B65" s="764"/>
      <c r="C65" s="764"/>
      <c r="D65" s="732">
        <f t="shared" si="6"/>
        <v>0</v>
      </c>
      <c r="E65" s="732"/>
      <c r="F65" s="732"/>
      <c r="G65" s="733">
        <f t="shared" si="7"/>
        <v>0</v>
      </c>
      <c r="H65" s="733"/>
      <c r="I65" s="733"/>
      <c r="J65" s="747">
        <f>'[2]DATA ENTRY FORM'!$J$75:$K$75</f>
        <v>36</v>
      </c>
      <c r="K65" s="747"/>
      <c r="L65" s="755">
        <f>'[2]DATA ENTRY FORM'!$L$75:$M$75</f>
        <v>42</v>
      </c>
      <c r="M65" s="755"/>
      <c r="N65" s="755">
        <f>'[2]DATA ENTRY FORM'!$N$75:$O$75</f>
        <v>38</v>
      </c>
      <c r="O65" s="755"/>
      <c r="P65" s="28">
        <f>'[2]DATA ENTRY FORM'!$P$75</f>
        <v>2</v>
      </c>
      <c r="Q65" s="28" t="str">
        <f>'[2]DATA ENTRY FORM'!$Q$75</f>
        <v>Casement</v>
      </c>
      <c r="R65" s="755">
        <f>'[2]DATA ENTRY FORM'!$R$75:$S$75</f>
        <v>0</v>
      </c>
      <c r="S65" s="755"/>
      <c r="T65" s="755">
        <f>'[2]DATA ENTRY FORM'!$T$73:$V$73</f>
        <v>0</v>
      </c>
      <c r="U65" s="755"/>
      <c r="V65" s="755"/>
      <c r="W65" s="755">
        <f>'[2]DATA ENTRY FORM'!$W$75:$X$75</f>
        <v>0</v>
      </c>
      <c r="X65" s="755"/>
      <c r="Y65" s="770">
        <f t="shared" si="8"/>
        <v>88.75</v>
      </c>
      <c r="Z65" s="770"/>
      <c r="AB65" s="46">
        <f t="shared" si="9"/>
        <v>4</v>
      </c>
      <c r="AD65" s="66">
        <f t="shared" si="10"/>
        <v>3.7786458333333335</v>
      </c>
      <c r="AG65" s="53">
        <f>SUM(P63:P73)-AG58</f>
        <v>13</v>
      </c>
      <c r="AH65" s="20" t="s">
        <v>131</v>
      </c>
      <c r="IL65" s="19"/>
      <c r="IM65" s="19"/>
      <c r="IN65" s="19"/>
      <c r="IO65" s="19"/>
      <c r="IP65" s="19"/>
      <c r="IQ65" s="19"/>
      <c r="IR65" s="19"/>
      <c r="IS65" s="19"/>
      <c r="IT65" s="19"/>
      <c r="IU65" s="19"/>
      <c r="IV65" s="19"/>
    </row>
    <row r="66" spans="2:256" ht="15" customHeight="1" x14ac:dyDescent="0.2">
      <c r="B66" s="764"/>
      <c r="C66" s="764"/>
      <c r="D66" s="732">
        <f t="shared" si="6"/>
        <v>0</v>
      </c>
      <c r="E66" s="732"/>
      <c r="F66" s="732"/>
      <c r="G66" s="733">
        <f t="shared" si="7"/>
        <v>0</v>
      </c>
      <c r="H66" s="733"/>
      <c r="I66" s="733"/>
      <c r="J66" s="747">
        <f>'[2]DATA ENTRY FORM'!$J$76:$K$76</f>
        <v>36</v>
      </c>
      <c r="K66" s="747"/>
      <c r="L66" s="755">
        <f>'[2]DATA ENTRY FORM'!$L$76:$M$76</f>
        <v>36</v>
      </c>
      <c r="M66" s="755"/>
      <c r="N66" s="755">
        <f>'[2]DATA ENTRY FORM'!$N$76:$O$76</f>
        <v>44</v>
      </c>
      <c r="O66" s="755"/>
      <c r="P66" s="28">
        <f>'[2]DATA ENTRY FORM'!$P$76</f>
        <v>1</v>
      </c>
      <c r="Q66" s="28" t="str">
        <f>'[2]DATA ENTRY FORM'!$Q$76</f>
        <v>Casement</v>
      </c>
      <c r="R66" s="755">
        <f>'[2]DATA ENTRY FORM'!$R$76:$S$76</f>
        <v>0</v>
      </c>
      <c r="S66" s="755"/>
      <c r="T66" s="755">
        <f>'[2]DATA ENTRY FORM'!$T$73:$V$73</f>
        <v>0</v>
      </c>
      <c r="U66" s="755"/>
      <c r="V66" s="755"/>
      <c r="W66" s="755">
        <f>'[2]DATA ENTRY FORM'!$W$76:$X$76</f>
        <v>0</v>
      </c>
      <c r="X66" s="755"/>
      <c r="Y66" s="770">
        <f t="shared" si="8"/>
        <v>88.75</v>
      </c>
      <c r="Z66" s="770"/>
      <c r="AA66" s="29"/>
      <c r="AB66" s="46">
        <f t="shared" si="9"/>
        <v>2</v>
      </c>
      <c r="AC66" s="29"/>
      <c r="AD66" s="66">
        <f t="shared" si="10"/>
        <v>1.9205729166666667</v>
      </c>
      <c r="AG66" s="53">
        <f>SUM(V87:V94)</f>
        <v>1</v>
      </c>
      <c r="AH66" s="20" t="s">
        <v>132</v>
      </c>
      <c r="AI66" s="19"/>
      <c r="IN66" s="19"/>
      <c r="IO66" s="19"/>
      <c r="IP66" s="19"/>
      <c r="IQ66" s="19"/>
      <c r="IR66" s="19"/>
      <c r="IS66" s="19"/>
      <c r="IT66" s="19"/>
      <c r="IU66" s="19"/>
      <c r="IV66" s="19"/>
    </row>
    <row r="67" spans="2:256" ht="15.75" customHeight="1" x14ac:dyDescent="0.2">
      <c r="B67" s="764"/>
      <c r="C67" s="764"/>
      <c r="D67" s="732" t="str">
        <f t="shared" si="6"/>
        <v xml:space="preserve"> </v>
      </c>
      <c r="E67" s="732"/>
      <c r="F67" s="732"/>
      <c r="G67" s="733" t="str">
        <f t="shared" si="7"/>
        <v xml:space="preserve"> </v>
      </c>
      <c r="H67" s="733"/>
      <c r="I67" s="733"/>
      <c r="J67" s="747">
        <f>'[2]DATA ENTRY FORM'!$J$77:$K$77</f>
        <v>0</v>
      </c>
      <c r="K67" s="747"/>
      <c r="L67" s="755">
        <f>'[2]DATA ENTRY FORM'!$L$77:$M$77</f>
        <v>0</v>
      </c>
      <c r="M67" s="755"/>
      <c r="N67" s="755">
        <f>'[2]DATA ENTRY FORM'!$N$77:$O$77</f>
        <v>0</v>
      </c>
      <c r="O67" s="755"/>
      <c r="P67" s="28">
        <f>'[2]DATA ENTRY FORM'!$P$77</f>
        <v>0</v>
      </c>
      <c r="Q67" s="28">
        <f>'[2]DATA ENTRY FORM'!$Q$77</f>
        <v>0</v>
      </c>
      <c r="R67" s="755">
        <f>'[2]DATA ENTRY FORM'!$R$77:$S$77</f>
        <v>0</v>
      </c>
      <c r="S67" s="755"/>
      <c r="T67" s="755">
        <f>'[2]DATA ENTRY FORM'!$T$73:$V$73</f>
        <v>0</v>
      </c>
      <c r="U67" s="755"/>
      <c r="V67" s="755"/>
      <c r="W67" s="755">
        <f>'[2]DATA ENTRY FORM'!$W$77:$X$77</f>
        <v>0</v>
      </c>
      <c r="X67" s="755"/>
      <c r="Y67" s="770" t="str">
        <f t="shared" si="8"/>
        <v xml:space="preserve"> </v>
      </c>
      <c r="Z67" s="770"/>
      <c r="AA67" s="29"/>
      <c r="AB67" s="46" t="str">
        <f t="shared" si="9"/>
        <v xml:space="preserve"> </v>
      </c>
      <c r="AC67" s="29"/>
      <c r="AD67" s="66" t="str">
        <f t="shared" si="10"/>
        <v xml:space="preserve"> </v>
      </c>
      <c r="AF67" s="19"/>
      <c r="IP67" s="19"/>
      <c r="IQ67" s="19"/>
      <c r="IR67" s="19"/>
      <c r="IS67" s="19"/>
      <c r="IT67" s="19"/>
      <c r="IU67" s="19"/>
      <c r="IV67" s="19"/>
    </row>
    <row r="68" spans="2:256" ht="12.75" customHeight="1" x14ac:dyDescent="0.2">
      <c r="B68" s="767" t="s">
        <v>133</v>
      </c>
      <c r="C68" s="768" t="s">
        <v>134</v>
      </c>
      <c r="D68" s="732">
        <f t="shared" si="6"/>
        <v>0</v>
      </c>
      <c r="E68" s="732"/>
      <c r="F68" s="732"/>
      <c r="G68" s="749">
        <f t="shared" si="7"/>
        <v>0</v>
      </c>
      <c r="H68" s="749"/>
      <c r="I68" s="749"/>
      <c r="J68" s="769" t="str">
        <f>'[2]DATA ENTRY FORM'!$J$78:$K$78</f>
        <v>42</v>
      </c>
      <c r="K68" s="769"/>
      <c r="L68" s="755">
        <f>'[2]DATA ENTRY FORM'!$L$78:$M$78</f>
        <v>39</v>
      </c>
      <c r="M68" s="755"/>
      <c r="N68" s="755">
        <f>'[2]DATA ENTRY FORM'!$N$78:$O$78</f>
        <v>118.5</v>
      </c>
      <c r="O68" s="755"/>
      <c r="P68" s="28">
        <f>'[2]DATA ENTRY FORM'!$P$78</f>
        <v>1</v>
      </c>
      <c r="Q68" s="28" t="str">
        <f>'[2]DATA ENTRY FORM'!$Q$78</f>
        <v>Picture</v>
      </c>
      <c r="R68" s="763" t="s">
        <v>135</v>
      </c>
      <c r="S68" s="763"/>
      <c r="T68" s="755">
        <f>'[2]DATA ENTRY FORM'!$T$78:$V$78</f>
        <v>0</v>
      </c>
      <c r="U68" s="755"/>
      <c r="V68" s="755"/>
      <c r="W68" s="755">
        <f>'[2]DATA ENTRY FORM'!$W$78:$X$78</f>
        <v>0</v>
      </c>
      <c r="X68" s="755"/>
      <c r="Y68" s="29"/>
      <c r="Z68" s="29"/>
      <c r="AA68" s="29"/>
      <c r="AB68" s="46">
        <f>SUM(AB51:AB67)+AD31+Q34*2</f>
        <v>42</v>
      </c>
      <c r="AC68" s="29"/>
      <c r="AD68" s="68">
        <f>SUM(AD51:AD67)</f>
        <v>13.240885416666666</v>
      </c>
      <c r="IP68" s="19"/>
      <c r="IQ68" s="19"/>
      <c r="IR68" s="19"/>
      <c r="IS68" s="19"/>
      <c r="IT68" s="19"/>
      <c r="IU68" s="19"/>
      <c r="IV68" s="19"/>
    </row>
    <row r="69" spans="2:256" ht="15" customHeight="1" x14ac:dyDescent="0.2">
      <c r="B69" s="767"/>
      <c r="C69" s="768"/>
      <c r="D69" s="732" t="str">
        <f t="shared" si="6"/>
        <v xml:space="preserve"> </v>
      </c>
      <c r="E69" s="732"/>
      <c r="F69" s="732"/>
      <c r="G69" s="749" t="str">
        <f t="shared" si="7"/>
        <v xml:space="preserve"> </v>
      </c>
      <c r="H69" s="749"/>
      <c r="I69" s="749"/>
      <c r="J69" s="766" t="str">
        <f>'[2]DATA ENTRY FORM'!$J$79:$K$79</f>
        <v xml:space="preserve"> </v>
      </c>
      <c r="K69" s="766"/>
      <c r="L69" s="755">
        <f>'[2]DATA ENTRY FORM'!$L$79:$M$79</f>
        <v>0</v>
      </c>
      <c r="M69" s="755"/>
      <c r="N69" s="755">
        <f>'[2]DATA ENTRY FORM'!$N$79:$O$79</f>
        <v>0</v>
      </c>
      <c r="O69" s="755"/>
      <c r="P69" s="28">
        <f>'[2]DATA ENTRY FORM'!$P$79</f>
        <v>0</v>
      </c>
      <c r="Q69" s="28">
        <f>'[2]DATA ENTRY FORM'!$Q$79</f>
        <v>0</v>
      </c>
      <c r="R69" s="763" t="s">
        <v>135</v>
      </c>
      <c r="S69" s="763"/>
      <c r="T69" s="755">
        <f>'[2]DATA ENTRY FORM'!$T$79:$V$79</f>
        <v>0</v>
      </c>
      <c r="U69" s="755"/>
      <c r="V69" s="755"/>
      <c r="W69" s="755">
        <f>'[2]DATA ENTRY FORM'!$W$79:$X$79</f>
        <v>0</v>
      </c>
      <c r="X69" s="755"/>
      <c r="Y69" s="29"/>
      <c r="Z69" s="29"/>
      <c r="AA69" s="29"/>
      <c r="AB69" s="29"/>
      <c r="AC69" s="29"/>
      <c r="IP69" s="19"/>
      <c r="IQ69" s="19"/>
      <c r="IR69" s="19"/>
      <c r="IS69" s="19"/>
      <c r="IT69" s="19"/>
      <c r="IU69" s="19"/>
      <c r="IV69" s="19"/>
    </row>
    <row r="70" spans="2:256" x14ac:dyDescent="0.2">
      <c r="B70" s="767"/>
      <c r="C70" s="768"/>
      <c r="D70" s="732" t="str">
        <f t="shared" si="6"/>
        <v xml:space="preserve"> </v>
      </c>
      <c r="E70" s="732"/>
      <c r="F70" s="732"/>
      <c r="G70" s="749" t="str">
        <f t="shared" si="7"/>
        <v xml:space="preserve"> </v>
      </c>
      <c r="H70" s="749"/>
      <c r="I70" s="749"/>
      <c r="J70" s="765" t="str">
        <f>'[2]DATA ENTRY FORM'!$J$80:$K$80</f>
        <v xml:space="preserve"> </v>
      </c>
      <c r="K70" s="765"/>
      <c r="L70" s="755">
        <f>'[2]DATA ENTRY FORM'!$L$80:$M$80</f>
        <v>0</v>
      </c>
      <c r="M70" s="755"/>
      <c r="N70" s="755">
        <f>'[2]DATA ENTRY FORM'!$N$80:$O$80</f>
        <v>0</v>
      </c>
      <c r="O70" s="755"/>
      <c r="P70" s="28">
        <f>'[2]DATA ENTRY FORM'!$P$80</f>
        <v>0</v>
      </c>
      <c r="Q70" s="28">
        <f>'[2]DATA ENTRY FORM'!$Q$80</f>
        <v>0</v>
      </c>
      <c r="R70" s="763" t="s">
        <v>135</v>
      </c>
      <c r="S70" s="763"/>
      <c r="T70" s="755">
        <f>'[2]DATA ENTRY FORM'!$T$80:$V$80</f>
        <v>0</v>
      </c>
      <c r="U70" s="755"/>
      <c r="V70" s="755"/>
      <c r="W70" s="755">
        <f>'[2]DATA ENTRY FORM'!$W$80:$X$80</f>
        <v>0</v>
      </c>
      <c r="X70" s="755"/>
      <c r="Y70" s="29"/>
      <c r="Z70" s="29"/>
      <c r="AA70" s="29"/>
      <c r="AB70" s="29"/>
      <c r="AC70" s="29"/>
      <c r="IP70" s="19"/>
      <c r="IQ70" s="19"/>
      <c r="IR70" s="19"/>
      <c r="IS70" s="19"/>
      <c r="IT70" s="19"/>
      <c r="IU70" s="19"/>
      <c r="IV70" s="19"/>
    </row>
    <row r="71" spans="2:256" ht="12.75" customHeight="1" x14ac:dyDescent="0.2">
      <c r="B71" s="767"/>
      <c r="C71" s="764" t="s">
        <v>136</v>
      </c>
      <c r="D71" s="732">
        <f t="shared" si="6"/>
        <v>0</v>
      </c>
      <c r="E71" s="732"/>
      <c r="F71" s="732"/>
      <c r="G71" s="733">
        <f t="shared" si="7"/>
        <v>0</v>
      </c>
      <c r="H71" s="733"/>
      <c r="I71" s="733"/>
      <c r="J71" s="747">
        <f>'[2]DATA ENTRY FORM'!$J$81:$K$81</f>
        <v>36</v>
      </c>
      <c r="K71" s="747"/>
      <c r="L71" s="755">
        <f>'[2]DATA ENTRY FORM'!$L$81:$M$81</f>
        <v>39</v>
      </c>
      <c r="M71" s="755"/>
      <c r="N71" s="755">
        <f>'[2]DATA ENTRY FORM'!$N$81:$O$81</f>
        <v>118.5</v>
      </c>
      <c r="O71" s="755"/>
      <c r="P71" s="28">
        <f>'[2]DATA ENTRY FORM'!$P$81</f>
        <v>5</v>
      </c>
      <c r="Q71" s="28" t="str">
        <f>'[2]DATA ENTRY FORM'!$Q$81</f>
        <v>Casement</v>
      </c>
      <c r="R71" s="763" t="s">
        <v>135</v>
      </c>
      <c r="S71" s="763"/>
      <c r="T71" s="755">
        <f>'[2]DATA ENTRY FORM'!$T$81:$V$81</f>
        <v>0</v>
      </c>
      <c r="U71" s="755"/>
      <c r="V71" s="755"/>
      <c r="W71" s="755">
        <f>'[2]DATA ENTRY FORM'!$W$81:$X$81</f>
        <v>5</v>
      </c>
      <c r="X71" s="755"/>
      <c r="Y71" s="29"/>
      <c r="Z71" s="29"/>
      <c r="AA71" s="29"/>
      <c r="AB71" s="29"/>
      <c r="AC71" s="29"/>
      <c r="IP71" s="19"/>
      <c r="IQ71" s="19"/>
      <c r="IR71" s="19"/>
      <c r="IS71" s="19"/>
      <c r="IT71" s="19"/>
      <c r="IU71" s="19"/>
      <c r="IV71" s="19"/>
    </row>
    <row r="72" spans="2:256" ht="15" customHeight="1" x14ac:dyDescent="0.2">
      <c r="B72" s="767"/>
      <c r="C72" s="764"/>
      <c r="D72" s="732">
        <f t="shared" si="6"/>
        <v>0</v>
      </c>
      <c r="E72" s="732"/>
      <c r="F72" s="732"/>
      <c r="G72" s="733">
        <f t="shared" si="7"/>
        <v>0</v>
      </c>
      <c r="H72" s="733"/>
      <c r="I72" s="733"/>
      <c r="J72" s="747">
        <f>'[2]DATA ENTRY FORM'!$J$82:$K$82</f>
        <v>24</v>
      </c>
      <c r="K72" s="747"/>
      <c r="L72" s="755">
        <f>'[2]DATA ENTRY FORM'!$L$82:$M$82</f>
        <v>30</v>
      </c>
      <c r="M72" s="755"/>
      <c r="N72" s="755">
        <f>'[2]DATA ENTRY FORM'!$N$82:$O$82</f>
        <v>127.5</v>
      </c>
      <c r="O72" s="755"/>
      <c r="P72" s="28">
        <f>'[2]DATA ENTRY FORM'!$P$82</f>
        <v>1</v>
      </c>
      <c r="Q72" s="28" t="str">
        <f>'[2]DATA ENTRY FORM'!$Q$82</f>
        <v>Slider XO Tempered</v>
      </c>
      <c r="R72" s="763" t="s">
        <v>135</v>
      </c>
      <c r="S72" s="763"/>
      <c r="T72" s="755">
        <f>'[2]DATA ENTRY FORM'!$T$82:$V$82</f>
        <v>0</v>
      </c>
      <c r="U72" s="755"/>
      <c r="V72" s="755"/>
      <c r="W72" s="755">
        <f>'[2]DATA ENTRY FORM'!$W$82:$X$82</f>
        <v>1</v>
      </c>
      <c r="X72" s="755"/>
      <c r="Y72" s="29"/>
      <c r="Z72" s="29"/>
      <c r="AA72" s="29"/>
      <c r="AB72" s="29"/>
      <c r="AC72" s="29"/>
      <c r="IP72" s="19"/>
      <c r="IQ72" s="19"/>
      <c r="IR72" s="19"/>
      <c r="IS72" s="19"/>
      <c r="IT72" s="19"/>
      <c r="IU72" s="19"/>
      <c r="IV72" s="19"/>
    </row>
    <row r="73" spans="2:256" ht="15" customHeight="1" x14ac:dyDescent="0.2">
      <c r="B73" s="767"/>
      <c r="C73" s="764"/>
      <c r="D73" s="732" t="str">
        <f t="shared" si="6"/>
        <v xml:space="preserve"> </v>
      </c>
      <c r="E73" s="732"/>
      <c r="F73" s="732"/>
      <c r="G73" s="733" t="str">
        <f t="shared" si="7"/>
        <v xml:space="preserve"> </v>
      </c>
      <c r="H73" s="733"/>
      <c r="I73" s="733"/>
      <c r="J73" s="747">
        <f>'[2]DATA ENTRY FORM'!$J$83:$K$83</f>
        <v>0</v>
      </c>
      <c r="K73" s="747"/>
      <c r="L73" s="755">
        <f>'[2]DATA ENTRY FORM'!$L$83:$M$83</f>
        <v>0</v>
      </c>
      <c r="M73" s="755"/>
      <c r="N73" s="747">
        <f>'[2]DATA ENTRY FORM'!$N$83:$O$83</f>
        <v>0</v>
      </c>
      <c r="O73" s="747"/>
      <c r="P73" s="28">
        <f>'[2]DATA ENTRY FORM'!$P$83</f>
        <v>0</v>
      </c>
      <c r="Q73" s="28">
        <f>'[2]DATA ENTRY FORM'!$Q$83</f>
        <v>0</v>
      </c>
      <c r="R73" s="763" t="s">
        <v>135</v>
      </c>
      <c r="S73" s="763"/>
      <c r="T73" s="755">
        <f>'[2]DATA ENTRY FORM'!$T$83:$V$83</f>
        <v>0</v>
      </c>
      <c r="U73" s="755"/>
      <c r="V73" s="755"/>
      <c r="W73" s="755">
        <f>'[2]DATA ENTRY FORM'!$W$83:$X$83</f>
        <v>0</v>
      </c>
      <c r="X73" s="755"/>
      <c r="Y73" s="29"/>
      <c r="Z73" s="29"/>
      <c r="AA73" s="29"/>
      <c r="AB73" s="29"/>
      <c r="AC73" s="29"/>
      <c r="IP73" s="19"/>
      <c r="IQ73" s="19"/>
      <c r="IR73" s="19"/>
      <c r="IS73" s="19"/>
      <c r="IT73" s="19"/>
      <c r="IU73" s="19"/>
      <c r="IV73" s="19"/>
    </row>
    <row r="74" spans="2:256" s="19" customFormat="1" ht="12.75" x14ac:dyDescent="0.2"/>
    <row r="75" spans="2:256" s="19" customFormat="1" ht="18.75" x14ac:dyDescent="0.2">
      <c r="D75" s="760" t="str">
        <f>IF(SUM(P51:P73)=(Q32+T32)," ","# of window does not match with PA")</f>
        <v># of window does not match with PA</v>
      </c>
      <c r="E75" s="760"/>
      <c r="F75" s="760"/>
      <c r="G75" s="760"/>
      <c r="H75" s="760"/>
      <c r="I75" s="760"/>
      <c r="J75" s="760"/>
      <c r="K75" s="760"/>
      <c r="L75" s="760"/>
      <c r="M75" s="760"/>
      <c r="N75" s="760"/>
      <c r="AD75" s="20"/>
    </row>
    <row r="76" spans="2:256" x14ac:dyDescent="0.2">
      <c r="D76" s="19"/>
      <c r="E76" s="19"/>
      <c r="F76" s="19"/>
      <c r="G76" s="19"/>
      <c r="H76" s="19"/>
      <c r="I76" s="19"/>
      <c r="J76" s="69"/>
      <c r="K76" s="69"/>
      <c r="L76" s="69"/>
      <c r="M76" s="69"/>
      <c r="N76" s="69"/>
      <c r="O76" s="69"/>
      <c r="P76" s="69"/>
      <c r="Q76" s="70"/>
      <c r="R76" s="70"/>
      <c r="S76" s="70"/>
      <c r="T76" s="25"/>
      <c r="U76" s="25"/>
      <c r="V76" s="25"/>
      <c r="W76" s="19"/>
      <c r="AC76" s="53"/>
      <c r="AD76" s="19"/>
      <c r="AE76" s="29"/>
      <c r="AF76" s="29"/>
      <c r="AG76" s="29"/>
      <c r="AH76" s="29"/>
      <c r="AI76" s="29"/>
      <c r="AJ76" s="29"/>
    </row>
    <row r="77" spans="2:256" x14ac:dyDescent="0.2">
      <c r="D77" s="732">
        <f t="shared" ref="D77:D82" si="11">$D$8</f>
        <v>0</v>
      </c>
      <c r="E77" s="732"/>
      <c r="F77" s="732"/>
      <c r="G77" s="749">
        <f t="shared" ref="G77:G82" si="12">$G$8</f>
        <v>0</v>
      </c>
      <c r="H77" s="749"/>
      <c r="I77" s="749"/>
      <c r="J77" s="758" t="s">
        <v>137</v>
      </c>
      <c r="K77" s="758"/>
      <c r="L77" s="758"/>
      <c r="M77" s="758"/>
      <c r="N77" s="758"/>
      <c r="O77" s="758"/>
      <c r="P77" s="758"/>
      <c r="Q77" s="761" t="str">
        <f>IF(Q10&gt;35,"6'","5'")</f>
        <v>5'</v>
      </c>
      <c r="R77" s="761"/>
      <c r="S77" s="761"/>
      <c r="T77" s="762"/>
      <c r="U77" s="762"/>
      <c r="V77" s="762"/>
      <c r="W77" s="762"/>
      <c r="X77" s="762"/>
      <c r="AG77" s="29"/>
      <c r="AH77" s="29"/>
      <c r="AI77" s="29"/>
      <c r="AJ77" s="29"/>
      <c r="AK77" s="29"/>
      <c r="AL77" s="29"/>
    </row>
    <row r="78" spans="2:256" x14ac:dyDescent="0.2">
      <c r="D78" s="732">
        <f t="shared" si="11"/>
        <v>0</v>
      </c>
      <c r="E78" s="732"/>
      <c r="F78" s="732"/>
      <c r="G78" s="749">
        <f t="shared" si="12"/>
        <v>0</v>
      </c>
      <c r="H78" s="749"/>
      <c r="I78" s="749"/>
      <c r="J78" s="758" t="s">
        <v>138</v>
      </c>
      <c r="K78" s="758"/>
      <c r="L78" s="758"/>
      <c r="M78" s="758"/>
      <c r="N78" s="758"/>
      <c r="O78" s="758"/>
      <c r="P78" s="758"/>
      <c r="Q78" s="755" t="str">
        <f>'[2]DATA ENTRY FORM'!$Q$88:$S$88</f>
        <v>Clear Low-E</v>
      </c>
      <c r="R78" s="755"/>
      <c r="S78" s="755"/>
      <c r="T78" s="759" t="s">
        <v>139</v>
      </c>
      <c r="U78" s="759"/>
      <c r="V78" s="759"/>
      <c r="W78" s="759"/>
      <c r="X78" s="759"/>
      <c r="Y78" s="759"/>
      <c r="AG78" s="29"/>
      <c r="AH78" s="29"/>
      <c r="AI78" s="29"/>
      <c r="AJ78" s="29"/>
      <c r="AK78" s="29"/>
      <c r="AL78" s="29"/>
    </row>
    <row r="79" spans="2:256" x14ac:dyDescent="0.2">
      <c r="D79" s="732">
        <f t="shared" si="11"/>
        <v>0</v>
      </c>
      <c r="E79" s="732"/>
      <c r="F79" s="732"/>
      <c r="G79" s="749">
        <f t="shared" si="12"/>
        <v>0</v>
      </c>
      <c r="H79" s="749"/>
      <c r="I79" s="749"/>
      <c r="J79" s="758" t="s">
        <v>140</v>
      </c>
      <c r="K79" s="758"/>
      <c r="L79" s="758"/>
      <c r="M79" s="758"/>
      <c r="N79" s="758"/>
      <c r="O79" s="758"/>
      <c r="P79" s="758"/>
      <c r="Q79" s="755" t="str">
        <f>'[3]DATA ENTRY FORM'!Q89</f>
        <v>Triple Pane</v>
      </c>
      <c r="R79" s="755"/>
      <c r="S79" s="755"/>
      <c r="T79" s="71"/>
      <c r="U79" s="71"/>
      <c r="V79" s="71"/>
      <c r="W79" s="71"/>
      <c r="X79" s="71"/>
      <c r="AG79" s="29"/>
      <c r="AH79" s="29"/>
      <c r="AI79" s="29"/>
      <c r="AJ79" s="29"/>
      <c r="AK79" s="29"/>
      <c r="AL79" s="29"/>
    </row>
    <row r="80" spans="2:256" x14ac:dyDescent="0.2">
      <c r="D80" s="732">
        <f t="shared" si="11"/>
        <v>0</v>
      </c>
      <c r="E80" s="732"/>
      <c r="F80" s="732"/>
      <c r="G80" s="749">
        <f t="shared" si="12"/>
        <v>0</v>
      </c>
      <c r="H80" s="749"/>
      <c r="I80" s="749"/>
      <c r="J80" s="754" t="s">
        <v>141</v>
      </c>
      <c r="K80" s="754"/>
      <c r="L80" s="754"/>
      <c r="M80" s="754"/>
      <c r="N80" s="754"/>
      <c r="O80" s="754"/>
      <c r="P80" s="754"/>
      <c r="Q80" s="757" t="s">
        <v>142</v>
      </c>
      <c r="R80" s="757"/>
      <c r="S80" s="757"/>
      <c r="U80" s="20" t="s">
        <v>143</v>
      </c>
      <c r="V80" s="20" t="s">
        <v>144</v>
      </c>
      <c r="W80" s="20" t="s">
        <v>145</v>
      </c>
      <c r="AG80" s="29"/>
      <c r="AH80" s="29"/>
      <c r="AI80" s="29"/>
      <c r="AJ80" s="29"/>
      <c r="AK80" s="29"/>
      <c r="AL80" s="29"/>
    </row>
    <row r="81" spans="4:38" x14ac:dyDescent="0.2">
      <c r="D81" s="732">
        <f t="shared" si="11"/>
        <v>0</v>
      </c>
      <c r="E81" s="732"/>
      <c r="F81" s="732"/>
      <c r="G81" s="749">
        <f t="shared" si="12"/>
        <v>0</v>
      </c>
      <c r="H81" s="749"/>
      <c r="I81" s="749"/>
      <c r="J81" s="754" t="s">
        <v>146</v>
      </c>
      <c r="K81" s="754"/>
      <c r="L81" s="754"/>
      <c r="M81" s="754"/>
      <c r="N81" s="754"/>
      <c r="O81" s="754"/>
      <c r="P81" s="754"/>
      <c r="Q81" s="755" t="str">
        <f>'[2]DATA ENTRY FORM'!$Q$91:$S$91</f>
        <v>Manual</v>
      </c>
      <c r="R81" s="755"/>
      <c r="S81" s="755"/>
      <c r="U81" s="20" t="s">
        <v>143</v>
      </c>
      <c r="V81" s="20" t="s">
        <v>144</v>
      </c>
      <c r="W81" s="20" t="s">
        <v>145</v>
      </c>
      <c r="AG81" s="29"/>
      <c r="AH81" s="29"/>
      <c r="AI81" s="29"/>
      <c r="AJ81" s="29"/>
      <c r="AK81" s="29"/>
      <c r="AL81" s="29"/>
    </row>
    <row r="82" spans="4:38" x14ac:dyDescent="0.2">
      <c r="D82" s="732">
        <f t="shared" si="11"/>
        <v>0</v>
      </c>
      <c r="E82" s="732"/>
      <c r="F82" s="732"/>
      <c r="G82" s="749">
        <f t="shared" si="12"/>
        <v>0</v>
      </c>
      <c r="H82" s="749"/>
      <c r="I82" s="749"/>
      <c r="J82" s="754" t="s">
        <v>147</v>
      </c>
      <c r="K82" s="754"/>
      <c r="L82" s="754"/>
      <c r="M82" s="754"/>
      <c r="N82" s="754"/>
      <c r="O82" s="754"/>
      <c r="P82" s="754"/>
      <c r="Q82" s="755" t="str">
        <f>'[3]DATA ENTRY FORM'!Q92</f>
        <v>yes</v>
      </c>
      <c r="R82" s="755"/>
      <c r="S82" s="755"/>
      <c r="U82" s="20" t="s">
        <v>143</v>
      </c>
      <c r="V82" s="20" t="s">
        <v>144</v>
      </c>
      <c r="W82" s="20" t="s">
        <v>145</v>
      </c>
      <c r="AG82" s="29"/>
      <c r="AH82" s="29"/>
      <c r="AI82" s="29"/>
      <c r="AJ82" s="29"/>
      <c r="AK82" s="29"/>
      <c r="AL82" s="29"/>
    </row>
    <row r="83" spans="4:38" x14ac:dyDescent="0.2">
      <c r="D83" s="38"/>
      <c r="E83" s="39"/>
      <c r="F83" s="29"/>
      <c r="G83" s="29"/>
      <c r="H83" s="29"/>
      <c r="I83" s="29"/>
      <c r="J83" s="29"/>
      <c r="K83" s="29"/>
    </row>
    <row r="84" spans="4:38" ht="23.25" x14ac:dyDescent="0.2">
      <c r="D84" s="38"/>
      <c r="E84" s="39"/>
      <c r="M84" s="756" t="s">
        <v>148</v>
      </c>
      <c r="N84" s="756"/>
      <c r="O84" s="756"/>
      <c r="P84" s="756"/>
      <c r="Q84" s="756"/>
      <c r="R84" s="756"/>
      <c r="S84" s="756"/>
      <c r="T84" s="756"/>
      <c r="U84" s="756"/>
      <c r="V84" s="756"/>
      <c r="AA84" s="19"/>
    </row>
    <row r="85" spans="4:38" ht="23.25" x14ac:dyDescent="0.2">
      <c r="D85" s="38"/>
      <c r="E85" s="39"/>
      <c r="F85" s="19"/>
      <c r="G85" s="40"/>
      <c r="H85" s="40"/>
      <c r="I85" s="19"/>
      <c r="J85" s="72"/>
      <c r="K85" s="69"/>
      <c r="L85" s="69"/>
      <c r="M85" s="69"/>
      <c r="N85" s="69"/>
      <c r="O85" s="69"/>
      <c r="P85" s="69"/>
      <c r="Q85" s="69"/>
      <c r="R85" s="69"/>
      <c r="S85" s="69"/>
      <c r="T85" s="69"/>
      <c r="U85" s="69"/>
      <c r="V85" s="69"/>
      <c r="W85" s="69"/>
      <c r="X85" s="69"/>
      <c r="Y85" s="69"/>
      <c r="Z85" s="69"/>
      <c r="AA85" s="19"/>
      <c r="AC85" s="750" t="s">
        <v>149</v>
      </c>
      <c r="AD85" s="750"/>
      <c r="AE85" s="750"/>
      <c r="AF85" s="750"/>
      <c r="AG85" s="750"/>
      <c r="AH85" s="750"/>
      <c r="AI85" s="19"/>
    </row>
    <row r="86" spans="4:38" ht="30" customHeight="1" x14ac:dyDescent="0.2">
      <c r="D86" s="732" t="s">
        <v>43</v>
      </c>
      <c r="E86" s="732"/>
      <c r="F86" s="732"/>
      <c r="G86" s="753" t="s">
        <v>44</v>
      </c>
      <c r="H86" s="753"/>
      <c r="I86" s="753"/>
      <c r="J86" s="752" t="s">
        <v>150</v>
      </c>
      <c r="K86" s="752"/>
      <c r="L86" s="751" t="s">
        <v>151</v>
      </c>
      <c r="M86" s="751"/>
      <c r="N86" s="752" t="s">
        <v>152</v>
      </c>
      <c r="O86" s="752"/>
      <c r="P86" s="751" t="s">
        <v>153</v>
      </c>
      <c r="Q86" s="751"/>
      <c r="R86" s="751" t="s">
        <v>154</v>
      </c>
      <c r="S86" s="751"/>
      <c r="T86" s="752" t="s">
        <v>155</v>
      </c>
      <c r="U86" s="752"/>
      <c r="V86" s="74" t="s">
        <v>156</v>
      </c>
      <c r="W86" s="75" t="s">
        <v>157</v>
      </c>
      <c r="X86" s="74" t="s">
        <v>158</v>
      </c>
      <c r="Y86" s="75" t="s">
        <v>157</v>
      </c>
      <c r="Z86" s="69"/>
      <c r="AA86" s="19"/>
      <c r="AC86" s="750" t="s">
        <v>159</v>
      </c>
      <c r="AD86" s="750"/>
      <c r="AE86" s="750"/>
      <c r="AF86" s="750"/>
      <c r="AG86" s="750"/>
      <c r="AH86" s="750"/>
      <c r="AI86" s="750"/>
      <c r="AJ86" s="750"/>
    </row>
    <row r="87" spans="4:38" x14ac:dyDescent="0.2">
      <c r="D87" s="732">
        <f t="shared" ref="D87:D94" si="13">IF(J87&gt;0,$D$8," ")</f>
        <v>0</v>
      </c>
      <c r="E87" s="732"/>
      <c r="F87" s="732"/>
      <c r="G87" s="749">
        <f t="shared" ref="G87:G94" si="14">IF(J87&gt;0,$G$8," ")</f>
        <v>0</v>
      </c>
      <c r="H87" s="749"/>
      <c r="I87" s="749"/>
      <c r="J87" s="747">
        <f>'[2]DATA ENTRY FORM'!$J$97:$K$97</f>
        <v>1</v>
      </c>
      <c r="K87" s="747"/>
      <c r="L87" s="747" t="str">
        <f>'[2]DATA ENTRY FORM'!$L$97:$M$97</f>
        <v>3'0</v>
      </c>
      <c r="M87" s="747"/>
      <c r="N87" s="747" t="str">
        <f>'[2]DATA ENTRY FORM'!$N$97:$O$97</f>
        <v>6'8</v>
      </c>
      <c r="O87" s="747"/>
      <c r="P87" s="747" t="str">
        <f>'[2]DATA ENTRY FORM'!$P$97:$Q$97</f>
        <v>NONE</v>
      </c>
      <c r="Q87" s="747"/>
      <c r="R87" s="747" t="str">
        <f>'[2]DATA ENTRY FORM'!$R$97:$S$97</f>
        <v>------</v>
      </c>
      <c r="S87" s="747"/>
      <c r="T87" s="747" t="str">
        <f>'[2]DATA ENTRY FORM'!$T$97:$U$97</f>
        <v>------</v>
      </c>
      <c r="U87" s="747"/>
      <c r="V87" s="28">
        <f>'[2]DATA ENTRY FORM'!$V$97</f>
        <v>1</v>
      </c>
      <c r="W87" s="76">
        <f t="shared" ref="W87:W94" si="15">IF($V87&gt;0,IF($L87="3'0",41,IF($L87="2'8",37,IF($L87="2'6",35," ")))," ")</f>
        <v>41</v>
      </c>
      <c r="X87" s="28">
        <f>'[2]DATA ENTRY FORM'!$X$97</f>
        <v>0</v>
      </c>
      <c r="Y87" s="76" t="str">
        <f t="shared" ref="Y87:Y94" si="16">IF($X87&gt;0,IF($L87="3'0",41,IF($L87="2'8",37,IF($L87="2'6",35," ")))," ")</f>
        <v xml:space="preserve"> </v>
      </c>
      <c r="Z87" s="69"/>
      <c r="AA87" s="19"/>
    </row>
    <row r="88" spans="4:38" x14ac:dyDescent="0.2">
      <c r="D88" s="732" t="str">
        <f t="shared" si="13"/>
        <v xml:space="preserve"> </v>
      </c>
      <c r="E88" s="732"/>
      <c r="F88" s="732"/>
      <c r="G88" s="749" t="str">
        <f t="shared" si="14"/>
        <v xml:space="preserve"> </v>
      </c>
      <c r="H88" s="749"/>
      <c r="I88" s="749"/>
      <c r="J88" s="747">
        <f>'[2]DATA ENTRY FORM'!$J$98:$K$98</f>
        <v>0</v>
      </c>
      <c r="K88" s="747"/>
      <c r="L88" s="747">
        <f>'[2]DATA ENTRY FORM'!$L$98:$M$98</f>
        <v>0</v>
      </c>
      <c r="M88" s="747"/>
      <c r="N88" s="747">
        <f>'[2]DATA ENTRY FORM'!$N$98:$O$98</f>
        <v>0</v>
      </c>
      <c r="O88" s="747"/>
      <c r="P88" s="747">
        <f>'[2]DATA ENTRY FORM'!$P$98:$Q$98</f>
        <v>0</v>
      </c>
      <c r="Q88" s="747"/>
      <c r="R88" s="747">
        <f>'[2]DATA ENTRY FORM'!$R$98:$S$98</f>
        <v>0</v>
      </c>
      <c r="S88" s="747"/>
      <c r="T88" s="747">
        <f>'[2]DATA ENTRY FORM'!$T$98:$U$98</f>
        <v>0</v>
      </c>
      <c r="U88" s="747"/>
      <c r="V88" s="28">
        <f>'[2]DATA ENTRY FORM'!$V$98</f>
        <v>0</v>
      </c>
      <c r="W88" s="76" t="str">
        <f t="shared" si="15"/>
        <v xml:space="preserve"> </v>
      </c>
      <c r="X88" s="28">
        <f>'[2]DATA ENTRY FORM'!$X$98</f>
        <v>0</v>
      </c>
      <c r="Y88" s="76" t="str">
        <f t="shared" si="16"/>
        <v xml:space="preserve"> </v>
      </c>
      <c r="Z88" s="69"/>
      <c r="AA88" s="19"/>
      <c r="AC88" s="750" t="s">
        <v>160</v>
      </c>
      <c r="AD88" s="750"/>
      <c r="AE88" s="750"/>
      <c r="AF88" s="750"/>
      <c r="AG88" s="750"/>
      <c r="AH88" s="750"/>
      <c r="AI88" s="19"/>
      <c r="AK88" s="20">
        <f>IF(P87="none",0,J87)</f>
        <v>0</v>
      </c>
    </row>
    <row r="89" spans="4:38" x14ac:dyDescent="0.2">
      <c r="D89" s="732" t="str">
        <f t="shared" si="13"/>
        <v xml:space="preserve"> </v>
      </c>
      <c r="E89" s="732"/>
      <c r="F89" s="732"/>
      <c r="G89" s="749" t="str">
        <f t="shared" si="14"/>
        <v xml:space="preserve"> </v>
      </c>
      <c r="H89" s="749"/>
      <c r="I89" s="749"/>
      <c r="J89" s="747">
        <f>'[2]DATA ENTRY FORM'!$J$99:$K$99</f>
        <v>0</v>
      </c>
      <c r="K89" s="747"/>
      <c r="L89" s="747">
        <f>'[2]DATA ENTRY FORM'!$L$99:$M$99</f>
        <v>0</v>
      </c>
      <c r="M89" s="747"/>
      <c r="N89" s="747">
        <f>'[2]DATA ENTRY FORM'!$N$99:$O$99</f>
        <v>0</v>
      </c>
      <c r="O89" s="747"/>
      <c r="P89" s="747">
        <f>'[2]DATA ENTRY FORM'!$P$99:$Q$99</f>
        <v>0</v>
      </c>
      <c r="Q89" s="747"/>
      <c r="R89" s="747">
        <f>'[2]DATA ENTRY FORM'!$R$99:$S$99</f>
        <v>0</v>
      </c>
      <c r="S89" s="747"/>
      <c r="T89" s="747">
        <f>'[2]DATA ENTRY FORM'!$T$99:$U$99</f>
        <v>0</v>
      </c>
      <c r="U89" s="747"/>
      <c r="V89" s="28">
        <f>'[2]DATA ENTRY FORM'!$V$99</f>
        <v>0</v>
      </c>
      <c r="W89" s="76" t="str">
        <f t="shared" si="15"/>
        <v xml:space="preserve"> </v>
      </c>
      <c r="X89" s="28">
        <f>'[2]DATA ENTRY FORM'!$X$99</f>
        <v>0</v>
      </c>
      <c r="Y89" s="76" t="str">
        <f t="shared" si="16"/>
        <v xml:space="preserve"> </v>
      </c>
      <c r="Z89" s="69"/>
      <c r="AA89" s="19"/>
      <c r="AD89" s="750" t="s">
        <v>161</v>
      </c>
      <c r="AE89" s="750"/>
      <c r="AF89" s="750"/>
      <c r="AG89" s="750"/>
      <c r="AH89" s="750"/>
      <c r="AI89" s="19"/>
      <c r="AK89" s="20">
        <f t="shared" ref="AK89:AK94" si="17">IF(P88="none",0,J88)</f>
        <v>0</v>
      </c>
    </row>
    <row r="90" spans="4:38" x14ac:dyDescent="0.2">
      <c r="D90" s="732" t="str">
        <f t="shared" si="13"/>
        <v xml:space="preserve"> </v>
      </c>
      <c r="E90" s="732"/>
      <c r="F90" s="732"/>
      <c r="G90" s="749" t="str">
        <f t="shared" si="14"/>
        <v xml:space="preserve"> </v>
      </c>
      <c r="H90" s="749"/>
      <c r="I90" s="749"/>
      <c r="J90" s="747">
        <f>'[2]DATA ENTRY FORM'!$J$100:$K$100</f>
        <v>0</v>
      </c>
      <c r="K90" s="747"/>
      <c r="L90" s="747">
        <f>'[2]DATA ENTRY FORM'!$L$100:$M$100</f>
        <v>0</v>
      </c>
      <c r="M90" s="747"/>
      <c r="N90" s="747">
        <f>'[2]DATA ENTRY FORM'!$N$100:$O$100</f>
        <v>0</v>
      </c>
      <c r="O90" s="747"/>
      <c r="P90" s="747">
        <f>'[2]DATA ENTRY FORM'!$P$100:$Q$100</f>
        <v>0</v>
      </c>
      <c r="Q90" s="747"/>
      <c r="R90" s="747">
        <f>'[2]DATA ENTRY FORM'!$R$100:$S$100</f>
        <v>0</v>
      </c>
      <c r="S90" s="747"/>
      <c r="T90" s="747">
        <f>'[2]DATA ENTRY FORM'!$T$100:$U$100</f>
        <v>0</v>
      </c>
      <c r="U90" s="747"/>
      <c r="V90" s="28">
        <f>'[2]DATA ENTRY FORM'!$V$100</f>
        <v>0</v>
      </c>
      <c r="W90" s="76" t="str">
        <f t="shared" si="15"/>
        <v xml:space="preserve"> </v>
      </c>
      <c r="X90" s="28">
        <f>'[2]DATA ENTRY FORM'!$X$100</f>
        <v>0</v>
      </c>
      <c r="Y90" s="76" t="str">
        <f t="shared" si="16"/>
        <v xml:space="preserve"> </v>
      </c>
      <c r="Z90" s="69"/>
      <c r="AA90" s="19"/>
      <c r="AK90" s="20">
        <f t="shared" si="17"/>
        <v>0</v>
      </c>
    </row>
    <row r="91" spans="4:38" x14ac:dyDescent="0.2">
      <c r="D91" s="732" t="str">
        <f t="shared" si="13"/>
        <v xml:space="preserve"> </v>
      </c>
      <c r="E91" s="732"/>
      <c r="F91" s="732"/>
      <c r="G91" s="749" t="str">
        <f t="shared" si="14"/>
        <v xml:space="preserve"> </v>
      </c>
      <c r="H91" s="749"/>
      <c r="I91" s="749"/>
      <c r="J91" s="747">
        <f>'[2]DATA ENTRY FORM'!$J$101:$K$101</f>
        <v>0</v>
      </c>
      <c r="K91" s="747"/>
      <c r="L91" s="747">
        <f>'[2]DATA ENTRY FORM'!$L$101:$M$101</f>
        <v>0</v>
      </c>
      <c r="M91" s="747"/>
      <c r="N91" s="747">
        <f>'[2]DATA ENTRY FORM'!$N$101:$O$101</f>
        <v>0</v>
      </c>
      <c r="O91" s="747"/>
      <c r="P91" s="747">
        <f>'[2]DATA ENTRY FORM'!$P$101:$Q$101</f>
        <v>0</v>
      </c>
      <c r="Q91" s="747"/>
      <c r="R91" s="747">
        <f>'[2]DATA ENTRY FORM'!$R$102:$S$102</f>
        <v>0</v>
      </c>
      <c r="S91" s="747"/>
      <c r="T91" s="747">
        <f>'[2]DATA ENTRY FORM'!$T$101:$U$101</f>
        <v>0</v>
      </c>
      <c r="U91" s="747"/>
      <c r="V91" s="28">
        <f>'[2]DATA ENTRY FORM'!$V$101</f>
        <v>0</v>
      </c>
      <c r="W91" s="76" t="str">
        <f t="shared" si="15"/>
        <v xml:space="preserve"> </v>
      </c>
      <c r="X91" s="28">
        <f>'[2]DATA ENTRY FORM'!$X$101</f>
        <v>0</v>
      </c>
      <c r="Y91" s="76" t="str">
        <f t="shared" si="16"/>
        <v xml:space="preserve"> </v>
      </c>
      <c r="Z91" s="69"/>
      <c r="AA91" s="19"/>
      <c r="AK91" s="20">
        <f t="shared" si="17"/>
        <v>0</v>
      </c>
    </row>
    <row r="92" spans="4:38" x14ac:dyDescent="0.2">
      <c r="D92" s="732" t="str">
        <f t="shared" si="13"/>
        <v xml:space="preserve"> </v>
      </c>
      <c r="E92" s="732"/>
      <c r="F92" s="732"/>
      <c r="G92" s="749" t="str">
        <f t="shared" si="14"/>
        <v xml:space="preserve"> </v>
      </c>
      <c r="H92" s="749"/>
      <c r="I92" s="749"/>
      <c r="J92" s="747">
        <f>'[2]DATA ENTRY FORM'!$J$102:$K$102</f>
        <v>0</v>
      </c>
      <c r="K92" s="747"/>
      <c r="L92" s="747">
        <f>'[2]DATA ENTRY FORM'!$L$102:$M$102</f>
        <v>0</v>
      </c>
      <c r="M92" s="747"/>
      <c r="N92" s="747">
        <f>'[2]DATA ENTRY FORM'!$N$102:$O$102</f>
        <v>0</v>
      </c>
      <c r="O92" s="747"/>
      <c r="P92" s="747">
        <f>'[2]DATA ENTRY FORM'!$P$102:$Q$102</f>
        <v>0</v>
      </c>
      <c r="Q92" s="747"/>
      <c r="R92" s="747">
        <f>'[2]DATA ENTRY FORM'!$R$102:$S$102</f>
        <v>0</v>
      </c>
      <c r="S92" s="747"/>
      <c r="T92" s="747">
        <f>'[2]DATA ENTRY FORM'!$T$102:$U$102</f>
        <v>0</v>
      </c>
      <c r="U92" s="747"/>
      <c r="V92" s="28">
        <f>'[2]DATA ENTRY FORM'!$V$102</f>
        <v>0</v>
      </c>
      <c r="W92" s="76" t="str">
        <f t="shared" si="15"/>
        <v xml:space="preserve"> </v>
      </c>
      <c r="X92" s="28">
        <f>'[2]DATA ENTRY FORM'!$X$102</f>
        <v>0</v>
      </c>
      <c r="Y92" s="76" t="str">
        <f t="shared" si="16"/>
        <v xml:space="preserve"> </v>
      </c>
      <c r="Z92" s="69"/>
      <c r="AA92" s="19"/>
      <c r="AK92" s="20">
        <f t="shared" si="17"/>
        <v>0</v>
      </c>
    </row>
    <row r="93" spans="4:38" x14ac:dyDescent="0.2">
      <c r="D93" s="732" t="str">
        <f t="shared" si="13"/>
        <v xml:space="preserve"> </v>
      </c>
      <c r="E93" s="732"/>
      <c r="F93" s="732"/>
      <c r="G93" s="749" t="str">
        <f t="shared" si="14"/>
        <v xml:space="preserve"> </v>
      </c>
      <c r="H93" s="749"/>
      <c r="I93" s="749"/>
      <c r="J93" s="747">
        <f>'[2]DATA ENTRY FORM'!$J$103:$K$103</f>
        <v>0</v>
      </c>
      <c r="K93" s="747"/>
      <c r="L93" s="747">
        <f>'[2]DATA ENTRY FORM'!$L$103:$M$103</f>
        <v>0</v>
      </c>
      <c r="M93" s="747"/>
      <c r="N93" s="747">
        <f>'[2]DATA ENTRY FORM'!$N$103:$O$103</f>
        <v>0</v>
      </c>
      <c r="O93" s="747"/>
      <c r="P93" s="747">
        <f>'[2]DATA ENTRY FORM'!$P$103:$Q$103</f>
        <v>0</v>
      </c>
      <c r="Q93" s="747"/>
      <c r="R93" s="747">
        <f>'[2]DATA ENTRY FORM'!$R$103:$S$103</f>
        <v>0</v>
      </c>
      <c r="S93" s="747"/>
      <c r="T93" s="747">
        <f>'[2]DATA ENTRY FORM'!$T$103:$U$103</f>
        <v>0</v>
      </c>
      <c r="U93" s="747"/>
      <c r="V93" s="28">
        <f>'[2]DATA ENTRY FORM'!$V$103</f>
        <v>0</v>
      </c>
      <c r="W93" s="76" t="str">
        <f t="shared" si="15"/>
        <v xml:space="preserve"> </v>
      </c>
      <c r="X93" s="28">
        <f>'[2]DATA ENTRY FORM'!$X$103</f>
        <v>0</v>
      </c>
      <c r="Y93" s="76" t="str">
        <f t="shared" si="16"/>
        <v xml:space="preserve"> </v>
      </c>
      <c r="Z93" s="69"/>
      <c r="AA93" s="19"/>
      <c r="AK93" s="20">
        <f t="shared" si="17"/>
        <v>0</v>
      </c>
    </row>
    <row r="94" spans="4:38" ht="15.75" thickBot="1" x14ac:dyDescent="0.25">
      <c r="D94" s="732" t="str">
        <f t="shared" si="13"/>
        <v xml:space="preserve"> </v>
      </c>
      <c r="E94" s="732"/>
      <c r="F94" s="732"/>
      <c r="G94" s="749" t="str">
        <f t="shared" si="14"/>
        <v xml:space="preserve"> </v>
      </c>
      <c r="H94" s="749"/>
      <c r="I94" s="749"/>
      <c r="J94" s="747">
        <f>'[2]DATA ENTRY FORM'!$J$104:$K$104</f>
        <v>0</v>
      </c>
      <c r="K94" s="747"/>
      <c r="L94" s="747">
        <f>'[2]DATA ENTRY FORM'!$L$104:$M$104</f>
        <v>0</v>
      </c>
      <c r="M94" s="747"/>
      <c r="N94" s="747">
        <f>'[2]DATA ENTRY FORM'!$N$104:$O$104</f>
        <v>0</v>
      </c>
      <c r="O94" s="747"/>
      <c r="P94" s="747">
        <f>'[2]DATA ENTRY FORM'!$P$104:$Q$104</f>
        <v>0</v>
      </c>
      <c r="Q94" s="747"/>
      <c r="R94" s="747">
        <f>'[2]DATA ENTRY FORM'!$R$104:$S$104</f>
        <v>0</v>
      </c>
      <c r="S94" s="747"/>
      <c r="T94" s="747">
        <f>'[2]DATA ENTRY FORM'!$T$104:$U$104</f>
        <v>0</v>
      </c>
      <c r="U94" s="747"/>
      <c r="V94" s="28">
        <f>'[2]DATA ENTRY FORM'!$V$104</f>
        <v>0</v>
      </c>
      <c r="W94" s="76" t="str">
        <f t="shared" si="15"/>
        <v xml:space="preserve"> </v>
      </c>
      <c r="X94" s="28">
        <f>'[2]DATA ENTRY FORM'!$X$104</f>
        <v>0</v>
      </c>
      <c r="Y94" s="76" t="str">
        <f t="shared" si="16"/>
        <v xml:space="preserve"> </v>
      </c>
      <c r="Z94" s="69"/>
      <c r="AA94" s="19"/>
      <c r="AK94" s="20">
        <f t="shared" si="17"/>
        <v>0</v>
      </c>
    </row>
    <row r="95" spans="4:38" ht="15.75" thickBot="1" x14ac:dyDescent="0.25">
      <c r="D95" s="40"/>
      <c r="E95" s="77"/>
      <c r="F95" s="78"/>
      <c r="G95" s="78"/>
      <c r="H95" s="78"/>
      <c r="I95" s="78"/>
      <c r="J95" s="79">
        <f>SUM(J87:K94)</f>
        <v>1</v>
      </c>
      <c r="K95" s="79"/>
      <c r="L95" s="69" t="s">
        <v>162</v>
      </c>
      <c r="M95" s="69"/>
      <c r="N95" s="69"/>
      <c r="O95" s="69"/>
      <c r="P95" s="69"/>
      <c r="Q95" s="69"/>
      <c r="R95" s="69"/>
      <c r="S95" s="80"/>
      <c r="T95" s="69"/>
      <c r="U95" s="69"/>
      <c r="V95" s="69"/>
      <c r="W95" s="69"/>
      <c r="X95" s="69"/>
      <c r="Y95" s="69"/>
      <c r="Z95" s="69"/>
      <c r="AA95" s="19"/>
      <c r="AJ95" s="20" t="s">
        <v>674</v>
      </c>
      <c r="AK95" s="581">
        <f>SUM(AK88:AK94)</f>
        <v>0</v>
      </c>
    </row>
    <row r="96" spans="4:38" ht="13.5" customHeight="1" x14ac:dyDescent="0.2">
      <c r="D96" s="38"/>
      <c r="E96" s="39"/>
      <c r="F96" s="748" t="s">
        <v>163</v>
      </c>
      <c r="G96" s="748"/>
      <c r="H96" s="748"/>
      <c r="I96" s="748"/>
      <c r="J96" s="748"/>
      <c r="K96" s="748"/>
      <c r="L96" s="748"/>
      <c r="M96" s="748"/>
      <c r="N96" s="748"/>
      <c r="O96" s="748"/>
      <c r="P96" s="748"/>
      <c r="Q96" s="748"/>
      <c r="R96" s="748"/>
      <c r="S96" s="748"/>
      <c r="T96" s="748"/>
    </row>
    <row r="97" spans="1:30" ht="13.5" customHeight="1" x14ac:dyDescent="0.2">
      <c r="D97" s="38"/>
      <c r="E97" s="39"/>
      <c r="F97" s="81"/>
      <c r="G97" s="81"/>
      <c r="H97" s="81"/>
      <c r="I97" s="81"/>
      <c r="J97" s="742" t="s">
        <v>92</v>
      </c>
      <c r="K97" s="742"/>
      <c r="L97" s="742"/>
      <c r="M97" s="742"/>
      <c r="N97" s="742" t="s">
        <v>150</v>
      </c>
      <c r="O97" s="742"/>
      <c r="P97" s="742"/>
      <c r="Q97" s="742"/>
      <c r="R97" s="742" t="s">
        <v>92</v>
      </c>
      <c r="S97" s="742"/>
      <c r="T97" s="742"/>
      <c r="U97" s="742"/>
      <c r="V97" s="742" t="s">
        <v>150</v>
      </c>
      <c r="W97" s="742"/>
      <c r="X97" s="742"/>
      <c r="Y97" s="742"/>
    </row>
    <row r="98" spans="1:30" ht="12.75" customHeight="1" x14ac:dyDescent="0.2">
      <c r="D98" s="732">
        <f>$D$8</f>
        <v>0</v>
      </c>
      <c r="E98" s="732"/>
      <c r="F98" s="732"/>
      <c r="G98" s="733">
        <f>$G$8</f>
        <v>0</v>
      </c>
      <c r="H98" s="733"/>
      <c r="I98" s="733"/>
      <c r="J98" s="743" t="s">
        <v>164</v>
      </c>
      <c r="K98" s="743"/>
      <c r="L98" s="743"/>
      <c r="M98" s="743"/>
      <c r="N98" s="744">
        <f>'[2]DATA ENTRY FORM'!$N$108:$Q$108</f>
        <v>0</v>
      </c>
      <c r="O98" s="744"/>
      <c r="P98" s="744"/>
      <c r="Q98" s="744"/>
      <c r="R98" s="745" t="s">
        <v>165</v>
      </c>
      <c r="S98" s="745"/>
      <c r="T98" s="745"/>
      <c r="U98" s="745"/>
      <c r="V98" s="746">
        <f>'[2]DATA ENTRY FORM'!$V$108:$Y$108</f>
        <v>1</v>
      </c>
      <c r="W98" s="746"/>
      <c r="X98" s="746"/>
      <c r="Y98" s="746"/>
      <c r="AD98" s="46">
        <f>SUM(N98+V98)</f>
        <v>1</v>
      </c>
    </row>
    <row r="99" spans="1:30" s="25" customFormat="1" ht="12.75" customHeight="1" x14ac:dyDescent="0.2">
      <c r="A99" s="82"/>
      <c r="B99" s="82"/>
      <c r="D99" s="60"/>
      <c r="E99" s="60"/>
      <c r="F99" s="60"/>
      <c r="G99" s="83"/>
      <c r="H99" s="83"/>
      <c r="I99" s="83"/>
      <c r="J99" s="84"/>
      <c r="K99" s="85"/>
      <c r="L99" s="740" t="s">
        <v>166</v>
      </c>
      <c r="M99" s="740"/>
      <c r="N99" s="740"/>
      <c r="O99" s="740"/>
      <c r="P99" s="86"/>
      <c r="Q99" s="87"/>
      <c r="R99" s="88"/>
      <c r="S99" s="74"/>
      <c r="T99" s="740" t="s">
        <v>166</v>
      </c>
      <c r="U99" s="740"/>
      <c r="V99" s="740"/>
      <c r="W99" s="740"/>
      <c r="X99" s="89"/>
      <c r="Y99" s="90"/>
      <c r="AD99" s="91"/>
    </row>
    <row r="100" spans="1:30" ht="12.75" customHeight="1" x14ac:dyDescent="0.2">
      <c r="D100" s="40"/>
      <c r="E100" s="40"/>
      <c r="F100" s="40"/>
      <c r="G100" s="92"/>
      <c r="H100" s="92"/>
      <c r="I100" s="92"/>
      <c r="J100" s="741" t="s">
        <v>167</v>
      </c>
      <c r="K100" s="741"/>
      <c r="L100" s="741" t="s">
        <v>168</v>
      </c>
      <c r="M100" s="741"/>
      <c r="N100" s="741" t="s">
        <v>169</v>
      </c>
      <c r="O100" s="741"/>
      <c r="P100" s="93" t="s">
        <v>170</v>
      </c>
      <c r="Q100" s="93" t="s">
        <v>114</v>
      </c>
      <c r="R100" s="741" t="s">
        <v>167</v>
      </c>
      <c r="S100" s="741"/>
      <c r="T100" s="741" t="s">
        <v>168</v>
      </c>
      <c r="U100" s="741"/>
      <c r="V100" s="741" t="s">
        <v>169</v>
      </c>
      <c r="W100" s="741"/>
      <c r="X100" s="93" t="s">
        <v>170</v>
      </c>
      <c r="Y100" s="93" t="s">
        <v>114</v>
      </c>
      <c r="Z100" s="25"/>
      <c r="AD100" s="91"/>
    </row>
    <row r="101" spans="1:30" ht="12.75" customHeight="1" x14ac:dyDescent="0.2">
      <c r="D101" s="732" t="str">
        <f>IF(P101&gt;0,$D$8," ")</f>
        <v xml:space="preserve"> </v>
      </c>
      <c r="E101" s="732"/>
      <c r="F101" s="732"/>
      <c r="G101" s="733" t="str">
        <f>IF(P101&gt;0,$G$8," ")</f>
        <v xml:space="preserve"> </v>
      </c>
      <c r="H101" s="733"/>
      <c r="I101" s="733"/>
      <c r="J101" s="739">
        <f>'[2]DATA ENTRY FORM'!$J$111:$K$111</f>
        <v>0</v>
      </c>
      <c r="K101" s="739"/>
      <c r="L101" s="735">
        <f>'[2]DATA ENTRY FORM'!$L$111:$M$111</f>
        <v>0</v>
      </c>
      <c r="M101" s="735"/>
      <c r="N101" s="736">
        <f>'[2]DATA ENTRY FORM'!$N$111:$O$111</f>
        <v>0</v>
      </c>
      <c r="O101" s="736"/>
      <c r="P101" s="94">
        <f>IF(J101&gt;0,N98*2,0)</f>
        <v>0</v>
      </c>
      <c r="Q101" s="95">
        <f>'[2]DATA ENTRY FORM'!$Q$111</f>
        <v>0</v>
      </c>
      <c r="R101" s="739">
        <f>'[2]DATA ENTRY FORM'!$R$111:$S$111</f>
        <v>0</v>
      </c>
      <c r="S101" s="739"/>
      <c r="T101" s="735">
        <f>'[2]DATA ENTRY FORM'!$T$111:$U$111</f>
        <v>0</v>
      </c>
      <c r="U101" s="735"/>
      <c r="V101" s="736">
        <f>'[2]DATA ENTRY FORM'!$V$111:$W$111</f>
        <v>0</v>
      </c>
      <c r="W101" s="736"/>
      <c r="X101" s="94">
        <f>IF(R101&gt;0,(V98*2),0)</f>
        <v>0</v>
      </c>
      <c r="Y101" s="95">
        <f>'[2]DATA ENTRY FORM'!$Y$111</f>
        <v>0</v>
      </c>
    </row>
    <row r="102" spans="1:30" ht="43.9" customHeight="1" x14ac:dyDescent="0.2">
      <c r="D102" s="38"/>
      <c r="E102" s="39"/>
      <c r="F102" s="737" t="s">
        <v>171</v>
      </c>
      <c r="G102" s="737"/>
      <c r="H102" s="737"/>
      <c r="I102" s="737"/>
      <c r="J102" s="737"/>
      <c r="K102" s="737"/>
      <c r="L102" s="737"/>
      <c r="M102" s="737"/>
      <c r="N102" s="737"/>
      <c r="O102" s="737"/>
      <c r="P102" s="737"/>
      <c r="Q102" s="737"/>
      <c r="R102" s="737"/>
      <c r="S102" s="737"/>
      <c r="T102" s="737"/>
    </row>
    <row r="103" spans="1:30" ht="18.75" x14ac:dyDescent="0.2">
      <c r="D103" s="38"/>
      <c r="E103" s="39"/>
      <c r="F103" s="738"/>
      <c r="G103" s="738"/>
      <c r="H103" s="96"/>
      <c r="I103" s="96"/>
    </row>
    <row r="104" spans="1:30" x14ac:dyDescent="0.2">
      <c r="C104" s="24" t="s">
        <v>43</v>
      </c>
      <c r="D104" s="24"/>
      <c r="E104" s="24"/>
      <c r="F104" s="24"/>
      <c r="G104" s="97" t="s">
        <v>44</v>
      </c>
      <c r="H104" s="97"/>
      <c r="I104" s="73"/>
    </row>
    <row r="105" spans="1:30" x14ac:dyDescent="0.2">
      <c r="D105" s="732" t="str">
        <f t="shared" ref="D105:D114" si="18">IF(J105&gt;0,$D$8," ")</f>
        <v xml:space="preserve"> </v>
      </c>
      <c r="E105" s="732"/>
      <c r="F105" s="732"/>
      <c r="G105" s="733" t="str">
        <f t="shared" ref="G105:G114" si="19">IF(J105&gt;0,$G$8," ")</f>
        <v xml:space="preserve"> </v>
      </c>
      <c r="H105" s="733"/>
      <c r="I105" s="733"/>
      <c r="J105" s="734">
        <f>'[2]DATA ENTRY FORM'!$J$115:$AC$115</f>
        <v>0</v>
      </c>
      <c r="K105" s="734"/>
      <c r="L105" s="734"/>
      <c r="M105" s="734"/>
      <c r="N105" s="734"/>
      <c r="O105" s="734"/>
      <c r="P105" s="734"/>
      <c r="Q105" s="734"/>
      <c r="R105" s="734"/>
      <c r="S105" s="734"/>
      <c r="T105" s="734"/>
      <c r="U105" s="734"/>
      <c r="V105" s="734"/>
      <c r="W105" s="734"/>
      <c r="X105" s="734"/>
      <c r="Y105" s="734"/>
      <c r="Z105" s="734"/>
      <c r="AA105" s="734"/>
      <c r="AB105" s="734"/>
      <c r="AC105" s="734"/>
    </row>
    <row r="106" spans="1:30" x14ac:dyDescent="0.2">
      <c r="D106" s="732" t="str">
        <f t="shared" si="18"/>
        <v xml:space="preserve"> </v>
      </c>
      <c r="E106" s="732"/>
      <c r="F106" s="732"/>
      <c r="G106" s="733" t="str">
        <f t="shared" si="19"/>
        <v xml:space="preserve"> </v>
      </c>
      <c r="H106" s="733"/>
      <c r="I106" s="733"/>
      <c r="J106" s="734">
        <f>'[2]DATA ENTRY FORM'!$J$116:$AC$116</f>
        <v>0</v>
      </c>
      <c r="K106" s="734"/>
      <c r="L106" s="734"/>
      <c r="M106" s="734"/>
      <c r="N106" s="734"/>
      <c r="O106" s="734"/>
      <c r="P106" s="734"/>
      <c r="Q106" s="734"/>
      <c r="R106" s="734"/>
      <c r="S106" s="734"/>
      <c r="T106" s="734"/>
      <c r="U106" s="734"/>
      <c r="V106" s="734"/>
      <c r="W106" s="734"/>
      <c r="X106" s="734"/>
      <c r="Y106" s="734"/>
      <c r="Z106" s="734"/>
      <c r="AA106" s="734"/>
      <c r="AB106" s="734"/>
      <c r="AC106" s="734"/>
    </row>
    <row r="107" spans="1:30" x14ac:dyDescent="0.2">
      <c r="D107" s="732" t="str">
        <f t="shared" si="18"/>
        <v xml:space="preserve"> </v>
      </c>
      <c r="E107" s="732"/>
      <c r="F107" s="732"/>
      <c r="G107" s="733" t="str">
        <f t="shared" si="19"/>
        <v xml:space="preserve"> </v>
      </c>
      <c r="H107" s="733"/>
      <c r="I107" s="733"/>
      <c r="J107" s="734">
        <f>'[2]DATA ENTRY FORM'!$J$117:$AC$117</f>
        <v>0</v>
      </c>
      <c r="K107" s="734"/>
      <c r="L107" s="734"/>
      <c r="M107" s="734"/>
      <c r="N107" s="734"/>
      <c r="O107" s="734"/>
      <c r="P107" s="734"/>
      <c r="Q107" s="734"/>
      <c r="R107" s="734"/>
      <c r="S107" s="734"/>
      <c r="T107" s="734"/>
      <c r="U107" s="734"/>
      <c r="V107" s="734"/>
      <c r="W107" s="734"/>
      <c r="X107" s="734"/>
      <c r="Y107" s="734"/>
      <c r="Z107" s="734"/>
      <c r="AA107" s="734"/>
      <c r="AB107" s="734"/>
      <c r="AC107" s="734"/>
    </row>
    <row r="108" spans="1:30" x14ac:dyDescent="0.2">
      <c r="D108" s="732" t="str">
        <f t="shared" si="18"/>
        <v xml:space="preserve"> </v>
      </c>
      <c r="E108" s="732"/>
      <c r="F108" s="732"/>
      <c r="G108" s="733" t="str">
        <f t="shared" si="19"/>
        <v xml:space="preserve"> </v>
      </c>
      <c r="H108" s="733"/>
      <c r="I108" s="733"/>
      <c r="J108" s="734">
        <f>'[2]DATA ENTRY FORM'!$J$118:$AC$118</f>
        <v>0</v>
      </c>
      <c r="K108" s="734"/>
      <c r="L108" s="734"/>
      <c r="M108" s="734"/>
      <c r="N108" s="734"/>
      <c r="O108" s="734"/>
      <c r="P108" s="734"/>
      <c r="Q108" s="734"/>
      <c r="R108" s="734"/>
      <c r="S108" s="734"/>
      <c r="T108" s="734"/>
      <c r="U108" s="734"/>
      <c r="V108" s="734"/>
      <c r="W108" s="734"/>
      <c r="X108" s="734"/>
      <c r="Y108" s="734"/>
      <c r="Z108" s="734"/>
      <c r="AA108" s="734"/>
      <c r="AB108" s="734"/>
      <c r="AC108" s="734"/>
    </row>
    <row r="109" spans="1:30" x14ac:dyDescent="0.2">
      <c r="D109" s="732" t="str">
        <f t="shared" si="18"/>
        <v xml:space="preserve"> </v>
      </c>
      <c r="E109" s="732"/>
      <c r="F109" s="732"/>
      <c r="G109" s="733" t="str">
        <f t="shared" si="19"/>
        <v xml:space="preserve"> </v>
      </c>
      <c r="H109" s="733"/>
      <c r="I109" s="733"/>
      <c r="J109" s="734">
        <f>'[2]DATA ENTRY FORM'!$J$119:$AC$119</f>
        <v>0</v>
      </c>
      <c r="K109" s="734"/>
      <c r="L109" s="734"/>
      <c r="M109" s="734"/>
      <c r="N109" s="734"/>
      <c r="O109" s="734"/>
      <c r="P109" s="734"/>
      <c r="Q109" s="734"/>
      <c r="R109" s="734"/>
      <c r="S109" s="734"/>
      <c r="T109" s="734"/>
      <c r="U109" s="734"/>
      <c r="V109" s="734"/>
      <c r="W109" s="734"/>
      <c r="X109" s="734"/>
      <c r="Y109" s="734"/>
      <c r="Z109" s="734"/>
      <c r="AA109" s="734"/>
      <c r="AB109" s="734"/>
      <c r="AC109" s="734"/>
    </row>
    <row r="110" spans="1:30" x14ac:dyDescent="0.2">
      <c r="D110" s="732" t="str">
        <f t="shared" si="18"/>
        <v xml:space="preserve"> </v>
      </c>
      <c r="E110" s="732"/>
      <c r="F110" s="732"/>
      <c r="G110" s="733" t="str">
        <f t="shared" si="19"/>
        <v xml:space="preserve"> </v>
      </c>
      <c r="H110" s="733"/>
      <c r="I110" s="733"/>
      <c r="J110" s="734">
        <f>'[2]DATA ENTRY FORM'!$J$120:$AC$120</f>
        <v>0</v>
      </c>
      <c r="K110" s="734"/>
      <c r="L110" s="734"/>
      <c r="M110" s="734"/>
      <c r="N110" s="734"/>
      <c r="O110" s="734"/>
      <c r="P110" s="734"/>
      <c r="Q110" s="734"/>
      <c r="R110" s="734"/>
      <c r="S110" s="734"/>
      <c r="T110" s="734"/>
      <c r="U110" s="734"/>
      <c r="V110" s="734"/>
      <c r="W110" s="734"/>
      <c r="X110" s="734"/>
      <c r="Y110" s="734"/>
      <c r="Z110" s="734"/>
      <c r="AA110" s="734"/>
      <c r="AB110" s="734"/>
      <c r="AC110" s="734"/>
    </row>
    <row r="111" spans="1:30" x14ac:dyDescent="0.2">
      <c r="D111" s="732" t="str">
        <f t="shared" si="18"/>
        <v xml:space="preserve"> </v>
      </c>
      <c r="E111" s="732"/>
      <c r="F111" s="732"/>
      <c r="G111" s="733" t="str">
        <f t="shared" si="19"/>
        <v xml:space="preserve"> </v>
      </c>
      <c r="H111" s="733"/>
      <c r="I111" s="733"/>
      <c r="J111" s="734">
        <f>'[2]DATA ENTRY FORM'!$J$121:$AC$121</f>
        <v>0</v>
      </c>
      <c r="K111" s="734"/>
      <c r="L111" s="734"/>
      <c r="M111" s="734"/>
      <c r="N111" s="734"/>
      <c r="O111" s="734"/>
      <c r="P111" s="734"/>
      <c r="Q111" s="734"/>
      <c r="R111" s="734"/>
      <c r="S111" s="734"/>
      <c r="T111" s="734"/>
      <c r="U111" s="734"/>
      <c r="V111" s="734"/>
      <c r="W111" s="734"/>
      <c r="X111" s="734"/>
      <c r="Y111" s="734"/>
      <c r="Z111" s="734"/>
      <c r="AA111" s="734"/>
      <c r="AB111" s="734"/>
      <c r="AC111" s="734"/>
    </row>
    <row r="112" spans="1:30" x14ac:dyDescent="0.2">
      <c r="D112" s="732" t="str">
        <f t="shared" si="18"/>
        <v xml:space="preserve"> </v>
      </c>
      <c r="E112" s="732"/>
      <c r="F112" s="732"/>
      <c r="G112" s="733" t="str">
        <f t="shared" si="19"/>
        <v xml:space="preserve"> </v>
      </c>
      <c r="H112" s="733"/>
      <c r="I112" s="733"/>
      <c r="J112" s="734">
        <f>'[2]DATA ENTRY FORM'!$J$122:$AC$122</f>
        <v>0</v>
      </c>
      <c r="K112" s="734"/>
      <c r="L112" s="734"/>
      <c r="M112" s="734"/>
      <c r="N112" s="734"/>
      <c r="O112" s="734"/>
      <c r="P112" s="734"/>
      <c r="Q112" s="734"/>
      <c r="R112" s="734"/>
      <c r="S112" s="734"/>
      <c r="T112" s="734"/>
      <c r="U112" s="734"/>
      <c r="V112" s="734"/>
      <c r="W112" s="734"/>
      <c r="X112" s="734"/>
      <c r="Y112" s="734"/>
      <c r="Z112" s="734"/>
      <c r="AA112" s="734"/>
      <c r="AB112" s="734"/>
      <c r="AC112" s="734"/>
    </row>
    <row r="113" spans="4:29" x14ac:dyDescent="0.2">
      <c r="D113" s="732" t="str">
        <f t="shared" si="18"/>
        <v xml:space="preserve"> </v>
      </c>
      <c r="E113" s="732"/>
      <c r="F113" s="732"/>
      <c r="G113" s="733" t="str">
        <f t="shared" si="19"/>
        <v xml:space="preserve"> </v>
      </c>
      <c r="H113" s="733"/>
      <c r="I113" s="733"/>
      <c r="J113" s="734">
        <f>'[2]DATA ENTRY FORM'!$J$123:$AC$123</f>
        <v>0</v>
      </c>
      <c r="K113" s="734"/>
      <c r="L113" s="734"/>
      <c r="M113" s="734"/>
      <c r="N113" s="734"/>
      <c r="O113" s="734"/>
      <c r="P113" s="734"/>
      <c r="Q113" s="734"/>
      <c r="R113" s="734"/>
      <c r="S113" s="734"/>
      <c r="T113" s="734"/>
      <c r="U113" s="734"/>
      <c r="V113" s="734"/>
      <c r="W113" s="734"/>
      <c r="X113" s="734"/>
      <c r="Y113" s="734"/>
      <c r="Z113" s="734"/>
      <c r="AA113" s="734"/>
      <c r="AB113" s="734"/>
      <c r="AC113" s="734"/>
    </row>
    <row r="114" spans="4:29" x14ac:dyDescent="0.2">
      <c r="D114" s="732" t="str">
        <f t="shared" si="18"/>
        <v xml:space="preserve"> </v>
      </c>
      <c r="E114" s="732"/>
      <c r="F114" s="732"/>
      <c r="G114" s="733" t="str">
        <f t="shared" si="19"/>
        <v xml:space="preserve"> </v>
      </c>
      <c r="H114" s="733"/>
      <c r="I114" s="733"/>
      <c r="J114" s="734">
        <f>'[2]DATA ENTRY FORM'!$J$124:$AC$124</f>
        <v>0</v>
      </c>
      <c r="K114" s="734"/>
      <c r="L114" s="734"/>
      <c r="M114" s="734"/>
      <c r="N114" s="734"/>
      <c r="O114" s="734"/>
      <c r="P114" s="734"/>
      <c r="Q114" s="734"/>
      <c r="R114" s="734"/>
      <c r="S114" s="734"/>
      <c r="T114" s="734"/>
      <c r="U114" s="734"/>
      <c r="V114" s="734"/>
      <c r="W114" s="734"/>
      <c r="X114" s="734"/>
      <c r="Y114" s="734"/>
      <c r="Z114" s="734"/>
      <c r="AA114" s="734"/>
      <c r="AB114" s="734"/>
      <c r="AC114" s="734"/>
    </row>
    <row r="147" spans="32:32" x14ac:dyDescent="0.2">
      <c r="AF147" s="20" t="s">
        <v>172</v>
      </c>
    </row>
  </sheetData>
  <sheetProtection selectLockedCells="1" selectUnlockedCells="1"/>
  <mergeCells count="526">
    <mergeCell ref="D8:F8"/>
    <mergeCell ref="G8:I8"/>
    <mergeCell ref="D9:F9"/>
    <mergeCell ref="G9:I9"/>
    <mergeCell ref="J9:P9"/>
    <mergeCell ref="Q9:S9"/>
    <mergeCell ref="E2:K2"/>
    <mergeCell ref="L2:R2"/>
    <mergeCell ref="F4:L4"/>
    <mergeCell ref="M4:U4"/>
    <mergeCell ref="E6:M6"/>
    <mergeCell ref="D7:F7"/>
    <mergeCell ref="G7:I7"/>
    <mergeCell ref="J8:P8"/>
    <mergeCell ref="Q8:S8"/>
    <mergeCell ref="T11:U11"/>
    <mergeCell ref="D12:F12"/>
    <mergeCell ref="G12:I12"/>
    <mergeCell ref="J12:P12"/>
    <mergeCell ref="Q12:S12"/>
    <mergeCell ref="T12:U12"/>
    <mergeCell ref="D10:F10"/>
    <mergeCell ref="G10:I10"/>
    <mergeCell ref="J10:P10"/>
    <mergeCell ref="Q10:S10"/>
    <mergeCell ref="D11:F11"/>
    <mergeCell ref="G11:I11"/>
    <mergeCell ref="J11:P11"/>
    <mergeCell ref="Q11:S11"/>
    <mergeCell ref="T14:V14"/>
    <mergeCell ref="X14:AA14"/>
    <mergeCell ref="D15:F15"/>
    <mergeCell ref="G15:I15"/>
    <mergeCell ref="J15:P15"/>
    <mergeCell ref="Q15:S15"/>
    <mergeCell ref="U15:AD15"/>
    <mergeCell ref="D13:F13"/>
    <mergeCell ref="G13:I13"/>
    <mergeCell ref="J13:P13"/>
    <mergeCell ref="D14:F14"/>
    <mergeCell ref="G14:I14"/>
    <mergeCell ref="J14:P14"/>
    <mergeCell ref="X13:AA13"/>
    <mergeCell ref="F17:O17"/>
    <mergeCell ref="D18:F19"/>
    <mergeCell ref="G18:I19"/>
    <mergeCell ref="J18:O19"/>
    <mergeCell ref="P18:Q18"/>
    <mergeCell ref="R18:S18"/>
    <mergeCell ref="P19:Q19"/>
    <mergeCell ref="R19:S19"/>
    <mergeCell ref="Q14:S14"/>
    <mergeCell ref="D23:F23"/>
    <mergeCell ref="G23:I23"/>
    <mergeCell ref="J23:P23"/>
    <mergeCell ref="Q23:S23"/>
    <mergeCell ref="D24:F24"/>
    <mergeCell ref="G24:I24"/>
    <mergeCell ref="J24:P24"/>
    <mergeCell ref="Q24:S24"/>
    <mergeCell ref="X19:AB23"/>
    <mergeCell ref="D20:F20"/>
    <mergeCell ref="G20:I20"/>
    <mergeCell ref="J20:P20"/>
    <mergeCell ref="D21:F21"/>
    <mergeCell ref="G21:I21"/>
    <mergeCell ref="J21:P21"/>
    <mergeCell ref="D22:F22"/>
    <mergeCell ref="G22:I22"/>
    <mergeCell ref="J22:P22"/>
    <mergeCell ref="D27:F27"/>
    <mergeCell ref="G27:I27"/>
    <mergeCell ref="J27:P27"/>
    <mergeCell ref="Q27:S27"/>
    <mergeCell ref="U27:W27"/>
    <mergeCell ref="F29:P29"/>
    <mergeCell ref="D25:F25"/>
    <mergeCell ref="G25:I25"/>
    <mergeCell ref="J25:P25"/>
    <mergeCell ref="Q25:S25"/>
    <mergeCell ref="D26:F26"/>
    <mergeCell ref="G26:I26"/>
    <mergeCell ref="J26:P26"/>
    <mergeCell ref="Q26:S26"/>
    <mergeCell ref="T32:V32"/>
    <mergeCell ref="W32:AB32"/>
    <mergeCell ref="D30:I30"/>
    <mergeCell ref="J30:P30"/>
    <mergeCell ref="Q30:S30"/>
    <mergeCell ref="D31:F31"/>
    <mergeCell ref="G31:I31"/>
    <mergeCell ref="J31:P31"/>
    <mergeCell ref="Q31:S31"/>
    <mergeCell ref="D33:F33"/>
    <mergeCell ref="G33:I33"/>
    <mergeCell ref="J33:P33"/>
    <mergeCell ref="Q33:S33"/>
    <mergeCell ref="D34:F34"/>
    <mergeCell ref="G34:I34"/>
    <mergeCell ref="J34:P34"/>
    <mergeCell ref="Q34:S34"/>
    <mergeCell ref="D32:F32"/>
    <mergeCell ref="G32:I32"/>
    <mergeCell ref="J32:P32"/>
    <mergeCell ref="Q32:S32"/>
    <mergeCell ref="D40:F40"/>
    <mergeCell ref="G40:I40"/>
    <mergeCell ref="J40:P40"/>
    <mergeCell ref="Q40:R40"/>
    <mergeCell ref="T40:U40"/>
    <mergeCell ref="W40:X40"/>
    <mergeCell ref="T34:V34"/>
    <mergeCell ref="Q35:S35"/>
    <mergeCell ref="AJ35:AM35"/>
    <mergeCell ref="M36:W36"/>
    <mergeCell ref="F38:P38"/>
    <mergeCell ref="D39:I39"/>
    <mergeCell ref="Q39:R39"/>
    <mergeCell ref="T39:U39"/>
    <mergeCell ref="W39:X39"/>
    <mergeCell ref="D43:F43"/>
    <mergeCell ref="G43:I43"/>
    <mergeCell ref="J43:P43"/>
    <mergeCell ref="Q43:S43"/>
    <mergeCell ref="D44:F44"/>
    <mergeCell ref="G44:I44"/>
    <mergeCell ref="J44:P44"/>
    <mergeCell ref="Q44:S44"/>
    <mergeCell ref="D41:F41"/>
    <mergeCell ref="G41:I41"/>
    <mergeCell ref="J41:P41"/>
    <mergeCell ref="Q41:S41"/>
    <mergeCell ref="D42:F42"/>
    <mergeCell ref="G42:I42"/>
    <mergeCell ref="J42:P42"/>
    <mergeCell ref="Q42:S42"/>
    <mergeCell ref="Y50:Z50"/>
    <mergeCell ref="D46:F46"/>
    <mergeCell ref="G46:I46"/>
    <mergeCell ref="J46:P46"/>
    <mergeCell ref="Q46:S46"/>
    <mergeCell ref="V44:X44"/>
    <mergeCell ref="Y44:AA44"/>
    <mergeCell ref="D45:F45"/>
    <mergeCell ref="G45:I45"/>
    <mergeCell ref="J45:P45"/>
    <mergeCell ref="Q45:S45"/>
    <mergeCell ref="D48:P48"/>
    <mergeCell ref="D50:F50"/>
    <mergeCell ref="G50:I50"/>
    <mergeCell ref="J50:K50"/>
    <mergeCell ref="L50:M50"/>
    <mergeCell ref="N50:O50"/>
    <mergeCell ref="R50:S50"/>
    <mergeCell ref="T50:V50"/>
    <mergeCell ref="W50:X50"/>
    <mergeCell ref="B51:C62"/>
    <mergeCell ref="D51:F51"/>
    <mergeCell ref="G51:I51"/>
    <mergeCell ref="J51:K51"/>
    <mergeCell ref="L51:M51"/>
    <mergeCell ref="N51:O51"/>
    <mergeCell ref="R51:S51"/>
    <mergeCell ref="T51:V51"/>
    <mergeCell ref="W51:X51"/>
    <mergeCell ref="T53:V53"/>
    <mergeCell ref="W53:X53"/>
    <mergeCell ref="D55:F55"/>
    <mergeCell ref="G55:I55"/>
    <mergeCell ref="J55:K55"/>
    <mergeCell ref="L55:M55"/>
    <mergeCell ref="N55:O55"/>
    <mergeCell ref="R55:S55"/>
    <mergeCell ref="T55:V55"/>
    <mergeCell ref="W55:X55"/>
    <mergeCell ref="T57:V57"/>
    <mergeCell ref="W57:X57"/>
    <mergeCell ref="D59:F59"/>
    <mergeCell ref="G59:I59"/>
    <mergeCell ref="J59:K59"/>
    <mergeCell ref="Y51:Z51"/>
    <mergeCell ref="D52:F52"/>
    <mergeCell ref="G52:I52"/>
    <mergeCell ref="J52:K52"/>
    <mergeCell ref="L52:M52"/>
    <mergeCell ref="N52:O52"/>
    <mergeCell ref="R52:S52"/>
    <mergeCell ref="T52:V52"/>
    <mergeCell ref="W52:X52"/>
    <mergeCell ref="Y52:Z52"/>
    <mergeCell ref="Y53:Z53"/>
    <mergeCell ref="D54:F54"/>
    <mergeCell ref="G54:I54"/>
    <mergeCell ref="J54:K54"/>
    <mergeCell ref="L54:M54"/>
    <mergeCell ref="N54:O54"/>
    <mergeCell ref="R54:S54"/>
    <mergeCell ref="T54:V54"/>
    <mergeCell ref="D53:F53"/>
    <mergeCell ref="G53:I53"/>
    <mergeCell ref="J53:K53"/>
    <mergeCell ref="L53:M53"/>
    <mergeCell ref="N53:O53"/>
    <mergeCell ref="R53:S53"/>
    <mergeCell ref="W54:X54"/>
    <mergeCell ref="Y54:Z54"/>
    <mergeCell ref="Y55:Z55"/>
    <mergeCell ref="D56:F56"/>
    <mergeCell ref="G56:I56"/>
    <mergeCell ref="J56:K56"/>
    <mergeCell ref="L56:M56"/>
    <mergeCell ref="N56:O56"/>
    <mergeCell ref="R56:S56"/>
    <mergeCell ref="T56:V56"/>
    <mergeCell ref="W56:X56"/>
    <mergeCell ref="Y56:Z56"/>
    <mergeCell ref="Y57:Z57"/>
    <mergeCell ref="D58:F58"/>
    <mergeCell ref="G58:I58"/>
    <mergeCell ref="J58:K58"/>
    <mergeCell ref="L58:M58"/>
    <mergeCell ref="N58:O58"/>
    <mergeCell ref="R58:S58"/>
    <mergeCell ref="T58:V58"/>
    <mergeCell ref="D57:F57"/>
    <mergeCell ref="G57:I57"/>
    <mergeCell ref="J57:K57"/>
    <mergeCell ref="L57:M57"/>
    <mergeCell ref="N57:O57"/>
    <mergeCell ref="R57:S57"/>
    <mergeCell ref="W58:X58"/>
    <mergeCell ref="Y58:Z58"/>
    <mergeCell ref="L59:M59"/>
    <mergeCell ref="N59:O59"/>
    <mergeCell ref="R59:S59"/>
    <mergeCell ref="T59:V59"/>
    <mergeCell ref="W59:X59"/>
    <mergeCell ref="Y59:Z59"/>
    <mergeCell ref="D60:F60"/>
    <mergeCell ref="G60:I60"/>
    <mergeCell ref="J60:K60"/>
    <mergeCell ref="L60:M60"/>
    <mergeCell ref="N60:O60"/>
    <mergeCell ref="R60:S60"/>
    <mergeCell ref="T60:V60"/>
    <mergeCell ref="W60:X60"/>
    <mergeCell ref="Y60:Z60"/>
    <mergeCell ref="T61:V61"/>
    <mergeCell ref="W61:X61"/>
    <mergeCell ref="Y61:Z61"/>
    <mergeCell ref="D62:F62"/>
    <mergeCell ref="G62:I62"/>
    <mergeCell ref="J62:K62"/>
    <mergeCell ref="L62:M62"/>
    <mergeCell ref="N62:O62"/>
    <mergeCell ref="R62:S62"/>
    <mergeCell ref="T62:V62"/>
    <mergeCell ref="D61:F61"/>
    <mergeCell ref="G61:I61"/>
    <mergeCell ref="J61:K61"/>
    <mergeCell ref="L61:M61"/>
    <mergeCell ref="N61:O61"/>
    <mergeCell ref="R61:S61"/>
    <mergeCell ref="W62:X62"/>
    <mergeCell ref="Y62:Z62"/>
    <mergeCell ref="B63:C67"/>
    <mergeCell ref="D63:F63"/>
    <mergeCell ref="G63:I63"/>
    <mergeCell ref="J63:K63"/>
    <mergeCell ref="L63:M63"/>
    <mergeCell ref="N63:O63"/>
    <mergeCell ref="R63:S63"/>
    <mergeCell ref="T63:V63"/>
    <mergeCell ref="W63:X63"/>
    <mergeCell ref="D65:F65"/>
    <mergeCell ref="G65:I65"/>
    <mergeCell ref="J65:K65"/>
    <mergeCell ref="L65:M65"/>
    <mergeCell ref="N65:O65"/>
    <mergeCell ref="R65:S65"/>
    <mergeCell ref="T65:V65"/>
    <mergeCell ref="W65:X65"/>
    <mergeCell ref="Y63:Z63"/>
    <mergeCell ref="D64:F64"/>
    <mergeCell ref="G64:I64"/>
    <mergeCell ref="J64:K64"/>
    <mergeCell ref="L64:M64"/>
    <mergeCell ref="N64:O64"/>
    <mergeCell ref="R64:S64"/>
    <mergeCell ref="T64:V64"/>
    <mergeCell ref="W64:X64"/>
    <mergeCell ref="Y64:Z64"/>
    <mergeCell ref="Y65:Z65"/>
    <mergeCell ref="T66:V66"/>
    <mergeCell ref="W66:X66"/>
    <mergeCell ref="Y66:Z66"/>
    <mergeCell ref="D67:F67"/>
    <mergeCell ref="G67:I67"/>
    <mergeCell ref="J67:K67"/>
    <mergeCell ref="L67:M67"/>
    <mergeCell ref="N67:O67"/>
    <mergeCell ref="R67:S67"/>
    <mergeCell ref="T67:V67"/>
    <mergeCell ref="D66:F66"/>
    <mergeCell ref="G66:I66"/>
    <mergeCell ref="J66:K66"/>
    <mergeCell ref="L66:M66"/>
    <mergeCell ref="N66:O66"/>
    <mergeCell ref="R66:S66"/>
    <mergeCell ref="W67:X67"/>
    <mergeCell ref="Y67:Z67"/>
    <mergeCell ref="B68:B73"/>
    <mergeCell ref="C68:C70"/>
    <mergeCell ref="D68:F68"/>
    <mergeCell ref="G68:I68"/>
    <mergeCell ref="J68:K68"/>
    <mergeCell ref="L68:M68"/>
    <mergeCell ref="N68:O68"/>
    <mergeCell ref="R68:S68"/>
    <mergeCell ref="T68:V68"/>
    <mergeCell ref="T70:V70"/>
    <mergeCell ref="T73:V73"/>
    <mergeCell ref="W68:X68"/>
    <mergeCell ref="D69:F69"/>
    <mergeCell ref="G69:I69"/>
    <mergeCell ref="J69:K69"/>
    <mergeCell ref="L69:M69"/>
    <mergeCell ref="N69:O69"/>
    <mergeCell ref="R69:S69"/>
    <mergeCell ref="T69:V69"/>
    <mergeCell ref="W69:X69"/>
    <mergeCell ref="W70:X70"/>
    <mergeCell ref="C71:C73"/>
    <mergeCell ref="D71:F71"/>
    <mergeCell ref="G71:I71"/>
    <mergeCell ref="J71:K71"/>
    <mergeCell ref="L71:M71"/>
    <mergeCell ref="N71:O71"/>
    <mergeCell ref="R71:S71"/>
    <mergeCell ref="T71:V71"/>
    <mergeCell ref="D70:F70"/>
    <mergeCell ref="G70:I70"/>
    <mergeCell ref="J70:K70"/>
    <mergeCell ref="L70:M70"/>
    <mergeCell ref="N70:O70"/>
    <mergeCell ref="R70:S70"/>
    <mergeCell ref="W71:X71"/>
    <mergeCell ref="D72:F72"/>
    <mergeCell ref="G72:I72"/>
    <mergeCell ref="J72:K72"/>
    <mergeCell ref="L72:M72"/>
    <mergeCell ref="N72:O72"/>
    <mergeCell ref="R72:S72"/>
    <mergeCell ref="T72:V72"/>
    <mergeCell ref="W72:X72"/>
    <mergeCell ref="W73:X73"/>
    <mergeCell ref="D75:N75"/>
    <mergeCell ref="D77:F77"/>
    <mergeCell ref="G77:I77"/>
    <mergeCell ref="J77:P77"/>
    <mergeCell ref="Q77:S77"/>
    <mergeCell ref="T77:X77"/>
    <mergeCell ref="D73:F73"/>
    <mergeCell ref="G73:I73"/>
    <mergeCell ref="J73:K73"/>
    <mergeCell ref="L73:M73"/>
    <mergeCell ref="N73:O73"/>
    <mergeCell ref="R73:S73"/>
    <mergeCell ref="D78:F78"/>
    <mergeCell ref="G78:I78"/>
    <mergeCell ref="J78:P78"/>
    <mergeCell ref="Q78:S78"/>
    <mergeCell ref="T78:Y78"/>
    <mergeCell ref="D79:F79"/>
    <mergeCell ref="G79:I79"/>
    <mergeCell ref="J79:P79"/>
    <mergeCell ref="Q79:S79"/>
    <mergeCell ref="D82:F82"/>
    <mergeCell ref="G82:I82"/>
    <mergeCell ref="J82:P82"/>
    <mergeCell ref="Q82:S82"/>
    <mergeCell ref="M84:V84"/>
    <mergeCell ref="AC85:AH85"/>
    <mergeCell ref="D80:F80"/>
    <mergeCell ref="G80:I80"/>
    <mergeCell ref="J80:P80"/>
    <mergeCell ref="Q80:S80"/>
    <mergeCell ref="D81:F81"/>
    <mergeCell ref="G81:I81"/>
    <mergeCell ref="J81:P81"/>
    <mergeCell ref="Q81:S81"/>
    <mergeCell ref="R86:S86"/>
    <mergeCell ref="T86:U86"/>
    <mergeCell ref="AC86:AJ86"/>
    <mergeCell ref="D87:F87"/>
    <mergeCell ref="G87:I87"/>
    <mergeCell ref="J87:K87"/>
    <mergeCell ref="L87:M87"/>
    <mergeCell ref="N87:O87"/>
    <mergeCell ref="P87:Q87"/>
    <mergeCell ref="R87:S87"/>
    <mergeCell ref="D86:F86"/>
    <mergeCell ref="G86:I86"/>
    <mergeCell ref="J86:K86"/>
    <mergeCell ref="L86:M86"/>
    <mergeCell ref="N86:O86"/>
    <mergeCell ref="P86:Q86"/>
    <mergeCell ref="T87:U87"/>
    <mergeCell ref="D88:F88"/>
    <mergeCell ref="G88:I88"/>
    <mergeCell ref="J88:K88"/>
    <mergeCell ref="L88:M88"/>
    <mergeCell ref="N88:O88"/>
    <mergeCell ref="P88:Q88"/>
    <mergeCell ref="R88:S88"/>
    <mergeCell ref="T88:U88"/>
    <mergeCell ref="AC88:AH88"/>
    <mergeCell ref="D89:F89"/>
    <mergeCell ref="G89:I89"/>
    <mergeCell ref="J89:K89"/>
    <mergeCell ref="L89:M89"/>
    <mergeCell ref="N89:O89"/>
    <mergeCell ref="P89:Q89"/>
    <mergeCell ref="R89:S89"/>
    <mergeCell ref="T89:U89"/>
    <mergeCell ref="AD89:AH89"/>
    <mergeCell ref="R90:S90"/>
    <mergeCell ref="T90:U90"/>
    <mergeCell ref="D91:F91"/>
    <mergeCell ref="G91:I91"/>
    <mergeCell ref="J91:K91"/>
    <mergeCell ref="L91:M91"/>
    <mergeCell ref="N91:O91"/>
    <mergeCell ref="P91:Q91"/>
    <mergeCell ref="R91:S91"/>
    <mergeCell ref="T91:U91"/>
    <mergeCell ref="D90:F90"/>
    <mergeCell ref="G90:I90"/>
    <mergeCell ref="J90:K90"/>
    <mergeCell ref="L90:M90"/>
    <mergeCell ref="N90:O90"/>
    <mergeCell ref="P90:Q90"/>
    <mergeCell ref="R92:S92"/>
    <mergeCell ref="T92:U92"/>
    <mergeCell ref="D93:F93"/>
    <mergeCell ref="G93:I93"/>
    <mergeCell ref="J93:K93"/>
    <mergeCell ref="L93:M93"/>
    <mergeCell ref="N93:O93"/>
    <mergeCell ref="P93:Q93"/>
    <mergeCell ref="R93:S93"/>
    <mergeCell ref="T93:U93"/>
    <mergeCell ref="D92:F92"/>
    <mergeCell ref="G92:I92"/>
    <mergeCell ref="J92:K92"/>
    <mergeCell ref="L92:M92"/>
    <mergeCell ref="N92:O92"/>
    <mergeCell ref="P92:Q92"/>
    <mergeCell ref="D98:F98"/>
    <mergeCell ref="G98:I98"/>
    <mergeCell ref="J98:M98"/>
    <mergeCell ref="N98:Q98"/>
    <mergeCell ref="R98:U98"/>
    <mergeCell ref="V98:Y98"/>
    <mergeCell ref="R94:S94"/>
    <mergeCell ref="T94:U94"/>
    <mergeCell ref="F96:T96"/>
    <mergeCell ref="J97:M97"/>
    <mergeCell ref="N97:Q97"/>
    <mergeCell ref="R97:U97"/>
    <mergeCell ref="D94:F94"/>
    <mergeCell ref="G94:I94"/>
    <mergeCell ref="J94:K94"/>
    <mergeCell ref="L94:M94"/>
    <mergeCell ref="N94:O94"/>
    <mergeCell ref="P94:Q94"/>
    <mergeCell ref="L99:O99"/>
    <mergeCell ref="T99:W99"/>
    <mergeCell ref="J100:K100"/>
    <mergeCell ref="L100:M100"/>
    <mergeCell ref="N100:O100"/>
    <mergeCell ref="R100:S100"/>
    <mergeCell ref="T100:U100"/>
    <mergeCell ref="V100:W100"/>
    <mergeCell ref="V97:Y97"/>
    <mergeCell ref="J106:AC106"/>
    <mergeCell ref="D107:F107"/>
    <mergeCell ref="G107:I107"/>
    <mergeCell ref="J107:AC107"/>
    <mergeCell ref="T101:U101"/>
    <mergeCell ref="V101:W101"/>
    <mergeCell ref="F102:T102"/>
    <mergeCell ref="F103:G103"/>
    <mergeCell ref="D105:F105"/>
    <mergeCell ref="G105:I105"/>
    <mergeCell ref="J105:AC105"/>
    <mergeCell ref="D101:F101"/>
    <mergeCell ref="G101:I101"/>
    <mergeCell ref="J101:K101"/>
    <mergeCell ref="L101:M101"/>
    <mergeCell ref="N101:O101"/>
    <mergeCell ref="R101:S101"/>
    <mergeCell ref="V4:Y4"/>
    <mergeCell ref="D114:F114"/>
    <mergeCell ref="G114:I114"/>
    <mergeCell ref="J114:AC114"/>
    <mergeCell ref="D112:F112"/>
    <mergeCell ref="G112:I112"/>
    <mergeCell ref="J112:AC112"/>
    <mergeCell ref="D113:F113"/>
    <mergeCell ref="G113:I113"/>
    <mergeCell ref="J113:AC113"/>
    <mergeCell ref="D110:F110"/>
    <mergeCell ref="G110:I110"/>
    <mergeCell ref="J110:AC110"/>
    <mergeCell ref="D111:F111"/>
    <mergeCell ref="G111:I111"/>
    <mergeCell ref="J111:AC111"/>
    <mergeCell ref="D108:F108"/>
    <mergeCell ref="G108:I108"/>
    <mergeCell ref="J108:AC108"/>
    <mergeCell ref="D109:F109"/>
    <mergeCell ref="G109:I109"/>
    <mergeCell ref="J109:AC109"/>
    <mergeCell ref="D106:F106"/>
    <mergeCell ref="G106:I106"/>
  </mergeCells>
  <dataValidations count="1">
    <dataValidation type="list" allowBlank="1" showErrorMessage="1" sqref="Q80:S80">
      <formula1>yesno</formula1>
      <formula2>0</formula2>
    </dataValidation>
  </dataValidations>
  <pageMargins left="0.7" right="0.7" top="0.75" bottom="0.75" header="0.51180555555555551" footer="0.51180555555555551"/>
  <pageSetup scale="57" firstPageNumber="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119"/>
  <sheetViews>
    <sheetView topLeftCell="A4" zoomScale="80" zoomScaleNormal="80" workbookViewId="0">
      <selection activeCell="B2" sqref="B2:W113"/>
    </sheetView>
  </sheetViews>
  <sheetFormatPr defaultColWidth="11.5703125" defaultRowHeight="15" x14ac:dyDescent="0.25"/>
  <cols>
    <col min="1" max="1" width="11.85546875" style="436" customWidth="1"/>
    <col min="2" max="10" width="9.140625" style="436" customWidth="1"/>
    <col min="11" max="11" width="16.140625" style="436" customWidth="1"/>
    <col min="12" max="12" width="11" style="436" customWidth="1"/>
    <col min="13" max="23" width="9.140625" style="436" customWidth="1"/>
    <col min="24" max="25" width="4.140625" style="436" customWidth="1"/>
    <col min="26" max="35" width="4.42578125" style="436" customWidth="1"/>
    <col min="36" max="244" width="8.7109375" style="436" customWidth="1"/>
    <col min="245" max="16384" width="11.5703125" style="18"/>
  </cols>
  <sheetData>
    <row r="1" spans="2:244" ht="15.75" thickBot="1" x14ac:dyDescent="0.3"/>
    <row r="2" spans="2:244" ht="24" thickBot="1" x14ac:dyDescent="0.4">
      <c r="C2" s="868" t="s">
        <v>476</v>
      </c>
      <c r="D2" s="869"/>
      <c r="E2" s="869"/>
      <c r="F2" s="869"/>
      <c r="G2" s="870"/>
      <c r="H2" s="617"/>
      <c r="I2" s="871" t="s">
        <v>40</v>
      </c>
      <c r="J2" s="872"/>
      <c r="K2" s="873"/>
      <c r="L2" s="874" t="str">
        <f>'Data entry'!L2</f>
        <v>Phillips</v>
      </c>
      <c r="M2" s="875"/>
      <c r="N2" s="875"/>
      <c r="O2" s="875"/>
      <c r="P2" s="876"/>
      <c r="Q2" s="618"/>
      <c r="R2" s="618"/>
      <c r="S2" s="618"/>
    </row>
    <row r="3" spans="2:244" ht="23.25" x14ac:dyDescent="0.35">
      <c r="C3" s="437"/>
      <c r="D3" s="438"/>
    </row>
    <row r="4" spans="2:244" ht="27.95" customHeight="1" x14ac:dyDescent="0.25">
      <c r="IC4" s="18"/>
      <c r="ID4" s="18"/>
      <c r="IE4" s="18"/>
      <c r="IF4" s="18"/>
      <c r="IG4" s="18"/>
      <c r="IH4" s="18"/>
      <c r="II4" s="18"/>
      <c r="IJ4" s="18"/>
    </row>
    <row r="5" spans="2:244" ht="27.95" customHeight="1" thickBot="1" x14ac:dyDescent="0.5">
      <c r="B5" s="439"/>
      <c r="C5" s="439"/>
      <c r="D5" s="439"/>
      <c r="E5" s="439"/>
      <c r="F5" s="439"/>
      <c r="G5" s="440"/>
      <c r="H5" s="441"/>
      <c r="I5" s="441"/>
      <c r="K5" s="194"/>
      <c r="L5" s="194"/>
      <c r="M5" s="194"/>
      <c r="N5" s="194"/>
      <c r="O5" s="194"/>
      <c r="P5" s="194"/>
      <c r="Q5" s="194"/>
      <c r="R5" s="194"/>
      <c r="S5" s="194"/>
      <c r="T5" s="194"/>
      <c r="U5" s="194"/>
      <c r="V5" s="194"/>
      <c r="W5" s="194"/>
      <c r="X5" s="194"/>
      <c r="Y5" s="194"/>
      <c r="Z5" s="194"/>
      <c r="AA5" s="194"/>
    </row>
    <row r="6" spans="2:244" ht="27.95" customHeight="1" thickBot="1" x14ac:dyDescent="0.5">
      <c r="B6" s="439"/>
      <c r="C6" s="439"/>
      <c r="D6" s="644"/>
      <c r="E6" s="845" t="s">
        <v>754</v>
      </c>
      <c r="F6" s="846"/>
      <c r="G6" s="846"/>
      <c r="H6" s="847"/>
      <c r="I6" s="848" t="s">
        <v>823</v>
      </c>
      <c r="J6" s="849"/>
      <c r="K6" s="849"/>
      <c r="L6" s="850"/>
      <c r="M6" s="644"/>
      <c r="N6" s="644"/>
      <c r="O6" s="644"/>
      <c r="P6" s="644"/>
      <c r="Q6" s="644"/>
      <c r="R6" s="644"/>
      <c r="S6" s="644"/>
      <c r="T6" s="644"/>
      <c r="U6" s="194"/>
      <c r="V6" s="194"/>
      <c r="W6" s="194"/>
      <c r="X6" s="194"/>
      <c r="Y6" s="194"/>
      <c r="Z6" s="194"/>
      <c r="AA6" s="194"/>
    </row>
    <row r="9" spans="2:244" ht="15.75" thickBot="1" x14ac:dyDescent="0.3"/>
    <row r="10" spans="2:244" ht="20.25" customHeight="1" thickBot="1" x14ac:dyDescent="0.4">
      <c r="B10" s="932" t="s">
        <v>478</v>
      </c>
      <c r="C10" s="932"/>
      <c r="D10" s="932"/>
      <c r="E10" s="932"/>
      <c r="F10" s="932"/>
      <c r="G10" s="932"/>
      <c r="H10" s="932"/>
      <c r="K10" s="442" t="s">
        <v>479</v>
      </c>
      <c r="L10" s="901" t="s">
        <v>480</v>
      </c>
      <c r="M10" s="901"/>
      <c r="N10" s="901"/>
      <c r="O10" s="901"/>
      <c r="P10" s="901"/>
    </row>
    <row r="11" spans="2:244" hidden="1" x14ac:dyDescent="0.25">
      <c r="B11" s="932" t="s">
        <v>481</v>
      </c>
      <c r="C11" s="932"/>
      <c r="D11" s="932"/>
      <c r="E11" s="932"/>
      <c r="F11" s="932"/>
      <c r="G11" s="932"/>
      <c r="H11" s="932"/>
    </row>
    <row r="12" spans="2:244" ht="30.75" hidden="1" customHeight="1" thickBot="1" x14ac:dyDescent="0.3">
      <c r="B12" s="856"/>
      <c r="C12" s="857"/>
      <c r="D12" s="893" t="s">
        <v>489</v>
      </c>
      <c r="E12" s="894"/>
      <c r="F12" s="894"/>
      <c r="G12" s="894"/>
      <c r="H12" s="894"/>
      <c r="I12" s="894"/>
      <c r="J12" s="894"/>
      <c r="K12" s="894"/>
      <c r="L12" s="894"/>
      <c r="M12" s="894"/>
      <c r="N12" s="894"/>
      <c r="O12" s="894"/>
      <c r="P12" s="894"/>
      <c r="Q12" s="894"/>
      <c r="R12" s="894"/>
      <c r="S12" s="895"/>
      <c r="T12" s="448"/>
      <c r="U12" s="448"/>
      <c r="V12" s="448"/>
      <c r="W12" s="448"/>
    </row>
    <row r="13" spans="2:244" ht="30.75" customHeight="1" x14ac:dyDescent="0.25">
      <c r="G13" s="933" t="s">
        <v>482</v>
      </c>
      <c r="H13" s="933"/>
      <c r="I13" s="933"/>
      <c r="J13" s="933"/>
      <c r="K13" s="933"/>
    </row>
    <row r="14" spans="2:244" ht="30.75" customHeight="1" thickBot="1" x14ac:dyDescent="0.3">
      <c r="B14" s="934" t="s">
        <v>323</v>
      </c>
      <c r="C14" s="934"/>
      <c r="D14" s="935" t="s">
        <v>321</v>
      </c>
      <c r="E14" s="935"/>
      <c r="F14" s="935"/>
    </row>
    <row r="15" spans="2:244" ht="39" customHeight="1" thickBot="1" x14ac:dyDescent="0.5">
      <c r="B15" s="857"/>
      <c r="C15" s="928"/>
      <c r="D15" s="929">
        <f>'&gt;Trim Materials'!D13</f>
        <v>48</v>
      </c>
      <c r="E15" s="930"/>
      <c r="F15" s="931"/>
      <c r="G15" s="627">
        <f>'&gt;Trim Materials'!G13</f>
        <v>1</v>
      </c>
      <c r="H15" s="627" t="str">
        <f>'&gt;Trim Materials'!H13</f>
        <v>x</v>
      </c>
      <c r="I15" s="627">
        <f>'&gt;Trim Materials'!I13</f>
        <v>4</v>
      </c>
      <c r="J15" s="627" t="str">
        <f>'&gt;Trim Materials'!J13</f>
        <v>x</v>
      </c>
      <c r="K15" s="639">
        <f>IF('&gt;Trim Materials'!AM25&lt;2," ",(IF('&gt;Trim Materials'!AM25=9,10,IF('&gt;Trim Materials'!AM25=11,12,IF('&gt;Trim Materials'!AM25=13,14,IF('&gt;Trim Materials'!AM25=15,16,IF('&gt;Trim Materials'!AM25=17,18,'&gt;Trim Materials'!AM25)))))))</f>
        <v>16</v>
      </c>
      <c r="L15" s="920" t="s">
        <v>717</v>
      </c>
      <c r="M15" s="921"/>
      <c r="N15" s="921"/>
      <c r="O15" s="921"/>
      <c r="P15" s="921"/>
      <c r="Q15" s="921"/>
      <c r="R15" s="921"/>
      <c r="S15" s="921"/>
      <c r="T15" s="921"/>
      <c r="U15" s="921"/>
      <c r="V15" s="921"/>
      <c r="W15" s="922"/>
      <c r="Y15" s="927" t="s">
        <v>483</v>
      </c>
      <c r="Z15" s="927"/>
      <c r="AA15" s="927"/>
      <c r="AB15" s="927"/>
      <c r="AC15" s="927"/>
      <c r="AD15" s="927"/>
      <c r="AE15" s="927"/>
      <c r="AF15" s="927"/>
      <c r="AG15" s="927"/>
      <c r="AH15" s="927"/>
      <c r="AI15" s="927"/>
      <c r="AJ15" s="927"/>
      <c r="AK15" s="927"/>
      <c r="AL15" s="927"/>
      <c r="AM15" s="927"/>
      <c r="AN15" s="927"/>
      <c r="AO15" s="927"/>
      <c r="AP15" s="927"/>
      <c r="AQ15" s="927"/>
      <c r="AR15" s="927"/>
    </row>
    <row r="16" spans="2:244" ht="39" customHeight="1" thickBot="1" x14ac:dyDescent="0.45">
      <c r="B16" s="856"/>
      <c r="C16" s="856"/>
      <c r="D16" s="926">
        <f>'&gt;Trim Materials'!D16</f>
        <v>1</v>
      </c>
      <c r="E16" s="926"/>
      <c r="F16" s="926"/>
      <c r="G16" s="626">
        <f>'&gt;Trim Materials'!G16</f>
        <v>2</v>
      </c>
      <c r="H16" s="626" t="str">
        <f>'&gt;Trim Materials'!H16</f>
        <v>x</v>
      </c>
      <c r="I16" s="626">
        <f>'&gt;Trim Materials'!I16</f>
        <v>4</v>
      </c>
      <c r="J16" s="626" t="str">
        <f>'&gt;Trim Materials'!J16</f>
        <v>x</v>
      </c>
      <c r="K16" s="443">
        <f>'&gt;Trim Materials'!K16</f>
        <v>8</v>
      </c>
      <c r="L16" s="911" t="s">
        <v>484</v>
      </c>
      <c r="M16" s="912"/>
      <c r="N16" s="912"/>
      <c r="O16" s="912"/>
      <c r="P16" s="912"/>
      <c r="Q16" s="912"/>
      <c r="R16" s="912"/>
      <c r="S16" s="912"/>
      <c r="T16" s="912"/>
      <c r="U16" s="912"/>
      <c r="V16" s="912"/>
      <c r="W16" s="913"/>
    </row>
    <row r="17" spans="2:23" ht="39" customHeight="1" thickBot="1" x14ac:dyDescent="0.45">
      <c r="B17" s="856"/>
      <c r="C17" s="856"/>
      <c r="D17" s="926">
        <f>'&gt;Trim Materials'!D15</f>
        <v>15.5</v>
      </c>
      <c r="E17" s="926"/>
      <c r="F17" s="926"/>
      <c r="G17" s="443">
        <f>'&gt;Trim Materials'!G15</f>
        <v>1</v>
      </c>
      <c r="H17" s="443" t="str">
        <f>'&gt;Trim Materials'!H15</f>
        <v>x</v>
      </c>
      <c r="I17" s="443">
        <f>'&gt;Trim Materials'!I15</f>
        <v>4</v>
      </c>
      <c r="J17" s="443" t="str">
        <f>'&gt;Trim Materials'!J15</f>
        <v>x</v>
      </c>
      <c r="K17" s="443">
        <f>'&gt;Trim Materials'!K15</f>
        <v>8</v>
      </c>
      <c r="L17" s="914"/>
      <c r="M17" s="915"/>
      <c r="N17" s="915"/>
      <c r="O17" s="915"/>
      <c r="P17" s="915"/>
      <c r="Q17" s="915"/>
      <c r="R17" s="915"/>
      <c r="S17" s="915"/>
      <c r="T17" s="915"/>
      <c r="U17" s="915"/>
      <c r="V17" s="915"/>
      <c r="W17" s="916"/>
    </row>
    <row r="18" spans="2:23" ht="37.5" customHeight="1" thickBot="1" x14ac:dyDescent="0.45">
      <c r="B18" s="856"/>
      <c r="C18" s="856"/>
      <c r="D18" s="926">
        <f>'&gt;Trim Materials'!D18</f>
        <v>1</v>
      </c>
      <c r="E18" s="926"/>
      <c r="F18" s="926"/>
      <c r="G18" s="443">
        <f>'&gt;Trim Materials'!G18</f>
        <v>1</v>
      </c>
      <c r="H18" s="443" t="str">
        <f>'&gt;Trim Materials'!H18</f>
        <v>x</v>
      </c>
      <c r="I18" s="443">
        <f>'&gt;Trim Materials'!I18</f>
        <v>6</v>
      </c>
      <c r="J18" s="443" t="str">
        <f>'&gt;Trim Materials'!J18</f>
        <v>x</v>
      </c>
      <c r="K18" s="443">
        <f>'&gt;Trim Materials'!K18</f>
        <v>16</v>
      </c>
      <c r="L18" s="914"/>
      <c r="M18" s="915"/>
      <c r="N18" s="915"/>
      <c r="O18" s="915"/>
      <c r="P18" s="915"/>
      <c r="Q18" s="915"/>
      <c r="R18" s="915"/>
      <c r="S18" s="915"/>
      <c r="T18" s="915"/>
      <c r="U18" s="915"/>
      <c r="V18" s="915"/>
      <c r="W18" s="916"/>
    </row>
    <row r="19" spans="2:23" ht="39" hidden="1" customHeight="1" thickBot="1" x14ac:dyDescent="0.45">
      <c r="B19" s="856"/>
      <c r="C19" s="856"/>
      <c r="D19" s="926">
        <f>'&gt;Trim Materials'!D19</f>
        <v>0</v>
      </c>
      <c r="E19" s="926"/>
      <c r="F19" s="926"/>
      <c r="G19" s="443" t="str">
        <f>'&gt;Trim Materials'!G19</f>
        <v xml:space="preserve"> </v>
      </c>
      <c r="H19" s="443" t="str">
        <f>'&gt;Trim Materials'!H19</f>
        <v xml:space="preserve"> </v>
      </c>
      <c r="I19" s="443" t="str">
        <f>'&gt;Trim Materials'!I19</f>
        <v xml:space="preserve"> </v>
      </c>
      <c r="J19" s="443" t="str">
        <f>'&gt;Trim Materials'!J19</f>
        <v xml:space="preserve"> </v>
      </c>
      <c r="K19" s="443" t="str">
        <f>'&gt;Trim Materials'!K19</f>
        <v xml:space="preserve"> </v>
      </c>
      <c r="L19" s="914"/>
      <c r="M19" s="915"/>
      <c r="N19" s="915"/>
      <c r="O19" s="915"/>
      <c r="P19" s="915"/>
      <c r="Q19" s="915"/>
      <c r="R19" s="915"/>
      <c r="S19" s="915"/>
      <c r="T19" s="915"/>
      <c r="U19" s="915"/>
      <c r="V19" s="915"/>
      <c r="W19" s="916"/>
    </row>
    <row r="20" spans="2:23" ht="39" customHeight="1" thickBot="1" x14ac:dyDescent="0.45">
      <c r="B20" s="923"/>
      <c r="C20" s="924"/>
      <c r="D20" s="925">
        <f>'&gt;Trim Materials'!D17</f>
        <v>4</v>
      </c>
      <c r="E20" s="925"/>
      <c r="F20" s="925"/>
      <c r="G20" s="643">
        <f>'&gt;Trim Materials'!G17</f>
        <v>1</v>
      </c>
      <c r="H20" s="643" t="str">
        <f>'&gt;Trim Materials'!H17</f>
        <v>x</v>
      </c>
      <c r="I20" s="643">
        <f>'&gt;Trim Materials'!I17</f>
        <v>3</v>
      </c>
      <c r="J20" s="643" t="str">
        <f>'&gt;Trim Materials'!J17</f>
        <v>x</v>
      </c>
      <c r="K20" s="643">
        <f>'&gt;Trim Materials'!K17</f>
        <v>8</v>
      </c>
      <c r="L20" s="917"/>
      <c r="M20" s="918"/>
      <c r="N20" s="918"/>
      <c r="O20" s="918"/>
      <c r="P20" s="918"/>
      <c r="Q20" s="918"/>
      <c r="R20" s="918"/>
      <c r="S20" s="918"/>
      <c r="T20" s="918"/>
      <c r="U20" s="918"/>
      <c r="V20" s="918"/>
      <c r="W20" s="919"/>
    </row>
    <row r="21" spans="2:23" ht="39" customHeight="1" x14ac:dyDescent="0.4">
      <c r="B21" s="700"/>
      <c r="C21" s="700"/>
      <c r="D21" s="701"/>
      <c r="E21" s="701"/>
      <c r="F21" s="701"/>
      <c r="G21" s="642"/>
      <c r="H21" s="642"/>
      <c r="I21" s="642"/>
      <c r="J21" s="642"/>
      <c r="K21" s="642"/>
      <c r="L21" s="641"/>
      <c r="M21" s="641"/>
      <c r="N21" s="641"/>
      <c r="O21" s="641"/>
      <c r="P21" s="641"/>
      <c r="Q21" s="641"/>
      <c r="R21" s="641"/>
      <c r="S21" s="641"/>
      <c r="T21" s="641"/>
      <c r="U21" s="641"/>
      <c r="V21" s="641"/>
      <c r="W21" s="641"/>
    </row>
    <row r="22" spans="2:23" ht="30.75" customHeight="1" x14ac:dyDescent="0.4">
      <c r="D22" s="910" t="s">
        <v>485</v>
      </c>
      <c r="E22" s="910"/>
      <c r="F22" s="910"/>
      <c r="G22" s="910"/>
      <c r="H22" s="910"/>
      <c r="I22" s="910"/>
      <c r="J22" s="910"/>
      <c r="K22" s="910"/>
      <c r="L22" s="910"/>
      <c r="M22" s="910"/>
      <c r="N22" s="910"/>
    </row>
    <row r="23" spans="2:23" ht="27" customHeight="1" thickBot="1" x14ac:dyDescent="0.3"/>
    <row r="24" spans="2:23" ht="30.75" hidden="1" customHeight="1" thickBot="1" x14ac:dyDescent="0.3">
      <c r="B24" s="856"/>
      <c r="C24" s="856"/>
      <c r="D24" s="907">
        <f>'Wall Materials'!E23</f>
        <v>0</v>
      </c>
      <c r="E24" s="907"/>
      <c r="F24" s="907"/>
      <c r="G24" s="907" t="str">
        <f>'Wall Materials'!H23</f>
        <v xml:space="preserve"> </v>
      </c>
      <c r="H24" s="907"/>
      <c r="I24" s="907"/>
      <c r="J24" s="907"/>
      <c r="K24" s="907"/>
      <c r="L24" s="908" t="str">
        <f>'Wall Materials'!M23</f>
        <v xml:space="preserve"> </v>
      </c>
      <c r="M24" s="908"/>
      <c r="N24" s="908"/>
      <c r="O24" s="908"/>
      <c r="P24" s="908"/>
      <c r="Q24" s="908"/>
      <c r="R24" s="908"/>
      <c r="S24" s="908"/>
      <c r="T24" s="908"/>
      <c r="U24" s="908"/>
      <c r="V24" s="908"/>
      <c r="W24" s="908"/>
    </row>
    <row r="25" spans="2:23" ht="30.75" customHeight="1" thickBot="1" x14ac:dyDescent="0.3">
      <c r="B25" s="856"/>
      <c r="C25" s="856"/>
      <c r="D25" s="907">
        <f>'Wall Materials'!E24</f>
        <v>1</v>
      </c>
      <c r="E25" s="907"/>
      <c r="F25" s="907"/>
      <c r="G25" s="907" t="str">
        <f>'Wall Materials'!H24</f>
        <v>1 x 3 x 8</v>
      </c>
      <c r="H25" s="907"/>
      <c r="I25" s="907"/>
      <c r="J25" s="907"/>
      <c r="K25" s="907"/>
      <c r="L25" s="908" t="str">
        <f>'Wall Materials'!M24</f>
        <v>cedar - Window Edge Siding</v>
      </c>
      <c r="M25" s="908"/>
      <c r="N25" s="908"/>
      <c r="O25" s="908"/>
      <c r="P25" s="908"/>
      <c r="Q25" s="908"/>
      <c r="R25" s="908"/>
      <c r="S25" s="908"/>
      <c r="T25" s="908"/>
      <c r="U25" s="908"/>
      <c r="V25" s="908"/>
      <c r="W25" s="908"/>
    </row>
    <row r="26" spans="2:23" ht="29.25" customHeight="1" thickBot="1" x14ac:dyDescent="0.3">
      <c r="B26" s="856"/>
      <c r="C26" s="856"/>
      <c r="D26" s="907">
        <f>'Wall Materials'!E25</f>
        <v>1</v>
      </c>
      <c r="E26" s="907"/>
      <c r="F26" s="907"/>
      <c r="G26" s="907" t="str">
        <f>'Wall Materials'!H25</f>
        <v>1 x 3 x 10</v>
      </c>
      <c r="H26" s="907"/>
      <c r="I26" s="907"/>
      <c r="J26" s="907"/>
      <c r="K26" s="907"/>
      <c r="L26" s="908" t="str">
        <f>'Wall Materials'!M25</f>
        <v>cedar - Window Edge Siding</v>
      </c>
      <c r="M26" s="908"/>
      <c r="N26" s="908"/>
      <c r="O26" s="908"/>
      <c r="P26" s="908"/>
      <c r="Q26" s="908"/>
      <c r="R26" s="908"/>
      <c r="S26" s="908"/>
      <c r="T26" s="908"/>
      <c r="U26" s="908"/>
      <c r="V26" s="908"/>
      <c r="W26" s="908"/>
    </row>
    <row r="27" spans="2:23" ht="30.75" hidden="1" customHeight="1" thickBot="1" x14ac:dyDescent="0.3">
      <c r="B27" s="856"/>
      <c r="C27" s="856"/>
      <c r="D27" s="907">
        <f>'Wall Materials'!E26</f>
        <v>0</v>
      </c>
      <c r="E27" s="907"/>
      <c r="F27" s="907"/>
      <c r="G27" s="907" t="str">
        <f>'Wall Materials'!H26</f>
        <v xml:space="preserve"> </v>
      </c>
      <c r="H27" s="907"/>
      <c r="I27" s="907"/>
      <c r="J27" s="907"/>
      <c r="K27" s="907"/>
      <c r="L27" s="908" t="str">
        <f>'Wall Materials'!M26</f>
        <v xml:space="preserve"> </v>
      </c>
      <c r="M27" s="908"/>
      <c r="N27" s="908"/>
      <c r="O27" s="908"/>
      <c r="P27" s="908"/>
      <c r="Q27" s="908"/>
      <c r="R27" s="908"/>
      <c r="S27" s="908"/>
      <c r="T27" s="908"/>
      <c r="U27" s="908"/>
      <c r="V27" s="908"/>
      <c r="W27" s="908"/>
    </row>
    <row r="28" spans="2:23" ht="30.75" customHeight="1" thickBot="1" x14ac:dyDescent="0.3">
      <c r="B28" s="856"/>
      <c r="C28" s="856"/>
      <c r="D28" s="907">
        <f>'Wall Materials'!E28</f>
        <v>10</v>
      </c>
      <c r="E28" s="907"/>
      <c r="F28" s="907"/>
      <c r="G28" s="907" t="str">
        <f>'Wall Materials'!H28</f>
        <v>1 x 6 x 8</v>
      </c>
      <c r="H28" s="907"/>
      <c r="I28" s="907"/>
      <c r="J28" s="907"/>
      <c r="K28" s="907"/>
      <c r="L28" s="908" t="str">
        <f>'Wall Materials'!M28</f>
        <v>cedar - Casement Window Edge Siding</v>
      </c>
      <c r="M28" s="908"/>
      <c r="N28" s="908"/>
      <c r="O28" s="908"/>
      <c r="P28" s="908"/>
      <c r="Q28" s="908"/>
      <c r="R28" s="908"/>
      <c r="S28" s="908"/>
      <c r="T28" s="908"/>
      <c r="U28" s="908"/>
      <c r="V28" s="908"/>
      <c r="W28" s="908"/>
    </row>
    <row r="29" spans="2:23" ht="30" customHeight="1" thickBot="1" x14ac:dyDescent="0.3">
      <c r="B29" s="856"/>
      <c r="C29" s="856"/>
      <c r="D29" s="907">
        <f>'Wall Materials'!E27</f>
        <v>2</v>
      </c>
      <c r="E29" s="907"/>
      <c r="F29" s="907"/>
      <c r="G29" s="907" t="str">
        <f>'Wall Materials'!H27</f>
        <v>1 x 6 x 6</v>
      </c>
      <c r="H29" s="907"/>
      <c r="I29" s="907"/>
      <c r="J29" s="907"/>
      <c r="K29" s="907"/>
      <c r="L29" s="908" t="str">
        <f>'Wall Materials'!M27</f>
        <v>cedar - Casement Window Edge Siding</v>
      </c>
      <c r="M29" s="908"/>
      <c r="N29" s="908"/>
      <c r="O29" s="908"/>
      <c r="P29" s="908"/>
      <c r="Q29" s="908"/>
      <c r="R29" s="908"/>
      <c r="S29" s="908"/>
      <c r="T29" s="908"/>
      <c r="U29" s="908"/>
      <c r="V29" s="908"/>
      <c r="W29" s="908"/>
    </row>
    <row r="30" spans="2:23" ht="30.75" hidden="1" customHeight="1" thickBot="1" x14ac:dyDescent="0.3">
      <c r="B30" s="856"/>
      <c r="C30" s="856"/>
      <c r="D30" s="907">
        <f>'Wall Materials'!E29</f>
        <v>0</v>
      </c>
      <c r="E30" s="907"/>
      <c r="F30" s="907"/>
      <c r="G30" s="907" t="str">
        <f>'Wall Materials'!H29</f>
        <v xml:space="preserve"> </v>
      </c>
      <c r="H30" s="907"/>
      <c r="I30" s="907"/>
      <c r="J30" s="907"/>
      <c r="K30" s="907"/>
      <c r="L30" s="908" t="str">
        <f>'Wall Materials'!M29</f>
        <v xml:space="preserve"> </v>
      </c>
      <c r="M30" s="908"/>
      <c r="N30" s="908"/>
      <c r="O30" s="908"/>
      <c r="P30" s="908"/>
      <c r="Q30" s="908"/>
      <c r="R30" s="908"/>
      <c r="S30" s="908"/>
      <c r="T30" s="908"/>
      <c r="U30" s="908"/>
      <c r="V30" s="908"/>
      <c r="W30" s="908"/>
    </row>
    <row r="31" spans="2:23" ht="30.75" hidden="1" customHeight="1" thickBot="1" x14ac:dyDescent="0.3">
      <c r="B31" s="856"/>
      <c r="C31" s="856"/>
      <c r="D31" s="907">
        <f>'Wall Materials'!E30</f>
        <v>0</v>
      </c>
      <c r="E31" s="907"/>
      <c r="F31" s="907"/>
      <c r="G31" s="907" t="str">
        <f>'Wall Materials'!H30</f>
        <v xml:space="preserve"> </v>
      </c>
      <c r="H31" s="907"/>
      <c r="I31" s="907"/>
      <c r="J31" s="907"/>
      <c r="K31" s="907"/>
      <c r="L31" s="908" t="str">
        <f>'Wall Materials'!M30</f>
        <v xml:space="preserve"> </v>
      </c>
      <c r="M31" s="908"/>
      <c r="N31" s="908"/>
      <c r="O31" s="908"/>
      <c r="P31" s="908"/>
      <c r="Q31" s="908"/>
      <c r="R31" s="908"/>
      <c r="S31" s="908"/>
      <c r="T31" s="908"/>
      <c r="U31" s="908"/>
      <c r="V31" s="908"/>
      <c r="W31" s="908"/>
    </row>
    <row r="32" spans="2:23" ht="30.75" customHeight="1" x14ac:dyDescent="0.25"/>
    <row r="33" spans="2:19" ht="37.5" customHeight="1" x14ac:dyDescent="0.35">
      <c r="C33" s="909" t="s">
        <v>486</v>
      </c>
      <c r="D33" s="909"/>
      <c r="E33" s="909"/>
      <c r="F33" s="909"/>
      <c r="G33" s="909"/>
      <c r="H33" s="909"/>
      <c r="I33" s="909"/>
      <c r="J33" s="909"/>
      <c r="K33" s="909"/>
      <c r="L33" s="909"/>
      <c r="M33" s="909"/>
      <c r="N33" s="909"/>
      <c r="O33" s="909"/>
      <c r="P33" s="909"/>
    </row>
    <row r="34" spans="2:19" ht="14.25" customHeight="1" thickBot="1" x14ac:dyDescent="0.3"/>
    <row r="35" spans="2:19" ht="37.5" hidden="1" customHeight="1" thickBot="1" x14ac:dyDescent="0.3">
      <c r="B35" s="856"/>
      <c r="C35" s="856"/>
      <c r="D35" s="906" t="str">
        <f>'PALLET MATERIALS'!M11</f>
        <v>4</v>
      </c>
      <c r="E35" s="906"/>
      <c r="F35" s="906"/>
      <c r="G35" s="906"/>
      <c r="H35" s="211">
        <v>2</v>
      </c>
      <c r="I35" s="212" t="s">
        <v>5</v>
      </c>
      <c r="J35" s="212">
        <v>4</v>
      </c>
      <c r="K35" s="212" t="s">
        <v>5</v>
      </c>
      <c r="L35" s="213">
        <v>8</v>
      </c>
    </row>
    <row r="36" spans="2:19" ht="37.5" hidden="1" customHeight="1" thickBot="1" x14ac:dyDescent="0.3">
      <c r="H36" s="217"/>
      <c r="I36" s="218"/>
      <c r="J36" s="218"/>
      <c r="K36" s="218"/>
      <c r="L36" s="219"/>
    </row>
    <row r="37" spans="2:19" ht="37.5" hidden="1" customHeight="1" thickBot="1" x14ac:dyDescent="0.3">
      <c r="B37" s="856"/>
      <c r="C37" s="856"/>
      <c r="D37" s="906" t="str">
        <f>'PALLET MATERIALS'!M13</f>
        <v>1</v>
      </c>
      <c r="E37" s="906"/>
      <c r="F37" s="906"/>
      <c r="G37" s="906"/>
      <c r="H37" s="211">
        <v>2</v>
      </c>
      <c r="I37" s="212" t="s">
        <v>5</v>
      </c>
      <c r="J37" s="212">
        <v>4</v>
      </c>
      <c r="K37" s="212" t="s">
        <v>5</v>
      </c>
      <c r="L37" s="213">
        <f>'PALLET MATERIALS'!V13</f>
        <v>14</v>
      </c>
    </row>
    <row r="38" spans="2:19" ht="37.5" hidden="1" customHeight="1" thickBot="1" x14ac:dyDescent="0.3">
      <c r="H38" s="217"/>
      <c r="I38" s="218"/>
      <c r="J38" s="218"/>
      <c r="K38" s="218"/>
      <c r="L38" s="219"/>
    </row>
    <row r="39" spans="2:19" ht="37.5" hidden="1" customHeight="1" thickBot="1" x14ac:dyDescent="0.3">
      <c r="B39" s="856"/>
      <c r="C39" s="856"/>
      <c r="D39" s="899">
        <f>'PALLET MATERIALS'!M15</f>
        <v>1</v>
      </c>
      <c r="E39" s="899"/>
      <c r="F39" s="899"/>
      <c r="G39" s="899"/>
      <c r="H39" s="228">
        <v>2</v>
      </c>
      <c r="I39" s="229" t="s">
        <v>5</v>
      </c>
      <c r="J39" s="229">
        <v>4</v>
      </c>
      <c r="K39" s="229" t="s">
        <v>5</v>
      </c>
      <c r="L39" s="230">
        <v>10</v>
      </c>
    </row>
    <row r="40" spans="2:19" ht="37.5" hidden="1" customHeight="1" thickBot="1" x14ac:dyDescent="0.3">
      <c r="B40" s="856"/>
      <c r="C40" s="856"/>
      <c r="D40" s="899">
        <f>'PALLET MATERIALS'!M16</f>
        <v>1</v>
      </c>
      <c r="E40" s="899"/>
      <c r="F40" s="899"/>
      <c r="G40" s="899"/>
      <c r="H40" s="228">
        <v>2</v>
      </c>
      <c r="I40" s="229" t="s">
        <v>5</v>
      </c>
      <c r="J40" s="229">
        <v>4</v>
      </c>
      <c r="K40" s="229" t="s">
        <v>5</v>
      </c>
      <c r="L40" s="230" t="str">
        <f>'PALLET MATERIALS'!V16</f>
        <v>12</v>
      </c>
    </row>
    <row r="41" spans="2:19" ht="37.5" hidden="1" customHeight="1" thickBot="1" x14ac:dyDescent="0.3">
      <c r="B41" s="856"/>
      <c r="C41" s="856"/>
      <c r="D41" s="899">
        <f>'PALLET MATERIALS'!M17</f>
        <v>1</v>
      </c>
      <c r="E41" s="899"/>
      <c r="F41" s="899"/>
      <c r="G41" s="899"/>
      <c r="H41" s="877" t="str">
        <f>'PALLET MATERIALS'!R17</f>
        <v>2  x  4  x    12</v>
      </c>
      <c r="I41" s="878"/>
      <c r="J41" s="878"/>
      <c r="K41" s="878"/>
      <c r="L41" s="879"/>
    </row>
    <row r="42" spans="2:19" ht="37.5" hidden="1" customHeight="1" thickBot="1" x14ac:dyDescent="0.3">
      <c r="B42" s="856"/>
      <c r="C42" s="856"/>
      <c r="D42" s="899">
        <f>'PALLET MATERIALS'!M18</f>
        <v>2</v>
      </c>
      <c r="E42" s="899"/>
      <c r="F42" s="899"/>
      <c r="G42" s="899"/>
      <c r="H42" s="228">
        <v>1</v>
      </c>
      <c r="I42" s="229" t="s">
        <v>5</v>
      </c>
      <c r="J42" s="229">
        <v>6</v>
      </c>
      <c r="K42" s="229" t="s">
        <v>5</v>
      </c>
      <c r="L42" s="230">
        <v>8</v>
      </c>
    </row>
    <row r="43" spans="2:19" ht="37.5" hidden="1" customHeight="1" thickBot="1" x14ac:dyDescent="0.3">
      <c r="B43" s="856"/>
      <c r="C43" s="856"/>
      <c r="D43" s="899">
        <f>'PALLET MATERIALS'!M19</f>
        <v>7</v>
      </c>
      <c r="E43" s="899"/>
      <c r="F43" s="899"/>
      <c r="G43" s="899"/>
      <c r="H43" s="228">
        <v>1</v>
      </c>
      <c r="I43" s="229" t="s">
        <v>5</v>
      </c>
      <c r="J43" s="229">
        <v>6</v>
      </c>
      <c r="K43" s="229" t="s">
        <v>5</v>
      </c>
      <c r="L43" s="230">
        <f>'PALLET MATERIALS'!V19</f>
        <v>10</v>
      </c>
    </row>
    <row r="44" spans="2:19" ht="37.5" hidden="1" customHeight="1" thickBot="1" x14ac:dyDescent="0.3">
      <c r="B44" s="856"/>
      <c r="C44" s="856"/>
      <c r="D44" s="899">
        <f>'PALLET MATERIALS'!M20</f>
        <v>1</v>
      </c>
      <c r="E44" s="899"/>
      <c r="F44" s="899"/>
      <c r="G44" s="899"/>
      <c r="H44" s="241">
        <v>1</v>
      </c>
      <c r="I44" s="242" t="s">
        <v>5</v>
      </c>
      <c r="J44" s="242">
        <v>6</v>
      </c>
      <c r="K44" s="242" t="s">
        <v>5</v>
      </c>
      <c r="L44" s="243">
        <v>12</v>
      </c>
    </row>
    <row r="45" spans="2:19" ht="37.5" customHeight="1" thickBot="1" x14ac:dyDescent="0.3">
      <c r="B45" s="856"/>
      <c r="C45" s="856"/>
      <c r="D45" s="899">
        <f>'PALLET MATERIALS'!M21</f>
        <v>4</v>
      </c>
      <c r="E45" s="899"/>
      <c r="F45" s="899"/>
      <c r="G45" s="899"/>
      <c r="H45" s="228">
        <v>1</v>
      </c>
      <c r="I45" s="229" t="s">
        <v>5</v>
      </c>
      <c r="J45" s="229">
        <v>6</v>
      </c>
      <c r="K45" s="229" t="s">
        <v>5</v>
      </c>
      <c r="L45" s="230">
        <f>'PALLET MATERIALS'!V21</f>
        <v>14</v>
      </c>
    </row>
    <row r="46" spans="2:19" ht="37.5" customHeight="1" thickBot="1" x14ac:dyDescent="0.3">
      <c r="B46" s="283"/>
      <c r="C46" s="283"/>
      <c r="D46" s="198"/>
      <c r="E46" s="198"/>
      <c r="F46" s="198"/>
      <c r="G46" s="198"/>
      <c r="H46" s="444"/>
      <c r="I46" s="198"/>
      <c r="J46" s="198"/>
      <c r="K46" s="198"/>
      <c r="L46" s="445"/>
    </row>
    <row r="47" spans="2:19" ht="37.5" customHeight="1" thickBot="1" x14ac:dyDescent="0.4">
      <c r="D47" s="900" t="s">
        <v>487</v>
      </c>
      <c r="E47" s="900"/>
      <c r="F47" s="900"/>
      <c r="G47" s="900"/>
      <c r="H47" s="900"/>
      <c r="I47" s="900"/>
      <c r="J47" s="900"/>
      <c r="K47" s="900"/>
      <c r="L47" s="900"/>
    </row>
    <row r="48" spans="2:19" ht="37.5" customHeight="1" thickBot="1" x14ac:dyDescent="0.4">
      <c r="B48" s="856"/>
      <c r="C48" s="856"/>
      <c r="D48" s="899">
        <f>'&gt;Rafter Pallet Cut out'!N36-'&gt;Wall Cutout Sheet'!P17+3</f>
        <v>55</v>
      </c>
      <c r="E48" s="899"/>
      <c r="F48" s="899"/>
      <c r="G48" s="899"/>
      <c r="H48" s="446">
        <v>1</v>
      </c>
      <c r="I48" s="242" t="s">
        <v>5</v>
      </c>
      <c r="J48" s="242">
        <v>2</v>
      </c>
      <c r="K48" s="242" t="s">
        <v>5</v>
      </c>
      <c r="L48" s="447">
        <v>8</v>
      </c>
      <c r="M48" s="901" t="s">
        <v>488</v>
      </c>
      <c r="N48" s="901"/>
      <c r="O48" s="901"/>
      <c r="P48" s="901"/>
      <c r="Q48" s="901"/>
      <c r="R48" s="901"/>
      <c r="S48" s="901"/>
    </row>
    <row r="49" spans="1:36" ht="37.5" customHeight="1" thickBot="1" x14ac:dyDescent="0.4">
      <c r="B49" s="283"/>
      <c r="C49" s="283"/>
      <c r="D49" s="198"/>
      <c r="E49" s="198"/>
      <c r="F49" s="198"/>
      <c r="G49" s="198"/>
      <c r="H49" s="444"/>
      <c r="I49" s="198"/>
      <c r="J49" s="198"/>
      <c r="K49" s="198"/>
      <c r="L49" s="445"/>
      <c r="M49" s="587"/>
      <c r="N49" s="587"/>
      <c r="O49" s="587"/>
      <c r="P49" s="587"/>
      <c r="Q49" s="587"/>
      <c r="R49" s="587"/>
      <c r="S49" s="587"/>
    </row>
    <row r="50" spans="1:36" ht="37.5" customHeight="1" thickBot="1" x14ac:dyDescent="0.4">
      <c r="B50" s="856"/>
      <c r="C50" s="856"/>
      <c r="D50" s="899">
        <f>ROUND('&gt;Hardware List'!P47/300,0)</f>
        <v>1</v>
      </c>
      <c r="E50" s="899"/>
      <c r="F50" s="899"/>
      <c r="G50" s="877"/>
      <c r="H50" s="903" t="s">
        <v>685</v>
      </c>
      <c r="I50" s="904"/>
      <c r="J50" s="904"/>
      <c r="K50" s="904"/>
      <c r="L50" s="905"/>
      <c r="M50" s="902" t="s">
        <v>677</v>
      </c>
      <c r="N50" s="901"/>
      <c r="O50" s="901"/>
      <c r="P50" s="901"/>
      <c r="Q50" s="901"/>
      <c r="R50" s="901"/>
      <c r="S50" s="901"/>
    </row>
    <row r="51" spans="1:36" ht="37.5" customHeight="1" x14ac:dyDescent="0.25">
      <c r="A51" s="448"/>
      <c r="B51" s="448"/>
      <c r="C51" s="448"/>
      <c r="D51" s="448"/>
      <c r="E51" s="448"/>
      <c r="F51" s="448"/>
      <c r="G51" s="448"/>
      <c r="H51" s="448"/>
      <c r="I51" s="448"/>
      <c r="J51" s="448"/>
      <c r="K51" s="448"/>
      <c r="L51" s="448"/>
      <c r="M51" s="448"/>
      <c r="N51" s="448"/>
      <c r="O51" s="448"/>
      <c r="P51" s="448"/>
      <c r="Q51" s="448"/>
      <c r="R51" s="448"/>
      <c r="S51" s="448"/>
      <c r="T51" s="448"/>
      <c r="U51" s="448"/>
      <c r="V51" s="448"/>
      <c r="W51" s="448"/>
      <c r="X51" s="448"/>
      <c r="Y51" s="448"/>
    </row>
    <row r="52" spans="1:36" ht="37.5" customHeight="1" x14ac:dyDescent="0.25"/>
    <row r="53" spans="1:36" ht="37.5" customHeight="1" thickBot="1" x14ac:dyDescent="0.35">
      <c r="B53" s="896"/>
      <c r="C53" s="896"/>
      <c r="D53" s="896"/>
      <c r="E53" s="896"/>
      <c r="F53" s="896"/>
      <c r="G53" s="896"/>
      <c r="H53" s="896"/>
      <c r="I53" s="896"/>
      <c r="J53" s="896"/>
      <c r="K53" s="896"/>
      <c r="L53" s="449"/>
      <c r="M53" s="448"/>
      <c r="N53" s="448"/>
      <c r="O53" s="448"/>
      <c r="P53" s="448"/>
      <c r="Q53" s="448"/>
      <c r="R53" s="448"/>
      <c r="S53" s="448"/>
      <c r="T53" s="448"/>
      <c r="U53" s="448"/>
      <c r="V53" s="448"/>
      <c r="W53" s="450"/>
    </row>
    <row r="54" spans="1:36" ht="37.5" customHeight="1" x14ac:dyDescent="0.4">
      <c r="B54" s="856"/>
      <c r="C54" s="856"/>
      <c r="D54" s="897">
        <f>'&gt;Roof Kit Materials'!L17</f>
        <v>48</v>
      </c>
      <c r="E54" s="897"/>
      <c r="F54" s="897"/>
      <c r="G54" s="443">
        <f>'&gt;Roof Kit Materials'!R17</f>
        <v>1</v>
      </c>
      <c r="H54" s="451" t="s">
        <v>5</v>
      </c>
      <c r="I54" s="451">
        <v>3</v>
      </c>
      <c r="J54" s="451" t="s">
        <v>5</v>
      </c>
      <c r="K54" s="451">
        <f>'&gt;Roof Kit Materials'!V17</f>
        <v>16</v>
      </c>
      <c r="L54" s="897"/>
      <c r="M54" s="897"/>
      <c r="N54" s="897"/>
      <c r="O54" s="897"/>
      <c r="P54" s="897"/>
      <c r="Q54" s="898" t="s">
        <v>490</v>
      </c>
      <c r="R54" s="898"/>
      <c r="S54" s="898"/>
      <c r="T54" s="851" t="str">
        <f>'&gt;Roof Kit Materials'!W17</f>
        <v>Clear Hemlock</v>
      </c>
      <c r="U54" s="851"/>
      <c r="V54" s="851"/>
      <c r="W54" s="851"/>
      <c r="X54" s="452"/>
    </row>
    <row r="55" spans="1:36" ht="37.5" customHeight="1" x14ac:dyDescent="0.45">
      <c r="B55" s="852"/>
      <c r="C55" s="852"/>
      <c r="D55" s="852"/>
      <c r="E55" s="852"/>
      <c r="F55" s="852"/>
      <c r="G55" s="852"/>
      <c r="H55" s="852"/>
      <c r="I55" s="852"/>
      <c r="J55" s="852"/>
      <c r="K55" s="852"/>
      <c r="L55" s="852"/>
      <c r="M55" s="852"/>
      <c r="N55" s="852"/>
      <c r="O55" s="852"/>
      <c r="P55" s="852"/>
      <c r="Q55" s="852"/>
      <c r="R55" s="852"/>
      <c r="S55" s="852"/>
      <c r="T55" s="852"/>
      <c r="U55" s="852"/>
      <c r="V55" s="852"/>
      <c r="W55" s="852"/>
      <c r="X55" s="452"/>
    </row>
    <row r="56" spans="1:36" ht="37.5" customHeight="1" thickBot="1" x14ac:dyDescent="0.3">
      <c r="X56" s="452"/>
    </row>
    <row r="57" spans="1:36" ht="40.5" customHeight="1" thickBot="1" x14ac:dyDescent="0.3">
      <c r="B57" s="853"/>
      <c r="C57" s="853"/>
      <c r="D57" s="854">
        <v>550</v>
      </c>
      <c r="E57" s="854"/>
      <c r="F57" s="854"/>
      <c r="G57" s="854" t="str">
        <f>'Wall Materials'!H31</f>
        <v>1x6x47 3/4</v>
      </c>
      <c r="H57" s="854"/>
      <c r="I57" s="854"/>
      <c r="J57" s="854"/>
      <c r="K57" s="854"/>
      <c r="L57" s="855" t="str">
        <f>'Wall Materials'!M31</f>
        <v>T+G Cedar</v>
      </c>
      <c r="M57" s="855"/>
      <c r="N57" s="855"/>
      <c r="O57" s="855"/>
      <c r="P57" s="855"/>
      <c r="Q57" s="855"/>
      <c r="R57" s="855"/>
      <c r="S57" s="855"/>
      <c r="T57" s="855"/>
      <c r="U57" s="855"/>
      <c r="V57" s="855"/>
      <c r="W57" s="855"/>
      <c r="X57" s="452"/>
    </row>
    <row r="58" spans="1:36" ht="1.5" customHeight="1" thickBot="1" x14ac:dyDescent="0.3">
      <c r="B58" s="853"/>
      <c r="C58" s="853"/>
      <c r="D58" s="854">
        <f>'Wall Materials'!E32</f>
        <v>0</v>
      </c>
      <c r="E58" s="854"/>
      <c r="F58" s="854"/>
      <c r="G58" s="854" t="s">
        <v>782</v>
      </c>
      <c r="H58" s="854"/>
      <c r="I58" s="854"/>
      <c r="J58" s="854"/>
      <c r="K58" s="854"/>
      <c r="L58" s="855" t="s">
        <v>783</v>
      </c>
      <c r="M58" s="855"/>
      <c r="N58" s="855"/>
      <c r="O58" s="855"/>
      <c r="P58" s="855"/>
      <c r="Q58" s="855"/>
      <c r="R58" s="855"/>
      <c r="S58" s="855"/>
      <c r="T58" s="855"/>
      <c r="U58" s="855"/>
      <c r="V58" s="855"/>
      <c r="W58" s="855"/>
      <c r="X58" s="452"/>
    </row>
    <row r="59" spans="1:36" ht="40.5" hidden="1" customHeight="1" thickBot="1" x14ac:dyDescent="0.3">
      <c r="B59" s="858"/>
      <c r="C59" s="858"/>
      <c r="D59" s="854">
        <f>IF('Data entry'!Y44="Pine T&amp;G",'Data entry'!AT43,0)</f>
        <v>238</v>
      </c>
      <c r="E59" s="854"/>
      <c r="F59" s="854"/>
      <c r="G59" s="854" t="str">
        <f>IF(D59=" "," ","1x6x8'")</f>
        <v>1x6x8'</v>
      </c>
      <c r="H59" s="854"/>
      <c r="I59" s="854"/>
      <c r="J59" s="854"/>
      <c r="K59" s="854"/>
      <c r="L59" s="855" t="str">
        <f>IF(D59=" "," ","Pine T&amp;G")</f>
        <v>Pine T&amp;G</v>
      </c>
      <c r="M59" s="855"/>
      <c r="N59" s="855"/>
      <c r="O59" s="855"/>
      <c r="P59" s="855"/>
      <c r="Q59" s="855"/>
      <c r="R59" s="855"/>
      <c r="S59" s="855"/>
      <c r="T59" s="855"/>
      <c r="U59" s="855"/>
      <c r="V59" s="855"/>
      <c r="W59" s="890"/>
      <c r="AJ59" s="457">
        <f>IF('Data entry'!Y44="Pine T&amp;G",'Data entry'!Q10," ")</f>
        <v>30</v>
      </c>
    </row>
    <row r="60" spans="1:36" ht="40.5" customHeight="1" x14ac:dyDescent="0.4">
      <c r="B60" s="453"/>
      <c r="C60" s="454"/>
      <c r="D60" s="455"/>
      <c r="E60" s="455"/>
      <c r="F60" s="455"/>
      <c r="G60" s="455"/>
      <c r="H60" s="455"/>
      <c r="I60" s="455"/>
      <c r="J60" s="455"/>
      <c r="K60" s="455"/>
      <c r="L60" s="455"/>
      <c r="M60" s="455"/>
      <c r="N60" s="455"/>
      <c r="O60" s="455"/>
      <c r="P60" s="455"/>
      <c r="Q60" s="455"/>
      <c r="R60" s="455"/>
      <c r="S60" s="455"/>
      <c r="T60" s="455"/>
      <c r="U60" s="456"/>
      <c r="V60" s="456"/>
      <c r="W60" s="456"/>
    </row>
    <row r="61" spans="1:36" ht="30.75" customHeight="1" thickBot="1" x14ac:dyDescent="0.3">
      <c r="B61" s="891" t="s">
        <v>323</v>
      </c>
      <c r="C61" s="891"/>
      <c r="D61" s="892" t="s">
        <v>491</v>
      </c>
      <c r="E61" s="892"/>
      <c r="F61" s="679"/>
      <c r="G61" s="283"/>
      <c r="H61" s="283"/>
      <c r="I61" s="283"/>
      <c r="J61" s="283"/>
      <c r="K61" s="283"/>
      <c r="L61" s="283"/>
      <c r="M61" s="283"/>
      <c r="N61" s="283"/>
      <c r="O61" s="283"/>
      <c r="P61" s="283"/>
      <c r="Q61" s="283"/>
      <c r="R61" s="283"/>
      <c r="S61" s="283"/>
      <c r="T61" s="448"/>
      <c r="U61" s="448"/>
      <c r="V61" s="448"/>
      <c r="W61" s="448"/>
    </row>
    <row r="62" spans="1:36" ht="32.25" customHeight="1" thickBot="1" x14ac:dyDescent="0.3">
      <c r="B62" s="859"/>
      <c r="C62" s="860"/>
      <c r="D62" s="859" t="s">
        <v>818</v>
      </c>
      <c r="E62" s="860"/>
      <c r="F62" s="859" t="s">
        <v>815</v>
      </c>
      <c r="G62" s="861"/>
      <c r="H62" s="861"/>
      <c r="I62" s="861"/>
      <c r="J62" s="861" t="str">
        <f>IF('Data entry'!Q14="GALV."," ","3/4'' ROOFING SCREWS")</f>
        <v xml:space="preserve"> </v>
      </c>
      <c r="K62" s="861"/>
      <c r="L62" s="861"/>
      <c r="M62" s="861"/>
      <c r="N62" s="861"/>
      <c r="O62" s="861"/>
      <c r="P62" s="861"/>
      <c r="Q62" s="861"/>
      <c r="R62" s="861"/>
      <c r="S62" s="680"/>
      <c r="T62" s="681"/>
      <c r="U62" s="686"/>
      <c r="V62" s="448"/>
      <c r="W62" s="448"/>
    </row>
    <row r="63" spans="1:36" ht="33" hidden="1" customHeight="1" thickBot="1" x14ac:dyDescent="0.35">
      <c r="B63" s="859"/>
      <c r="C63" s="860"/>
      <c r="D63" s="859" t="str">
        <f>IF('Data entry'!Q14="GALV."," ",'&gt;Hardware List'!C37)</f>
        <v xml:space="preserve"> </v>
      </c>
      <c r="E63" s="860"/>
      <c r="F63" s="859" t="str">
        <f>IF('Data entry'!Q14="GALV."," ",'Data entry'!Q14)</f>
        <v xml:space="preserve"> </v>
      </c>
      <c r="G63" s="861"/>
      <c r="H63" s="861"/>
      <c r="I63" s="861"/>
      <c r="J63" s="889" t="str">
        <f>IF('Data entry'!Q14="GALV."," ","2'' ROOFING SCREWS")</f>
        <v xml:space="preserve"> </v>
      </c>
      <c r="K63" s="889"/>
      <c r="L63" s="889"/>
      <c r="M63" s="889"/>
      <c r="N63" s="889"/>
      <c r="O63" s="889"/>
      <c r="P63" s="889"/>
      <c r="Q63" s="889"/>
      <c r="R63" s="889"/>
      <c r="S63" s="680"/>
      <c r="T63" s="681"/>
      <c r="U63" s="686"/>
      <c r="V63" s="448"/>
      <c r="W63" s="448"/>
    </row>
    <row r="64" spans="1:36" ht="33" customHeight="1" thickBot="1" x14ac:dyDescent="0.35">
      <c r="B64" s="888"/>
      <c r="C64" s="888"/>
      <c r="D64" s="837" t="s">
        <v>820</v>
      </c>
      <c r="E64" s="838"/>
      <c r="F64" s="827" t="s">
        <v>492</v>
      </c>
      <c r="G64" s="828"/>
      <c r="H64" s="828"/>
      <c r="I64" s="828"/>
      <c r="J64" s="828"/>
      <c r="K64" s="828"/>
      <c r="L64" s="828"/>
      <c r="M64" s="828"/>
      <c r="N64" s="828"/>
      <c r="O64" s="828"/>
      <c r="P64" s="828"/>
      <c r="Q64" s="828"/>
      <c r="R64" s="828"/>
      <c r="S64" s="828"/>
      <c r="T64" s="829"/>
      <c r="U64" s="685"/>
      <c r="V64" s="448"/>
      <c r="W64" s="448"/>
    </row>
    <row r="65" spans="2:23" ht="2.25" customHeight="1" thickBot="1" x14ac:dyDescent="0.35">
      <c r="B65" s="836"/>
      <c r="C65" s="836"/>
      <c r="D65" s="837"/>
      <c r="E65" s="838"/>
      <c r="F65" s="827" t="s">
        <v>696</v>
      </c>
      <c r="G65" s="828"/>
      <c r="H65" s="828"/>
      <c r="I65" s="828"/>
      <c r="J65" s="828"/>
      <c r="K65" s="828"/>
      <c r="L65" s="828"/>
      <c r="M65" s="828"/>
      <c r="N65" s="828"/>
      <c r="O65" s="828"/>
      <c r="P65" s="828"/>
      <c r="Q65" s="828"/>
      <c r="R65" s="828"/>
      <c r="S65" s="828"/>
      <c r="T65" s="829"/>
      <c r="U65" s="685"/>
      <c r="V65" s="448"/>
      <c r="W65" s="448"/>
    </row>
    <row r="66" spans="2:23" ht="33" hidden="1" customHeight="1" thickBot="1" x14ac:dyDescent="0.35">
      <c r="B66" s="836"/>
      <c r="C66" s="836"/>
      <c r="D66" s="837"/>
      <c r="E66" s="838"/>
      <c r="F66" s="827" t="s">
        <v>697</v>
      </c>
      <c r="G66" s="828"/>
      <c r="H66" s="828"/>
      <c r="I66" s="828"/>
      <c r="J66" s="828"/>
      <c r="K66" s="828"/>
      <c r="L66" s="828"/>
      <c r="M66" s="828"/>
      <c r="N66" s="828"/>
      <c r="O66" s="828"/>
      <c r="P66" s="828"/>
      <c r="Q66" s="828"/>
      <c r="R66" s="828"/>
      <c r="S66" s="828"/>
      <c r="T66" s="829"/>
      <c r="U66" s="685"/>
      <c r="V66" s="448"/>
      <c r="W66" s="448"/>
    </row>
    <row r="67" spans="2:23" ht="33" hidden="1" customHeight="1" thickBot="1" x14ac:dyDescent="0.35">
      <c r="B67" s="836"/>
      <c r="C67" s="836"/>
      <c r="D67" s="837"/>
      <c r="E67" s="838"/>
      <c r="F67" s="827" t="s">
        <v>704</v>
      </c>
      <c r="G67" s="828"/>
      <c r="H67" s="828"/>
      <c r="I67" s="828"/>
      <c r="J67" s="828"/>
      <c r="K67" s="828"/>
      <c r="L67" s="828"/>
      <c r="M67" s="828"/>
      <c r="N67" s="828"/>
      <c r="O67" s="828"/>
      <c r="P67" s="828"/>
      <c r="Q67" s="828"/>
      <c r="R67" s="828"/>
      <c r="S67" s="828"/>
      <c r="T67" s="829"/>
      <c r="U67" s="685"/>
      <c r="V67" s="448"/>
      <c r="W67" s="448"/>
    </row>
    <row r="68" spans="2:23" ht="33" customHeight="1" thickBot="1" x14ac:dyDescent="0.35">
      <c r="B68" s="836"/>
      <c r="C68" s="836"/>
      <c r="D68" s="837" t="s">
        <v>817</v>
      </c>
      <c r="E68" s="838"/>
      <c r="F68" s="827" t="s">
        <v>698</v>
      </c>
      <c r="G68" s="828"/>
      <c r="H68" s="828"/>
      <c r="I68" s="828"/>
      <c r="J68" s="828"/>
      <c r="K68" s="828"/>
      <c r="L68" s="828"/>
      <c r="M68" s="828"/>
      <c r="N68" s="828"/>
      <c r="O68" s="828"/>
      <c r="P68" s="828"/>
      <c r="Q68" s="828"/>
      <c r="R68" s="828"/>
      <c r="S68" s="828"/>
      <c r="T68" s="829"/>
      <c r="U68" s="685"/>
      <c r="V68" s="448"/>
      <c r="W68" s="448"/>
    </row>
    <row r="69" spans="2:23" ht="2.25" customHeight="1" thickBot="1" x14ac:dyDescent="0.35">
      <c r="B69" s="836"/>
      <c r="C69" s="836"/>
      <c r="D69" s="837"/>
      <c r="E69" s="838"/>
      <c r="F69" s="827" t="s">
        <v>803</v>
      </c>
      <c r="G69" s="828"/>
      <c r="H69" s="828"/>
      <c r="I69" s="828"/>
      <c r="J69" s="828"/>
      <c r="K69" s="828"/>
      <c r="L69" s="828"/>
      <c r="M69" s="828"/>
      <c r="N69" s="828"/>
      <c r="O69" s="828"/>
      <c r="P69" s="828"/>
      <c r="Q69" s="828"/>
      <c r="R69" s="828"/>
      <c r="S69" s="828"/>
      <c r="T69" s="829"/>
      <c r="U69" s="685"/>
      <c r="V69" s="448"/>
      <c r="W69" s="448"/>
    </row>
    <row r="70" spans="2:23" ht="33" hidden="1" customHeight="1" thickBot="1" x14ac:dyDescent="0.35">
      <c r="B70" s="836"/>
      <c r="C70" s="836"/>
      <c r="D70" s="837"/>
      <c r="E70" s="838"/>
      <c r="F70" s="827" t="s">
        <v>805</v>
      </c>
      <c r="G70" s="828"/>
      <c r="H70" s="828"/>
      <c r="I70" s="828"/>
      <c r="J70" s="828"/>
      <c r="K70" s="828"/>
      <c r="L70" s="828"/>
      <c r="M70" s="828"/>
      <c r="N70" s="828"/>
      <c r="O70" s="828"/>
      <c r="P70" s="828"/>
      <c r="Q70" s="828"/>
      <c r="R70" s="828"/>
      <c r="S70" s="828"/>
      <c r="T70" s="829"/>
      <c r="U70" s="685"/>
      <c r="V70" s="448"/>
      <c r="W70" s="448"/>
    </row>
    <row r="71" spans="2:23" ht="33" hidden="1" customHeight="1" thickBot="1" x14ac:dyDescent="0.35">
      <c r="B71" s="836"/>
      <c r="C71" s="836"/>
      <c r="D71" s="837"/>
      <c r="E71" s="838"/>
      <c r="F71" s="827" t="s">
        <v>699</v>
      </c>
      <c r="G71" s="828"/>
      <c r="H71" s="828"/>
      <c r="I71" s="828"/>
      <c r="J71" s="828"/>
      <c r="K71" s="828"/>
      <c r="L71" s="828"/>
      <c r="M71" s="828"/>
      <c r="N71" s="828"/>
      <c r="O71" s="828"/>
      <c r="P71" s="828"/>
      <c r="Q71" s="828"/>
      <c r="R71" s="828"/>
      <c r="S71" s="828"/>
      <c r="T71" s="829"/>
      <c r="U71" s="685"/>
      <c r="V71" s="448"/>
      <c r="W71" s="448"/>
    </row>
    <row r="72" spans="2:23" ht="33" customHeight="1" thickBot="1" x14ac:dyDescent="0.35">
      <c r="B72" s="836"/>
      <c r="C72" s="836"/>
      <c r="D72" s="837" t="s">
        <v>816</v>
      </c>
      <c r="E72" s="838"/>
      <c r="F72" s="827" t="s">
        <v>700</v>
      </c>
      <c r="G72" s="828"/>
      <c r="H72" s="828"/>
      <c r="I72" s="828"/>
      <c r="J72" s="828"/>
      <c r="K72" s="828"/>
      <c r="L72" s="828"/>
      <c r="M72" s="828"/>
      <c r="N72" s="828"/>
      <c r="O72" s="828"/>
      <c r="P72" s="828"/>
      <c r="Q72" s="828"/>
      <c r="R72" s="828"/>
      <c r="S72" s="828"/>
      <c r="T72" s="829"/>
      <c r="U72" s="685"/>
      <c r="V72" s="448"/>
      <c r="W72" s="448"/>
    </row>
    <row r="73" spans="2:23" ht="2.25" customHeight="1" thickBot="1" x14ac:dyDescent="0.35">
      <c r="B73" s="836"/>
      <c r="C73" s="836"/>
      <c r="D73" s="837"/>
      <c r="E73" s="838"/>
      <c r="F73" s="827" t="s">
        <v>701</v>
      </c>
      <c r="G73" s="828"/>
      <c r="H73" s="828"/>
      <c r="I73" s="828"/>
      <c r="J73" s="828"/>
      <c r="K73" s="828"/>
      <c r="L73" s="828"/>
      <c r="M73" s="828"/>
      <c r="N73" s="828"/>
      <c r="O73" s="828"/>
      <c r="P73" s="828"/>
      <c r="Q73" s="828"/>
      <c r="R73" s="828"/>
      <c r="S73" s="828"/>
      <c r="T73" s="829"/>
      <c r="U73" s="685"/>
      <c r="V73" s="448"/>
      <c r="W73" s="448"/>
    </row>
    <row r="74" spans="2:23" ht="33" hidden="1" customHeight="1" thickBot="1" x14ac:dyDescent="0.35">
      <c r="B74" s="836"/>
      <c r="C74" s="836"/>
      <c r="D74" s="837"/>
      <c r="E74" s="838"/>
      <c r="F74" s="827" t="s">
        <v>702</v>
      </c>
      <c r="G74" s="828"/>
      <c r="H74" s="828"/>
      <c r="I74" s="828"/>
      <c r="J74" s="828"/>
      <c r="K74" s="828"/>
      <c r="L74" s="828"/>
      <c r="M74" s="828"/>
      <c r="N74" s="828"/>
      <c r="O74" s="828"/>
      <c r="P74" s="828"/>
      <c r="Q74" s="828"/>
      <c r="R74" s="828"/>
      <c r="S74" s="828"/>
      <c r="T74" s="829"/>
      <c r="U74" s="685"/>
      <c r="V74" s="448"/>
      <c r="W74" s="448"/>
    </row>
    <row r="75" spans="2:23" ht="33" hidden="1" customHeight="1" thickBot="1" x14ac:dyDescent="0.35">
      <c r="B75" s="836"/>
      <c r="C75" s="836"/>
      <c r="D75" s="837"/>
      <c r="E75" s="838"/>
      <c r="F75" s="830" t="s">
        <v>705</v>
      </c>
      <c r="G75" s="831"/>
      <c r="H75" s="831"/>
      <c r="I75" s="831"/>
      <c r="J75" s="831"/>
      <c r="K75" s="831"/>
      <c r="L75" s="831"/>
      <c r="M75" s="831"/>
      <c r="N75" s="831"/>
      <c r="O75" s="831"/>
      <c r="P75" s="831"/>
      <c r="Q75" s="831"/>
      <c r="R75" s="831"/>
      <c r="S75" s="831"/>
      <c r="T75" s="832"/>
      <c r="U75" s="685"/>
      <c r="V75" s="448"/>
      <c r="W75" s="448"/>
    </row>
    <row r="76" spans="2:23" ht="33" hidden="1" customHeight="1" thickBot="1" x14ac:dyDescent="0.35">
      <c r="B76" s="836"/>
      <c r="C76" s="836"/>
      <c r="D76" s="837"/>
      <c r="E76" s="838"/>
      <c r="F76" s="827" t="s">
        <v>753</v>
      </c>
      <c r="G76" s="828"/>
      <c r="H76" s="828"/>
      <c r="I76" s="828"/>
      <c r="J76" s="828"/>
      <c r="K76" s="828"/>
      <c r="L76" s="828"/>
      <c r="M76" s="828"/>
      <c r="N76" s="828"/>
      <c r="O76" s="828"/>
      <c r="P76" s="828"/>
      <c r="Q76" s="828"/>
      <c r="R76" s="828"/>
      <c r="S76" s="828"/>
      <c r="T76" s="829"/>
      <c r="U76" s="685"/>
      <c r="V76" s="448"/>
      <c r="W76" s="448"/>
    </row>
    <row r="77" spans="2:23" ht="33" customHeight="1" thickBot="1" x14ac:dyDescent="0.35">
      <c r="B77" s="836"/>
      <c r="C77" s="836"/>
      <c r="D77" s="837" t="s">
        <v>821</v>
      </c>
      <c r="E77" s="838"/>
      <c r="F77" s="827" t="s">
        <v>703</v>
      </c>
      <c r="G77" s="828"/>
      <c r="H77" s="828"/>
      <c r="I77" s="828"/>
      <c r="J77" s="828"/>
      <c r="K77" s="828"/>
      <c r="L77" s="828"/>
      <c r="M77" s="828"/>
      <c r="N77" s="828"/>
      <c r="O77" s="828"/>
      <c r="P77" s="828"/>
      <c r="Q77" s="828"/>
      <c r="R77" s="828"/>
      <c r="S77" s="828"/>
      <c r="T77" s="829"/>
      <c r="U77" s="685"/>
      <c r="V77" s="448"/>
      <c r="W77" s="448"/>
    </row>
    <row r="78" spans="2:23" ht="1.5" customHeight="1" thickBot="1" x14ac:dyDescent="0.35">
      <c r="B78" s="880"/>
      <c r="C78" s="885"/>
      <c r="D78" s="838"/>
      <c r="E78" s="887"/>
      <c r="F78" s="827" t="s">
        <v>804</v>
      </c>
      <c r="G78" s="828"/>
      <c r="H78" s="828"/>
      <c r="I78" s="828"/>
      <c r="J78" s="828"/>
      <c r="K78" s="828"/>
      <c r="L78" s="828"/>
      <c r="M78" s="828"/>
      <c r="N78" s="828"/>
      <c r="O78" s="828"/>
      <c r="P78" s="828"/>
      <c r="Q78" s="828"/>
      <c r="R78" s="828"/>
      <c r="S78" s="828"/>
      <c r="T78" s="829"/>
      <c r="U78" s="685"/>
      <c r="V78" s="448"/>
      <c r="W78" s="448"/>
    </row>
    <row r="79" spans="2:23" ht="33" hidden="1" customHeight="1" thickBot="1" x14ac:dyDescent="0.35">
      <c r="B79" s="880"/>
      <c r="C79" s="885"/>
      <c r="D79" s="841"/>
      <c r="E79" s="886"/>
      <c r="F79" s="827" t="s">
        <v>721</v>
      </c>
      <c r="G79" s="828"/>
      <c r="H79" s="828"/>
      <c r="I79" s="828"/>
      <c r="J79" s="828"/>
      <c r="K79" s="828"/>
      <c r="L79" s="828"/>
      <c r="M79" s="828"/>
      <c r="N79" s="828"/>
      <c r="O79" s="828"/>
      <c r="P79" s="828"/>
      <c r="Q79" s="828"/>
      <c r="R79" s="828"/>
      <c r="S79" s="828"/>
      <c r="T79" s="829"/>
      <c r="U79" s="685"/>
      <c r="V79" s="448"/>
      <c r="W79" s="448"/>
    </row>
    <row r="80" spans="2:23" ht="33" hidden="1" customHeight="1" thickBot="1" x14ac:dyDescent="0.35">
      <c r="B80" s="836"/>
      <c r="C80" s="880"/>
      <c r="D80" s="823"/>
      <c r="E80" s="824"/>
      <c r="F80" s="827" t="s">
        <v>752</v>
      </c>
      <c r="G80" s="828"/>
      <c r="H80" s="828"/>
      <c r="I80" s="828"/>
      <c r="J80" s="828"/>
      <c r="K80" s="828"/>
      <c r="L80" s="828"/>
      <c r="M80" s="828"/>
      <c r="N80" s="828"/>
      <c r="O80" s="828"/>
      <c r="P80" s="828"/>
      <c r="Q80" s="828"/>
      <c r="R80" s="828"/>
      <c r="S80" s="828"/>
      <c r="T80" s="829"/>
      <c r="U80" s="685"/>
      <c r="V80" s="448"/>
      <c r="W80" s="448"/>
    </row>
    <row r="81" spans="1:256" ht="30.75" hidden="1" customHeight="1" thickBot="1" x14ac:dyDescent="0.35">
      <c r="B81" s="836"/>
      <c r="C81" s="880"/>
      <c r="D81" s="881"/>
      <c r="E81" s="882"/>
      <c r="F81" s="827" t="s">
        <v>493</v>
      </c>
      <c r="G81" s="828"/>
      <c r="H81" s="828"/>
      <c r="I81" s="828"/>
      <c r="J81" s="828"/>
      <c r="K81" s="828"/>
      <c r="L81" s="828"/>
      <c r="M81" s="828"/>
      <c r="N81" s="828"/>
      <c r="O81" s="828"/>
      <c r="P81" s="828"/>
      <c r="Q81" s="828"/>
      <c r="R81" s="828"/>
      <c r="S81" s="828"/>
      <c r="T81" s="829"/>
      <c r="U81" s="685"/>
      <c r="V81" s="448"/>
      <c r="W81" s="448"/>
    </row>
    <row r="82" spans="1:256" ht="30" customHeight="1" thickBot="1" x14ac:dyDescent="0.35">
      <c r="B82" s="836"/>
      <c r="C82" s="836"/>
      <c r="D82" s="883" t="s">
        <v>822</v>
      </c>
      <c r="E82" s="884"/>
      <c r="F82" s="827" t="s">
        <v>809</v>
      </c>
      <c r="G82" s="828"/>
      <c r="H82" s="828"/>
      <c r="I82" s="828"/>
      <c r="J82" s="828"/>
      <c r="K82" s="828"/>
      <c r="L82" s="828"/>
      <c r="M82" s="828"/>
      <c r="N82" s="828"/>
      <c r="O82" s="828"/>
      <c r="P82" s="828"/>
      <c r="Q82" s="828"/>
      <c r="R82" s="828"/>
      <c r="S82" s="828"/>
      <c r="T82" s="829"/>
      <c r="U82" s="685"/>
      <c r="V82" s="448"/>
      <c r="W82" s="448"/>
    </row>
    <row r="83" spans="1:256" ht="30.75" hidden="1" customHeight="1" thickBot="1" x14ac:dyDescent="0.35">
      <c r="B83" s="836"/>
      <c r="C83" s="836"/>
      <c r="D83" s="837"/>
      <c r="E83" s="838"/>
      <c r="F83" s="827" t="s">
        <v>494</v>
      </c>
      <c r="G83" s="828"/>
      <c r="H83" s="828"/>
      <c r="I83" s="828"/>
      <c r="J83" s="828"/>
      <c r="K83" s="828"/>
      <c r="L83" s="828"/>
      <c r="M83" s="828"/>
      <c r="N83" s="828"/>
      <c r="O83" s="828"/>
      <c r="P83" s="828"/>
      <c r="Q83" s="828"/>
      <c r="R83" s="828"/>
      <c r="S83" s="828"/>
      <c r="T83" s="829"/>
      <c r="U83" s="685"/>
      <c r="V83" s="448"/>
      <c r="W83" s="448"/>
    </row>
    <row r="84" spans="1:256" ht="30.75" hidden="1" customHeight="1" thickBot="1" x14ac:dyDescent="0.35">
      <c r="B84" s="836"/>
      <c r="C84" s="836"/>
      <c r="D84" s="837"/>
      <c r="E84" s="838"/>
      <c r="F84" s="827" t="s">
        <v>495</v>
      </c>
      <c r="G84" s="828"/>
      <c r="H84" s="828"/>
      <c r="I84" s="828"/>
      <c r="J84" s="828"/>
      <c r="K84" s="828"/>
      <c r="L84" s="828"/>
      <c r="M84" s="828"/>
      <c r="N84" s="828"/>
      <c r="O84" s="828"/>
      <c r="P84" s="828"/>
      <c r="Q84" s="828"/>
      <c r="R84" s="828"/>
      <c r="S84" s="828"/>
      <c r="T84" s="829"/>
      <c r="U84" s="685"/>
      <c r="V84" s="448"/>
      <c r="W84" s="448"/>
    </row>
    <row r="85" spans="1:256" ht="30.75" hidden="1" customHeight="1" thickBot="1" x14ac:dyDescent="0.35">
      <c r="B85" s="836"/>
      <c r="C85" s="836"/>
      <c r="D85" s="837"/>
      <c r="E85" s="837"/>
      <c r="F85" s="833" t="s">
        <v>496</v>
      </c>
      <c r="G85" s="834"/>
      <c r="H85" s="834"/>
      <c r="I85" s="834"/>
      <c r="J85" s="834"/>
      <c r="K85" s="834"/>
      <c r="L85" s="834"/>
      <c r="M85" s="834"/>
      <c r="N85" s="834"/>
      <c r="O85" s="834"/>
      <c r="P85" s="834"/>
      <c r="Q85" s="834"/>
      <c r="R85" s="834"/>
      <c r="S85" s="834"/>
      <c r="T85" s="835"/>
      <c r="U85" s="687"/>
      <c r="V85" s="448"/>
      <c r="W85" s="448"/>
    </row>
    <row r="86" spans="1:256" ht="30.75" hidden="1" customHeight="1" thickBot="1" x14ac:dyDescent="0.35">
      <c r="B86" s="836"/>
      <c r="C86" s="836"/>
      <c r="D86" s="837"/>
      <c r="E86" s="838"/>
      <c r="F86" s="827" t="s">
        <v>497</v>
      </c>
      <c r="G86" s="828"/>
      <c r="H86" s="828"/>
      <c r="I86" s="828"/>
      <c r="J86" s="828"/>
      <c r="K86" s="828"/>
      <c r="L86" s="828"/>
      <c r="M86" s="828"/>
      <c r="N86" s="828"/>
      <c r="O86" s="828"/>
      <c r="P86" s="828"/>
      <c r="Q86" s="828"/>
      <c r="R86" s="828"/>
      <c r="S86" s="828"/>
      <c r="T86" s="829"/>
      <c r="U86" s="685"/>
      <c r="V86" s="448"/>
      <c r="W86" s="448"/>
    </row>
    <row r="87" spans="1:256" ht="28.5" hidden="1" customHeight="1" thickBot="1" x14ac:dyDescent="0.35">
      <c r="B87" s="836"/>
      <c r="C87" s="836"/>
      <c r="D87" s="837"/>
      <c r="E87" s="838"/>
      <c r="F87" s="827" t="s">
        <v>498</v>
      </c>
      <c r="G87" s="828"/>
      <c r="H87" s="828"/>
      <c r="I87" s="828"/>
      <c r="J87" s="828"/>
      <c r="K87" s="828"/>
      <c r="L87" s="828"/>
      <c r="M87" s="828"/>
      <c r="N87" s="828"/>
      <c r="O87" s="828"/>
      <c r="P87" s="828"/>
      <c r="Q87" s="828"/>
      <c r="R87" s="828"/>
      <c r="S87" s="828"/>
      <c r="T87" s="829"/>
      <c r="U87" s="685"/>
      <c r="V87" s="448"/>
      <c r="W87" s="448"/>
    </row>
    <row r="88" spans="1:256" ht="30.75" hidden="1" customHeight="1" thickBot="1" x14ac:dyDescent="0.35">
      <c r="A88"/>
      <c r="B88" s="836"/>
      <c r="C88" s="836"/>
      <c r="D88" s="837"/>
      <c r="E88" s="838"/>
      <c r="F88" s="827" t="s">
        <v>499</v>
      </c>
      <c r="G88" s="828"/>
      <c r="H88" s="828"/>
      <c r="I88" s="828"/>
      <c r="J88" s="828"/>
      <c r="K88" s="828"/>
      <c r="L88" s="828"/>
      <c r="M88" s="828"/>
      <c r="N88" s="828"/>
      <c r="O88" s="828"/>
      <c r="P88" s="828"/>
      <c r="Q88" s="828"/>
      <c r="R88" s="828"/>
      <c r="S88" s="828"/>
      <c r="T88" s="829"/>
      <c r="U88" s="685"/>
      <c r="V88" s="634"/>
      <c r="W88" s="634"/>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row>
    <row r="89" spans="1:256" ht="30.75" hidden="1" customHeight="1" thickBot="1" x14ac:dyDescent="0.35">
      <c r="B89" s="826"/>
      <c r="C89" s="826"/>
      <c r="D89" s="825"/>
      <c r="E89" s="841"/>
      <c r="F89" s="827" t="s">
        <v>716</v>
      </c>
      <c r="G89" s="828"/>
      <c r="H89" s="828"/>
      <c r="I89" s="828"/>
      <c r="J89" s="828"/>
      <c r="K89" s="828"/>
      <c r="L89" s="828"/>
      <c r="M89" s="828"/>
      <c r="N89" s="828"/>
      <c r="O89" s="828"/>
      <c r="P89" s="828"/>
      <c r="Q89" s="828"/>
      <c r="R89" s="828"/>
      <c r="S89" s="828"/>
      <c r="T89" s="829"/>
      <c r="U89" s="685"/>
      <c r="V89" s="448"/>
    </row>
    <row r="90" spans="1:256" ht="30.75" hidden="1" customHeight="1" thickBot="1" x14ac:dyDescent="0.35">
      <c r="A90" s="468"/>
      <c r="B90" s="826"/>
      <c r="C90" s="826"/>
      <c r="D90" s="825"/>
      <c r="E90" s="841"/>
      <c r="F90" s="827" t="s">
        <v>507</v>
      </c>
      <c r="G90" s="828"/>
      <c r="H90" s="828"/>
      <c r="I90" s="828"/>
      <c r="J90" s="828"/>
      <c r="K90" s="828"/>
      <c r="L90" s="828"/>
      <c r="M90" s="828"/>
      <c r="N90" s="828"/>
      <c r="O90" s="828"/>
      <c r="P90" s="828"/>
      <c r="Q90" s="828"/>
      <c r="R90" s="828"/>
      <c r="S90" s="828"/>
      <c r="T90" s="829"/>
      <c r="U90" s="448"/>
      <c r="V90" s="448"/>
    </row>
    <row r="91" spans="1:256" ht="27" hidden="1" thickBot="1" x14ac:dyDescent="0.35">
      <c r="A91" s="468"/>
      <c r="B91" s="826"/>
      <c r="C91" s="826"/>
      <c r="D91" s="825"/>
      <c r="E91" s="825"/>
      <c r="F91" s="865" t="s">
        <v>508</v>
      </c>
      <c r="G91" s="866"/>
      <c r="H91" s="866"/>
      <c r="I91" s="866"/>
      <c r="J91" s="866"/>
      <c r="K91" s="866"/>
      <c r="L91" s="866"/>
      <c r="M91" s="866"/>
      <c r="N91" s="866"/>
      <c r="O91" s="866"/>
      <c r="P91" s="866"/>
      <c r="Q91" s="866"/>
      <c r="R91" s="866"/>
      <c r="S91" s="866"/>
      <c r="T91" s="867"/>
      <c r="U91" s="686"/>
    </row>
    <row r="92" spans="1:256" ht="27" hidden="1" thickBot="1" x14ac:dyDescent="0.35">
      <c r="A92" s="468"/>
      <c r="B92" s="826"/>
      <c r="C92" s="826"/>
      <c r="D92" s="825"/>
      <c r="E92" s="825"/>
      <c r="F92" s="862" t="s">
        <v>509</v>
      </c>
      <c r="G92" s="863"/>
      <c r="H92" s="863"/>
      <c r="I92" s="863"/>
      <c r="J92" s="863"/>
      <c r="K92" s="863"/>
      <c r="L92" s="863"/>
      <c r="M92" s="863"/>
      <c r="N92" s="863"/>
      <c r="O92" s="863"/>
      <c r="P92" s="863"/>
      <c r="Q92" s="863"/>
      <c r="R92" s="863"/>
      <c r="S92" s="863"/>
      <c r="T92" s="864"/>
      <c r="U92" s="686"/>
    </row>
    <row r="93" spans="1:256" ht="27" hidden="1" thickBot="1" x14ac:dyDescent="0.35">
      <c r="A93" s="468"/>
      <c r="B93" s="826"/>
      <c r="C93" s="826"/>
      <c r="D93" s="825"/>
      <c r="E93" s="825"/>
      <c r="F93" s="862" t="s">
        <v>510</v>
      </c>
      <c r="G93" s="863"/>
      <c r="H93" s="863"/>
      <c r="I93" s="863"/>
      <c r="J93" s="863"/>
      <c r="K93" s="863"/>
      <c r="L93" s="863"/>
      <c r="M93" s="863"/>
      <c r="N93" s="863"/>
      <c r="O93" s="863"/>
      <c r="P93" s="863"/>
      <c r="Q93" s="863"/>
      <c r="R93" s="863"/>
      <c r="S93" s="863"/>
      <c r="T93" s="864"/>
      <c r="U93" s="686"/>
    </row>
    <row r="94" spans="1:256" ht="27" hidden="1" thickBot="1" x14ac:dyDescent="0.35">
      <c r="A94" s="468"/>
      <c r="B94" s="826"/>
      <c r="C94" s="826"/>
      <c r="D94" s="825"/>
      <c r="E94" s="825"/>
      <c r="F94" s="862" t="s">
        <v>678</v>
      </c>
      <c r="G94" s="863"/>
      <c r="H94" s="863"/>
      <c r="I94" s="863"/>
      <c r="J94" s="863"/>
      <c r="K94" s="863"/>
      <c r="L94" s="863"/>
      <c r="M94" s="863"/>
      <c r="N94" s="863"/>
      <c r="O94" s="863"/>
      <c r="P94" s="863"/>
      <c r="Q94" s="863"/>
      <c r="R94" s="863"/>
      <c r="S94" s="863"/>
      <c r="T94" s="864"/>
      <c r="U94" s="686"/>
    </row>
    <row r="95" spans="1:256" ht="27" hidden="1" thickBot="1" x14ac:dyDescent="0.35">
      <c r="A95" s="468"/>
      <c r="B95" s="826"/>
      <c r="C95" s="826"/>
      <c r="D95" s="825"/>
      <c r="E95" s="825"/>
      <c r="F95" s="862" t="s">
        <v>812</v>
      </c>
      <c r="G95" s="863"/>
      <c r="H95" s="863"/>
      <c r="I95" s="863"/>
      <c r="J95" s="863"/>
      <c r="K95" s="863"/>
      <c r="L95" s="863"/>
      <c r="M95" s="863"/>
      <c r="N95" s="863"/>
      <c r="O95" s="863"/>
      <c r="P95" s="863"/>
      <c r="Q95" s="863"/>
      <c r="R95" s="863"/>
      <c r="S95" s="863"/>
      <c r="T95" s="864"/>
      <c r="U95" s="686"/>
    </row>
    <row r="96" spans="1:256" ht="27" hidden="1" thickBot="1" x14ac:dyDescent="0.35">
      <c r="A96" s="468"/>
      <c r="B96" s="826"/>
      <c r="C96" s="826"/>
      <c r="D96" s="825"/>
      <c r="E96" s="825"/>
      <c r="F96" s="862" t="s">
        <v>511</v>
      </c>
      <c r="G96" s="863"/>
      <c r="H96" s="863"/>
      <c r="I96" s="863"/>
      <c r="J96" s="863"/>
      <c r="K96" s="863"/>
      <c r="L96" s="863"/>
      <c r="M96" s="863"/>
      <c r="N96" s="863"/>
      <c r="O96" s="863"/>
      <c r="P96" s="863"/>
      <c r="Q96" s="863"/>
      <c r="R96" s="863"/>
      <c r="S96" s="863"/>
      <c r="T96" s="864"/>
      <c r="U96" s="686"/>
    </row>
    <row r="97" spans="1:21" ht="27" hidden="1" thickBot="1" x14ac:dyDescent="0.35">
      <c r="A97" s="468"/>
      <c r="B97" s="826"/>
      <c r="C97" s="826"/>
      <c r="D97" s="825"/>
      <c r="E97" s="825"/>
      <c r="F97" s="839" t="s">
        <v>679</v>
      </c>
      <c r="G97" s="819"/>
      <c r="H97" s="819"/>
      <c r="I97" s="819"/>
      <c r="J97" s="819"/>
      <c r="K97" s="819"/>
      <c r="L97" s="819"/>
      <c r="M97" s="819"/>
      <c r="N97" s="819"/>
      <c r="O97" s="819"/>
      <c r="P97" s="819"/>
      <c r="Q97" s="819"/>
      <c r="R97" s="819"/>
      <c r="S97" s="819"/>
      <c r="T97" s="840"/>
      <c r="U97" s="686"/>
    </row>
    <row r="98" spans="1:21" ht="27" hidden="1" thickBot="1" x14ac:dyDescent="0.35">
      <c r="A98" s="468"/>
      <c r="B98" s="826"/>
      <c r="C98" s="826"/>
      <c r="D98" s="825"/>
      <c r="E98" s="825"/>
      <c r="F98" s="839" t="s">
        <v>680</v>
      </c>
      <c r="G98" s="819"/>
      <c r="H98" s="819"/>
      <c r="I98" s="819"/>
      <c r="J98" s="819"/>
      <c r="K98" s="819"/>
      <c r="L98" s="819"/>
      <c r="M98" s="819"/>
      <c r="N98" s="819"/>
      <c r="O98" s="819"/>
      <c r="P98" s="819"/>
      <c r="Q98" s="819"/>
      <c r="R98" s="819"/>
      <c r="S98" s="819"/>
      <c r="T98" s="840"/>
      <c r="U98" s="686"/>
    </row>
    <row r="99" spans="1:21" ht="27" hidden="1" thickBot="1" x14ac:dyDescent="0.35">
      <c r="A99" s="468"/>
      <c r="B99" s="826"/>
      <c r="C99" s="826"/>
      <c r="D99" s="825"/>
      <c r="E99" s="825"/>
      <c r="F99" s="839" t="s">
        <v>681</v>
      </c>
      <c r="G99" s="819"/>
      <c r="H99" s="819"/>
      <c r="I99" s="819"/>
      <c r="J99" s="819"/>
      <c r="K99" s="819"/>
      <c r="L99" s="819"/>
      <c r="M99" s="819"/>
      <c r="N99" s="819"/>
      <c r="O99" s="819"/>
      <c r="P99" s="819"/>
      <c r="Q99" s="819"/>
      <c r="R99" s="819"/>
      <c r="S99" s="819"/>
      <c r="T99" s="840"/>
      <c r="U99" s="686"/>
    </row>
    <row r="100" spans="1:21" ht="27" hidden="1" thickBot="1" x14ac:dyDescent="0.35">
      <c r="A100" s="468"/>
      <c r="B100" s="826"/>
      <c r="C100" s="826"/>
      <c r="D100" s="825"/>
      <c r="E100" s="825"/>
      <c r="F100" s="839" t="s">
        <v>682</v>
      </c>
      <c r="G100" s="819"/>
      <c r="H100" s="819"/>
      <c r="I100" s="819"/>
      <c r="J100" s="819"/>
      <c r="K100" s="819"/>
      <c r="L100" s="819"/>
      <c r="M100" s="819"/>
      <c r="N100" s="819"/>
      <c r="O100" s="819"/>
      <c r="P100" s="819"/>
      <c r="Q100" s="819"/>
      <c r="R100" s="819"/>
      <c r="S100" s="819"/>
      <c r="T100" s="840"/>
      <c r="U100" s="686"/>
    </row>
    <row r="101" spans="1:21" ht="27" hidden="1" thickBot="1" x14ac:dyDescent="0.35">
      <c r="A101" s="468"/>
      <c r="B101" s="826"/>
      <c r="C101" s="826"/>
      <c r="D101" s="825"/>
      <c r="E101" s="825"/>
      <c r="F101" s="842" t="s">
        <v>683</v>
      </c>
      <c r="G101" s="843"/>
      <c r="H101" s="843"/>
      <c r="I101" s="843"/>
      <c r="J101" s="843"/>
      <c r="K101" s="843"/>
      <c r="L101" s="843"/>
      <c r="M101" s="843"/>
      <c r="N101" s="843"/>
      <c r="O101" s="843"/>
      <c r="P101" s="843"/>
      <c r="Q101" s="843"/>
      <c r="R101" s="843"/>
      <c r="S101" s="843"/>
      <c r="T101" s="844"/>
      <c r="U101" s="686"/>
    </row>
    <row r="102" spans="1:21" ht="27" hidden="1" thickBot="1" x14ac:dyDescent="0.35">
      <c r="A102" s="468"/>
      <c r="B102" s="826"/>
      <c r="C102" s="826"/>
      <c r="D102" s="825"/>
      <c r="E102" s="825"/>
      <c r="F102" s="839" t="s">
        <v>684</v>
      </c>
      <c r="G102" s="819"/>
      <c r="H102" s="819"/>
      <c r="I102" s="819"/>
      <c r="J102" s="819"/>
      <c r="K102" s="819"/>
      <c r="L102" s="819"/>
      <c r="M102" s="819"/>
      <c r="N102" s="819"/>
      <c r="O102" s="819"/>
      <c r="P102" s="819"/>
      <c r="Q102" s="819"/>
      <c r="R102" s="819"/>
      <c r="S102" s="819"/>
      <c r="T102" s="840"/>
      <c r="U102" s="686"/>
    </row>
    <row r="103" spans="1:21" ht="27" hidden="1" thickBot="1" x14ac:dyDescent="0.35">
      <c r="A103" s="468"/>
      <c r="B103" s="826"/>
      <c r="C103" s="826"/>
      <c r="D103" s="825"/>
      <c r="E103" s="825"/>
      <c r="F103" s="839" t="s">
        <v>748</v>
      </c>
      <c r="G103" s="819"/>
      <c r="H103" s="819"/>
      <c r="I103" s="819"/>
      <c r="J103" s="819"/>
      <c r="K103" s="819"/>
      <c r="L103" s="819"/>
      <c r="M103" s="819"/>
      <c r="N103" s="819"/>
      <c r="O103" s="819"/>
      <c r="P103" s="819"/>
      <c r="Q103" s="819"/>
      <c r="R103" s="819"/>
      <c r="S103" s="819"/>
      <c r="T103" s="840"/>
      <c r="U103" s="686"/>
    </row>
    <row r="104" spans="1:21" ht="27" hidden="1" thickBot="1" x14ac:dyDescent="0.35">
      <c r="A104" s="468"/>
      <c r="B104" s="826"/>
      <c r="C104" s="826"/>
      <c r="D104" s="825"/>
      <c r="E104" s="825"/>
      <c r="F104" s="839" t="s">
        <v>746</v>
      </c>
      <c r="G104" s="819"/>
      <c r="H104" s="819"/>
      <c r="I104" s="819"/>
      <c r="J104" s="819"/>
      <c r="K104" s="819"/>
      <c r="L104" s="819"/>
      <c r="M104" s="819"/>
      <c r="N104" s="819"/>
      <c r="O104" s="819"/>
      <c r="P104" s="819"/>
      <c r="Q104" s="819"/>
      <c r="R104" s="819"/>
      <c r="S104" s="819"/>
      <c r="T104" s="840"/>
      <c r="U104" s="686"/>
    </row>
    <row r="105" spans="1:21" ht="27" hidden="1" thickBot="1" x14ac:dyDescent="0.35">
      <c r="A105" s="468"/>
      <c r="B105" s="826"/>
      <c r="C105" s="826"/>
      <c r="D105" s="825"/>
      <c r="E105" s="825"/>
      <c r="F105" s="839" t="s">
        <v>747</v>
      </c>
      <c r="G105" s="819"/>
      <c r="H105" s="819"/>
      <c r="I105" s="819"/>
      <c r="J105" s="819"/>
      <c r="K105" s="819"/>
      <c r="L105" s="819"/>
      <c r="M105" s="819"/>
      <c r="N105" s="819"/>
      <c r="O105" s="819"/>
      <c r="P105" s="819"/>
      <c r="Q105" s="819"/>
      <c r="R105" s="819"/>
      <c r="S105" s="819"/>
      <c r="T105" s="840"/>
      <c r="U105" s="686"/>
    </row>
    <row r="106" spans="1:21" ht="27" hidden="1" thickBot="1" x14ac:dyDescent="0.35">
      <c r="A106" s="468"/>
      <c r="B106" s="826"/>
      <c r="C106" s="826"/>
      <c r="D106" s="825"/>
      <c r="E106" s="825"/>
      <c r="F106" s="839" t="s">
        <v>806</v>
      </c>
      <c r="G106" s="819"/>
      <c r="H106" s="819"/>
      <c r="I106" s="819"/>
      <c r="J106" s="819"/>
      <c r="K106" s="819"/>
      <c r="L106" s="819"/>
      <c r="M106" s="819"/>
      <c r="N106" s="819"/>
      <c r="O106" s="819"/>
      <c r="P106" s="819"/>
      <c r="Q106" s="819"/>
      <c r="R106" s="819"/>
      <c r="S106" s="819"/>
      <c r="T106" s="840"/>
      <c r="U106" s="686"/>
    </row>
    <row r="107" spans="1:21" ht="29.25" hidden="1" customHeight="1" thickBot="1" x14ac:dyDescent="0.35">
      <c r="A107" s="468"/>
      <c r="B107" s="821"/>
      <c r="C107" s="822"/>
      <c r="D107" s="823"/>
      <c r="E107" s="824"/>
      <c r="F107" s="839" t="s">
        <v>800</v>
      </c>
      <c r="G107" s="819"/>
      <c r="H107" s="819"/>
      <c r="I107" s="819"/>
      <c r="J107" s="819"/>
      <c r="K107" s="819"/>
      <c r="L107" s="819"/>
      <c r="M107" s="819"/>
      <c r="N107" s="819"/>
      <c r="O107" s="819"/>
      <c r="P107" s="819"/>
      <c r="Q107" s="819"/>
      <c r="R107" s="819"/>
      <c r="S107" s="819"/>
      <c r="T107" s="840"/>
      <c r="U107" s="686"/>
    </row>
    <row r="108" spans="1:21" ht="29.25" hidden="1" customHeight="1" thickBot="1" x14ac:dyDescent="0.35">
      <c r="B108" s="821"/>
      <c r="C108" s="822"/>
      <c r="D108" s="823"/>
      <c r="E108" s="824"/>
      <c r="F108" s="818" t="s">
        <v>756</v>
      </c>
      <c r="G108" s="819"/>
      <c r="H108" s="819"/>
      <c r="I108" s="819"/>
      <c r="J108" s="819"/>
      <c r="K108" s="819"/>
      <c r="L108" s="819"/>
      <c r="M108" s="819"/>
      <c r="N108" s="819"/>
      <c r="O108" s="819"/>
      <c r="P108" s="819"/>
      <c r="Q108" s="819"/>
      <c r="R108" s="819"/>
      <c r="S108" s="819"/>
      <c r="T108" s="820"/>
    </row>
    <row r="109" spans="1:21" ht="29.25" hidden="1" customHeight="1" thickBot="1" x14ac:dyDescent="0.35">
      <c r="B109" s="821"/>
      <c r="C109" s="822"/>
      <c r="D109" s="823"/>
      <c r="E109" s="824"/>
      <c r="F109" s="818" t="s">
        <v>801</v>
      </c>
      <c r="G109" s="819"/>
      <c r="H109" s="819"/>
      <c r="I109" s="819"/>
      <c r="J109" s="819"/>
      <c r="K109" s="819"/>
      <c r="L109" s="819"/>
      <c r="M109" s="819"/>
      <c r="N109" s="819"/>
      <c r="O109" s="819"/>
      <c r="P109" s="819"/>
      <c r="Q109" s="819"/>
      <c r="R109" s="819"/>
      <c r="S109" s="819"/>
      <c r="T109" s="820"/>
    </row>
    <row r="110" spans="1:21" ht="29.25" hidden="1" customHeight="1" thickBot="1" x14ac:dyDescent="0.35">
      <c r="B110" s="821"/>
      <c r="C110" s="822"/>
      <c r="D110" s="823"/>
      <c r="E110" s="824"/>
      <c r="F110" s="818" t="s">
        <v>802</v>
      </c>
      <c r="G110" s="819"/>
      <c r="H110" s="819"/>
      <c r="I110" s="819"/>
      <c r="J110" s="819"/>
      <c r="K110" s="819"/>
      <c r="L110" s="819"/>
      <c r="M110" s="819"/>
      <c r="N110" s="819"/>
      <c r="O110" s="819"/>
      <c r="P110" s="819"/>
      <c r="Q110" s="819"/>
      <c r="R110" s="819"/>
      <c r="S110" s="819"/>
      <c r="T110" s="820"/>
    </row>
    <row r="111" spans="1:21" ht="29.25" hidden="1" customHeight="1" thickBot="1" x14ac:dyDescent="0.35">
      <c r="B111" s="821"/>
      <c r="C111" s="822"/>
      <c r="D111" s="823"/>
      <c r="E111" s="824"/>
      <c r="F111" s="818" t="s">
        <v>814</v>
      </c>
      <c r="G111" s="819"/>
      <c r="H111" s="819"/>
      <c r="I111" s="819"/>
      <c r="J111" s="819"/>
      <c r="K111" s="819"/>
      <c r="L111" s="819"/>
      <c r="M111" s="819"/>
      <c r="N111" s="819"/>
      <c r="O111" s="819"/>
      <c r="P111" s="819"/>
      <c r="Q111" s="819"/>
      <c r="R111" s="819"/>
      <c r="S111" s="819"/>
      <c r="T111" s="820"/>
    </row>
    <row r="112" spans="1:21" ht="29.25" hidden="1" customHeight="1" thickBot="1" x14ac:dyDescent="0.35">
      <c r="B112" s="821"/>
      <c r="C112" s="822"/>
      <c r="D112" s="823"/>
      <c r="E112" s="824"/>
      <c r="F112" s="818" t="s">
        <v>813</v>
      </c>
      <c r="G112" s="819"/>
      <c r="H112" s="819"/>
      <c r="I112" s="819"/>
      <c r="J112" s="819"/>
      <c r="K112" s="819"/>
      <c r="L112" s="819"/>
      <c r="M112" s="819"/>
      <c r="N112" s="819"/>
      <c r="O112" s="819"/>
      <c r="P112" s="819"/>
      <c r="Q112" s="819"/>
      <c r="R112" s="819"/>
      <c r="S112" s="819"/>
      <c r="T112" s="820"/>
    </row>
    <row r="113" spans="2:20" ht="29.25" customHeight="1" thickBot="1" x14ac:dyDescent="0.35">
      <c r="B113" s="821"/>
      <c r="C113" s="822"/>
      <c r="D113" s="823" t="s">
        <v>818</v>
      </c>
      <c r="E113" s="824"/>
      <c r="F113" s="818" t="s">
        <v>819</v>
      </c>
      <c r="G113" s="819"/>
      <c r="H113" s="819"/>
      <c r="I113" s="819"/>
      <c r="J113" s="819"/>
      <c r="K113" s="819"/>
      <c r="L113" s="819"/>
      <c r="M113" s="819"/>
      <c r="N113" s="819"/>
      <c r="O113" s="819"/>
      <c r="P113" s="819"/>
      <c r="Q113" s="819"/>
      <c r="R113" s="819"/>
      <c r="S113" s="819"/>
      <c r="T113" s="820"/>
    </row>
    <row r="114" spans="2:20" ht="0.75" customHeight="1" thickBot="1" x14ac:dyDescent="0.35">
      <c r="B114" s="821"/>
      <c r="C114" s="822"/>
      <c r="D114" s="823"/>
      <c r="E114" s="824"/>
      <c r="F114" s="818"/>
      <c r="G114" s="819"/>
      <c r="H114" s="819"/>
      <c r="I114" s="819"/>
      <c r="J114" s="819"/>
      <c r="K114" s="819"/>
      <c r="L114" s="819"/>
      <c r="M114" s="819"/>
      <c r="N114" s="819"/>
      <c r="O114" s="819"/>
      <c r="P114" s="819"/>
      <c r="Q114" s="819"/>
      <c r="R114" s="819"/>
      <c r="S114" s="819"/>
      <c r="T114" s="820"/>
    </row>
    <row r="115" spans="2:20" ht="29.25" hidden="1" customHeight="1" thickBot="1" x14ac:dyDescent="0.35">
      <c r="B115" s="821"/>
      <c r="C115" s="822"/>
      <c r="D115" s="823"/>
      <c r="E115" s="824"/>
      <c r="F115" s="818"/>
      <c r="G115" s="819"/>
      <c r="H115" s="819"/>
      <c r="I115" s="819"/>
      <c r="J115" s="819"/>
      <c r="K115" s="819"/>
      <c r="L115" s="819"/>
      <c r="M115" s="819"/>
      <c r="N115" s="819"/>
      <c r="O115" s="819"/>
      <c r="P115" s="819"/>
      <c r="Q115" s="819"/>
      <c r="R115" s="819"/>
      <c r="S115" s="819"/>
      <c r="T115" s="820"/>
    </row>
    <row r="116" spans="2:20" ht="29.25" hidden="1" customHeight="1" thickBot="1" x14ac:dyDescent="0.35">
      <c r="B116" s="821"/>
      <c r="C116" s="822"/>
      <c r="D116" s="823"/>
      <c r="E116" s="824"/>
      <c r="F116" s="818"/>
      <c r="G116" s="819"/>
      <c r="H116" s="819"/>
      <c r="I116" s="819"/>
      <c r="J116" s="819"/>
      <c r="K116" s="819"/>
      <c r="L116" s="819"/>
      <c r="M116" s="819"/>
      <c r="N116" s="819"/>
      <c r="O116" s="819"/>
      <c r="P116" s="819"/>
      <c r="Q116" s="819"/>
      <c r="R116" s="819"/>
      <c r="S116" s="819"/>
      <c r="T116" s="820"/>
    </row>
    <row r="117" spans="2:20" ht="29.25" hidden="1" customHeight="1" thickBot="1" x14ac:dyDescent="0.35">
      <c r="B117" s="821"/>
      <c r="C117" s="822"/>
      <c r="D117" s="823"/>
      <c r="E117" s="824"/>
      <c r="F117" s="818"/>
      <c r="G117" s="819"/>
      <c r="H117" s="819"/>
      <c r="I117" s="819"/>
      <c r="J117" s="819"/>
      <c r="K117" s="819"/>
      <c r="L117" s="819"/>
      <c r="M117" s="819"/>
      <c r="N117" s="819"/>
      <c r="O117" s="819"/>
      <c r="P117" s="819"/>
      <c r="Q117" s="819"/>
      <c r="R117" s="819"/>
      <c r="S117" s="819"/>
      <c r="T117" s="820"/>
    </row>
    <row r="118" spans="2:20" ht="29.25" hidden="1" customHeight="1" thickBot="1" x14ac:dyDescent="0.35">
      <c r="B118" s="821"/>
      <c r="C118" s="822"/>
      <c r="D118" s="823"/>
      <c r="E118" s="824"/>
      <c r="F118" s="818"/>
      <c r="G118" s="819"/>
      <c r="H118" s="819"/>
      <c r="I118" s="819"/>
      <c r="J118" s="819"/>
      <c r="K118" s="819"/>
      <c r="L118" s="819"/>
      <c r="M118" s="819"/>
      <c r="N118" s="819"/>
      <c r="O118" s="819"/>
      <c r="P118" s="819"/>
      <c r="Q118" s="819"/>
      <c r="R118" s="819"/>
      <c r="S118" s="819"/>
      <c r="T118" s="820"/>
    </row>
    <row r="119" spans="2:20" ht="29.25" hidden="1" customHeight="1" thickBot="1" x14ac:dyDescent="0.35">
      <c r="B119" s="821"/>
      <c r="C119" s="822"/>
      <c r="D119" s="823"/>
      <c r="E119" s="824"/>
      <c r="F119" s="818"/>
      <c r="G119" s="819"/>
      <c r="H119" s="819"/>
      <c r="I119" s="819"/>
      <c r="J119" s="819"/>
      <c r="K119" s="819"/>
      <c r="L119" s="819"/>
      <c r="M119" s="819"/>
      <c r="N119" s="819"/>
      <c r="O119" s="819"/>
      <c r="P119" s="819"/>
      <c r="Q119" s="819"/>
      <c r="R119" s="819"/>
      <c r="S119" s="819"/>
      <c r="T119" s="820"/>
    </row>
  </sheetData>
  <sheetProtection selectLockedCells="1" selectUnlockedCells="1"/>
  <mergeCells count="286">
    <mergeCell ref="Y15:AR15"/>
    <mergeCell ref="B16:C16"/>
    <mergeCell ref="D16:F16"/>
    <mergeCell ref="B17:C17"/>
    <mergeCell ref="D17:F17"/>
    <mergeCell ref="B15:C15"/>
    <mergeCell ref="D15:F15"/>
    <mergeCell ref="B10:H10"/>
    <mergeCell ref="L10:P10"/>
    <mergeCell ref="B11:H11"/>
    <mergeCell ref="G13:K13"/>
    <mergeCell ref="B14:C14"/>
    <mergeCell ref="D14:F14"/>
    <mergeCell ref="D22:N22"/>
    <mergeCell ref="B24:C24"/>
    <mergeCell ref="D24:F24"/>
    <mergeCell ref="G24:K24"/>
    <mergeCell ref="L24:W24"/>
    <mergeCell ref="L16:W20"/>
    <mergeCell ref="B18:C18"/>
    <mergeCell ref="L15:W15"/>
    <mergeCell ref="B20:C20"/>
    <mergeCell ref="D20:F20"/>
    <mergeCell ref="D18:F18"/>
    <mergeCell ref="B19:C19"/>
    <mergeCell ref="D19:F19"/>
    <mergeCell ref="B28:C28"/>
    <mergeCell ref="D28:F28"/>
    <mergeCell ref="G28:K28"/>
    <mergeCell ref="L28:W28"/>
    <mergeCell ref="B25:C25"/>
    <mergeCell ref="D25:F25"/>
    <mergeCell ref="G25:K25"/>
    <mergeCell ref="L25:W25"/>
    <mergeCell ref="B26:C26"/>
    <mergeCell ref="D26:F26"/>
    <mergeCell ref="G26:K26"/>
    <mergeCell ref="L26:W26"/>
    <mergeCell ref="B27:C27"/>
    <mergeCell ref="D27:F27"/>
    <mergeCell ref="G27:K27"/>
    <mergeCell ref="L27:W27"/>
    <mergeCell ref="B31:C31"/>
    <mergeCell ref="D31:F31"/>
    <mergeCell ref="G31:K31"/>
    <mergeCell ref="L31:W31"/>
    <mergeCell ref="C33:P33"/>
    <mergeCell ref="B35:C35"/>
    <mergeCell ref="D35:G35"/>
    <mergeCell ref="B29:C29"/>
    <mergeCell ref="D29:F29"/>
    <mergeCell ref="G29:K29"/>
    <mergeCell ref="L29:W29"/>
    <mergeCell ref="B30:C30"/>
    <mergeCell ref="D30:F30"/>
    <mergeCell ref="G30:K30"/>
    <mergeCell ref="L30:W30"/>
    <mergeCell ref="B43:C43"/>
    <mergeCell ref="D43:G43"/>
    <mergeCell ref="B44:C44"/>
    <mergeCell ref="D44:G44"/>
    <mergeCell ref="B37:C37"/>
    <mergeCell ref="D37:G37"/>
    <mergeCell ref="B39:C39"/>
    <mergeCell ref="D39:G39"/>
    <mergeCell ref="B40:C40"/>
    <mergeCell ref="D40:G40"/>
    <mergeCell ref="B41:C41"/>
    <mergeCell ref="D41:G41"/>
    <mergeCell ref="F63:I63"/>
    <mergeCell ref="J62:R62"/>
    <mergeCell ref="J63:R63"/>
    <mergeCell ref="L59:W59"/>
    <mergeCell ref="B61:C61"/>
    <mergeCell ref="D61:E61"/>
    <mergeCell ref="D12:S12"/>
    <mergeCell ref="B53:K53"/>
    <mergeCell ref="B54:C54"/>
    <mergeCell ref="D54:F54"/>
    <mergeCell ref="L54:P54"/>
    <mergeCell ref="Q54:S54"/>
    <mergeCell ref="B45:C45"/>
    <mergeCell ref="D45:G45"/>
    <mergeCell ref="D47:L47"/>
    <mergeCell ref="B48:C48"/>
    <mergeCell ref="D48:G48"/>
    <mergeCell ref="M48:S48"/>
    <mergeCell ref="B50:C50"/>
    <mergeCell ref="D50:G50"/>
    <mergeCell ref="M50:S50"/>
    <mergeCell ref="H50:L50"/>
    <mergeCell ref="B42:C42"/>
    <mergeCell ref="D42:G42"/>
    <mergeCell ref="B67:C67"/>
    <mergeCell ref="D67:E67"/>
    <mergeCell ref="B68:C68"/>
    <mergeCell ref="D68:E68"/>
    <mergeCell ref="B69:C69"/>
    <mergeCell ref="D69:E69"/>
    <mergeCell ref="B64:C64"/>
    <mergeCell ref="D64:E64"/>
    <mergeCell ref="B65:C65"/>
    <mergeCell ref="D65:E65"/>
    <mergeCell ref="B66:C66"/>
    <mergeCell ref="D66:E66"/>
    <mergeCell ref="B74:C74"/>
    <mergeCell ref="D74:E74"/>
    <mergeCell ref="F77:T77"/>
    <mergeCell ref="F76:T76"/>
    <mergeCell ref="F79:T79"/>
    <mergeCell ref="F80:T80"/>
    <mergeCell ref="B70:C70"/>
    <mergeCell ref="D70:E70"/>
    <mergeCell ref="B71:C71"/>
    <mergeCell ref="D71:E71"/>
    <mergeCell ref="B72:C72"/>
    <mergeCell ref="D72:E72"/>
    <mergeCell ref="B78:C78"/>
    <mergeCell ref="D78:E78"/>
    <mergeCell ref="F78:T78"/>
    <mergeCell ref="B77:C77"/>
    <mergeCell ref="D77:E77"/>
    <mergeCell ref="B80:C80"/>
    <mergeCell ref="D80:E80"/>
    <mergeCell ref="C2:G2"/>
    <mergeCell ref="I2:K2"/>
    <mergeCell ref="L2:P2"/>
    <mergeCell ref="H41:L41"/>
    <mergeCell ref="B84:C84"/>
    <mergeCell ref="D84:E84"/>
    <mergeCell ref="B85:C85"/>
    <mergeCell ref="D85:E85"/>
    <mergeCell ref="B86:C86"/>
    <mergeCell ref="D86:E86"/>
    <mergeCell ref="B81:C81"/>
    <mergeCell ref="D81:E81"/>
    <mergeCell ref="B82:C82"/>
    <mergeCell ref="D82:E82"/>
    <mergeCell ref="B83:C83"/>
    <mergeCell ref="D83:E83"/>
    <mergeCell ref="B79:C79"/>
    <mergeCell ref="D79:E79"/>
    <mergeCell ref="B73:C73"/>
    <mergeCell ref="D73:E73"/>
    <mergeCell ref="B75:C75"/>
    <mergeCell ref="D75:E75"/>
    <mergeCell ref="B76:C76"/>
    <mergeCell ref="D76:E76"/>
    <mergeCell ref="B87:C87"/>
    <mergeCell ref="D87:E87"/>
    <mergeCell ref="B89:C89"/>
    <mergeCell ref="D89:E89"/>
    <mergeCell ref="F95:T95"/>
    <mergeCell ref="F96:T96"/>
    <mergeCell ref="F93:T93"/>
    <mergeCell ref="F94:T94"/>
    <mergeCell ref="F91:T91"/>
    <mergeCell ref="F92:T92"/>
    <mergeCell ref="B95:C95"/>
    <mergeCell ref="B96:C96"/>
    <mergeCell ref="E6:H6"/>
    <mergeCell ref="I6:L6"/>
    <mergeCell ref="F64:T64"/>
    <mergeCell ref="F65:T65"/>
    <mergeCell ref="F66:T66"/>
    <mergeCell ref="T54:W54"/>
    <mergeCell ref="B55:W55"/>
    <mergeCell ref="B57:C57"/>
    <mergeCell ref="D57:F57"/>
    <mergeCell ref="G57:K57"/>
    <mergeCell ref="L57:W57"/>
    <mergeCell ref="B58:C58"/>
    <mergeCell ref="D58:F58"/>
    <mergeCell ref="G58:K58"/>
    <mergeCell ref="L58:W58"/>
    <mergeCell ref="B12:C12"/>
    <mergeCell ref="B59:C59"/>
    <mergeCell ref="D59:F59"/>
    <mergeCell ref="G59:K59"/>
    <mergeCell ref="B63:C63"/>
    <mergeCell ref="D63:E63"/>
    <mergeCell ref="B62:C62"/>
    <mergeCell ref="D62:E62"/>
    <mergeCell ref="F62:I62"/>
    <mergeCell ref="D104:E104"/>
    <mergeCell ref="D105:E105"/>
    <mergeCell ref="F103:T103"/>
    <mergeCell ref="F104:T104"/>
    <mergeCell ref="F105:T105"/>
    <mergeCell ref="F100:T100"/>
    <mergeCell ref="F101:T101"/>
    <mergeCell ref="F102:T102"/>
    <mergeCell ref="F97:T97"/>
    <mergeCell ref="F98:T98"/>
    <mergeCell ref="F99:T99"/>
    <mergeCell ref="B102:C102"/>
    <mergeCell ref="B103:C103"/>
    <mergeCell ref="B104:C104"/>
    <mergeCell ref="B105:C105"/>
    <mergeCell ref="B106:C106"/>
    <mergeCell ref="B107:C107"/>
    <mergeCell ref="F106:T106"/>
    <mergeCell ref="F107:T107"/>
    <mergeCell ref="D90:E90"/>
    <mergeCell ref="D91:E91"/>
    <mergeCell ref="D92:E92"/>
    <mergeCell ref="D93:E93"/>
    <mergeCell ref="D94:E94"/>
    <mergeCell ref="D95:E95"/>
    <mergeCell ref="D96:E96"/>
    <mergeCell ref="D97:E97"/>
    <mergeCell ref="D98:E98"/>
    <mergeCell ref="D99:E99"/>
    <mergeCell ref="D100:E100"/>
    <mergeCell ref="D101:E101"/>
    <mergeCell ref="D102:E102"/>
    <mergeCell ref="D103:E103"/>
    <mergeCell ref="B97:C97"/>
    <mergeCell ref="B98:C98"/>
    <mergeCell ref="B99:C99"/>
    <mergeCell ref="B100:C100"/>
    <mergeCell ref="B101:C101"/>
    <mergeCell ref="F67:T67"/>
    <mergeCell ref="F68:T68"/>
    <mergeCell ref="F69:T69"/>
    <mergeCell ref="F70:T70"/>
    <mergeCell ref="F71:T71"/>
    <mergeCell ref="F72:T72"/>
    <mergeCell ref="F73:T73"/>
    <mergeCell ref="F74:T74"/>
    <mergeCell ref="F75:T75"/>
    <mergeCell ref="F81:T81"/>
    <mergeCell ref="F82:T82"/>
    <mergeCell ref="F83:T83"/>
    <mergeCell ref="F84:T84"/>
    <mergeCell ref="F85:T85"/>
    <mergeCell ref="F86:T86"/>
    <mergeCell ref="F87:T87"/>
    <mergeCell ref="F88:T88"/>
    <mergeCell ref="F89:T89"/>
    <mergeCell ref="F90:T90"/>
    <mergeCell ref="B88:C88"/>
    <mergeCell ref="D88:E88"/>
    <mergeCell ref="D106:E106"/>
    <mergeCell ref="D107:E107"/>
    <mergeCell ref="B90:C90"/>
    <mergeCell ref="B91:C91"/>
    <mergeCell ref="B92:C92"/>
    <mergeCell ref="B93:C93"/>
    <mergeCell ref="B94:C94"/>
    <mergeCell ref="F116:T116"/>
    <mergeCell ref="F117:T117"/>
    <mergeCell ref="B108:C108"/>
    <mergeCell ref="B109:C109"/>
    <mergeCell ref="B110:C110"/>
    <mergeCell ref="B111:C111"/>
    <mergeCell ref="B112:C112"/>
    <mergeCell ref="B113:C113"/>
    <mergeCell ref="B114:C114"/>
    <mergeCell ref="B115:C115"/>
    <mergeCell ref="F108:T108"/>
    <mergeCell ref="F109:T109"/>
    <mergeCell ref="F110:T110"/>
    <mergeCell ref="F111:T111"/>
    <mergeCell ref="F112:T112"/>
    <mergeCell ref="F113:T113"/>
    <mergeCell ref="F114:T114"/>
    <mergeCell ref="F118:T118"/>
    <mergeCell ref="F119:T119"/>
    <mergeCell ref="B116:C116"/>
    <mergeCell ref="B117:C117"/>
    <mergeCell ref="B118:C118"/>
    <mergeCell ref="B119:C119"/>
    <mergeCell ref="D108:E108"/>
    <mergeCell ref="D109:E109"/>
    <mergeCell ref="D110:E110"/>
    <mergeCell ref="D111:E111"/>
    <mergeCell ref="D112:E112"/>
    <mergeCell ref="D113:E113"/>
    <mergeCell ref="D114:E114"/>
    <mergeCell ref="D115:E115"/>
    <mergeCell ref="D116:E116"/>
    <mergeCell ref="D117:E117"/>
    <mergeCell ref="D118:E118"/>
    <mergeCell ref="D119:E119"/>
    <mergeCell ref="F115:T115"/>
  </mergeCells>
  <dataValidations count="1">
    <dataValidation type="list" allowBlank="1" showErrorMessage="1" sqref="G5:I5">
      <formula1>yesno</formula1>
      <formula2>0</formula2>
    </dataValidation>
  </dataValidations>
  <hyperlinks>
    <hyperlink ref="B10" r:id="rId1"/>
    <hyperlink ref="B11" r:id="rId2"/>
  </hyperlinks>
  <pageMargins left="0.7" right="0.7" top="0.75" bottom="0.75" header="0.51180555555555551" footer="0.51180555555555551"/>
  <pageSetup scale="26" firstPageNumber="0" orientation="portrait" horizontalDpi="300" verticalDpi="300" r:id="rId3"/>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IN55"/>
  <sheetViews>
    <sheetView zoomScaleNormal="100" workbookViewId="0">
      <selection activeCell="B2" sqref="B2:Z29"/>
    </sheetView>
  </sheetViews>
  <sheetFormatPr defaultColWidth="11.5703125" defaultRowHeight="15" x14ac:dyDescent="0.25"/>
  <cols>
    <col min="1" max="1" width="8.7109375" style="18" customWidth="1"/>
    <col min="2" max="5" width="4.7109375" style="18" customWidth="1"/>
    <col min="6" max="6" width="4.7109375" style="436" customWidth="1"/>
    <col min="7" max="7" width="10.5703125" style="436" customWidth="1"/>
    <col min="8" max="8" width="10" style="436" customWidth="1"/>
    <col min="9" max="9" width="4.28515625" style="436" customWidth="1"/>
    <col min="10" max="10" width="9.42578125" style="436" customWidth="1"/>
    <col min="11" max="11" width="6.7109375" style="436" customWidth="1"/>
    <col min="12" max="12" width="5.7109375" style="436" customWidth="1"/>
    <col min="13" max="42" width="4.28515625" style="436" customWidth="1"/>
    <col min="43" max="43" width="4.140625" style="436" customWidth="1"/>
    <col min="44" max="248" width="8.7109375" style="436" customWidth="1"/>
    <col min="249" max="16384" width="11.5703125" style="18"/>
  </cols>
  <sheetData>
    <row r="1" spans="2:37" ht="15.75" thickBot="1" x14ac:dyDescent="0.3"/>
    <row r="2" spans="2:37" ht="27" thickBot="1" x14ac:dyDescent="0.45">
      <c r="B2" s="960" t="s">
        <v>799</v>
      </c>
      <c r="C2" s="960"/>
      <c r="D2" s="960"/>
      <c r="E2" s="960"/>
      <c r="F2" s="960"/>
      <c r="G2" s="960"/>
      <c r="H2" s="960"/>
      <c r="I2" s="960"/>
      <c r="J2" s="615"/>
      <c r="K2" s="619" t="s">
        <v>40</v>
      </c>
      <c r="L2" s="620"/>
      <c r="M2" s="620"/>
      <c r="N2" s="620"/>
      <c r="O2" s="621"/>
      <c r="P2" s="961" t="str">
        <f>'Data entry'!L2</f>
        <v>Phillips</v>
      </c>
      <c r="Q2" s="962"/>
      <c r="R2" s="962"/>
      <c r="S2" s="962"/>
      <c r="T2" s="962"/>
      <c r="U2" s="962"/>
      <c r="V2" s="962"/>
      <c r="W2" s="962"/>
      <c r="X2" s="963"/>
    </row>
    <row r="5" spans="2:37" ht="18.75" x14ac:dyDescent="0.25">
      <c r="F5" s="458"/>
      <c r="G5" s="458"/>
    </row>
    <row r="6" spans="2:37" ht="19.5" thickBot="1" x14ac:dyDescent="0.3">
      <c r="F6" s="458"/>
      <c r="G6" s="458"/>
    </row>
    <row r="7" spans="2:37" ht="29.25" thickBot="1" x14ac:dyDescent="0.5">
      <c r="B7" s="966"/>
      <c r="C7" s="966"/>
      <c r="D7" s="966"/>
      <c r="E7" s="966"/>
      <c r="F7" s="966" t="s">
        <v>477</v>
      </c>
      <c r="G7" s="967"/>
      <c r="H7" s="967"/>
      <c r="I7" s="967"/>
      <c r="L7" s="645" t="s">
        <v>754</v>
      </c>
      <c r="M7" s="646"/>
      <c r="N7" s="646"/>
      <c r="O7" s="646"/>
      <c r="P7" s="646"/>
      <c r="Q7" s="647"/>
      <c r="R7" s="968" t="str">
        <f>'&gt;Ordering NVL'!I6</f>
        <v>Tuesday April 17.  1pm</v>
      </c>
      <c r="S7" s="969"/>
      <c r="T7" s="969"/>
      <c r="U7" s="969"/>
      <c r="V7" s="969"/>
      <c r="W7" s="969"/>
      <c r="X7" s="969"/>
      <c r="Y7" s="969"/>
      <c r="Z7" s="970"/>
    </row>
    <row r="8" spans="2:37" ht="18.75" x14ac:dyDescent="0.25">
      <c r="F8" s="459"/>
      <c r="G8" s="459"/>
    </row>
    <row r="9" spans="2:37" ht="34.5" customHeight="1" x14ac:dyDescent="0.35">
      <c r="F9" s="459"/>
      <c r="G9" s="459"/>
      <c r="M9" s="964" t="s">
        <v>239</v>
      </c>
      <c r="N9" s="964"/>
      <c r="O9" s="964"/>
      <c r="P9" s="964"/>
      <c r="Q9" s="964"/>
      <c r="R9" s="964"/>
      <c r="S9" s="964"/>
      <c r="T9" s="964"/>
    </row>
    <row r="10" spans="2:37" ht="34.5" customHeight="1" x14ac:dyDescent="0.25">
      <c r="C10" s="436"/>
      <c r="E10" s="436"/>
    </row>
    <row r="11" spans="2:37" ht="33" customHeight="1" thickBot="1" x14ac:dyDescent="0.3">
      <c r="B11" s="936" t="s">
        <v>500</v>
      </c>
      <c r="C11" s="936"/>
      <c r="D11" s="936"/>
      <c r="E11" s="965" t="s">
        <v>501</v>
      </c>
      <c r="F11" s="965"/>
      <c r="G11" s="965"/>
      <c r="H11" s="965" t="s">
        <v>502</v>
      </c>
      <c r="I11" s="965"/>
      <c r="J11" s="965"/>
      <c r="K11" s="965"/>
      <c r="L11" s="965"/>
      <c r="M11" s="965"/>
      <c r="N11" s="965"/>
      <c r="O11" s="965"/>
      <c r="P11" s="965"/>
      <c r="Q11" s="965"/>
      <c r="R11" s="965"/>
      <c r="S11" s="965"/>
      <c r="T11" s="965"/>
      <c r="U11" s="965"/>
      <c r="V11" s="965"/>
      <c r="W11" s="965"/>
      <c r="X11" s="965"/>
      <c r="Y11" s="965"/>
      <c r="Z11" s="965"/>
    </row>
    <row r="12" spans="2:37" ht="34.5" hidden="1" customHeight="1" thickBot="1" x14ac:dyDescent="0.3">
      <c r="B12" s="936"/>
      <c r="C12" s="936"/>
      <c r="D12" s="936"/>
      <c r="E12" s="937">
        <f>'&gt;Roof Kit Materials'!L10</f>
        <v>0</v>
      </c>
      <c r="F12" s="937"/>
      <c r="G12" s="937"/>
      <c r="H12" s="460">
        <f>'&gt;Roof Kit Materials'!R10</f>
        <v>2</v>
      </c>
      <c r="I12" s="461" t="str">
        <f>'&gt;Roof Kit Materials'!S10</f>
        <v>x</v>
      </c>
      <c r="J12" s="461">
        <f>'&gt;Roof Kit Materials'!T10</f>
        <v>10</v>
      </c>
      <c r="K12" s="461" t="str">
        <f>'&gt;Roof Kit Materials'!U10</f>
        <v>x</v>
      </c>
      <c r="L12" s="462">
        <f>'&gt;Roof Kit Materials'!V10</f>
        <v>12</v>
      </c>
      <c r="M12" s="937" t="str">
        <f>IF(E12=" "," "," FLAT &amp; Clean &amp; TK")</f>
        <v xml:space="preserve"> FLAT &amp; Clean &amp; TK</v>
      </c>
      <c r="N12" s="937"/>
      <c r="O12" s="937"/>
      <c r="P12" s="937"/>
      <c r="Q12" s="937"/>
      <c r="R12" s="937"/>
      <c r="S12" s="937"/>
      <c r="T12" s="937"/>
      <c r="U12" s="937"/>
      <c r="V12" s="937"/>
      <c r="W12" s="937"/>
      <c r="X12" s="937"/>
      <c r="Y12" s="937"/>
      <c r="Z12" s="937"/>
    </row>
    <row r="13" spans="2:37" ht="34.5" customHeight="1" thickBot="1" x14ac:dyDescent="0.3">
      <c r="B13" s="936"/>
      <c r="C13" s="936"/>
      <c r="D13" s="936"/>
      <c r="E13" s="937">
        <f>'&gt;Roof Kit Materials'!L11</f>
        <v>6</v>
      </c>
      <c r="F13" s="937"/>
      <c r="G13" s="937"/>
      <c r="H13" s="460">
        <f>'&gt;Roof Kit Materials'!R11</f>
        <v>2</v>
      </c>
      <c r="I13" s="461" t="str">
        <f>'&gt;Roof Kit Materials'!S11</f>
        <v>x</v>
      </c>
      <c r="J13" s="461">
        <f>'&gt;Roof Kit Materials'!T11</f>
        <v>10</v>
      </c>
      <c r="K13" s="461" t="str">
        <f>'&gt;Roof Kit Materials'!U11</f>
        <v>x</v>
      </c>
      <c r="L13" s="462">
        <f>'&gt;Roof Kit Materials'!V11</f>
        <v>16</v>
      </c>
      <c r="M13" s="937" t="str">
        <f>IF(E13=" "," "," FLAT &amp; Clean &amp; TK")</f>
        <v xml:space="preserve"> FLAT &amp; Clean &amp; TK</v>
      </c>
      <c r="N13" s="937"/>
      <c r="O13" s="937"/>
      <c r="P13" s="937"/>
      <c r="Q13" s="937"/>
      <c r="R13" s="937"/>
      <c r="S13" s="937"/>
      <c r="T13" s="937"/>
      <c r="U13" s="937"/>
      <c r="V13" s="937"/>
      <c r="W13" s="937"/>
      <c r="X13" s="937"/>
      <c r="Y13" s="937"/>
      <c r="Z13" s="937"/>
    </row>
    <row r="14" spans="2:37" ht="34.5" hidden="1" customHeight="1" thickBot="1" x14ac:dyDescent="0.3">
      <c r="B14" s="936"/>
      <c r="C14" s="936"/>
      <c r="D14" s="936"/>
      <c r="E14" s="937">
        <f>'&gt;Roof Kit Materials'!L12</f>
        <v>0</v>
      </c>
      <c r="F14" s="937"/>
      <c r="G14" s="937"/>
      <c r="H14" s="460">
        <f>'&gt;Roof Kit Materials'!R12</f>
        <v>2</v>
      </c>
      <c r="I14" s="461" t="str">
        <f>'&gt;Roof Kit Materials'!S12</f>
        <v>x</v>
      </c>
      <c r="J14" s="461">
        <f>'&gt;Roof Kit Materials'!T12</f>
        <v>10</v>
      </c>
      <c r="K14" s="461" t="str">
        <f>'&gt;Roof Kit Materials'!U12</f>
        <v>x</v>
      </c>
      <c r="L14" s="462">
        <f>'&gt;Roof Kit Materials'!V12</f>
        <v>12</v>
      </c>
      <c r="M14" s="937" t="str">
        <f>IF(E14=" "," "," FLAT- NO TWIST - NO CUPPING")</f>
        <v xml:space="preserve"> FLAT- NO TWIST - NO CUPPING</v>
      </c>
      <c r="N14" s="937"/>
      <c r="O14" s="937"/>
      <c r="P14" s="937"/>
      <c r="Q14" s="937"/>
      <c r="R14" s="937"/>
      <c r="S14" s="937"/>
      <c r="T14" s="937"/>
      <c r="U14" s="937"/>
      <c r="V14" s="937"/>
      <c r="W14" s="937"/>
      <c r="X14" s="937"/>
      <c r="Y14" s="937"/>
      <c r="Z14" s="937"/>
    </row>
    <row r="15" spans="2:37" ht="34.5" customHeight="1" thickBot="1" x14ac:dyDescent="0.3">
      <c r="B15" s="936"/>
      <c r="C15" s="936"/>
      <c r="D15" s="936"/>
      <c r="E15" s="937">
        <f>'&gt;Roof Kit Materials'!L13</f>
        <v>6</v>
      </c>
      <c r="F15" s="937"/>
      <c r="G15" s="937"/>
      <c r="H15" s="460">
        <f>'&gt;Roof Kit Materials'!R13</f>
        <v>2</v>
      </c>
      <c r="I15" s="461" t="str">
        <f>'&gt;Roof Kit Materials'!S13</f>
        <v>x</v>
      </c>
      <c r="J15" s="461">
        <f>'&gt;Roof Kit Materials'!T13</f>
        <v>10</v>
      </c>
      <c r="K15" s="461" t="str">
        <f>'&gt;Roof Kit Materials'!U13</f>
        <v>x</v>
      </c>
      <c r="L15" s="462">
        <f>'&gt;Roof Kit Materials'!V13</f>
        <v>16</v>
      </c>
      <c r="M15" s="937" t="str">
        <f>IF(E15=" "," "," FLAT- NO TWIST - NO CUPPING")</f>
        <v xml:space="preserve"> FLAT- NO TWIST - NO CUPPING</v>
      </c>
      <c r="N15" s="937"/>
      <c r="O15" s="937"/>
      <c r="P15" s="937"/>
      <c r="Q15" s="937"/>
      <c r="R15" s="937"/>
      <c r="S15" s="937"/>
      <c r="T15" s="937"/>
      <c r="U15" s="937"/>
      <c r="V15" s="937"/>
      <c r="W15" s="937"/>
      <c r="X15" s="937"/>
      <c r="Y15" s="937"/>
      <c r="Z15" s="937"/>
    </row>
    <row r="16" spans="2:37" ht="34.5" customHeight="1" thickBot="1" x14ac:dyDescent="0.3">
      <c r="B16" s="958" t="s">
        <v>503</v>
      </c>
      <c r="C16" s="958"/>
      <c r="D16" s="958"/>
      <c r="E16" s="958"/>
      <c r="F16" s="958"/>
      <c r="G16" s="958"/>
      <c r="H16" s="958"/>
      <c r="I16" s="958"/>
      <c r="J16" s="958"/>
      <c r="K16" s="958"/>
      <c r="L16" s="958"/>
      <c r="M16" s="958"/>
      <c r="N16" s="958"/>
      <c r="O16" s="958"/>
      <c r="P16" s="958"/>
      <c r="Q16" s="958"/>
      <c r="R16" s="958"/>
      <c r="S16" s="958"/>
      <c r="T16" s="958"/>
      <c r="U16" s="958"/>
      <c r="V16" s="958"/>
      <c r="W16" s="958"/>
      <c r="X16" s="958"/>
      <c r="Y16" s="958"/>
      <c r="Z16" s="958"/>
      <c r="AA16" s="463"/>
      <c r="AB16" s="463"/>
      <c r="AC16" s="463"/>
      <c r="AD16" s="464"/>
      <c r="AE16" s="464"/>
      <c r="AF16" s="464"/>
      <c r="AG16" s="464"/>
      <c r="AH16" s="464"/>
      <c r="AI16" s="464"/>
      <c r="AJ16" s="464"/>
      <c r="AK16" s="464"/>
    </row>
    <row r="17" spans="2:49" ht="34.5" customHeight="1" x14ac:dyDescent="0.35">
      <c r="B17" s="936"/>
      <c r="C17" s="936"/>
      <c r="D17" s="936"/>
      <c r="E17" s="937">
        <f>'&gt;Roof Kit Materials'!L15</f>
        <v>48</v>
      </c>
      <c r="F17" s="937"/>
      <c r="G17" s="937"/>
      <c r="H17" s="465">
        <f>'&gt;Roof Kit Materials'!R15</f>
        <v>2</v>
      </c>
      <c r="I17" s="466" t="str">
        <f>'&gt;Roof Kit Materials'!S15</f>
        <v>x</v>
      </c>
      <c r="J17" s="466">
        <f>'&gt;Roof Kit Materials'!T15</f>
        <v>12</v>
      </c>
      <c r="K17" s="466" t="str">
        <f>'&gt;Roof Kit Materials'!U15</f>
        <v>x</v>
      </c>
      <c r="L17" s="467">
        <f>'&gt;Roof Kit Materials'!V15</f>
        <v>18</v>
      </c>
      <c r="M17" s="959" t="s">
        <v>504</v>
      </c>
      <c r="N17" s="959"/>
      <c r="O17" s="959"/>
      <c r="P17" s="959"/>
      <c r="Q17" s="959"/>
      <c r="R17" s="959"/>
      <c r="S17" s="959"/>
      <c r="T17" s="959"/>
      <c r="U17" s="959"/>
      <c r="V17" s="959"/>
      <c r="W17" s="959"/>
      <c r="X17" s="959"/>
      <c r="Y17" s="959"/>
      <c r="Z17" s="959"/>
      <c r="AB17" s="957" t="s">
        <v>505</v>
      </c>
      <c r="AC17" s="957"/>
      <c r="AD17" s="957"/>
      <c r="AE17" s="957"/>
      <c r="AF17" s="957"/>
      <c r="AG17" s="957"/>
      <c r="AH17" s="957"/>
      <c r="AI17" s="957"/>
      <c r="AJ17" s="957"/>
      <c r="AK17" s="957"/>
      <c r="AL17" s="957"/>
      <c r="AM17" s="957"/>
      <c r="AN17" s="957"/>
      <c r="AO17" s="957"/>
      <c r="AP17" s="957"/>
      <c r="AQ17" s="957"/>
      <c r="AR17" s="957"/>
      <c r="AS17" s="957"/>
      <c r="AT17" s="957"/>
      <c r="AU17" s="957"/>
      <c r="AV17" s="957"/>
      <c r="AW17" s="957"/>
    </row>
    <row r="18" spans="2:49" ht="34.5" customHeight="1" x14ac:dyDescent="0.25">
      <c r="C18" s="436"/>
      <c r="E18" s="436"/>
    </row>
    <row r="19" spans="2:49" ht="27" customHeight="1" thickBot="1" x14ac:dyDescent="0.3">
      <c r="C19" s="436"/>
      <c r="E19" s="436"/>
    </row>
    <row r="20" spans="2:49" ht="38.25" hidden="1" customHeight="1" thickBot="1" x14ac:dyDescent="0.3">
      <c r="B20" s="936"/>
      <c r="C20" s="936"/>
      <c r="D20" s="936"/>
      <c r="E20" s="941">
        <f>'Wall Materials'!E12:G12</f>
        <v>10.5</v>
      </c>
      <c r="F20" s="941"/>
      <c r="G20" s="941"/>
      <c r="H20" s="973" t="str">
        <f>IF(E20=" "," ","2x4x8' - taller Wall Blocking")</f>
        <v>2x4x8' - taller Wall Blocking</v>
      </c>
      <c r="I20" s="973"/>
      <c r="J20" s="973"/>
      <c r="K20" s="973"/>
      <c r="L20" s="973"/>
      <c r="M20" s="973"/>
      <c r="N20" s="973"/>
      <c r="O20" s="973"/>
      <c r="P20" s="973"/>
      <c r="Q20" s="973"/>
      <c r="R20" s="973"/>
      <c r="S20" s="973"/>
      <c r="T20" s="973"/>
      <c r="U20" s="973"/>
      <c r="V20" s="973"/>
    </row>
    <row r="21" spans="2:49" ht="38.25" hidden="1" customHeight="1" thickBot="1" x14ac:dyDescent="0.3">
      <c r="B21" s="936"/>
      <c r="C21" s="936"/>
      <c r="D21" s="936"/>
      <c r="E21" s="941">
        <f>'Wall Materials'!E13</f>
        <v>0</v>
      </c>
      <c r="F21" s="941"/>
      <c r="G21" s="941"/>
      <c r="H21" s="946" t="str">
        <f>'Wall Materials'!H13</f>
        <v xml:space="preserve"> </v>
      </c>
      <c r="I21" s="946"/>
      <c r="J21" s="946"/>
      <c r="K21" s="946"/>
      <c r="L21" s="946"/>
      <c r="M21" s="946"/>
      <c r="N21" s="946"/>
      <c r="O21" s="946"/>
      <c r="P21" s="946"/>
      <c r="Q21" s="946"/>
      <c r="R21" s="946"/>
      <c r="S21" s="946"/>
      <c r="T21" s="946"/>
      <c r="U21" s="946"/>
      <c r="V21" s="946"/>
    </row>
    <row r="22" spans="2:49" ht="38.25" hidden="1" customHeight="1" thickBot="1" x14ac:dyDescent="0.3">
      <c r="B22" s="936"/>
      <c r="C22" s="936"/>
      <c r="D22" s="936"/>
      <c r="E22" s="941">
        <f>'Wall Materials'!E14</f>
        <v>34.72265625</v>
      </c>
      <c r="F22" s="941"/>
      <c r="G22" s="941"/>
      <c r="H22" s="971" t="s">
        <v>456</v>
      </c>
      <c r="I22" s="971"/>
      <c r="J22" s="971"/>
      <c r="K22" s="971"/>
      <c r="L22" s="971"/>
      <c r="M22" s="971"/>
      <c r="N22" s="971"/>
      <c r="O22" s="971"/>
      <c r="P22" s="971"/>
      <c r="Q22" s="971"/>
      <c r="R22" s="971"/>
      <c r="S22" s="971"/>
      <c r="T22" s="971"/>
      <c r="U22" s="971"/>
      <c r="V22" s="971"/>
    </row>
    <row r="23" spans="2:49" ht="38.25" hidden="1" customHeight="1" thickBot="1" x14ac:dyDescent="0.3">
      <c r="B23" s="936"/>
      <c r="C23" s="936"/>
      <c r="D23" s="936"/>
      <c r="E23" s="941">
        <f>'Wall Materials'!E15</f>
        <v>34</v>
      </c>
      <c r="F23" s="941"/>
      <c r="G23" s="941"/>
      <c r="H23" s="949" t="str">
        <f>'Wall Materials'!H15</f>
        <v>2x6x14</v>
      </c>
      <c r="I23" s="949"/>
      <c r="J23" s="949"/>
      <c r="K23" s="972" t="str">
        <f>IF('Data entry'!AE22=96," ","Studs + King Studs")</f>
        <v>Studs + King Studs</v>
      </c>
      <c r="L23" s="972"/>
      <c r="M23" s="972"/>
      <c r="N23" s="972"/>
      <c r="O23" s="972"/>
      <c r="P23" s="972"/>
      <c r="Q23" s="212" t="s">
        <v>23</v>
      </c>
      <c r="R23" s="951" t="str">
        <f>'Wall Materials'!R15</f>
        <v>1 piece per board</v>
      </c>
      <c r="S23" s="951"/>
      <c r="T23" s="951"/>
      <c r="U23" s="951"/>
      <c r="V23" s="951"/>
    </row>
    <row r="24" spans="2:49" ht="38.25" customHeight="1" thickBot="1" x14ac:dyDescent="0.3">
      <c r="B24" s="936"/>
      <c r="C24" s="936"/>
      <c r="D24" s="936"/>
      <c r="E24" s="941">
        <f>'Wall Materials'!E16</f>
        <v>49</v>
      </c>
      <c r="F24" s="941"/>
      <c r="G24" s="941"/>
      <c r="H24" s="949" t="str">
        <f>'Wall Materials'!H16</f>
        <v>2x8x14</v>
      </c>
      <c r="I24" s="949"/>
      <c r="J24" s="949"/>
      <c r="K24" s="950" t="s">
        <v>457</v>
      </c>
      <c r="L24" s="950"/>
      <c r="M24" s="950"/>
      <c r="N24" s="950"/>
      <c r="O24" s="950"/>
      <c r="P24" s="950"/>
      <c r="Q24" s="421" t="s">
        <v>23</v>
      </c>
      <c r="R24" s="951" t="str">
        <f>'Wall Materials'!R16</f>
        <v>1 piece per board</v>
      </c>
      <c r="S24" s="951"/>
      <c r="T24" s="951"/>
      <c r="U24" s="951"/>
      <c r="V24" s="951"/>
    </row>
    <row r="25" spans="2:49" ht="38.25" hidden="1" customHeight="1" thickBot="1" x14ac:dyDescent="0.3">
      <c r="B25" s="936"/>
      <c r="C25" s="936"/>
      <c r="D25" s="936"/>
      <c r="E25" s="941">
        <f>'Wall Materials'!E17</f>
        <v>4</v>
      </c>
      <c r="F25" s="941"/>
      <c r="G25" s="941"/>
      <c r="H25" s="212">
        <f>'Wall Materials'!H17</f>
        <v>2</v>
      </c>
      <c r="I25" s="212" t="str">
        <f>'Wall Materials'!I17</f>
        <v>X</v>
      </c>
      <c r="J25" s="212">
        <f>'Wall Materials'!J17</f>
        <v>6</v>
      </c>
      <c r="K25" s="212" t="str">
        <f>'Wall Materials'!K17</f>
        <v>X</v>
      </c>
      <c r="L25" s="212" t="str">
        <f>'Wall Materials'!L17</f>
        <v>12</v>
      </c>
      <c r="M25" s="952" t="s">
        <v>458</v>
      </c>
      <c r="N25" s="952"/>
      <c r="O25" s="952"/>
      <c r="P25" s="952"/>
      <c r="Q25" s="952"/>
      <c r="R25" s="952"/>
      <c r="S25" s="952"/>
      <c r="T25" s="952"/>
      <c r="U25" s="952"/>
      <c r="V25" s="952"/>
    </row>
    <row r="26" spans="2:49" ht="38.25" hidden="1" customHeight="1" thickBot="1" x14ac:dyDescent="0.3">
      <c r="B26" s="936"/>
      <c r="C26" s="936"/>
      <c r="D26" s="936"/>
      <c r="E26" s="941">
        <f>'Wall Materials'!E18</f>
        <v>4</v>
      </c>
      <c r="F26" s="941"/>
      <c r="G26" s="941"/>
      <c r="H26" s="212">
        <f>'Wall Materials'!H18</f>
        <v>2</v>
      </c>
      <c r="I26" s="212" t="str">
        <f>'Wall Materials'!I18</f>
        <v>X</v>
      </c>
      <c r="J26" s="212">
        <f>'Wall Materials'!J18</f>
        <v>6</v>
      </c>
      <c r="K26" s="212" t="str">
        <f>'Wall Materials'!K18</f>
        <v>X</v>
      </c>
      <c r="L26" s="212" t="str">
        <f>'Wall Materials'!L18</f>
        <v>16</v>
      </c>
      <c r="M26" s="953"/>
      <c r="N26" s="953"/>
      <c r="O26" s="953"/>
      <c r="P26" s="953"/>
      <c r="Q26" s="953"/>
      <c r="R26" s="953"/>
      <c r="S26" s="953"/>
      <c r="T26" s="953"/>
      <c r="U26" s="953"/>
      <c r="V26" s="953"/>
    </row>
    <row r="27" spans="2:49" ht="38.25" hidden="1" customHeight="1" thickBot="1" x14ac:dyDescent="0.3">
      <c r="B27" s="936"/>
      <c r="C27" s="936"/>
      <c r="D27" s="936"/>
      <c r="E27" s="941" t="str">
        <f>'Wall Materials'!E19</f>
        <v xml:space="preserve"> </v>
      </c>
      <c r="F27" s="941"/>
      <c r="G27" s="941"/>
      <c r="H27" s="212" t="str">
        <f>'Wall Materials'!H19</f>
        <v xml:space="preserve"> </v>
      </c>
      <c r="I27" s="212" t="str">
        <f>'Wall Materials'!I19</f>
        <v xml:space="preserve"> </v>
      </c>
      <c r="J27" s="212" t="str">
        <f>'Wall Materials'!J19</f>
        <v xml:space="preserve"> </v>
      </c>
      <c r="K27" s="212" t="str">
        <f>'Wall Materials'!K19</f>
        <v xml:space="preserve"> </v>
      </c>
      <c r="L27" s="212" t="str">
        <f>'Wall Materials'!L19</f>
        <v xml:space="preserve"> </v>
      </c>
      <c r="M27" s="954" t="s">
        <v>727</v>
      </c>
      <c r="N27" s="955"/>
      <c r="O27" s="955"/>
      <c r="P27" s="955"/>
      <c r="Q27" s="955"/>
      <c r="R27" s="955"/>
      <c r="S27" s="955"/>
      <c r="T27" s="955"/>
      <c r="U27" s="955"/>
      <c r="V27" s="956"/>
    </row>
    <row r="28" spans="2:49" ht="38.25" hidden="1" customHeight="1" thickBot="1" x14ac:dyDescent="0.3">
      <c r="B28" s="936"/>
      <c r="C28" s="936"/>
      <c r="D28" s="936"/>
      <c r="E28" s="941" t="str">
        <f>'Wall Materials'!E20</f>
        <v xml:space="preserve"> </v>
      </c>
      <c r="F28" s="941"/>
      <c r="G28" s="941"/>
      <c r="H28" s="212" t="str">
        <f>'Wall Materials'!H20</f>
        <v xml:space="preserve"> </v>
      </c>
      <c r="I28" s="640" t="str">
        <f>'Wall Materials'!I20</f>
        <v xml:space="preserve"> </v>
      </c>
      <c r="J28" s="640" t="str">
        <f>'Wall Materials'!J20</f>
        <v xml:space="preserve"> </v>
      </c>
      <c r="K28" s="640" t="str">
        <f>'Wall Materials'!K20</f>
        <v xml:space="preserve"> </v>
      </c>
      <c r="L28" s="640" t="str">
        <f>'Wall Materials'!L20</f>
        <v xml:space="preserve"> </v>
      </c>
      <c r="M28" s="954"/>
      <c r="N28" s="955"/>
      <c r="O28" s="955"/>
      <c r="P28" s="955"/>
      <c r="Q28" s="955"/>
      <c r="R28" s="955"/>
      <c r="S28" s="955"/>
      <c r="T28" s="955"/>
      <c r="U28" s="955"/>
      <c r="V28" s="956"/>
    </row>
    <row r="29" spans="2:49" ht="38.25" customHeight="1" thickBot="1" x14ac:dyDescent="0.3">
      <c r="B29" s="947"/>
      <c r="C29" s="947"/>
      <c r="D29" s="947"/>
      <c r="E29" s="941">
        <f>'Wall Materials'!E21</f>
        <v>1</v>
      </c>
      <c r="F29" s="941"/>
      <c r="G29" s="941"/>
      <c r="H29" s="212">
        <f>'Wall Materials'!H21</f>
        <v>2</v>
      </c>
      <c r="I29" s="212" t="str">
        <f>'Wall Materials'!I21</f>
        <v>X</v>
      </c>
      <c r="J29" s="212">
        <f>'Wall Materials'!J21</f>
        <v>12</v>
      </c>
      <c r="K29" s="212" t="str">
        <f>'Wall Materials'!K21</f>
        <v>X</v>
      </c>
      <c r="L29" s="212">
        <f>'Wall Materials'!L21</f>
        <v>14</v>
      </c>
      <c r="M29" s="633" t="str">
        <f>'Wall Materials'!M21</f>
        <v>ft</v>
      </c>
      <c r="N29" s="948" t="str">
        <f>'Wall Materials'!N21</f>
        <v>French Door Header per engineer</v>
      </c>
      <c r="O29" s="948"/>
      <c r="P29" s="948"/>
      <c r="Q29" s="948"/>
      <c r="R29" s="948"/>
      <c r="S29" s="948"/>
      <c r="T29" s="948"/>
      <c r="U29" s="948"/>
      <c r="V29" s="948"/>
    </row>
    <row r="30" spans="2:49" ht="34.5" hidden="1" customHeight="1" thickBot="1" x14ac:dyDescent="0.3">
      <c r="B30" s="937"/>
      <c r="C30" s="937"/>
      <c r="D30" s="937"/>
      <c r="E30" s="944">
        <f>'Wall Materials'!E22</f>
        <v>41.5</v>
      </c>
      <c r="F30" s="944"/>
      <c r="G30" s="944"/>
      <c r="H30" s="425">
        <v>4</v>
      </c>
      <c r="I30" s="212" t="s">
        <v>5</v>
      </c>
      <c r="J30" s="212">
        <v>8</v>
      </c>
      <c r="K30" s="212" t="s">
        <v>5</v>
      </c>
      <c r="L30" s="427" t="s">
        <v>460</v>
      </c>
      <c r="M30" s="945" t="s">
        <v>358</v>
      </c>
      <c r="N30" s="945"/>
      <c r="O30" s="945"/>
      <c r="P30" s="945"/>
      <c r="Q30" s="945"/>
      <c r="R30" s="945"/>
      <c r="S30" s="945"/>
      <c r="T30" s="945"/>
      <c r="U30" s="945"/>
      <c r="V30" s="945"/>
      <c r="W30" s="945"/>
      <c r="X30" s="945"/>
    </row>
    <row r="31" spans="2:49" ht="34.5" customHeight="1" x14ac:dyDescent="0.25">
      <c r="B31" s="468"/>
      <c r="C31" s="468"/>
      <c r="D31" s="468"/>
      <c r="E31" s="469"/>
      <c r="F31" s="469"/>
      <c r="G31" s="469"/>
      <c r="H31" s="470"/>
      <c r="I31" s="470"/>
      <c r="J31" s="470"/>
      <c r="K31" s="470"/>
      <c r="L31" s="470"/>
      <c r="M31" s="471"/>
      <c r="N31" s="472"/>
      <c r="O31" s="472"/>
      <c r="P31" s="472"/>
      <c r="Q31" s="472"/>
      <c r="R31" s="472"/>
      <c r="S31" s="472"/>
      <c r="T31" s="472"/>
      <c r="U31" s="472"/>
      <c r="V31" s="472"/>
    </row>
    <row r="32" spans="2:49" ht="27.75" customHeight="1" x14ac:dyDescent="0.25">
      <c r="B32" s="468"/>
      <c r="C32" s="468"/>
      <c r="D32" s="468"/>
      <c r="E32" s="471"/>
      <c r="F32" s="471"/>
      <c r="G32" s="471"/>
      <c r="H32" s="470"/>
      <c r="I32" s="470"/>
      <c r="J32" s="470"/>
      <c r="K32" s="470"/>
      <c r="L32" s="471"/>
      <c r="M32" s="468"/>
      <c r="N32" s="468"/>
      <c r="O32" s="468"/>
      <c r="P32" s="468"/>
      <c r="Q32" s="468"/>
      <c r="R32" s="468"/>
      <c r="S32" s="468"/>
      <c r="T32" s="468"/>
      <c r="U32" s="468"/>
      <c r="V32" s="468"/>
      <c r="W32" s="468"/>
      <c r="X32" s="468"/>
      <c r="Y32" s="468"/>
      <c r="Z32" s="468"/>
    </row>
    <row r="33" spans="2:35" ht="27.75" customHeight="1" thickBot="1" x14ac:dyDescent="0.3">
      <c r="B33" s="468"/>
      <c r="C33" s="468"/>
      <c r="D33" s="468"/>
      <c r="E33" s="469"/>
      <c r="F33" s="469"/>
      <c r="G33" s="469"/>
      <c r="H33" s="470"/>
      <c r="I33" s="470"/>
      <c r="J33" s="470"/>
      <c r="K33" s="470"/>
      <c r="L33" s="470"/>
      <c r="M33" s="471"/>
      <c r="N33" s="472"/>
      <c r="O33" s="472"/>
      <c r="P33" s="472"/>
      <c r="Q33" s="472"/>
      <c r="R33" s="472"/>
      <c r="S33" s="472"/>
      <c r="T33" s="472"/>
      <c r="U33" s="472"/>
      <c r="V33" s="472"/>
    </row>
    <row r="34" spans="2:35" ht="27.75" customHeight="1" x14ac:dyDescent="0.25">
      <c r="B34" s="937"/>
      <c r="C34" s="937"/>
      <c r="D34" s="937"/>
      <c r="E34" s="941">
        <f>IF(AH34=20,15,IF(AH34=25,20,IF(AH34=30,32,IF(AH34=35,37,IF(AH34&gt;39,53,AI20)))))</f>
        <v>0</v>
      </c>
      <c r="F34" s="941"/>
      <c r="G34" s="941"/>
      <c r="H34" s="906" t="str">
        <f>IF(E34=" "," ","5x5x1/2'' ")</f>
        <v xml:space="preserve">5x5x1/2'' </v>
      </c>
      <c r="I34" s="906"/>
      <c r="J34" s="906"/>
      <c r="K34" s="906"/>
      <c r="L34" s="906"/>
      <c r="M34" s="906" t="str">
        <f>IF(E34=" "," ","Birch Plywood ")</f>
        <v xml:space="preserve">Birch Plywood </v>
      </c>
      <c r="N34" s="906"/>
      <c r="O34" s="906"/>
      <c r="P34" s="906"/>
      <c r="Q34" s="906"/>
      <c r="R34" s="906"/>
      <c r="S34" s="906"/>
      <c r="T34" s="906"/>
      <c r="U34" s="906"/>
      <c r="V34" s="906"/>
      <c r="AH34" s="942">
        <f>IF('Data entry'!Y44="Birch Panel",'Data entry'!Q10,0)</f>
        <v>0</v>
      </c>
      <c r="AI34" s="942"/>
    </row>
    <row r="35" spans="2:35" ht="27.75" customHeight="1" thickBot="1" x14ac:dyDescent="0.3">
      <c r="C35" s="436"/>
      <c r="D35" s="436"/>
      <c r="E35" s="436"/>
    </row>
    <row r="36" spans="2:35" ht="25.5" customHeight="1" thickBot="1" x14ac:dyDescent="0.3">
      <c r="B36" s="936"/>
      <c r="C36" s="936"/>
      <c r="D36" s="936"/>
      <c r="E36" s="937"/>
      <c r="F36" s="937"/>
      <c r="G36" s="937"/>
      <c r="H36" s="943" t="s">
        <v>507</v>
      </c>
      <c r="I36" s="943"/>
      <c r="J36" s="943"/>
      <c r="K36" s="943"/>
      <c r="L36" s="943"/>
      <c r="M36" s="943"/>
      <c r="N36" s="943"/>
      <c r="O36" s="943"/>
      <c r="P36" s="943"/>
      <c r="Q36" s="943"/>
      <c r="R36" s="943"/>
      <c r="S36" s="943"/>
      <c r="T36" s="943"/>
      <c r="U36" s="943"/>
      <c r="V36" s="943"/>
    </row>
    <row r="37" spans="2:35" ht="25.5" customHeight="1" thickBot="1" x14ac:dyDescent="0.3">
      <c r="B37" s="936"/>
      <c r="C37" s="936"/>
      <c r="D37" s="936"/>
      <c r="E37" s="937"/>
      <c r="F37" s="937"/>
      <c r="G37" s="937"/>
      <c r="H37" s="863" t="s">
        <v>508</v>
      </c>
      <c r="I37" s="863"/>
      <c r="J37" s="863"/>
      <c r="K37" s="863"/>
      <c r="L37" s="863"/>
      <c r="M37" s="863"/>
      <c r="N37" s="863"/>
      <c r="O37" s="863"/>
      <c r="P37" s="863"/>
      <c r="Q37" s="863"/>
      <c r="R37" s="863"/>
      <c r="S37" s="863"/>
      <c r="T37" s="863"/>
      <c r="U37" s="863"/>
      <c r="V37" s="863"/>
    </row>
    <row r="38" spans="2:35" ht="25.5" customHeight="1" thickBot="1" x14ac:dyDescent="0.3">
      <c r="B38" s="936"/>
      <c r="C38" s="936"/>
      <c r="D38" s="936"/>
      <c r="E38" s="937"/>
      <c r="F38" s="937"/>
      <c r="G38" s="937"/>
      <c r="H38" s="863" t="s">
        <v>509</v>
      </c>
      <c r="I38" s="863"/>
      <c r="J38" s="863"/>
      <c r="K38" s="863"/>
      <c r="L38" s="863"/>
      <c r="M38" s="863"/>
      <c r="N38" s="863"/>
      <c r="O38" s="863"/>
      <c r="P38" s="863"/>
      <c r="Q38" s="863"/>
      <c r="R38" s="863"/>
      <c r="S38" s="863"/>
      <c r="T38" s="863"/>
      <c r="U38" s="863"/>
      <c r="V38" s="863"/>
    </row>
    <row r="39" spans="2:35" ht="25.5" customHeight="1" thickBot="1" x14ac:dyDescent="0.3">
      <c r="B39" s="936"/>
      <c r="C39" s="936"/>
      <c r="D39" s="936"/>
      <c r="E39" s="937"/>
      <c r="F39" s="937"/>
      <c r="G39" s="937"/>
      <c r="H39" s="863" t="s">
        <v>510</v>
      </c>
      <c r="I39" s="863"/>
      <c r="J39" s="863"/>
      <c r="K39" s="863"/>
      <c r="L39" s="863"/>
      <c r="M39" s="863"/>
      <c r="N39" s="863"/>
      <c r="O39" s="863"/>
      <c r="P39" s="863"/>
      <c r="Q39" s="863"/>
      <c r="R39" s="863"/>
      <c r="S39" s="863"/>
      <c r="T39" s="863"/>
      <c r="U39" s="863"/>
      <c r="V39" s="863"/>
    </row>
    <row r="40" spans="2:35" ht="25.5" customHeight="1" thickBot="1" x14ac:dyDescent="0.3">
      <c r="B40" s="936"/>
      <c r="C40" s="936"/>
      <c r="D40" s="936"/>
      <c r="E40" s="937"/>
      <c r="F40" s="937"/>
      <c r="G40" s="937"/>
      <c r="H40" s="863" t="s">
        <v>678</v>
      </c>
      <c r="I40" s="863"/>
      <c r="J40" s="863"/>
      <c r="K40" s="863"/>
      <c r="L40" s="863"/>
      <c r="M40" s="863"/>
      <c r="N40" s="863"/>
      <c r="O40" s="863"/>
      <c r="P40" s="863"/>
      <c r="Q40" s="863"/>
      <c r="R40" s="863"/>
      <c r="S40" s="863"/>
      <c r="T40" s="863"/>
      <c r="U40" s="863"/>
      <c r="V40" s="863"/>
    </row>
    <row r="41" spans="2:35" ht="25.5" customHeight="1" thickBot="1" x14ac:dyDescent="0.3">
      <c r="B41" s="936"/>
      <c r="C41" s="936"/>
      <c r="D41" s="936"/>
      <c r="E41" s="937"/>
      <c r="F41" s="937"/>
      <c r="G41" s="937"/>
      <c r="H41" s="863"/>
      <c r="I41" s="863"/>
      <c r="J41" s="863"/>
      <c r="K41" s="863"/>
      <c r="L41" s="863"/>
      <c r="M41" s="863"/>
      <c r="N41" s="863"/>
      <c r="O41" s="863"/>
      <c r="P41" s="863"/>
      <c r="Q41" s="863"/>
      <c r="R41" s="863"/>
      <c r="S41" s="863"/>
      <c r="T41" s="863"/>
      <c r="U41" s="863"/>
      <c r="V41" s="863"/>
    </row>
    <row r="42" spans="2:35" ht="25.5" customHeight="1" thickBot="1" x14ac:dyDescent="0.3">
      <c r="B42" s="936"/>
      <c r="C42" s="936"/>
      <c r="D42" s="936"/>
      <c r="E42" s="937"/>
      <c r="F42" s="937"/>
      <c r="G42" s="937"/>
      <c r="H42" s="863" t="s">
        <v>813</v>
      </c>
      <c r="I42" s="863"/>
      <c r="J42" s="863"/>
      <c r="K42" s="863"/>
      <c r="L42" s="863"/>
      <c r="M42" s="863"/>
      <c r="N42" s="863"/>
      <c r="O42" s="863"/>
      <c r="P42" s="863"/>
      <c r="Q42" s="863"/>
      <c r="R42" s="863"/>
      <c r="S42" s="863"/>
      <c r="T42" s="863"/>
      <c r="U42" s="863"/>
      <c r="V42" s="863"/>
    </row>
    <row r="43" spans="2:35" ht="25.5" customHeight="1" thickBot="1" x14ac:dyDescent="0.3">
      <c r="B43" s="936"/>
      <c r="C43" s="936"/>
      <c r="D43" s="936"/>
      <c r="E43" s="937"/>
      <c r="F43" s="937"/>
      <c r="G43" s="937"/>
      <c r="H43" s="863"/>
      <c r="I43" s="863"/>
      <c r="J43" s="863"/>
      <c r="K43" s="863"/>
      <c r="L43" s="863"/>
      <c r="M43" s="863"/>
      <c r="N43" s="863"/>
      <c r="O43" s="863"/>
      <c r="P43" s="863"/>
      <c r="Q43" s="863"/>
      <c r="R43" s="863"/>
      <c r="S43" s="863"/>
      <c r="T43" s="863"/>
      <c r="U43" s="863"/>
      <c r="V43" s="863"/>
    </row>
    <row r="44" spans="2:35" ht="25.5" customHeight="1" thickBot="1" x14ac:dyDescent="0.3">
      <c r="B44" s="936"/>
      <c r="C44" s="936"/>
      <c r="D44" s="936"/>
      <c r="E44" s="937"/>
      <c r="F44" s="937"/>
      <c r="G44" s="937"/>
      <c r="H44" s="863" t="s">
        <v>511</v>
      </c>
      <c r="I44" s="863"/>
      <c r="J44" s="863"/>
      <c r="K44" s="863"/>
      <c r="L44" s="863"/>
      <c r="M44" s="863"/>
      <c r="N44" s="863"/>
      <c r="O44" s="863"/>
      <c r="P44" s="863"/>
      <c r="Q44" s="863"/>
      <c r="R44" s="863"/>
      <c r="S44" s="863"/>
      <c r="T44" s="863"/>
      <c r="U44" s="863"/>
      <c r="V44" s="863"/>
    </row>
    <row r="45" spans="2:35" ht="25.5" customHeight="1" thickBot="1" x14ac:dyDescent="0.3">
      <c r="B45" s="936"/>
      <c r="C45" s="936"/>
      <c r="D45" s="936"/>
      <c r="E45" s="937"/>
      <c r="F45" s="937"/>
      <c r="G45" s="938"/>
      <c r="H45" s="818" t="s">
        <v>679</v>
      </c>
      <c r="I45" s="819"/>
      <c r="J45" s="819"/>
      <c r="K45" s="819"/>
      <c r="L45" s="819"/>
      <c r="M45" s="819"/>
      <c r="N45" s="819"/>
      <c r="O45" s="819"/>
      <c r="P45" s="819"/>
      <c r="Q45" s="819"/>
      <c r="R45" s="819"/>
      <c r="S45" s="819"/>
      <c r="T45" s="819"/>
      <c r="U45" s="819"/>
      <c r="V45" s="820"/>
    </row>
    <row r="46" spans="2:35" ht="25.5" customHeight="1" thickBot="1" x14ac:dyDescent="0.3">
      <c r="B46" s="936"/>
      <c r="C46" s="936"/>
      <c r="D46" s="936"/>
      <c r="E46" s="937"/>
      <c r="F46" s="937"/>
      <c r="G46" s="938"/>
      <c r="H46" s="818" t="s">
        <v>680</v>
      </c>
      <c r="I46" s="819"/>
      <c r="J46" s="819"/>
      <c r="K46" s="819"/>
      <c r="L46" s="819"/>
      <c r="M46" s="819"/>
      <c r="N46" s="819"/>
      <c r="O46" s="819"/>
      <c r="P46" s="819"/>
      <c r="Q46" s="819"/>
      <c r="R46" s="819"/>
      <c r="S46" s="819"/>
      <c r="T46" s="819"/>
      <c r="U46" s="819"/>
      <c r="V46" s="820"/>
    </row>
    <row r="47" spans="2:35" ht="25.5" customHeight="1" thickBot="1" x14ac:dyDescent="0.3">
      <c r="B47" s="936"/>
      <c r="C47" s="936"/>
      <c r="D47" s="936"/>
      <c r="E47" s="937"/>
      <c r="F47" s="937"/>
      <c r="G47" s="938"/>
      <c r="H47" s="818" t="s">
        <v>681</v>
      </c>
      <c r="I47" s="819"/>
      <c r="J47" s="819"/>
      <c r="K47" s="819"/>
      <c r="L47" s="819"/>
      <c r="M47" s="819"/>
      <c r="N47" s="819"/>
      <c r="O47" s="819"/>
      <c r="P47" s="819"/>
      <c r="Q47" s="819"/>
      <c r="R47" s="819"/>
      <c r="S47" s="819"/>
      <c r="T47" s="819"/>
      <c r="U47" s="819"/>
      <c r="V47" s="820"/>
    </row>
    <row r="48" spans="2:35" ht="25.5" customHeight="1" thickBot="1" x14ac:dyDescent="0.3">
      <c r="B48" s="936"/>
      <c r="C48" s="936"/>
      <c r="D48" s="936"/>
      <c r="E48" s="937"/>
      <c r="F48" s="937"/>
      <c r="G48" s="938"/>
      <c r="H48" s="818" t="s">
        <v>682</v>
      </c>
      <c r="I48" s="819"/>
      <c r="J48" s="819"/>
      <c r="K48" s="819"/>
      <c r="L48" s="819"/>
      <c r="M48" s="819"/>
      <c r="N48" s="819"/>
      <c r="O48" s="819"/>
      <c r="P48" s="819"/>
      <c r="Q48" s="819"/>
      <c r="R48" s="819"/>
      <c r="S48" s="819"/>
      <c r="T48" s="819"/>
      <c r="U48" s="819"/>
      <c r="V48" s="820"/>
    </row>
    <row r="49" spans="2:22" ht="25.5" customHeight="1" thickBot="1" x14ac:dyDescent="0.3">
      <c r="B49" s="936"/>
      <c r="C49" s="936"/>
      <c r="D49" s="936"/>
      <c r="E49" s="937"/>
      <c r="F49" s="937"/>
      <c r="G49" s="938"/>
      <c r="H49" s="939" t="s">
        <v>683</v>
      </c>
      <c r="I49" s="843"/>
      <c r="J49" s="843"/>
      <c r="K49" s="843"/>
      <c r="L49" s="843"/>
      <c r="M49" s="843"/>
      <c r="N49" s="843"/>
      <c r="O49" s="843"/>
      <c r="P49" s="843"/>
      <c r="Q49" s="843"/>
      <c r="R49" s="843"/>
      <c r="S49" s="843"/>
      <c r="T49" s="843"/>
      <c r="U49" s="843"/>
      <c r="V49" s="940"/>
    </row>
    <row r="50" spans="2:22" ht="25.5" customHeight="1" thickBot="1" x14ac:dyDescent="0.3">
      <c r="B50" s="936"/>
      <c r="C50" s="936"/>
      <c r="D50" s="936"/>
      <c r="E50" s="937"/>
      <c r="F50" s="937"/>
      <c r="G50" s="938"/>
      <c r="H50" s="818" t="s">
        <v>684</v>
      </c>
      <c r="I50" s="819"/>
      <c r="J50" s="819"/>
      <c r="K50" s="819"/>
      <c r="L50" s="819"/>
      <c r="M50" s="819"/>
      <c r="N50" s="819"/>
      <c r="O50" s="819"/>
      <c r="P50" s="819"/>
      <c r="Q50" s="819"/>
      <c r="R50" s="819"/>
      <c r="S50" s="819"/>
      <c r="T50" s="819"/>
      <c r="U50" s="819"/>
      <c r="V50" s="820"/>
    </row>
    <row r="51" spans="2:22" ht="25.5" customHeight="1" thickBot="1" x14ac:dyDescent="0.3">
      <c r="B51" s="936"/>
      <c r="C51" s="936"/>
      <c r="D51" s="936"/>
      <c r="E51" s="937"/>
      <c r="F51" s="937"/>
      <c r="G51" s="938"/>
      <c r="H51" s="818" t="s">
        <v>748</v>
      </c>
      <c r="I51" s="819"/>
      <c r="J51" s="819"/>
      <c r="K51" s="819"/>
      <c r="L51" s="819"/>
      <c r="M51" s="819"/>
      <c r="N51" s="819"/>
      <c r="O51" s="819"/>
      <c r="P51" s="819"/>
      <c r="Q51" s="819"/>
      <c r="R51" s="819"/>
      <c r="S51" s="819"/>
      <c r="T51" s="819"/>
      <c r="U51" s="819"/>
      <c r="V51" s="820"/>
    </row>
    <row r="52" spans="2:22" ht="25.5" customHeight="1" thickBot="1" x14ac:dyDescent="0.3">
      <c r="B52" s="936"/>
      <c r="C52" s="936"/>
      <c r="D52" s="936"/>
      <c r="E52" s="937"/>
      <c r="F52" s="937"/>
      <c r="G52" s="938"/>
      <c r="H52" s="818" t="s">
        <v>746</v>
      </c>
      <c r="I52" s="819"/>
      <c r="J52" s="819"/>
      <c r="K52" s="819"/>
      <c r="L52" s="819"/>
      <c r="M52" s="819"/>
      <c r="N52" s="819"/>
      <c r="O52" s="819"/>
      <c r="P52" s="819"/>
      <c r="Q52" s="819"/>
      <c r="R52" s="819"/>
      <c r="S52" s="819"/>
      <c r="T52" s="819"/>
      <c r="U52" s="819"/>
      <c r="V52" s="820"/>
    </row>
    <row r="53" spans="2:22" ht="25.5" customHeight="1" thickBot="1" x14ac:dyDescent="0.3">
      <c r="B53" s="936"/>
      <c r="C53" s="936"/>
      <c r="D53" s="936"/>
      <c r="E53" s="937"/>
      <c r="F53" s="937"/>
      <c r="G53" s="938"/>
      <c r="H53" s="818" t="s">
        <v>747</v>
      </c>
      <c r="I53" s="819"/>
      <c r="J53" s="819"/>
      <c r="K53" s="819"/>
      <c r="L53" s="819"/>
      <c r="M53" s="819"/>
      <c r="N53" s="819"/>
      <c r="O53" s="819"/>
      <c r="P53" s="819"/>
      <c r="Q53" s="819"/>
      <c r="R53" s="819"/>
      <c r="S53" s="819"/>
      <c r="T53" s="819"/>
      <c r="U53" s="819"/>
      <c r="V53" s="820"/>
    </row>
    <row r="54" spans="2:22" ht="25.5" customHeight="1" thickBot="1" x14ac:dyDescent="0.3">
      <c r="B54" s="936"/>
      <c r="C54" s="936"/>
      <c r="D54" s="936"/>
      <c r="E54" s="937"/>
      <c r="F54" s="937"/>
      <c r="G54" s="938"/>
      <c r="H54" s="818" t="s">
        <v>756</v>
      </c>
      <c r="I54" s="819"/>
      <c r="J54" s="819"/>
      <c r="K54" s="819"/>
      <c r="L54" s="819"/>
      <c r="M54" s="819"/>
      <c r="N54" s="819"/>
      <c r="O54" s="819"/>
      <c r="P54" s="819"/>
      <c r="Q54" s="819"/>
      <c r="R54" s="819"/>
      <c r="S54" s="819"/>
      <c r="T54" s="819"/>
      <c r="U54" s="819"/>
      <c r="V54" s="820"/>
    </row>
    <row r="55" spans="2:22" ht="27" thickBot="1" x14ac:dyDescent="0.3">
      <c r="B55" s="936"/>
      <c r="C55" s="936"/>
      <c r="D55" s="936"/>
      <c r="E55" s="937"/>
      <c r="F55" s="937"/>
      <c r="G55" s="938"/>
      <c r="H55" s="818" t="s">
        <v>757</v>
      </c>
      <c r="I55" s="819"/>
      <c r="J55" s="819"/>
      <c r="K55" s="819"/>
      <c r="L55" s="819"/>
      <c r="M55" s="819"/>
      <c r="N55" s="819"/>
      <c r="O55" s="819"/>
      <c r="P55" s="819"/>
      <c r="Q55" s="819"/>
      <c r="R55" s="819"/>
      <c r="S55" s="819"/>
      <c r="T55" s="819"/>
      <c r="U55" s="819"/>
      <c r="V55" s="820"/>
    </row>
  </sheetData>
  <sheetProtection selectLockedCells="1" selectUnlockedCells="1"/>
  <mergeCells count="127">
    <mergeCell ref="B54:D54"/>
    <mergeCell ref="E54:G54"/>
    <mergeCell ref="H54:V54"/>
    <mergeCell ref="B55:D55"/>
    <mergeCell ref="E55:G55"/>
    <mergeCell ref="H55:V55"/>
    <mergeCell ref="B7:F7"/>
    <mergeCell ref="G7:I7"/>
    <mergeCell ref="R7:Z7"/>
    <mergeCell ref="B22:D22"/>
    <mergeCell ref="E22:G22"/>
    <mergeCell ref="H22:V22"/>
    <mergeCell ref="B23:D23"/>
    <mergeCell ref="E23:G23"/>
    <mergeCell ref="H23:J23"/>
    <mergeCell ref="K23:P23"/>
    <mergeCell ref="R23:V23"/>
    <mergeCell ref="B20:D20"/>
    <mergeCell ref="E20:G20"/>
    <mergeCell ref="H20:V20"/>
    <mergeCell ref="B21:D21"/>
    <mergeCell ref="E21:G21"/>
    <mergeCell ref="E26:G26"/>
    <mergeCell ref="M27:V27"/>
    <mergeCell ref="B2:I2"/>
    <mergeCell ref="P2:X2"/>
    <mergeCell ref="B13:D13"/>
    <mergeCell ref="E13:G13"/>
    <mergeCell ref="M13:Z13"/>
    <mergeCell ref="B14:D14"/>
    <mergeCell ref="E14:G14"/>
    <mergeCell ref="M14:Z14"/>
    <mergeCell ref="M9:T9"/>
    <mergeCell ref="B11:D11"/>
    <mergeCell ref="E11:G11"/>
    <mergeCell ref="H11:Z11"/>
    <mergeCell ref="B12:D12"/>
    <mergeCell ref="E12:G12"/>
    <mergeCell ref="M12:Z12"/>
    <mergeCell ref="M28:V28"/>
    <mergeCell ref="AB17:AW17"/>
    <mergeCell ref="B15:D15"/>
    <mergeCell ref="E15:G15"/>
    <mergeCell ref="M15:Z15"/>
    <mergeCell ref="B16:Z16"/>
    <mergeCell ref="B17:D17"/>
    <mergeCell ref="E17:G17"/>
    <mergeCell ref="M17:Z17"/>
    <mergeCell ref="AH34:AI34"/>
    <mergeCell ref="B36:D36"/>
    <mergeCell ref="E36:G36"/>
    <mergeCell ref="H36:V36"/>
    <mergeCell ref="B30:D30"/>
    <mergeCell ref="E30:G30"/>
    <mergeCell ref="M30:X30"/>
    <mergeCell ref="H21:V21"/>
    <mergeCell ref="B27:D27"/>
    <mergeCell ref="E27:G27"/>
    <mergeCell ref="B28:D28"/>
    <mergeCell ref="E28:G28"/>
    <mergeCell ref="B29:D29"/>
    <mergeCell ref="E29:G29"/>
    <mergeCell ref="N29:V29"/>
    <mergeCell ref="B24:D24"/>
    <mergeCell ref="E24:G24"/>
    <mergeCell ref="H24:J24"/>
    <mergeCell ref="K24:P24"/>
    <mergeCell ref="R24:V24"/>
    <mergeCell ref="B25:D25"/>
    <mergeCell ref="E25:G25"/>
    <mergeCell ref="M25:V26"/>
    <mergeCell ref="B26:D26"/>
    <mergeCell ref="B37:D37"/>
    <mergeCell ref="E37:G37"/>
    <mergeCell ref="H37:V37"/>
    <mergeCell ref="B38:D38"/>
    <mergeCell ref="E38:G38"/>
    <mergeCell ref="H38:V38"/>
    <mergeCell ref="B34:D34"/>
    <mergeCell ref="E34:G34"/>
    <mergeCell ref="H34:L34"/>
    <mergeCell ref="M34:V34"/>
    <mergeCell ref="B41:D41"/>
    <mergeCell ref="E41:G41"/>
    <mergeCell ref="H41:V41"/>
    <mergeCell ref="B42:D42"/>
    <mergeCell ref="E42:G42"/>
    <mergeCell ref="H42:V42"/>
    <mergeCell ref="B39:D39"/>
    <mergeCell ref="E39:G39"/>
    <mergeCell ref="H39:V39"/>
    <mergeCell ref="B40:D40"/>
    <mergeCell ref="E40:G40"/>
    <mergeCell ref="H40:V40"/>
    <mergeCell ref="B45:D45"/>
    <mergeCell ref="E45:G45"/>
    <mergeCell ref="H45:V45"/>
    <mergeCell ref="B46:D46"/>
    <mergeCell ref="E46:G46"/>
    <mergeCell ref="H46:V46"/>
    <mergeCell ref="B43:D43"/>
    <mergeCell ref="E43:G43"/>
    <mergeCell ref="H43:V43"/>
    <mergeCell ref="B44:D44"/>
    <mergeCell ref="E44:G44"/>
    <mergeCell ref="H44:V44"/>
    <mergeCell ref="B49:D49"/>
    <mergeCell ref="E49:G49"/>
    <mergeCell ref="H49:V49"/>
    <mergeCell ref="B50:D50"/>
    <mergeCell ref="E50:G50"/>
    <mergeCell ref="H50:V50"/>
    <mergeCell ref="B47:D47"/>
    <mergeCell ref="E47:G47"/>
    <mergeCell ref="H47:V47"/>
    <mergeCell ref="B48:D48"/>
    <mergeCell ref="E48:G48"/>
    <mergeCell ref="H48:V48"/>
    <mergeCell ref="B52:D52"/>
    <mergeCell ref="E52:G52"/>
    <mergeCell ref="H52:V52"/>
    <mergeCell ref="B53:D53"/>
    <mergeCell ref="E53:G53"/>
    <mergeCell ref="H53:V53"/>
    <mergeCell ref="B51:D51"/>
    <mergeCell ref="E51:G51"/>
    <mergeCell ref="H51:V51"/>
  </mergeCells>
  <dataValidations count="1">
    <dataValidation type="list" allowBlank="1" showErrorMessage="1" sqref="G7:I7">
      <formula1>yesno</formula1>
      <formula2>0</formula2>
    </dataValidation>
  </dataValidations>
  <pageMargins left="0.7" right="0.7" top="0.75" bottom="0.75" header="0.51180555555555551" footer="0.51180555555555551"/>
  <pageSetup scale="31" firstPageNumber="0" orientation="portrait" horizontalDpi="300" verticalDpi="300" r:id="rId1"/>
  <headerFooter alignWithMargins="0"/>
  <drawing r:id="rId2"/>
  <legacyDrawing r:id="rId3"/>
  <oleObjects>
    <mc:AlternateContent xmlns:mc="http://schemas.openxmlformats.org/markup-compatibility/2006">
      <mc:Choice Requires="x14">
        <oleObject progId="AutoSketch.Drawing.9" shapeId="15362" r:id="rId4">
          <objectPr defaultSize="0" autoPict="0" r:id="rId5">
            <anchor moveWithCells="1">
              <from>
                <xdr:col>43</xdr:col>
                <xdr:colOff>0</xdr:colOff>
                <xdr:row>19</xdr:row>
                <xdr:rowOff>0</xdr:rowOff>
              </from>
              <to>
                <xdr:col>51</xdr:col>
                <xdr:colOff>57150</xdr:colOff>
                <xdr:row>49</xdr:row>
                <xdr:rowOff>161925</xdr:rowOff>
              </to>
            </anchor>
          </objectPr>
        </oleObject>
      </mc:Choice>
      <mc:Fallback>
        <oleObject progId="AutoSketch.Drawing.9" shapeId="15362" r:id="rId4"/>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77"/>
  <sheetViews>
    <sheetView topLeftCell="A9" zoomScale="80" zoomScaleNormal="80" workbookViewId="0">
      <selection activeCell="B1" sqref="B1:T66"/>
    </sheetView>
  </sheetViews>
  <sheetFormatPr defaultColWidth="8.85546875" defaultRowHeight="15" x14ac:dyDescent="0.2"/>
  <cols>
    <col min="1" max="1" width="18.85546875" style="98" customWidth="1"/>
    <col min="2" max="2" width="7.28515625" style="98" customWidth="1"/>
    <col min="3" max="3" width="13.5703125" style="98" customWidth="1"/>
    <col min="4" max="5" width="7.28515625" style="99" customWidth="1"/>
    <col min="6" max="8" width="7.28515625" style="100" customWidth="1"/>
    <col min="9" max="15" width="9.28515625" style="98" customWidth="1"/>
    <col min="16" max="16" width="12.28515625" style="98" customWidth="1"/>
    <col min="17" max="17" width="17.42578125" style="98" customWidth="1"/>
    <col min="18" max="20" width="9.28515625" style="98" customWidth="1"/>
    <col min="21" max="21" width="4.7109375" style="98" customWidth="1"/>
    <col min="22" max="22" width="4.42578125" style="98" customWidth="1"/>
    <col min="23" max="23" width="4.28515625" style="98" customWidth="1"/>
    <col min="24" max="30" width="7.28515625" style="98" customWidth="1"/>
    <col min="31" max="16384" width="8.85546875" style="98"/>
  </cols>
  <sheetData>
    <row r="1" spans="1:22" ht="33.75" x14ac:dyDescent="0.2">
      <c r="A1" s="101"/>
      <c r="B1" s="1027" t="s">
        <v>173</v>
      </c>
      <c r="C1" s="1027"/>
      <c r="D1" s="1027"/>
      <c r="E1" s="1027"/>
      <c r="F1" s="1027"/>
      <c r="G1" s="1027"/>
      <c r="H1" s="1027"/>
      <c r="I1" s="1027"/>
      <c r="J1" s="1027"/>
      <c r="K1" s="1027"/>
      <c r="L1" s="1027"/>
      <c r="M1" s="101"/>
      <c r="N1" s="1028" t="str">
        <f>'Data entry'!L2</f>
        <v>Phillips</v>
      </c>
      <c r="O1" s="1028"/>
      <c r="P1" s="1028"/>
      <c r="Q1" s="1028"/>
      <c r="R1" s="1028"/>
      <c r="S1" s="1028"/>
      <c r="T1" s="1028"/>
      <c r="U1" s="101"/>
      <c r="V1" s="101"/>
    </row>
    <row r="2" spans="1:22" ht="15.75" customHeight="1" x14ac:dyDescent="0.2">
      <c r="A2" s="101"/>
      <c r="B2" s="101"/>
      <c r="C2" s="102"/>
      <c r="D2" s="103"/>
      <c r="E2" s="104"/>
      <c r="F2" s="105"/>
      <c r="G2" s="105"/>
      <c r="H2" s="105"/>
      <c r="I2" s="105"/>
      <c r="J2" s="105"/>
      <c r="K2" s="105"/>
      <c r="L2" s="101"/>
      <c r="M2" s="101"/>
      <c r="N2" s="101"/>
      <c r="O2" s="101"/>
      <c r="P2" s="101"/>
      <c r="Q2" s="101"/>
      <c r="R2" s="101"/>
      <c r="S2" s="101"/>
      <c r="T2" s="101"/>
      <c r="U2" s="101"/>
      <c r="V2" s="101"/>
    </row>
    <row r="3" spans="1:22" ht="23.25" x14ac:dyDescent="0.2">
      <c r="A3" s="101"/>
      <c r="B3" s="1005" t="s">
        <v>42</v>
      </c>
      <c r="C3" s="1005"/>
      <c r="D3" s="1005"/>
      <c r="E3" s="1005"/>
      <c r="F3" s="1005"/>
      <c r="G3" s="1005"/>
      <c r="H3" s="101"/>
      <c r="I3" s="101"/>
      <c r="J3" s="101"/>
      <c r="K3" s="101"/>
      <c r="L3" s="101"/>
      <c r="M3" s="101"/>
      <c r="N3" s="101"/>
      <c r="O3" s="101"/>
      <c r="P3" s="101"/>
      <c r="Q3" s="101"/>
      <c r="R3" s="101"/>
      <c r="S3" s="101"/>
      <c r="T3" s="101"/>
      <c r="U3" s="101"/>
      <c r="V3" s="101"/>
    </row>
    <row r="4" spans="1:22" ht="23.25" x14ac:dyDescent="0.2">
      <c r="A4" s="101"/>
      <c r="B4" s="1029" t="s">
        <v>41</v>
      </c>
      <c r="C4" s="1029"/>
      <c r="D4" s="1012" t="str">
        <f>'Data entry'!M4</f>
        <v>Delware Water Gap, PA</v>
      </c>
      <c r="E4" s="1012"/>
      <c r="F4" s="1012"/>
      <c r="G4" s="101"/>
      <c r="H4" s="101"/>
      <c r="I4" s="101"/>
      <c r="J4" s="101"/>
      <c r="K4" s="101"/>
      <c r="L4" s="101"/>
      <c r="M4" s="101"/>
      <c r="N4" s="107"/>
      <c r="O4" s="106" t="s">
        <v>62</v>
      </c>
      <c r="P4" s="108"/>
      <c r="Q4" s="108"/>
      <c r="R4" s="109"/>
      <c r="S4" s="101"/>
      <c r="T4" s="101"/>
      <c r="U4" s="101"/>
      <c r="V4" s="101"/>
    </row>
    <row r="5" spans="1:22" x14ac:dyDescent="0.2">
      <c r="A5" s="101"/>
      <c r="B5" s="1015" t="s">
        <v>1</v>
      </c>
      <c r="C5" s="1015"/>
      <c r="D5" s="1012" t="str">
        <f>'Data entry'!Q9</f>
        <v>high</v>
      </c>
      <c r="E5" s="1012"/>
      <c r="F5" s="1012"/>
      <c r="G5" s="101"/>
      <c r="H5" s="101"/>
      <c r="I5" s="101"/>
      <c r="J5" s="101"/>
      <c r="K5" s="101"/>
      <c r="L5" s="101"/>
      <c r="M5" s="1012" t="s">
        <v>174</v>
      </c>
      <c r="N5" s="1012"/>
      <c r="O5" s="1012"/>
      <c r="P5" s="110" t="s">
        <v>64</v>
      </c>
      <c r="Q5" s="111" t="s">
        <v>65</v>
      </c>
      <c r="R5" s="101"/>
      <c r="S5" s="101"/>
      <c r="T5" s="101"/>
      <c r="U5" s="101"/>
      <c r="V5" s="101"/>
    </row>
    <row r="6" spans="1:22" ht="12.75" customHeight="1" x14ac:dyDescent="0.2">
      <c r="A6" s="101"/>
      <c r="B6" s="1015" t="s">
        <v>175</v>
      </c>
      <c r="C6" s="1015"/>
      <c r="D6" s="1012">
        <f>'Data entry'!Q10</f>
        <v>30</v>
      </c>
      <c r="E6" s="1012"/>
      <c r="F6" s="1012"/>
      <c r="G6" s="112" t="s">
        <v>46</v>
      </c>
      <c r="H6" s="113"/>
      <c r="I6" s="101"/>
      <c r="J6" s="101"/>
      <c r="K6" s="101"/>
      <c r="L6" s="101"/>
      <c r="M6" s="1012"/>
      <c r="N6" s="1012"/>
      <c r="O6" s="1012"/>
      <c r="P6" s="114">
        <f>'Data entry'!P19</f>
        <v>6</v>
      </c>
      <c r="Q6" s="115">
        <f>'Data entry'!R19</f>
        <v>12</v>
      </c>
      <c r="R6" s="116"/>
      <c r="S6" s="116"/>
      <c r="T6" s="101"/>
      <c r="U6" s="101"/>
      <c r="V6" s="101"/>
    </row>
    <row r="7" spans="1:22" x14ac:dyDescent="0.2">
      <c r="A7" s="101"/>
      <c r="B7" s="1033" t="s">
        <v>176</v>
      </c>
      <c r="C7" s="1033"/>
      <c r="D7" s="1032">
        <f>'Data entry'!Q11</f>
        <v>168</v>
      </c>
      <c r="E7" s="1032"/>
      <c r="F7" s="1032"/>
      <c r="G7" s="117">
        <v>0</v>
      </c>
      <c r="H7" s="101"/>
      <c r="I7" s="101"/>
      <c r="J7" s="101"/>
      <c r="K7" s="101"/>
      <c r="L7" s="101"/>
      <c r="M7" s="1012" t="s">
        <v>177</v>
      </c>
      <c r="N7" s="1012"/>
      <c r="O7" s="1012"/>
      <c r="P7" s="118">
        <f>'Data entry'!Q20</f>
        <v>2</v>
      </c>
      <c r="Q7" s="119" t="s">
        <v>5</v>
      </c>
      <c r="R7" s="120">
        <f>'Data entry'!S20</f>
        <v>6</v>
      </c>
      <c r="S7" s="101" t="s">
        <v>69</v>
      </c>
      <c r="T7" s="101"/>
      <c r="U7" s="101"/>
      <c r="V7" s="101"/>
    </row>
    <row r="8" spans="1:22" x14ac:dyDescent="0.2">
      <c r="A8" s="101"/>
      <c r="B8" s="1030" t="s">
        <v>178</v>
      </c>
      <c r="C8" s="1030"/>
      <c r="D8" s="1031">
        <f>IF(D7&lt;=0,"0",D7-4.5)</f>
        <v>163.5</v>
      </c>
      <c r="E8" s="1031"/>
      <c r="F8" s="1031"/>
      <c r="G8" s="121" t="str">
        <f>IF(G7&lt;=0,"0",G7-4.5)</f>
        <v>0</v>
      </c>
      <c r="H8" s="101"/>
      <c r="I8" s="101"/>
      <c r="J8" s="101"/>
      <c r="K8" s="101"/>
      <c r="L8" s="101"/>
      <c r="M8" s="1012" t="s">
        <v>71</v>
      </c>
      <c r="N8" s="1012"/>
      <c r="O8" s="1012"/>
      <c r="P8" s="122" t="str">
        <f>IF('Data entry'!Q21=0," ",'Data entry'!Q21)</f>
        <v xml:space="preserve"> </v>
      </c>
      <c r="Q8" s="123" t="s">
        <v>5</v>
      </c>
      <c r="R8" s="124" t="str">
        <f>IF('Data entry'!S21=0," ",'Data entry'!S21)</f>
        <v xml:space="preserve"> </v>
      </c>
      <c r="S8" s="101" t="s">
        <v>71</v>
      </c>
      <c r="T8" s="101"/>
      <c r="U8" s="101"/>
      <c r="V8" s="101"/>
    </row>
    <row r="9" spans="1:22" x14ac:dyDescent="0.2">
      <c r="A9" s="101"/>
      <c r="B9" s="1015" t="s">
        <v>51</v>
      </c>
      <c r="C9" s="1015"/>
      <c r="D9" s="125">
        <f>'Data entry'!Q13</f>
        <v>2</v>
      </c>
      <c r="E9" s="126" t="s">
        <v>5</v>
      </c>
      <c r="F9" s="127">
        <f>'Data entry'!S13</f>
        <v>12</v>
      </c>
      <c r="G9" s="101"/>
      <c r="H9" s="101"/>
      <c r="I9" s="101"/>
      <c r="J9" s="101"/>
      <c r="K9" s="101"/>
      <c r="L9" s="101"/>
      <c r="M9" s="1012" t="s">
        <v>179</v>
      </c>
      <c r="N9" s="1012"/>
      <c r="O9" s="1012"/>
      <c r="P9" s="128">
        <f>IF('Data entry'!Q22=0," ",'Data entry'!Q22)</f>
        <v>2</v>
      </c>
      <c r="Q9" s="129" t="s">
        <v>5</v>
      </c>
      <c r="R9" s="130">
        <f>IF('Data entry'!S22=0," ",'Data entry'!S22)</f>
        <v>12</v>
      </c>
      <c r="S9" s="101"/>
      <c r="T9" s="101"/>
      <c r="U9" s="101"/>
      <c r="V9" s="101"/>
    </row>
    <row r="10" spans="1:22" ht="15.75" thickBot="1" x14ac:dyDescent="0.25">
      <c r="A10" s="101"/>
      <c r="B10" s="1015" t="s">
        <v>53</v>
      </c>
      <c r="C10" s="1015"/>
      <c r="D10" s="1032" t="str">
        <f>'Data entry'!Q14</f>
        <v>Galv.</v>
      </c>
      <c r="E10" s="1032"/>
      <c r="F10" s="1032"/>
      <c r="G10" s="101"/>
      <c r="H10" s="101"/>
      <c r="I10" s="101"/>
      <c r="J10" s="101"/>
      <c r="K10" s="101"/>
      <c r="L10" s="101"/>
      <c r="M10" s="1012" t="s">
        <v>180</v>
      </c>
      <c r="N10" s="1012"/>
      <c r="O10" s="1012"/>
      <c r="P10" s="1012" t="str">
        <f>IF('Data entry'!Q23=0," ",'Data entry'!Q23)</f>
        <v>6'8</v>
      </c>
      <c r="Q10" s="1012"/>
      <c r="R10" s="101"/>
      <c r="S10" s="101"/>
      <c r="T10" s="101"/>
      <c r="U10" s="101"/>
      <c r="V10" s="101"/>
    </row>
    <row r="11" spans="1:22" ht="15.75" thickBot="1" x14ac:dyDescent="0.25">
      <c r="A11" s="101"/>
      <c r="B11" s="1019" t="s">
        <v>57</v>
      </c>
      <c r="C11" s="1019"/>
      <c r="D11" s="1020" t="str">
        <f>'Data entry'!Q15</f>
        <v>post and pier</v>
      </c>
      <c r="E11" s="1020"/>
      <c r="F11" s="1020"/>
      <c r="G11" s="101"/>
      <c r="H11" s="101"/>
      <c r="I11" s="101"/>
      <c r="J11" s="101"/>
      <c r="K11" s="101"/>
      <c r="L11" s="101"/>
      <c r="M11" s="1012" t="s">
        <v>181</v>
      </c>
      <c r="N11" s="1012"/>
      <c r="O11" s="1012"/>
      <c r="P11" s="1021" t="str">
        <f>'Data entry'!Q27</f>
        <v>Fir</v>
      </c>
      <c r="Q11" s="1021"/>
      <c r="R11" s="101"/>
      <c r="S11" s="101"/>
      <c r="T11" s="101"/>
      <c r="U11" s="101"/>
      <c r="V11" s="101"/>
    </row>
    <row r="12" spans="1:22" ht="17.25" customHeight="1" thickBot="1" x14ac:dyDescent="0.25">
      <c r="A12" s="101"/>
      <c r="B12" s="1022" t="s">
        <v>715</v>
      </c>
      <c r="C12" s="1023"/>
      <c r="D12" s="1024">
        <f>'Data entry'!Q8</f>
        <v>16</v>
      </c>
      <c r="E12" s="1025"/>
      <c r="F12" s="1026"/>
      <c r="G12" s="113"/>
      <c r="H12" s="113"/>
      <c r="I12" s="101"/>
      <c r="J12" s="101"/>
      <c r="K12" s="101"/>
      <c r="L12" s="101"/>
      <c r="M12" s="101"/>
      <c r="N12" s="101"/>
      <c r="O12" s="101"/>
      <c r="P12" s="101"/>
      <c r="Q12" s="101"/>
      <c r="R12" s="101"/>
      <c r="S12" s="101"/>
      <c r="T12" s="101"/>
      <c r="U12" s="101"/>
      <c r="V12" s="101"/>
    </row>
    <row r="13" spans="1:22" ht="19.5" customHeight="1" thickBot="1" x14ac:dyDescent="0.25">
      <c r="A13" s="101"/>
      <c r="B13" s="101"/>
      <c r="C13" s="102"/>
      <c r="D13" s="103"/>
      <c r="E13" s="104"/>
      <c r="F13" s="113"/>
      <c r="G13" s="113"/>
      <c r="H13" s="113"/>
      <c r="I13" s="101"/>
      <c r="J13" s="101"/>
      <c r="K13" s="101"/>
      <c r="L13" s="101"/>
      <c r="M13" s="101"/>
      <c r="N13" s="107"/>
      <c r="O13" s="108" t="s">
        <v>30</v>
      </c>
      <c r="P13" s="108"/>
      <c r="Q13" s="108"/>
      <c r="R13" s="109"/>
      <c r="S13" s="109"/>
      <c r="T13" s="109"/>
      <c r="U13" s="101"/>
      <c r="V13" s="101"/>
    </row>
    <row r="14" spans="1:22" ht="18.75" customHeight="1" thickBot="1" x14ac:dyDescent="0.25">
      <c r="A14" s="101"/>
      <c r="B14" s="1005" t="s">
        <v>79</v>
      </c>
      <c r="C14" s="1005"/>
      <c r="D14" s="1005"/>
      <c r="E14" s="1005"/>
      <c r="F14" s="1005"/>
      <c r="G14" s="1005"/>
      <c r="H14" s="1005"/>
      <c r="I14" s="101"/>
      <c r="J14" s="101"/>
      <c r="K14" s="101"/>
      <c r="L14" s="101"/>
      <c r="M14" s="101"/>
      <c r="N14" s="107"/>
      <c r="O14" s="132" t="s">
        <v>182</v>
      </c>
      <c r="P14" s="69" t="s">
        <v>92</v>
      </c>
      <c r="Q14" s="25" t="s">
        <v>93</v>
      </c>
      <c r="R14" s="69" t="s">
        <v>92</v>
      </c>
      <c r="S14" s="25" t="s">
        <v>93</v>
      </c>
      <c r="T14" s="69" t="s">
        <v>92</v>
      </c>
      <c r="U14" s="69"/>
      <c r="V14" s="25" t="s">
        <v>93</v>
      </c>
    </row>
    <row r="15" spans="1:22" x14ac:dyDescent="0.2">
      <c r="A15" s="101"/>
      <c r="B15" s="107"/>
      <c r="C15" s="1016" t="s">
        <v>81</v>
      </c>
      <c r="D15" s="1016"/>
      <c r="E15" s="1017" t="s">
        <v>82</v>
      </c>
      <c r="F15" s="1017"/>
      <c r="G15" s="113"/>
      <c r="H15" s="113"/>
      <c r="I15" s="101"/>
      <c r="J15" s="101"/>
      <c r="K15" s="101"/>
      <c r="L15" s="101"/>
      <c r="M15" s="1012" t="s">
        <v>94</v>
      </c>
      <c r="N15" s="1012"/>
      <c r="O15" s="1012"/>
      <c r="P15" s="133" t="s">
        <v>183</v>
      </c>
      <c r="Q15" s="134">
        <f>'Data entry'!S40</f>
        <v>0</v>
      </c>
      <c r="R15" s="135" t="s">
        <v>184</v>
      </c>
      <c r="S15" s="136">
        <f>IF('Data entry'!V40=0," ",'Data entry'!V40)</f>
        <v>2</v>
      </c>
      <c r="T15" s="137" t="s">
        <v>185</v>
      </c>
      <c r="U15" s="138"/>
      <c r="V15" s="136" t="str">
        <f>IF('Data entry'!Y40=0," ",'Data entry'!Y40)</f>
        <v xml:space="preserve"> </v>
      </c>
    </row>
    <row r="16" spans="1:22" x14ac:dyDescent="0.2">
      <c r="A16" s="101"/>
      <c r="B16" s="1012" t="s">
        <v>84</v>
      </c>
      <c r="C16" s="1012"/>
      <c r="D16" s="1012"/>
      <c r="E16" s="1018">
        <f>'Data entry'!Q31</f>
        <v>13</v>
      </c>
      <c r="F16" s="1018"/>
      <c r="G16" s="113"/>
      <c r="H16" s="113"/>
      <c r="I16" s="101"/>
      <c r="J16" s="101"/>
      <c r="K16" s="101"/>
      <c r="L16" s="101"/>
      <c r="M16" s="1012"/>
      <c r="N16" s="1012"/>
      <c r="O16" s="1012"/>
      <c r="P16" s="1014" t="str">
        <f>IF('Data entry'!Q41=0," ",'Data entry'!Q41)</f>
        <v xml:space="preserve"> </v>
      </c>
      <c r="Q16" s="1014"/>
      <c r="R16" s="101"/>
      <c r="S16" s="101"/>
      <c r="T16" s="101"/>
      <c r="U16" s="101"/>
      <c r="V16" s="101"/>
    </row>
    <row r="17" spans="1:22" x14ac:dyDescent="0.2">
      <c r="A17" s="101"/>
      <c r="B17" s="1012" t="s">
        <v>85</v>
      </c>
      <c r="C17" s="1012"/>
      <c r="D17" s="1012"/>
      <c r="E17" s="1015">
        <f>'Data entry'!Q32</f>
        <v>7</v>
      </c>
      <c r="F17" s="1015"/>
      <c r="G17" s="113"/>
      <c r="H17" s="113"/>
      <c r="I17" s="101"/>
      <c r="J17" s="101"/>
      <c r="K17" s="101"/>
      <c r="L17" s="101"/>
      <c r="M17" s="1012" t="s">
        <v>101</v>
      </c>
      <c r="N17" s="1012"/>
      <c r="O17" s="1012"/>
      <c r="P17" s="1014" t="str">
        <f>IF('Data entry'!Q42=0," ",'Data entry'!Q42)</f>
        <v xml:space="preserve"> </v>
      </c>
      <c r="Q17" s="1014"/>
      <c r="R17" s="101"/>
      <c r="S17" s="101"/>
      <c r="T17" s="101"/>
      <c r="U17" s="101"/>
      <c r="V17" s="101"/>
    </row>
    <row r="18" spans="1:22" x14ac:dyDescent="0.2">
      <c r="A18" s="101"/>
      <c r="B18" s="1012" t="s">
        <v>186</v>
      </c>
      <c r="C18" s="1012"/>
      <c r="D18" s="1012"/>
      <c r="E18" s="1015">
        <f>'Data entry'!Q33</f>
        <v>1</v>
      </c>
      <c r="F18" s="1015"/>
      <c r="G18" s="113"/>
      <c r="H18" s="113"/>
      <c r="I18" s="101"/>
      <c r="J18" s="101"/>
      <c r="K18" s="101"/>
      <c r="L18" s="101"/>
      <c r="M18" s="1012" t="s">
        <v>103</v>
      </c>
      <c r="N18" s="1012"/>
      <c r="O18" s="1012"/>
      <c r="P18" s="1014" t="str">
        <f>IF('Data entry'!Q43=0," ",'Data entry'!Q43)</f>
        <v>yes</v>
      </c>
      <c r="Q18" s="1014"/>
      <c r="R18" s="101"/>
      <c r="S18" s="101"/>
      <c r="T18" s="101"/>
      <c r="U18" s="101"/>
      <c r="V18" s="101"/>
    </row>
    <row r="19" spans="1:22" x14ac:dyDescent="0.2">
      <c r="A19" s="101"/>
      <c r="B19" s="1012" t="s">
        <v>88</v>
      </c>
      <c r="C19" s="1012"/>
      <c r="D19" s="1012"/>
      <c r="E19" s="1013">
        <f>IF('Data entry'!Q34=0," ",'Data entry'!Q34)</f>
        <v>1</v>
      </c>
      <c r="F19" s="1013"/>
      <c r="G19" s="113"/>
      <c r="H19" s="113"/>
      <c r="I19" s="101"/>
      <c r="J19" s="101"/>
      <c r="K19" s="101"/>
      <c r="L19" s="101"/>
      <c r="M19" s="1012" t="s">
        <v>104</v>
      </c>
      <c r="N19" s="1012"/>
      <c r="O19" s="1012"/>
      <c r="P19" s="1014" t="str">
        <f>IF('Data entry'!Q44=0," ",'Data entry'!Q44)</f>
        <v>yes</v>
      </c>
      <c r="Q19" s="1014"/>
      <c r="R19" s="101"/>
      <c r="S19" s="101"/>
      <c r="T19" s="101"/>
      <c r="U19" s="101"/>
      <c r="V19" s="101"/>
    </row>
    <row r="20" spans="1:22" ht="22.5" customHeight="1" x14ac:dyDescent="0.2">
      <c r="A20" s="101"/>
      <c r="B20" s="116"/>
      <c r="C20" s="116"/>
      <c r="D20" s="116"/>
      <c r="E20" s="116"/>
      <c r="F20" s="116"/>
      <c r="G20" s="113"/>
      <c r="H20" s="113"/>
      <c r="I20" s="101"/>
      <c r="J20" s="101"/>
      <c r="K20" s="101"/>
      <c r="L20" s="101"/>
      <c r="M20" s="1012" t="s">
        <v>187</v>
      </c>
      <c r="N20" s="1012"/>
      <c r="O20" s="1012"/>
      <c r="P20" s="1014" t="str">
        <f>IF('Data entry'!Q46=0," ",'Data entry'!Q46)</f>
        <v>yes</v>
      </c>
      <c r="Q20" s="1014"/>
      <c r="R20" s="101"/>
      <c r="S20" s="101"/>
      <c r="T20" s="101"/>
      <c r="U20" s="101"/>
      <c r="V20" s="101"/>
    </row>
    <row r="21" spans="1:22" ht="24" thickBot="1" x14ac:dyDescent="0.25">
      <c r="A21" s="101"/>
      <c r="B21" s="101"/>
      <c r="C21" s="116"/>
      <c r="D21" s="131"/>
      <c r="E21" s="104"/>
      <c r="F21" s="113"/>
      <c r="G21" s="113"/>
      <c r="H21" s="113"/>
      <c r="I21" s="116"/>
      <c r="J21" s="101"/>
      <c r="K21" s="101"/>
      <c r="L21" s="101"/>
      <c r="M21" s="139" t="s">
        <v>188</v>
      </c>
      <c r="N21" s="101"/>
      <c r="O21" s="101"/>
      <c r="P21" s="101"/>
      <c r="Q21" s="101"/>
      <c r="R21" s="101"/>
      <c r="S21" s="101"/>
      <c r="T21" s="101"/>
      <c r="U21" s="101"/>
      <c r="V21" s="101"/>
    </row>
    <row r="22" spans="1:22" ht="24" thickBot="1" x14ac:dyDescent="0.25">
      <c r="A22" s="101"/>
      <c r="B22" s="109"/>
      <c r="C22" s="109"/>
      <c r="D22" s="109"/>
      <c r="E22" s="109"/>
      <c r="F22" s="109"/>
      <c r="G22" s="109"/>
      <c r="H22" s="109"/>
      <c r="I22" s="116"/>
      <c r="J22" s="101"/>
      <c r="K22" s="101"/>
      <c r="L22" s="101"/>
      <c r="M22" s="1011" t="s">
        <v>137</v>
      </c>
      <c r="N22" s="1011"/>
      <c r="O22" s="1011"/>
      <c r="P22" s="1011"/>
      <c r="Q22" s="140" t="str">
        <f>IF('Data entry'!Q77=0," ",'Data entry'!Q77)</f>
        <v>5'</v>
      </c>
      <c r="R22" s="141"/>
      <c r="S22" s="141"/>
      <c r="T22" s="141"/>
      <c r="U22" s="141"/>
      <c r="V22" s="101"/>
    </row>
    <row r="23" spans="1:22" ht="29.25" customHeight="1" thickBot="1" x14ac:dyDescent="0.25">
      <c r="A23" s="101"/>
      <c r="B23" s="703"/>
      <c r="C23" s="703"/>
      <c r="D23" s="703"/>
      <c r="E23" s="703"/>
      <c r="F23" s="703"/>
      <c r="G23" s="703"/>
      <c r="H23" s="702"/>
      <c r="I23" s="116"/>
      <c r="J23" s="116"/>
      <c r="K23" s="101"/>
      <c r="L23" s="101"/>
      <c r="M23" s="1011" t="s">
        <v>138</v>
      </c>
      <c r="N23" s="1011"/>
      <c r="O23" s="1011"/>
      <c r="P23" s="1011"/>
      <c r="Q23" s="140" t="str">
        <f>IF('Data entry'!Q78=0," ",'Data entry'!Q78)</f>
        <v>Clear Low-E</v>
      </c>
      <c r="R23" s="60"/>
      <c r="S23" s="60"/>
      <c r="T23" s="60"/>
      <c r="U23" s="60"/>
      <c r="V23" s="101"/>
    </row>
    <row r="24" spans="1:22" ht="19.5" thickBot="1" x14ac:dyDescent="0.25">
      <c r="A24" s="101"/>
      <c r="B24" s="102"/>
      <c r="C24" s="102"/>
      <c r="D24" s="102"/>
      <c r="E24" s="102"/>
      <c r="F24" s="102"/>
      <c r="G24" s="102"/>
      <c r="H24" s="702"/>
      <c r="I24" s="101"/>
      <c r="J24" s="101"/>
      <c r="K24" s="101"/>
      <c r="L24" s="101"/>
      <c r="M24" s="1011" t="s">
        <v>140</v>
      </c>
      <c r="N24" s="1011"/>
      <c r="O24" s="1011"/>
      <c r="P24" s="1011"/>
      <c r="Q24" s="140" t="str">
        <f>IF('Data entry'!Q79=0," ",'Data entry'!Q79)</f>
        <v>Triple Pane</v>
      </c>
      <c r="R24" s="60"/>
      <c r="S24" s="60"/>
      <c r="T24" s="60"/>
      <c r="U24" s="60"/>
      <c r="V24" s="101"/>
    </row>
    <row r="25" spans="1:22" ht="19.5" thickBot="1" x14ac:dyDescent="0.25">
      <c r="A25" s="101"/>
      <c r="B25" s="102"/>
      <c r="C25" s="102"/>
      <c r="D25" s="102"/>
      <c r="E25" s="102"/>
      <c r="F25" s="102"/>
      <c r="G25" s="102"/>
      <c r="H25" s="702"/>
      <c r="I25" s="101"/>
      <c r="J25" s="101"/>
      <c r="K25" s="101"/>
      <c r="L25" s="101"/>
      <c r="M25" s="974"/>
      <c r="N25" s="974"/>
      <c r="O25" s="974"/>
      <c r="P25" s="974"/>
      <c r="Q25" s="140"/>
      <c r="R25" s="25"/>
      <c r="S25" s="25"/>
      <c r="T25" s="25"/>
      <c r="U25" s="25"/>
      <c r="V25" s="101"/>
    </row>
    <row r="26" spans="1:22" ht="19.5" thickBot="1" x14ac:dyDescent="0.25">
      <c r="A26" s="101"/>
      <c r="B26" s="101"/>
      <c r="C26" s="116"/>
      <c r="D26" s="131"/>
      <c r="E26" s="104"/>
      <c r="F26" s="113"/>
      <c r="G26" s="113"/>
      <c r="H26" s="113"/>
      <c r="I26" s="101"/>
      <c r="J26" s="101"/>
      <c r="K26" s="101"/>
      <c r="L26" s="101"/>
      <c r="M26" s="974" t="s">
        <v>709</v>
      </c>
      <c r="N26" s="974"/>
      <c r="O26" s="974"/>
      <c r="P26" s="974"/>
      <c r="Q26" s="140" t="str">
        <f>IF('Data entry'!Q81=0," ",'Data entry'!Q81)</f>
        <v>Manual</v>
      </c>
      <c r="R26" s="25"/>
      <c r="S26" s="25"/>
      <c r="T26" s="25"/>
      <c r="U26" s="25"/>
      <c r="V26" s="101"/>
    </row>
    <row r="27" spans="1:22" ht="24" customHeight="1" thickBot="1" x14ac:dyDescent="0.25">
      <c r="A27" s="101"/>
      <c r="B27" s="1008" t="str">
        <f>IF('Data entry'!Y44&gt;0,'Data entry'!V44," ")</f>
        <v>CEILING</v>
      </c>
      <c r="C27" s="1009"/>
      <c r="D27" s="1010"/>
      <c r="E27" s="1008" t="str">
        <f>IF('Data entry'!Y44&gt;0,'Data entry'!Y44," ")</f>
        <v>Pine T&amp;G</v>
      </c>
      <c r="F27" s="1009"/>
      <c r="G27" s="1010"/>
      <c r="H27" s="113"/>
      <c r="I27" s="101"/>
      <c r="J27" s="101"/>
      <c r="K27" s="101"/>
      <c r="L27" s="101"/>
      <c r="M27" s="60"/>
      <c r="N27" s="60"/>
      <c r="O27" s="60"/>
      <c r="P27" s="60"/>
      <c r="Q27" s="142"/>
      <c r="R27" s="25"/>
      <c r="S27" s="25"/>
      <c r="T27" s="25"/>
      <c r="U27" s="25"/>
      <c r="V27" s="101"/>
    </row>
    <row r="28" spans="1:22" ht="75" customHeight="1" thickBot="1" x14ac:dyDescent="0.25">
      <c r="A28" s="101"/>
      <c r="B28" s="101"/>
      <c r="C28" s="1005" t="s">
        <v>189</v>
      </c>
      <c r="D28" s="1005"/>
      <c r="E28" s="1005"/>
      <c r="F28" s="1005"/>
      <c r="G28" s="1005"/>
      <c r="H28" s="1005"/>
      <c r="I28" s="69"/>
      <c r="J28" s="60"/>
      <c r="K28" s="74" t="s">
        <v>190</v>
      </c>
      <c r="L28" s="74" t="s">
        <v>111</v>
      </c>
      <c r="M28" s="1006" t="s">
        <v>112</v>
      </c>
      <c r="N28" s="1006"/>
      <c r="O28" s="75" t="s">
        <v>113</v>
      </c>
      <c r="P28" s="75" t="s">
        <v>114</v>
      </c>
      <c r="Q28" s="74" t="s">
        <v>115</v>
      </c>
      <c r="R28" s="143" t="s">
        <v>116</v>
      </c>
      <c r="S28" s="1007" t="s">
        <v>117</v>
      </c>
      <c r="T28" s="1007"/>
      <c r="U28" s="101"/>
      <c r="V28" s="101"/>
    </row>
    <row r="29" spans="1:22" ht="18" customHeight="1" thickBot="1" x14ac:dyDescent="0.25">
      <c r="A29" s="101"/>
      <c r="B29" s="101"/>
      <c r="C29" s="101"/>
      <c r="D29" s="101"/>
      <c r="E29" s="101"/>
      <c r="F29" s="101"/>
      <c r="G29" s="101"/>
      <c r="H29" s="101"/>
      <c r="I29" s="1001" t="s">
        <v>121</v>
      </c>
      <c r="J29" s="1001"/>
      <c r="K29" s="144" t="str">
        <f>'Data entry'!J51</f>
        <v>42</v>
      </c>
      <c r="L29" s="145">
        <f>IF('Data entry'!L51=0," ",'Data entry'!L51)</f>
        <v>57</v>
      </c>
      <c r="M29" s="1002">
        <f>IF('Data entry'!N51=0," ",'Data entry'!N51)</f>
        <v>23</v>
      </c>
      <c r="N29" s="1002"/>
      <c r="O29" s="145">
        <f>IF('Data entry'!P51=0," ",'Data entry'!P51)</f>
        <v>1</v>
      </c>
      <c r="P29" s="145" t="str">
        <f>IF('Data entry'!Q51=0," ",'Data entry'!Q51)</f>
        <v>Single Hung</v>
      </c>
      <c r="Q29" s="145" t="str">
        <f>IF('Data entry'!R51=0," ",'Data entry'!R51)</f>
        <v xml:space="preserve"> </v>
      </c>
      <c r="R29" s="146" t="str">
        <f>IF('Data entry'!T51=0," ",'Data entry'!T51)</f>
        <v xml:space="preserve"> </v>
      </c>
      <c r="S29" s="1003" t="str">
        <f>IF('Data entry'!W51=0," ",'Data entry'!W51)</f>
        <v xml:space="preserve"> </v>
      </c>
      <c r="T29" s="1003"/>
      <c r="U29" s="101"/>
      <c r="V29" s="101"/>
    </row>
    <row r="30" spans="1:22" ht="19.5" hidden="1" customHeight="1" thickBot="1" x14ac:dyDescent="0.25">
      <c r="A30" s="101"/>
      <c r="B30" s="101"/>
      <c r="C30" s="101"/>
      <c r="D30" s="101"/>
      <c r="E30" s="101"/>
      <c r="F30" s="101"/>
      <c r="G30" s="101"/>
      <c r="H30" s="101"/>
      <c r="I30" s="1001"/>
      <c r="J30" s="1001"/>
      <c r="K30" s="144" t="str">
        <f>'Data entry'!J52</f>
        <v xml:space="preserve"> </v>
      </c>
      <c r="L30" s="147" t="str">
        <f>IF('Data entry'!L52=0," ",'Data entry'!L52)</f>
        <v xml:space="preserve"> </v>
      </c>
      <c r="M30" s="997" t="str">
        <f>IF('Data entry'!N52=0," ",'Data entry'!N52)</f>
        <v xml:space="preserve"> </v>
      </c>
      <c r="N30" s="997"/>
      <c r="O30" s="147" t="str">
        <f>IF('Data entry'!P52=0," ",'Data entry'!P52)</f>
        <v xml:space="preserve"> </v>
      </c>
      <c r="P30" s="147" t="str">
        <f>IF('Data entry'!Q52=0," ",'Data entry'!Q52)</f>
        <v xml:space="preserve"> </v>
      </c>
      <c r="Q30" s="147" t="str">
        <f>IF('Data entry'!R52=0," ",'Data entry'!R52)</f>
        <v xml:space="preserve"> </v>
      </c>
      <c r="R30" s="148" t="str">
        <f>IF('Data entry'!T52=0," ",'Data entry'!T52)</f>
        <v xml:space="preserve"> </v>
      </c>
      <c r="S30" s="998" t="str">
        <f>IF('Data entry'!W52=0," ",'Data entry'!W52)</f>
        <v xml:space="preserve"> </v>
      </c>
      <c r="T30" s="998"/>
      <c r="U30" s="101"/>
      <c r="V30" s="101"/>
    </row>
    <row r="31" spans="1:22" ht="19.5" hidden="1" customHeight="1" thickBot="1" x14ac:dyDescent="0.25">
      <c r="A31" s="101"/>
      <c r="B31" s="1004" t="s">
        <v>191</v>
      </c>
      <c r="C31" s="1004"/>
      <c r="D31" s="1004"/>
      <c r="E31" s="1004"/>
      <c r="F31" s="1004"/>
      <c r="G31" s="101"/>
      <c r="H31" s="101"/>
      <c r="I31" s="1001"/>
      <c r="J31" s="1001"/>
      <c r="K31" s="144" t="str">
        <f>'Data entry'!J53</f>
        <v xml:space="preserve"> </v>
      </c>
      <c r="L31" s="147" t="str">
        <f>IF('Data entry'!L53=0," ",'Data entry'!L53)</f>
        <v xml:space="preserve"> </v>
      </c>
      <c r="M31" s="997" t="str">
        <f>IF('Data entry'!N53=0," ",'Data entry'!N53)</f>
        <v xml:space="preserve"> </v>
      </c>
      <c r="N31" s="997"/>
      <c r="O31" s="147" t="str">
        <f>IF('Data entry'!P53=0," ",'Data entry'!P53)</f>
        <v xml:space="preserve"> </v>
      </c>
      <c r="P31" s="147" t="str">
        <f>IF('Data entry'!Q53=0," ",'Data entry'!Q53)</f>
        <v xml:space="preserve"> </v>
      </c>
      <c r="Q31" s="147" t="str">
        <f>IF('Data entry'!R53=0," ",'Data entry'!R53)</f>
        <v xml:space="preserve"> </v>
      </c>
      <c r="R31" s="148" t="str">
        <f>IF('Data entry'!T53=0," ",'Data entry'!T53)</f>
        <v xml:space="preserve"> </v>
      </c>
      <c r="S31" s="998" t="str">
        <f>IF('Data entry'!W53=0," ",'Data entry'!W53)</f>
        <v xml:space="preserve"> </v>
      </c>
      <c r="T31" s="998"/>
      <c r="U31" s="101"/>
      <c r="V31" s="101"/>
    </row>
    <row r="32" spans="1:22" ht="19.5" hidden="1" customHeight="1" thickBot="1" x14ac:dyDescent="0.25">
      <c r="A32" s="101"/>
      <c r="B32" s="1004"/>
      <c r="C32" s="1004"/>
      <c r="D32" s="1004"/>
      <c r="E32" s="1004"/>
      <c r="F32" s="1004"/>
      <c r="G32" s="101"/>
      <c r="H32" s="101"/>
      <c r="I32" s="1001"/>
      <c r="J32" s="1001"/>
      <c r="K32" s="144" t="str">
        <f>'Data entry'!J54</f>
        <v xml:space="preserve"> </v>
      </c>
      <c r="L32" s="147" t="str">
        <f>IF('Data entry'!L54=0," ",'Data entry'!L54)</f>
        <v xml:space="preserve"> </v>
      </c>
      <c r="M32" s="997" t="str">
        <f>IF('Data entry'!N54=0," ",'Data entry'!N54)</f>
        <v xml:space="preserve"> </v>
      </c>
      <c r="N32" s="997"/>
      <c r="O32" s="147" t="str">
        <f>IF('Data entry'!P54=0," ",'Data entry'!P54)</f>
        <v xml:space="preserve"> </v>
      </c>
      <c r="P32" s="147" t="str">
        <f>IF('Data entry'!Q54=0," ",'Data entry'!Q54)</f>
        <v xml:space="preserve"> </v>
      </c>
      <c r="Q32" s="147" t="str">
        <f>IF('Data entry'!R54=0," ",'Data entry'!R54)</f>
        <v xml:space="preserve"> </v>
      </c>
      <c r="R32" s="148" t="str">
        <f>IF('Data entry'!T54=0," ",'Data entry'!T54)</f>
        <v xml:space="preserve"> </v>
      </c>
      <c r="S32" s="998" t="str">
        <f>IF('Data entry'!W54=0," ",'Data entry'!W54)</f>
        <v xml:space="preserve"> </v>
      </c>
      <c r="T32" s="998"/>
      <c r="U32" s="101"/>
      <c r="V32" s="101"/>
    </row>
    <row r="33" spans="1:22" ht="19.5" hidden="1" customHeight="1" thickBot="1" x14ac:dyDescent="0.25">
      <c r="A33" s="101"/>
      <c r="B33" s="1004"/>
      <c r="C33" s="1004"/>
      <c r="D33" s="1004"/>
      <c r="E33" s="1004"/>
      <c r="F33" s="1004"/>
      <c r="G33" s="101"/>
      <c r="H33" s="101"/>
      <c r="I33" s="1001"/>
      <c r="J33" s="1001"/>
      <c r="K33" s="144" t="str">
        <f>'Data entry'!J55</f>
        <v xml:space="preserve"> </v>
      </c>
      <c r="L33" s="147" t="str">
        <f>IF('Data entry'!L55=0," ",'Data entry'!L55)</f>
        <v xml:space="preserve"> </v>
      </c>
      <c r="M33" s="997" t="str">
        <f>IF('Data entry'!N55=0," ",'Data entry'!N55)</f>
        <v xml:space="preserve"> </v>
      </c>
      <c r="N33" s="997"/>
      <c r="O33" s="147" t="str">
        <f>IF('Data entry'!P55=0," ",'Data entry'!P55)</f>
        <v xml:space="preserve"> </v>
      </c>
      <c r="P33" s="147" t="str">
        <f>IF('Data entry'!Q55=0," ",'Data entry'!Q55)</f>
        <v xml:space="preserve"> </v>
      </c>
      <c r="Q33" s="147" t="str">
        <f>IF('Data entry'!R55=0," ",'Data entry'!R55)</f>
        <v xml:space="preserve"> </v>
      </c>
      <c r="R33" s="148" t="str">
        <f>IF('Data entry'!T55=0," ",'Data entry'!T55)</f>
        <v xml:space="preserve"> </v>
      </c>
      <c r="S33" s="998" t="str">
        <f>IF('Data entry'!W55=0," ",'Data entry'!W55)</f>
        <v xml:space="preserve"> </v>
      </c>
      <c r="T33" s="998"/>
      <c r="U33" s="101"/>
      <c r="V33" s="101"/>
    </row>
    <row r="34" spans="1:22" ht="19.5" hidden="1" customHeight="1" thickBot="1" x14ac:dyDescent="0.25">
      <c r="A34" s="101"/>
      <c r="B34" s="1004"/>
      <c r="C34" s="1004"/>
      <c r="D34" s="1004"/>
      <c r="E34" s="1004"/>
      <c r="F34" s="1004"/>
      <c r="G34" s="101"/>
      <c r="H34" s="101"/>
      <c r="I34" s="1001"/>
      <c r="J34" s="1001"/>
      <c r="K34" s="149" t="str">
        <f>'Data entry'!J56</f>
        <v xml:space="preserve"> </v>
      </c>
      <c r="L34" s="147" t="str">
        <f>IF('Data entry'!L56=0," ",'Data entry'!L56)</f>
        <v xml:space="preserve"> </v>
      </c>
      <c r="M34" s="997" t="str">
        <f>IF('Data entry'!N56=0," ",'Data entry'!N56)</f>
        <v xml:space="preserve"> </v>
      </c>
      <c r="N34" s="997"/>
      <c r="O34" s="147" t="str">
        <f>IF('Data entry'!P56=0," ",'Data entry'!P56)</f>
        <v xml:space="preserve"> </v>
      </c>
      <c r="P34" s="147" t="str">
        <f>IF('Data entry'!Q56=0," ",'Data entry'!Q56)</f>
        <v xml:space="preserve"> </v>
      </c>
      <c r="Q34" s="147" t="str">
        <f>IF('Data entry'!R56=0," ",'Data entry'!R56)</f>
        <v xml:space="preserve"> </v>
      </c>
      <c r="R34" s="148" t="str">
        <f>IF('Data entry'!T56=0," ",'Data entry'!T56)</f>
        <v xml:space="preserve"> </v>
      </c>
      <c r="S34" s="998" t="str">
        <f>IF('Data entry'!W56=0," ",'Data entry'!W56)</f>
        <v xml:space="preserve"> </v>
      </c>
      <c r="T34" s="998"/>
      <c r="U34" s="101"/>
      <c r="V34" s="101"/>
    </row>
    <row r="35" spans="1:22" ht="19.5" hidden="1" customHeight="1" thickBot="1" x14ac:dyDescent="0.25">
      <c r="A35" s="101"/>
      <c r="B35" s="1004"/>
      <c r="C35" s="1004"/>
      <c r="D35" s="1004"/>
      <c r="E35" s="1004"/>
      <c r="F35" s="1004"/>
      <c r="G35" s="101"/>
      <c r="H35" s="101"/>
      <c r="I35" s="1001"/>
      <c r="J35" s="1001"/>
      <c r="K35" s="149" t="str">
        <f>'Data entry'!J57</f>
        <v xml:space="preserve"> </v>
      </c>
      <c r="L35" s="147" t="str">
        <f>IF('Data entry'!L57=0," ",'Data entry'!L57)</f>
        <v xml:space="preserve"> </v>
      </c>
      <c r="M35" s="997" t="str">
        <f>IF('Data entry'!N57=0," ",'Data entry'!N57)</f>
        <v xml:space="preserve"> </v>
      </c>
      <c r="N35" s="997"/>
      <c r="O35" s="147" t="str">
        <f>IF('Data entry'!P57=0," ",'Data entry'!P57)</f>
        <v xml:space="preserve"> </v>
      </c>
      <c r="P35" s="147" t="str">
        <f>IF('Data entry'!Q57=0," ",'Data entry'!Q57)</f>
        <v xml:space="preserve"> </v>
      </c>
      <c r="Q35" s="147" t="str">
        <f>IF('Data entry'!R57=0," ",'Data entry'!R57)</f>
        <v xml:space="preserve"> </v>
      </c>
      <c r="R35" s="148" t="str">
        <f>IF('Data entry'!T57=0," ",'Data entry'!T57)</f>
        <v xml:space="preserve"> </v>
      </c>
      <c r="S35" s="998" t="str">
        <f>IF('Data entry'!W57=0," ",'Data entry'!W57)</f>
        <v xml:space="preserve"> </v>
      </c>
      <c r="T35" s="998"/>
      <c r="U35" s="101"/>
      <c r="V35" s="101"/>
    </row>
    <row r="36" spans="1:22" ht="19.5" hidden="1" customHeight="1" thickBot="1" x14ac:dyDescent="0.25">
      <c r="A36" s="101"/>
      <c r="B36" s="1004"/>
      <c r="C36" s="1004"/>
      <c r="D36" s="1004"/>
      <c r="E36" s="1004"/>
      <c r="F36" s="1004"/>
      <c r="G36" s="101"/>
      <c r="H36" s="101"/>
      <c r="I36" s="1001"/>
      <c r="J36" s="1001"/>
      <c r="K36" s="149" t="str">
        <f>'Data entry'!J58</f>
        <v xml:space="preserve"> </v>
      </c>
      <c r="L36" s="147" t="str">
        <f>IF('Data entry'!L58=0," ",'Data entry'!L58)</f>
        <v xml:space="preserve"> </v>
      </c>
      <c r="M36" s="997" t="str">
        <f>IF('Data entry'!N58=0," ",'Data entry'!N58)</f>
        <v xml:space="preserve"> </v>
      </c>
      <c r="N36" s="997"/>
      <c r="O36" s="147" t="str">
        <f>IF('Data entry'!P58=0," ",'Data entry'!P58)</f>
        <v xml:space="preserve"> </v>
      </c>
      <c r="P36" s="147" t="str">
        <f>IF('Data entry'!Q58=0," ",'Data entry'!Q58)</f>
        <v xml:space="preserve"> </v>
      </c>
      <c r="Q36" s="147" t="str">
        <f>IF('Data entry'!R58=0," ",'Data entry'!R58)</f>
        <v xml:space="preserve"> </v>
      </c>
      <c r="R36" s="148" t="str">
        <f>IF('Data entry'!T58=0," ",'Data entry'!T58)</f>
        <v xml:space="preserve"> </v>
      </c>
      <c r="S36" s="998" t="str">
        <f>IF('Data entry'!W58=0," ",'Data entry'!W58)</f>
        <v xml:space="preserve"> </v>
      </c>
      <c r="T36" s="998"/>
      <c r="U36" s="101"/>
      <c r="V36" s="101"/>
    </row>
    <row r="37" spans="1:22" ht="19.5" hidden="1" customHeight="1" thickBot="1" x14ac:dyDescent="0.25">
      <c r="A37" s="101"/>
      <c r="B37" s="1004"/>
      <c r="C37" s="1004"/>
      <c r="D37" s="1004"/>
      <c r="E37" s="1004"/>
      <c r="F37" s="1004"/>
      <c r="G37" s="101"/>
      <c r="H37" s="101"/>
      <c r="I37" s="1001"/>
      <c r="J37" s="1001"/>
      <c r="K37" s="149" t="str">
        <f>'Data entry'!J59</f>
        <v xml:space="preserve"> </v>
      </c>
      <c r="L37" s="147" t="str">
        <f>IF('Data entry'!L59=0," ",'Data entry'!L59)</f>
        <v xml:space="preserve"> </v>
      </c>
      <c r="M37" s="997" t="str">
        <f>IF('Data entry'!N59=0," ",'Data entry'!N59)</f>
        <v xml:space="preserve"> </v>
      </c>
      <c r="N37" s="997"/>
      <c r="O37" s="147" t="str">
        <f>IF('Data entry'!P59=0," ",'Data entry'!P59)</f>
        <v xml:space="preserve"> </v>
      </c>
      <c r="P37" s="147" t="str">
        <f>IF('Data entry'!Q59=0," ",'Data entry'!Q59)</f>
        <v xml:space="preserve"> </v>
      </c>
      <c r="Q37" s="147" t="str">
        <f>IF('Data entry'!R59=0," ",'Data entry'!R59)</f>
        <v xml:space="preserve"> </v>
      </c>
      <c r="R37" s="148" t="str">
        <f>IF('Data entry'!T59=0," ",'Data entry'!T59)</f>
        <v xml:space="preserve"> </v>
      </c>
      <c r="S37" s="998" t="str">
        <f>IF('Data entry'!W59=0," ",'Data entry'!W59)</f>
        <v xml:space="preserve"> </v>
      </c>
      <c r="T37" s="998"/>
      <c r="U37" s="101"/>
      <c r="V37" s="101"/>
    </row>
    <row r="38" spans="1:22" ht="19.5" hidden="1" customHeight="1" thickBot="1" x14ac:dyDescent="0.25">
      <c r="A38" s="101"/>
      <c r="B38" s="1004"/>
      <c r="C38" s="1004"/>
      <c r="D38" s="1004"/>
      <c r="E38" s="1004"/>
      <c r="F38" s="1004"/>
      <c r="G38" s="101"/>
      <c r="H38" s="101"/>
      <c r="I38" s="1001"/>
      <c r="J38" s="1001"/>
      <c r="K38" s="149" t="str">
        <f>'Data entry'!J60</f>
        <v xml:space="preserve"> </v>
      </c>
      <c r="L38" s="147" t="str">
        <f>IF('Data entry'!L60=0," ",'Data entry'!L60)</f>
        <v xml:space="preserve"> </v>
      </c>
      <c r="M38" s="997" t="str">
        <f>IF('Data entry'!N60=0," ",'Data entry'!N60)</f>
        <v xml:space="preserve"> </v>
      </c>
      <c r="N38" s="997"/>
      <c r="O38" s="147" t="str">
        <f>IF('Data entry'!P60=0," ",'Data entry'!P60)</f>
        <v xml:space="preserve"> </v>
      </c>
      <c r="P38" s="147" t="str">
        <f>IF('Data entry'!Q60=0," ",'Data entry'!Q60)</f>
        <v xml:space="preserve"> </v>
      </c>
      <c r="Q38" s="147" t="str">
        <f>IF('Data entry'!R60=0," ",'Data entry'!R60)</f>
        <v xml:space="preserve"> </v>
      </c>
      <c r="R38" s="148" t="str">
        <f>IF('Data entry'!T60=0," ",'Data entry'!T60)</f>
        <v xml:space="preserve"> </v>
      </c>
      <c r="S38" s="998" t="str">
        <f>IF('Data entry'!W60=0," ",'Data entry'!W60)</f>
        <v xml:space="preserve"> </v>
      </c>
      <c r="T38" s="998"/>
      <c r="U38" s="101"/>
      <c r="V38" s="101"/>
    </row>
    <row r="39" spans="1:22" ht="19.5" hidden="1" customHeight="1" thickBot="1" x14ac:dyDescent="0.25">
      <c r="A39" s="101"/>
      <c r="B39" s="1004"/>
      <c r="C39" s="1004"/>
      <c r="D39" s="1004"/>
      <c r="E39" s="1004"/>
      <c r="F39" s="1004"/>
      <c r="G39" s="101"/>
      <c r="H39" s="101"/>
      <c r="I39" s="1001"/>
      <c r="J39" s="1001"/>
      <c r="K39" s="149" t="str">
        <f>'Data entry'!J61</f>
        <v xml:space="preserve"> </v>
      </c>
      <c r="L39" s="147" t="str">
        <f>IF('Data entry'!L61=0," ",'Data entry'!L61)</f>
        <v xml:space="preserve"> </v>
      </c>
      <c r="M39" s="997" t="str">
        <f>IF('Data entry'!N61=0," ",'Data entry'!N61)</f>
        <v xml:space="preserve"> </v>
      </c>
      <c r="N39" s="997"/>
      <c r="O39" s="147" t="str">
        <f>IF('Data entry'!P61=0," ",'Data entry'!P61)</f>
        <v xml:space="preserve"> </v>
      </c>
      <c r="P39" s="147" t="str">
        <f>IF('Data entry'!Q61=0," ",'Data entry'!Q61)</f>
        <v xml:space="preserve"> </v>
      </c>
      <c r="Q39" s="147" t="str">
        <f>IF('Data entry'!R61=0," ",'Data entry'!R61)</f>
        <v xml:space="preserve"> </v>
      </c>
      <c r="R39" s="148" t="str">
        <f>IF('Data entry'!T61=0," ",'Data entry'!T61)</f>
        <v xml:space="preserve"> </v>
      </c>
      <c r="S39" s="998" t="str">
        <f>IF('Data entry'!W61=0," ",'Data entry'!W61)</f>
        <v xml:space="preserve"> </v>
      </c>
      <c r="T39" s="998"/>
      <c r="U39" s="101"/>
      <c r="V39" s="101"/>
    </row>
    <row r="40" spans="1:22" ht="19.5" hidden="1" customHeight="1" thickBot="1" x14ac:dyDescent="0.25">
      <c r="A40" s="101"/>
      <c r="B40" s="1004"/>
      <c r="C40" s="1004"/>
      <c r="D40" s="1004"/>
      <c r="E40" s="1004"/>
      <c r="F40" s="1004"/>
      <c r="G40" s="101"/>
      <c r="H40" s="101"/>
      <c r="I40" s="1001"/>
      <c r="J40" s="1001"/>
      <c r="K40" s="150" t="str">
        <f>'Data entry'!J62</f>
        <v xml:space="preserve"> </v>
      </c>
      <c r="L40" s="151" t="str">
        <f>IF('Data entry'!L62=0," ",'Data entry'!L62)</f>
        <v xml:space="preserve"> </v>
      </c>
      <c r="M40" s="999" t="str">
        <f>IF('Data entry'!N62=0," ",'Data entry'!N62)</f>
        <v xml:space="preserve"> </v>
      </c>
      <c r="N40" s="999"/>
      <c r="O40" s="151" t="str">
        <f>IF('Data entry'!P62=0," ",'Data entry'!P62)</f>
        <v xml:space="preserve"> </v>
      </c>
      <c r="P40" s="151" t="str">
        <f>IF('Data entry'!Q62=0," ",'Data entry'!Q62)</f>
        <v xml:space="preserve"> </v>
      </c>
      <c r="Q40" s="151" t="str">
        <f>IF('Data entry'!R62=0," ",'Data entry'!R62)</f>
        <v xml:space="preserve"> </v>
      </c>
      <c r="R40" s="152" t="str">
        <f>IF('Data entry'!T62=0," ",'Data entry'!T62)</f>
        <v xml:space="preserve"> </v>
      </c>
      <c r="S40" s="1000" t="str">
        <f>IF('Data entry'!W62=0," ",'Data entry'!W62)</f>
        <v xml:space="preserve"> </v>
      </c>
      <c r="T40" s="1000"/>
      <c r="U40" s="101"/>
      <c r="V40" s="101"/>
    </row>
    <row r="41" spans="1:22" ht="19.5" customHeight="1" thickBot="1" x14ac:dyDescent="0.25">
      <c r="A41" s="101"/>
      <c r="B41" s="1004"/>
      <c r="C41" s="1004"/>
      <c r="D41" s="1004"/>
      <c r="E41" s="1004"/>
      <c r="F41" s="1004"/>
      <c r="G41" s="101"/>
      <c r="H41" s="101"/>
      <c r="I41" s="994" t="s">
        <v>129</v>
      </c>
      <c r="J41" s="994"/>
      <c r="K41" s="153">
        <f>IF('Data entry'!J63=0," ",'Data entry'!J63)</f>
        <v>24</v>
      </c>
      <c r="L41" s="154">
        <f>IF('Data entry'!L63=0," ",'Data entry'!L63)</f>
        <v>30</v>
      </c>
      <c r="M41" s="995">
        <f>IF('Data entry'!N63=0," ",'Data entry'!N63)</f>
        <v>50</v>
      </c>
      <c r="N41" s="995"/>
      <c r="O41" s="154">
        <f>IF('Data entry'!P63=0," ",'Data entry'!P63)</f>
        <v>1</v>
      </c>
      <c r="P41" s="154" t="str">
        <f>IF('Data entry'!Q63=0," ",'Data entry'!Q63)</f>
        <v>Slider XO Tempered</v>
      </c>
      <c r="Q41" s="154" t="str">
        <f>IF('Data entry'!R63=0," ",'Data entry'!R63)</f>
        <v xml:space="preserve"> </v>
      </c>
      <c r="R41" s="155" t="str">
        <f>IF('Data entry'!T63=0," ",'Data entry'!T63)</f>
        <v xml:space="preserve"> </v>
      </c>
      <c r="S41" s="996" t="str">
        <f>IF('Data entry'!W63=0," ",'Data entry'!W63)</f>
        <v xml:space="preserve"> </v>
      </c>
      <c r="T41" s="996"/>
      <c r="U41" s="101"/>
      <c r="V41" s="101"/>
    </row>
    <row r="42" spans="1:22" ht="19.5" customHeight="1" thickBot="1" x14ac:dyDescent="0.25">
      <c r="A42" s="101"/>
      <c r="B42" s="1004"/>
      <c r="C42" s="1004"/>
      <c r="D42" s="1004"/>
      <c r="E42" s="1004"/>
      <c r="F42" s="1004"/>
      <c r="G42" s="101"/>
      <c r="H42" s="101"/>
      <c r="I42" s="994"/>
      <c r="J42" s="994"/>
      <c r="K42" s="149">
        <f>IF('Data entry'!J64=0," ",'Data entry'!J64)</f>
        <v>36</v>
      </c>
      <c r="L42" s="147">
        <f>IF('Data entry'!L64=0," ",'Data entry'!L64)</f>
        <v>42</v>
      </c>
      <c r="M42" s="997">
        <f>IF('Data entry'!N64=0," ",'Data entry'!N64)</f>
        <v>38</v>
      </c>
      <c r="N42" s="997"/>
      <c r="O42" s="147">
        <f>IF('Data entry'!P64=0," ",'Data entry'!P64)</f>
        <v>2</v>
      </c>
      <c r="P42" s="147" t="str">
        <f>IF('Data entry'!Q64=0," ",'Data entry'!Q64)</f>
        <v>Single Hung</v>
      </c>
      <c r="Q42" s="147" t="str">
        <f>IF('Data entry'!R64=0," ",'Data entry'!R64)</f>
        <v xml:space="preserve"> </v>
      </c>
      <c r="R42" s="148" t="str">
        <f>IF('Data entry'!T64=0," ",'Data entry'!T64)</f>
        <v xml:space="preserve"> </v>
      </c>
      <c r="S42" s="998" t="str">
        <f>IF('Data entry'!W64=0," ",'Data entry'!W64)</f>
        <v xml:space="preserve"> </v>
      </c>
      <c r="T42" s="998"/>
      <c r="U42" s="101"/>
      <c r="V42" s="101"/>
    </row>
    <row r="43" spans="1:22" ht="19.5" customHeight="1" thickBot="1" x14ac:dyDescent="0.25">
      <c r="A43" s="101"/>
      <c r="B43" s="1004"/>
      <c r="C43" s="1004"/>
      <c r="D43" s="1004"/>
      <c r="E43" s="1004"/>
      <c r="F43" s="1004"/>
      <c r="G43" s="101"/>
      <c r="H43" s="101"/>
      <c r="I43" s="994"/>
      <c r="J43" s="994"/>
      <c r="K43" s="149">
        <f>IF('Data entry'!J65=0," ",'Data entry'!J65)</f>
        <v>36</v>
      </c>
      <c r="L43" s="147">
        <f>IF('Data entry'!L65=0," ",'Data entry'!L65)</f>
        <v>42</v>
      </c>
      <c r="M43" s="997">
        <f>IF('Data entry'!N65=0," ",'Data entry'!N65)</f>
        <v>38</v>
      </c>
      <c r="N43" s="997"/>
      <c r="O43" s="147">
        <f>IF('Data entry'!P65=0," ",'Data entry'!P65)</f>
        <v>2</v>
      </c>
      <c r="P43" s="147" t="str">
        <f>IF('Data entry'!Q65=0," ",'Data entry'!Q65)</f>
        <v>Casement</v>
      </c>
      <c r="Q43" s="147" t="str">
        <f>IF('Data entry'!R65=0," ",'Data entry'!R65)</f>
        <v xml:space="preserve"> </v>
      </c>
      <c r="R43" s="148" t="str">
        <f>IF('Data entry'!T65=0," ",'Data entry'!T65)</f>
        <v xml:space="preserve"> </v>
      </c>
      <c r="S43" s="998" t="str">
        <f>IF('Data entry'!W65=0," ",'Data entry'!W65)</f>
        <v xml:space="preserve"> </v>
      </c>
      <c r="T43" s="998"/>
      <c r="U43" s="101"/>
      <c r="V43" s="101"/>
    </row>
    <row r="44" spans="1:22" ht="19.5" customHeight="1" thickBot="1" x14ac:dyDescent="0.25">
      <c r="A44" s="101"/>
      <c r="B44" s="1004"/>
      <c r="C44" s="1004"/>
      <c r="D44" s="1004"/>
      <c r="E44" s="1004"/>
      <c r="F44" s="1004"/>
      <c r="G44" s="101"/>
      <c r="H44" s="101"/>
      <c r="I44" s="994"/>
      <c r="J44" s="994"/>
      <c r="K44" s="149">
        <f>IF('Data entry'!J66=0," ",'Data entry'!J66)</f>
        <v>36</v>
      </c>
      <c r="L44" s="147">
        <f>IF('Data entry'!L66=0," ",'Data entry'!L66)</f>
        <v>36</v>
      </c>
      <c r="M44" s="997">
        <f>IF('Data entry'!N66=0," ",'Data entry'!N66)</f>
        <v>44</v>
      </c>
      <c r="N44" s="997"/>
      <c r="O44" s="147">
        <f>IF('Data entry'!P66=0," ",'Data entry'!P66)</f>
        <v>1</v>
      </c>
      <c r="P44" s="147" t="str">
        <f>IF('Data entry'!Q66=0," ",'Data entry'!Q66)</f>
        <v>Casement</v>
      </c>
      <c r="Q44" s="147" t="str">
        <f>IF('Data entry'!R66=0," ",'Data entry'!R66)</f>
        <v xml:space="preserve"> </v>
      </c>
      <c r="R44" s="148" t="str">
        <f>IF('Data entry'!T66=0," ",'Data entry'!T66)</f>
        <v xml:space="preserve"> </v>
      </c>
      <c r="S44" s="998" t="str">
        <f>IF('Data entry'!W66=0," ",'Data entry'!W66)</f>
        <v xml:space="preserve"> </v>
      </c>
      <c r="T44" s="998"/>
      <c r="U44" s="101"/>
      <c r="V44" s="101"/>
    </row>
    <row r="45" spans="1:22" ht="19.5" customHeight="1" thickBot="1" x14ac:dyDescent="0.25">
      <c r="A45" s="101"/>
      <c r="B45" s="1004"/>
      <c r="C45" s="1004"/>
      <c r="D45" s="1004"/>
      <c r="E45" s="1004"/>
      <c r="F45" s="1004"/>
      <c r="G45" s="101"/>
      <c r="H45" s="101"/>
      <c r="I45" s="994"/>
      <c r="J45" s="994"/>
      <c r="K45" s="150" t="str">
        <f>IF('Data entry'!J67=0," ",'Data entry'!J67)</f>
        <v xml:space="preserve"> </v>
      </c>
      <c r="L45" s="151" t="str">
        <f>IF('Data entry'!L67=0," ",'Data entry'!L67)</f>
        <v xml:space="preserve"> </v>
      </c>
      <c r="M45" s="999" t="str">
        <f>IF('Data entry'!N67=0," ",'Data entry'!N67)</f>
        <v xml:space="preserve"> </v>
      </c>
      <c r="N45" s="999"/>
      <c r="O45" s="151" t="str">
        <f>IF('Data entry'!P67=0," ",'Data entry'!P67)</f>
        <v xml:space="preserve"> </v>
      </c>
      <c r="P45" s="151" t="str">
        <f>IF('Data entry'!Q67=0," ",'Data entry'!Q67)</f>
        <v xml:space="preserve"> </v>
      </c>
      <c r="Q45" s="151" t="str">
        <f>IF('Data entry'!R67=0," ",'Data entry'!R67)</f>
        <v xml:space="preserve"> </v>
      </c>
      <c r="R45" s="152" t="str">
        <f>IF('Data entry'!T67=0," ",'Data entry'!T67)</f>
        <v xml:space="preserve"> </v>
      </c>
      <c r="S45" s="1000" t="str">
        <f>IF('Data entry'!W67=0," ",'Data entry'!W67)</f>
        <v xml:space="preserve"> </v>
      </c>
      <c r="T45" s="1000"/>
      <c r="U45" s="101"/>
      <c r="V45" s="101"/>
    </row>
    <row r="46" spans="1:22" ht="18.75" customHeight="1" thickBot="1" x14ac:dyDescent="0.25">
      <c r="A46" s="101"/>
      <c r="B46" s="1004"/>
      <c r="C46" s="1004"/>
      <c r="D46" s="1004"/>
      <c r="E46" s="1004"/>
      <c r="F46" s="1004"/>
      <c r="G46" s="101"/>
      <c r="H46" s="101"/>
      <c r="I46" s="993" t="s">
        <v>133</v>
      </c>
      <c r="J46" s="994" t="s">
        <v>134</v>
      </c>
      <c r="K46" s="153" t="str">
        <f>IF('Data entry'!J68=0," ",'Data entry'!J68)</f>
        <v>42</v>
      </c>
      <c r="L46" s="154">
        <f>IF('Data entry'!L68=0," ",'Data entry'!L68)</f>
        <v>39</v>
      </c>
      <c r="M46" s="995">
        <f>IF('Data entry'!N68=0," ",'Data entry'!N68)</f>
        <v>118.5</v>
      </c>
      <c r="N46" s="995"/>
      <c r="O46" s="154">
        <f>IF('Data entry'!P68=0," ",'Data entry'!P68)</f>
        <v>1</v>
      </c>
      <c r="P46" s="154" t="str">
        <f>IF('Data entry'!Q68=0," ",'Data entry'!Q68)</f>
        <v>Picture</v>
      </c>
      <c r="Q46" s="156"/>
      <c r="R46" s="157" t="str">
        <f>IF('Data entry'!T68=0," ",'Data entry'!T68)</f>
        <v xml:space="preserve"> </v>
      </c>
      <c r="S46" s="996" t="str">
        <f>IF('Data entry'!W68=0," ",'Data entry'!W68)</f>
        <v xml:space="preserve"> </v>
      </c>
      <c r="T46" s="996"/>
      <c r="U46" s="101"/>
      <c r="V46" s="101"/>
    </row>
    <row r="47" spans="1:22" ht="19.5" hidden="1" customHeight="1" thickBot="1" x14ac:dyDescent="0.25">
      <c r="A47" s="101"/>
      <c r="B47" s="1004"/>
      <c r="C47" s="1004"/>
      <c r="D47" s="1004"/>
      <c r="E47" s="1004"/>
      <c r="F47" s="1004"/>
      <c r="G47" s="101"/>
      <c r="H47" s="101"/>
      <c r="I47" s="993"/>
      <c r="J47" s="994"/>
      <c r="K47" s="149" t="str">
        <f>IF('Data entry'!J69=0," ",'Data entry'!J69)</f>
        <v xml:space="preserve"> </v>
      </c>
      <c r="L47" s="147" t="str">
        <f>IF('Data entry'!L69=0," ",'Data entry'!L69)</f>
        <v xml:space="preserve"> </v>
      </c>
      <c r="M47" s="997" t="str">
        <f>IF('Data entry'!N69=0," ",'Data entry'!N69)</f>
        <v xml:space="preserve"> </v>
      </c>
      <c r="N47" s="997"/>
      <c r="O47" s="147" t="str">
        <f>IF('Data entry'!P69=0," ",'Data entry'!P69)</f>
        <v xml:space="preserve"> </v>
      </c>
      <c r="P47" s="147" t="str">
        <f>IF('Data entry'!Q69=0," ",'Data entry'!Q69)</f>
        <v xml:space="preserve"> </v>
      </c>
      <c r="Q47" s="156"/>
      <c r="R47" s="158" t="str">
        <f>IF('Data entry'!T69=0," ",'Data entry'!T69)</f>
        <v xml:space="preserve"> </v>
      </c>
      <c r="S47" s="998" t="str">
        <f>IF('Data entry'!W69=0," ",'Data entry'!W69)</f>
        <v xml:space="preserve"> </v>
      </c>
      <c r="T47" s="998"/>
      <c r="U47" s="101"/>
      <c r="V47" s="101"/>
    </row>
    <row r="48" spans="1:22" ht="19.5" hidden="1" customHeight="1" thickBot="1" x14ac:dyDescent="0.25">
      <c r="A48" s="101"/>
      <c r="B48" s="1004"/>
      <c r="C48" s="1004"/>
      <c r="D48" s="1004"/>
      <c r="E48" s="1004"/>
      <c r="F48" s="1004"/>
      <c r="G48" s="101"/>
      <c r="H48" s="101"/>
      <c r="I48" s="993"/>
      <c r="J48" s="994"/>
      <c r="K48" s="150" t="str">
        <f>IF('Data entry'!J70=0," ",'Data entry'!J70)</f>
        <v xml:space="preserve"> </v>
      </c>
      <c r="L48" s="151" t="str">
        <f>IF('Data entry'!L70=0," ",'Data entry'!L70)</f>
        <v xml:space="preserve"> </v>
      </c>
      <c r="M48" s="999" t="str">
        <f>IF('Data entry'!N70=0," ",'Data entry'!N70)</f>
        <v xml:space="preserve"> </v>
      </c>
      <c r="N48" s="999"/>
      <c r="O48" s="151" t="str">
        <f>IF('Data entry'!P70=0," ",'Data entry'!P70)</f>
        <v xml:space="preserve"> </v>
      </c>
      <c r="P48" s="151" t="str">
        <f>IF('Data entry'!Q70=0," ",'Data entry'!Q70)</f>
        <v xml:space="preserve"> </v>
      </c>
      <c r="Q48" s="156"/>
      <c r="R48" s="159" t="str">
        <f>IF('Data entry'!T70=0," ",'Data entry'!T70)</f>
        <v xml:space="preserve"> </v>
      </c>
      <c r="S48" s="1000" t="str">
        <f>IF('Data entry'!W70=0," ",'Data entry'!W70)</f>
        <v xml:space="preserve"> </v>
      </c>
      <c r="T48" s="1000"/>
      <c r="U48" s="101"/>
      <c r="V48" s="101"/>
    </row>
    <row r="49" spans="1:25" ht="19.5" customHeight="1" thickBot="1" x14ac:dyDescent="0.25">
      <c r="A49" s="101"/>
      <c r="B49" s="1004"/>
      <c r="C49" s="1004"/>
      <c r="D49" s="1004"/>
      <c r="E49" s="1004"/>
      <c r="F49" s="1004"/>
      <c r="G49" s="101"/>
      <c r="H49" s="101"/>
      <c r="I49" s="993"/>
      <c r="J49" s="994" t="s">
        <v>136</v>
      </c>
      <c r="K49" s="153">
        <f>IF('Data entry'!J71=0," ",'Data entry'!J71)</f>
        <v>36</v>
      </c>
      <c r="L49" s="154">
        <f>IF('Data entry'!L71=0," ",'Data entry'!L71)</f>
        <v>39</v>
      </c>
      <c r="M49" s="995">
        <f>IF('Data entry'!N71=0," ",'Data entry'!N71)</f>
        <v>118.5</v>
      </c>
      <c r="N49" s="995"/>
      <c r="O49" s="154">
        <f>IF('Data entry'!P71=0," ",'Data entry'!P71)</f>
        <v>5</v>
      </c>
      <c r="P49" s="154" t="str">
        <f>IF('Data entry'!Q71=0," ",'Data entry'!Q71)</f>
        <v>Casement</v>
      </c>
      <c r="Q49" s="156"/>
      <c r="R49" s="157" t="str">
        <f>IF('Data entry'!T71=0," ",'Data entry'!T71)</f>
        <v xml:space="preserve"> </v>
      </c>
      <c r="S49" s="996">
        <f>IF('Data entry'!W71=0," ",'Data entry'!W71)</f>
        <v>5</v>
      </c>
      <c r="T49" s="996"/>
      <c r="U49" s="101"/>
      <c r="V49" s="101"/>
    </row>
    <row r="50" spans="1:25" ht="19.5" customHeight="1" thickBot="1" x14ac:dyDescent="0.25">
      <c r="A50" s="101"/>
      <c r="B50" s="101"/>
      <c r="C50" s="101"/>
      <c r="D50" s="101"/>
      <c r="E50" s="101"/>
      <c r="F50" s="101"/>
      <c r="G50" s="101"/>
      <c r="H50" s="101"/>
      <c r="I50" s="993"/>
      <c r="J50" s="994"/>
      <c r="K50" s="149">
        <f>IF('Data entry'!J72=0," ",'Data entry'!J72)</f>
        <v>24</v>
      </c>
      <c r="L50" s="147">
        <f>IF('Data entry'!L72=0," ",'Data entry'!L72)</f>
        <v>30</v>
      </c>
      <c r="M50" s="997">
        <f>IF('Data entry'!N72=0," ",'Data entry'!N72)</f>
        <v>127.5</v>
      </c>
      <c r="N50" s="997"/>
      <c r="O50" s="147">
        <f>IF('Data entry'!P72=0," ",'Data entry'!P72)</f>
        <v>1</v>
      </c>
      <c r="P50" s="147" t="str">
        <f>IF('Data entry'!Q72=0," ",'Data entry'!Q72)</f>
        <v>Slider XO Tempered</v>
      </c>
      <c r="Q50" s="156"/>
      <c r="R50" s="158" t="str">
        <f>IF('Data entry'!T72=0," ",'Data entry'!T72)</f>
        <v xml:space="preserve"> </v>
      </c>
      <c r="S50" s="998">
        <f>IF('Data entry'!W72=0," ",'Data entry'!W72)</f>
        <v>1</v>
      </c>
      <c r="T50" s="998"/>
      <c r="U50" s="101"/>
      <c r="V50" s="101"/>
    </row>
    <row r="51" spans="1:25" ht="19.5" hidden="1" customHeight="1" thickBot="1" x14ac:dyDescent="0.25">
      <c r="A51" s="101"/>
      <c r="B51" s="101"/>
      <c r="C51" s="101"/>
      <c r="D51" s="101"/>
      <c r="E51" s="101"/>
      <c r="F51" s="101"/>
      <c r="G51" s="101"/>
      <c r="H51" s="101"/>
      <c r="I51" s="993"/>
      <c r="J51" s="994"/>
      <c r="K51" s="150" t="str">
        <f>IF('Data entry'!J73=0," ",'Data entry'!J73)</f>
        <v xml:space="preserve"> </v>
      </c>
      <c r="L51" s="151" t="str">
        <f>IF('Data entry'!L73=0," ",'Data entry'!L73)</f>
        <v xml:space="preserve"> </v>
      </c>
      <c r="M51" s="999" t="str">
        <f>IF('Data entry'!N73=0," ",'Data entry'!N73)</f>
        <v xml:space="preserve"> </v>
      </c>
      <c r="N51" s="999"/>
      <c r="O51" s="151" t="str">
        <f>IF('Data entry'!P73=0," ",'Data entry'!P73)</f>
        <v xml:space="preserve"> </v>
      </c>
      <c r="P51" s="151" t="str">
        <f>IF('Data entry'!Q73=0," ",'Data entry'!Q73)</f>
        <v xml:space="preserve"> </v>
      </c>
      <c r="Q51" s="160"/>
      <c r="R51" s="159" t="str">
        <f>IF('Data entry'!T73=0," ",'Data entry'!T73)</f>
        <v xml:space="preserve"> </v>
      </c>
      <c r="S51" s="1000" t="str">
        <f>IF('Data entry'!W73=0," ",'Data entry'!W73)</f>
        <v xml:space="preserve"> </v>
      </c>
      <c r="T51" s="1000"/>
      <c r="U51" s="25"/>
      <c r="V51" s="25"/>
    </row>
    <row r="52" spans="1:25" ht="19.5" customHeight="1" x14ac:dyDescent="0.2">
      <c r="A52" s="101"/>
      <c r="B52" s="102"/>
      <c r="C52" s="60"/>
      <c r="D52" s="69"/>
      <c r="E52" s="25"/>
      <c r="F52" s="25"/>
      <c r="G52" s="101"/>
      <c r="H52" s="161"/>
      <c r="I52" s="161"/>
      <c r="J52" s="161"/>
      <c r="K52" s="161"/>
      <c r="L52" s="161"/>
      <c r="M52" s="161"/>
      <c r="N52" s="161"/>
      <c r="O52" s="161"/>
      <c r="P52" s="161"/>
      <c r="Q52" s="101"/>
      <c r="R52" s="101"/>
      <c r="S52" s="25"/>
      <c r="T52" s="25"/>
      <c r="U52" s="25"/>
      <c r="V52" s="25"/>
    </row>
    <row r="53" spans="1:25" ht="34.5" customHeight="1" thickBot="1" x14ac:dyDescent="0.25">
      <c r="A53" s="101"/>
      <c r="B53" s="992" t="s">
        <v>148</v>
      </c>
      <c r="C53" s="992"/>
      <c r="D53" s="992"/>
      <c r="E53" s="992"/>
      <c r="F53" s="101"/>
      <c r="G53" s="70" t="s">
        <v>150</v>
      </c>
      <c r="H53" s="751" t="s">
        <v>151</v>
      </c>
      <c r="I53" s="751"/>
      <c r="J53" s="752" t="s">
        <v>152</v>
      </c>
      <c r="K53" s="752"/>
      <c r="L53" s="751" t="s">
        <v>153</v>
      </c>
      <c r="M53" s="751"/>
      <c r="N53" s="751" t="s">
        <v>154</v>
      </c>
      <c r="O53" s="751"/>
      <c r="P53" s="752" t="s">
        <v>155</v>
      </c>
      <c r="Q53" s="752"/>
      <c r="R53" s="74" t="s">
        <v>156</v>
      </c>
      <c r="S53" s="75" t="s">
        <v>157</v>
      </c>
      <c r="T53" s="74" t="s">
        <v>158</v>
      </c>
      <c r="U53" s="75" t="s">
        <v>157</v>
      </c>
      <c r="V53" s="69"/>
    </row>
    <row r="54" spans="1:25" ht="14.25" customHeight="1" thickBot="1" x14ac:dyDescent="0.25">
      <c r="A54" s="101"/>
      <c r="B54" s="989">
        <f>'Data entry'!J95</f>
        <v>1</v>
      </c>
      <c r="C54" s="989"/>
      <c r="D54" s="69" t="s">
        <v>162</v>
      </c>
      <c r="E54" s="69"/>
      <c r="F54" s="101"/>
      <c r="G54" s="162">
        <f>IF('Data entry'!J87=0," ",'Data entry'!J87)</f>
        <v>1</v>
      </c>
      <c r="H54" s="990" t="str">
        <f>IF('Data entry'!L87=0," ",'Data entry'!L87)</f>
        <v>3'0</v>
      </c>
      <c r="I54" s="990"/>
      <c r="J54" s="991" t="str">
        <f>IF('Data entry'!N87=0," ",'Data entry'!N87)</f>
        <v>6'8</v>
      </c>
      <c r="K54" s="991"/>
      <c r="L54" s="991" t="str">
        <f>IF('Data entry'!P87=0," ",'Data entry'!P87)</f>
        <v>NONE</v>
      </c>
      <c r="M54" s="991"/>
      <c r="N54" s="991" t="str">
        <f>IF('Data entry'!R87=0," ",'Data entry'!R87)</f>
        <v>------</v>
      </c>
      <c r="O54" s="991"/>
      <c r="P54" s="991" t="str">
        <f>IF('Data entry'!T87=0," ",'Data entry'!T87)</f>
        <v>------</v>
      </c>
      <c r="Q54" s="991"/>
      <c r="R54" s="163">
        <f>IF('Data entry'!V87=0," ",'Data entry'!V87)</f>
        <v>1</v>
      </c>
      <c r="S54" s="164">
        <f>IF('Data entry'!W87=0," ",'Data entry'!W87)</f>
        <v>41</v>
      </c>
      <c r="T54" s="163" t="str">
        <f>IF('Data entry'!X87=0," ",'Data entry'!X87)</f>
        <v xml:space="preserve"> </v>
      </c>
      <c r="U54" s="165" t="str">
        <f>IF('Data entry'!Y87=0," ",'Data entry'!Y87)</f>
        <v xml:space="preserve"> </v>
      </c>
      <c r="V54" s="69"/>
    </row>
    <row r="55" spans="1:25" ht="15.75" hidden="1" customHeight="1" x14ac:dyDescent="0.2">
      <c r="A55" s="101"/>
      <c r="B55" s="101"/>
      <c r="C55" s="60"/>
      <c r="D55" s="83"/>
      <c r="E55" s="101"/>
      <c r="F55" s="101"/>
      <c r="G55" s="166" t="str">
        <f>IF('Data entry'!J88=0," ",'Data entry'!J88)</f>
        <v xml:space="preserve"> </v>
      </c>
      <c r="H55" s="987" t="str">
        <f>IF('Data entry'!L88=0," ",'Data entry'!L88)</f>
        <v xml:space="preserve"> </v>
      </c>
      <c r="I55" s="987"/>
      <c r="J55" s="988" t="str">
        <f>IF('Data entry'!N88=0," ",'Data entry'!N88)</f>
        <v xml:space="preserve"> </v>
      </c>
      <c r="K55" s="988"/>
      <c r="L55" s="988" t="str">
        <f>IF('Data entry'!P88=0," ",'Data entry'!P88)</f>
        <v xml:space="preserve"> </v>
      </c>
      <c r="M55" s="988"/>
      <c r="N55" s="988" t="str">
        <f>IF('Data entry'!R88=0," ",'Data entry'!R88)</f>
        <v xml:space="preserve"> </v>
      </c>
      <c r="O55" s="988"/>
      <c r="P55" s="988" t="str">
        <f>IF('Data entry'!T88=0," ",'Data entry'!T88)</f>
        <v xml:space="preserve"> </v>
      </c>
      <c r="Q55" s="988"/>
      <c r="R55" s="167" t="str">
        <f>IF('Data entry'!V88=0," ",'Data entry'!V88)</f>
        <v xml:space="preserve"> </v>
      </c>
      <c r="S55" s="168" t="str">
        <f>IF('Data entry'!W88=0," ",'Data entry'!W88)</f>
        <v xml:space="preserve"> </v>
      </c>
      <c r="T55" s="167" t="str">
        <f>IF('Data entry'!X88=0," ",'Data entry'!X88)</f>
        <v xml:space="preserve"> </v>
      </c>
      <c r="U55" s="169" t="str">
        <f>IF('Data entry'!Y88=0," ",'Data entry'!Y88)</f>
        <v xml:space="preserve"> </v>
      </c>
      <c r="V55" s="69"/>
    </row>
    <row r="56" spans="1:25" ht="15.75" hidden="1" customHeight="1" x14ac:dyDescent="0.2">
      <c r="A56" s="101"/>
      <c r="F56" s="101"/>
      <c r="G56" s="166" t="str">
        <f>IF('Data entry'!J89=0," ",'Data entry'!J89)</f>
        <v xml:space="preserve"> </v>
      </c>
      <c r="H56" s="987" t="str">
        <f>IF('Data entry'!L89=0," ",'Data entry'!L89)</f>
        <v xml:space="preserve"> </v>
      </c>
      <c r="I56" s="987"/>
      <c r="J56" s="988" t="str">
        <f>IF('Data entry'!N89=0," ",'Data entry'!N89)</f>
        <v xml:space="preserve"> </v>
      </c>
      <c r="K56" s="988"/>
      <c r="L56" s="988" t="str">
        <f>IF('Data entry'!P89=0," ",'Data entry'!P89)</f>
        <v xml:space="preserve"> </v>
      </c>
      <c r="M56" s="988"/>
      <c r="N56" s="988" t="str">
        <f>IF('Data entry'!R89=0," ",'Data entry'!R89)</f>
        <v xml:space="preserve"> </v>
      </c>
      <c r="O56" s="988"/>
      <c r="P56" s="988" t="str">
        <f>IF('Data entry'!T89=0," ",'Data entry'!T89)</f>
        <v xml:space="preserve"> </v>
      </c>
      <c r="Q56" s="988"/>
      <c r="R56" s="167" t="str">
        <f>IF('Data entry'!V89=0," ",'Data entry'!V89)</f>
        <v xml:space="preserve"> </v>
      </c>
      <c r="S56" s="168" t="str">
        <f>IF('Data entry'!W89=0," ",'Data entry'!W89)</f>
        <v xml:space="preserve"> </v>
      </c>
      <c r="T56" s="167" t="str">
        <f>IF('Data entry'!X89=0," ",'Data entry'!X89)</f>
        <v xml:space="preserve"> </v>
      </c>
      <c r="U56" s="169" t="str">
        <f>IF('Data entry'!Y89=0," ",'Data entry'!Y89)</f>
        <v xml:space="preserve"> </v>
      </c>
      <c r="V56" s="69"/>
    </row>
    <row r="57" spans="1:25" ht="15.75" hidden="1" customHeight="1" x14ac:dyDescent="0.2">
      <c r="A57" s="101"/>
      <c r="B57" s="101"/>
      <c r="C57" s="60"/>
      <c r="D57" s="83"/>
      <c r="E57" s="101"/>
      <c r="F57" s="101"/>
      <c r="G57" s="166" t="str">
        <f>IF('Data entry'!J90=0," ",'Data entry'!J90)</f>
        <v xml:space="preserve"> </v>
      </c>
      <c r="H57" s="987" t="str">
        <f>IF('Data entry'!L90=0," ",'Data entry'!L90)</f>
        <v xml:space="preserve"> </v>
      </c>
      <c r="I57" s="987"/>
      <c r="J57" s="988" t="str">
        <f>IF('Data entry'!N90=0," ",'Data entry'!N90)</f>
        <v xml:space="preserve"> </v>
      </c>
      <c r="K57" s="988"/>
      <c r="L57" s="988" t="str">
        <f>IF('Data entry'!P90=0," ",'Data entry'!P90)</f>
        <v xml:space="preserve"> </v>
      </c>
      <c r="M57" s="988"/>
      <c r="N57" s="988" t="str">
        <f>IF('Data entry'!R90=0," ",'Data entry'!R90)</f>
        <v xml:space="preserve"> </v>
      </c>
      <c r="O57" s="988"/>
      <c r="P57" s="988" t="str">
        <f>IF('Data entry'!T90=0," ",'Data entry'!T90)</f>
        <v xml:space="preserve"> </v>
      </c>
      <c r="Q57" s="988"/>
      <c r="R57" s="167" t="str">
        <f>IF('Data entry'!V90=0," ",'Data entry'!V90)</f>
        <v xml:space="preserve"> </v>
      </c>
      <c r="S57" s="168" t="str">
        <f>IF('Data entry'!W90=0," ",'Data entry'!W90)</f>
        <v xml:space="preserve"> </v>
      </c>
      <c r="T57" s="167" t="str">
        <f>IF('Data entry'!X90=0," ",'Data entry'!X90)</f>
        <v xml:space="preserve"> </v>
      </c>
      <c r="U57" s="169" t="str">
        <f>IF('Data entry'!Y90=0," ",'Data entry'!Y90)</f>
        <v xml:space="preserve"> </v>
      </c>
      <c r="V57" s="69"/>
    </row>
    <row r="58" spans="1:25" ht="15.75" hidden="1" customHeight="1" x14ac:dyDescent="0.2">
      <c r="A58" s="101"/>
      <c r="B58" s="101"/>
      <c r="C58" s="60"/>
      <c r="D58" s="83"/>
      <c r="E58" s="101"/>
      <c r="F58" s="101"/>
      <c r="G58" s="166" t="str">
        <f>IF('Data entry'!J91=0," ",'Data entry'!J91)</f>
        <v xml:space="preserve"> </v>
      </c>
      <c r="H58" s="987" t="str">
        <f>IF('Data entry'!L91=0," ",'Data entry'!L91)</f>
        <v xml:space="preserve"> </v>
      </c>
      <c r="I58" s="987"/>
      <c r="J58" s="988" t="str">
        <f>IF('Data entry'!N91=0," ",'Data entry'!N91)</f>
        <v xml:space="preserve"> </v>
      </c>
      <c r="K58" s="988"/>
      <c r="L58" s="988" t="str">
        <f>IF('Data entry'!P91=0," ",'Data entry'!P91)</f>
        <v xml:space="preserve"> </v>
      </c>
      <c r="M58" s="988"/>
      <c r="N58" s="988" t="str">
        <f>IF('Data entry'!R91=0," ",'Data entry'!R91)</f>
        <v xml:space="preserve"> </v>
      </c>
      <c r="O58" s="988"/>
      <c r="P58" s="988" t="str">
        <f>IF('Data entry'!T91=0," ",'Data entry'!T91)</f>
        <v xml:space="preserve"> </v>
      </c>
      <c r="Q58" s="988"/>
      <c r="R58" s="167" t="str">
        <f>IF('Data entry'!V91=0," ",'Data entry'!V91)</f>
        <v xml:space="preserve"> </v>
      </c>
      <c r="S58" s="168" t="str">
        <f>IF('Data entry'!W91=0," ",'Data entry'!W91)</f>
        <v xml:space="preserve"> </v>
      </c>
      <c r="T58" s="167" t="str">
        <f>IF('Data entry'!X91=0," ",'Data entry'!X91)</f>
        <v xml:space="preserve"> </v>
      </c>
      <c r="U58" s="169" t="str">
        <f>IF('Data entry'!Y91=0," ",'Data entry'!Y91)</f>
        <v xml:space="preserve"> </v>
      </c>
      <c r="V58" s="69"/>
    </row>
    <row r="59" spans="1:25" ht="15.75" hidden="1" customHeight="1" x14ac:dyDescent="0.2">
      <c r="A59" s="101"/>
      <c r="B59" s="101"/>
      <c r="C59" s="60"/>
      <c r="D59" s="83"/>
      <c r="E59" s="101"/>
      <c r="F59" s="101"/>
      <c r="G59" s="166" t="str">
        <f>IF('Data entry'!J92=0," ",'Data entry'!J92)</f>
        <v xml:space="preserve"> </v>
      </c>
      <c r="H59" s="987" t="str">
        <f>IF('Data entry'!L92=0," ",'Data entry'!L92)</f>
        <v xml:space="preserve"> </v>
      </c>
      <c r="I59" s="987"/>
      <c r="J59" s="988" t="str">
        <f>IF('Data entry'!N92=0," ",'Data entry'!N92)</f>
        <v xml:space="preserve"> </v>
      </c>
      <c r="K59" s="988"/>
      <c r="L59" s="988" t="str">
        <f>IF('Data entry'!P92=0," ",'Data entry'!P92)</f>
        <v xml:space="preserve"> </v>
      </c>
      <c r="M59" s="988"/>
      <c r="N59" s="988" t="str">
        <f>IF('Data entry'!R92=0," ",'Data entry'!R92)</f>
        <v xml:space="preserve"> </v>
      </c>
      <c r="O59" s="988"/>
      <c r="P59" s="988" t="str">
        <f>IF('Data entry'!T92=0," ",'Data entry'!T92)</f>
        <v xml:space="preserve"> </v>
      </c>
      <c r="Q59" s="988"/>
      <c r="R59" s="167" t="str">
        <f>IF('Data entry'!V92=0," ",'Data entry'!V92)</f>
        <v xml:space="preserve"> </v>
      </c>
      <c r="S59" s="168" t="str">
        <f>IF('Data entry'!W92=0," ",'Data entry'!W92)</f>
        <v xml:space="preserve"> </v>
      </c>
      <c r="T59" s="167" t="str">
        <f>IF('Data entry'!X92=0," ",'Data entry'!X92)</f>
        <v xml:space="preserve"> </v>
      </c>
      <c r="U59" s="169" t="str">
        <f>IF('Data entry'!Y92=0," ",'Data entry'!Y92)</f>
        <v xml:space="preserve"> </v>
      </c>
      <c r="V59" s="69"/>
    </row>
    <row r="60" spans="1:25" ht="15.75" hidden="1" customHeight="1" x14ac:dyDescent="0.2">
      <c r="A60" s="101"/>
      <c r="B60" s="101"/>
      <c r="C60" s="60"/>
      <c r="D60" s="83"/>
      <c r="E60" s="101"/>
      <c r="F60" s="101"/>
      <c r="G60" s="166" t="str">
        <f>IF('Data entry'!J93=0," ",'Data entry'!J93)</f>
        <v xml:space="preserve"> </v>
      </c>
      <c r="H60" s="987" t="str">
        <f>IF('Data entry'!L93=0," ",'Data entry'!L93)</f>
        <v xml:space="preserve"> </v>
      </c>
      <c r="I60" s="987"/>
      <c r="J60" s="988" t="str">
        <f>IF('Data entry'!N93=0," ",'Data entry'!N93)</f>
        <v xml:space="preserve"> </v>
      </c>
      <c r="K60" s="988"/>
      <c r="L60" s="988" t="str">
        <f>IF('Data entry'!P93=0," ",'Data entry'!P93)</f>
        <v xml:space="preserve"> </v>
      </c>
      <c r="M60" s="988"/>
      <c r="N60" s="988" t="str">
        <f>IF('Data entry'!R93=0," ",'Data entry'!R93)</f>
        <v xml:space="preserve"> </v>
      </c>
      <c r="O60" s="988"/>
      <c r="P60" s="988" t="str">
        <f>IF('Data entry'!T93=0," ",'Data entry'!T93)</f>
        <v xml:space="preserve"> </v>
      </c>
      <c r="Q60" s="988"/>
      <c r="R60" s="167" t="str">
        <f>IF('Data entry'!V93=0," ",'Data entry'!V93)</f>
        <v xml:space="preserve"> </v>
      </c>
      <c r="S60" s="168" t="str">
        <f>IF('Data entry'!W93=0," ",'Data entry'!W93)</f>
        <v xml:space="preserve"> </v>
      </c>
      <c r="T60" s="167" t="str">
        <f>IF('Data entry'!X93=0," ",'Data entry'!X93)</f>
        <v xml:space="preserve"> </v>
      </c>
      <c r="U60" s="169" t="str">
        <f>IF('Data entry'!Y93=0," ",'Data entry'!Y93)</f>
        <v xml:space="preserve"> </v>
      </c>
      <c r="V60" s="69"/>
    </row>
    <row r="61" spans="1:25" ht="15.75" hidden="1" customHeight="1" thickBot="1" x14ac:dyDescent="0.25">
      <c r="A61" s="101"/>
      <c r="B61" s="101"/>
      <c r="C61" s="60"/>
      <c r="D61" s="83"/>
      <c r="E61" s="101"/>
      <c r="F61" s="101"/>
      <c r="G61" s="170" t="str">
        <f>IF('Data entry'!J94=0," ",'Data entry'!J94)</f>
        <v xml:space="preserve"> </v>
      </c>
      <c r="H61" s="985" t="str">
        <f>IF('Data entry'!L94=0," ",'Data entry'!L94)</f>
        <v xml:space="preserve"> </v>
      </c>
      <c r="I61" s="985"/>
      <c r="J61" s="986" t="str">
        <f>IF('Data entry'!N94=0," ",'Data entry'!N94)</f>
        <v xml:space="preserve"> </v>
      </c>
      <c r="K61" s="986"/>
      <c r="L61" s="986" t="str">
        <f>IF('Data entry'!P94=0," ",'Data entry'!P94)</f>
        <v xml:space="preserve"> </v>
      </c>
      <c r="M61" s="986"/>
      <c r="N61" s="986" t="str">
        <f>IF('Data entry'!R94=0," ",'Data entry'!R94)</f>
        <v xml:space="preserve"> </v>
      </c>
      <c r="O61" s="986"/>
      <c r="P61" s="986" t="str">
        <f>IF('Data entry'!T94=0," ",'Data entry'!T94)</f>
        <v xml:space="preserve"> </v>
      </c>
      <c r="Q61" s="986"/>
      <c r="R61" s="171" t="str">
        <f>IF('Data entry'!V94=0," ",'Data entry'!V94)</f>
        <v xml:space="preserve"> </v>
      </c>
      <c r="S61" s="172" t="str">
        <f>IF('Data entry'!W94=0," ",'Data entry'!W94)</f>
        <v xml:space="preserve"> </v>
      </c>
      <c r="T61" s="171" t="str">
        <f>IF('Data entry'!X94=0," ",'Data entry'!X94)</f>
        <v xml:space="preserve"> </v>
      </c>
      <c r="U61" s="173" t="str">
        <f>IF('Data entry'!Y94=0," ",'Data entry'!Y94)</f>
        <v xml:space="preserve"> </v>
      </c>
      <c r="V61" s="69"/>
    </row>
    <row r="62" spans="1:25" ht="15.75" customHeight="1" x14ac:dyDescent="0.2">
      <c r="A62" s="101"/>
      <c r="B62" s="101"/>
      <c r="C62" s="60"/>
      <c r="D62" s="85"/>
      <c r="E62" s="101"/>
      <c r="F62" s="101"/>
      <c r="G62" s="80"/>
      <c r="H62" s="80"/>
      <c r="I62" s="80"/>
      <c r="J62" s="80"/>
      <c r="O62" s="69"/>
      <c r="P62" s="69"/>
      <c r="Q62" s="69"/>
      <c r="R62" s="69"/>
      <c r="S62" s="69"/>
      <c r="T62" s="80"/>
      <c r="U62" s="69"/>
      <c r="V62" s="69"/>
      <c r="W62" s="69"/>
      <c r="X62" s="69"/>
      <c r="Y62" s="69"/>
    </row>
    <row r="63" spans="1:25" s="101" customFormat="1" ht="15.75" customHeight="1" x14ac:dyDescent="0.2">
      <c r="C63" s="60"/>
      <c r="D63" s="85"/>
      <c r="E63" s="80"/>
      <c r="F63" s="80"/>
      <c r="G63" s="80"/>
      <c r="H63" s="80"/>
      <c r="I63" s="174"/>
      <c r="J63" s="174"/>
      <c r="K63" s="69"/>
      <c r="L63" s="69"/>
      <c r="M63" s="69"/>
      <c r="N63" s="69"/>
      <c r="O63" s="69"/>
      <c r="P63" s="69"/>
      <c r="Q63" s="69"/>
      <c r="R63" s="80"/>
      <c r="S63" s="69"/>
      <c r="T63" s="69"/>
      <c r="U63" s="69"/>
      <c r="V63" s="69"/>
      <c r="W63" s="69"/>
      <c r="X63" s="69"/>
      <c r="Y63" s="69"/>
    </row>
    <row r="64" spans="1:25" ht="15.75" customHeight="1" x14ac:dyDescent="0.2">
      <c r="A64" s="101"/>
      <c r="B64" s="101"/>
      <c r="C64" s="60"/>
      <c r="D64" s="85"/>
      <c r="E64" s="982" t="s">
        <v>163</v>
      </c>
      <c r="F64" s="982"/>
      <c r="G64" s="982"/>
      <c r="H64" s="982"/>
      <c r="I64" s="982"/>
      <c r="J64" s="982"/>
      <c r="K64" s="982"/>
      <c r="L64" s="982"/>
      <c r="M64" s="982"/>
      <c r="N64" s="982"/>
      <c r="O64" s="982"/>
      <c r="P64" s="982"/>
      <c r="Q64" s="982"/>
      <c r="R64" s="982"/>
      <c r="S64" s="982"/>
      <c r="T64" s="25"/>
      <c r="U64" s="25"/>
      <c r="V64" s="25"/>
      <c r="W64" s="20"/>
      <c r="X64" s="20"/>
      <c r="Y64" s="20"/>
    </row>
    <row r="65" spans="1:26" ht="16.5" customHeight="1" x14ac:dyDescent="0.2">
      <c r="A65" s="101"/>
      <c r="B65" s="101"/>
      <c r="C65" s="60"/>
      <c r="D65" s="85"/>
      <c r="E65" s="982" t="s">
        <v>92</v>
      </c>
      <c r="F65" s="982"/>
      <c r="G65" s="982" t="s">
        <v>150</v>
      </c>
      <c r="H65" s="982"/>
      <c r="I65" s="982"/>
      <c r="J65" s="982"/>
      <c r="K65" s="982" t="s">
        <v>92</v>
      </c>
      <c r="L65" s="982"/>
      <c r="M65" s="982"/>
      <c r="N65" s="982" t="s">
        <v>150</v>
      </c>
      <c r="O65" s="982"/>
      <c r="P65" s="982"/>
      <c r="Q65" s="982"/>
      <c r="R65" s="175"/>
      <c r="S65" s="175"/>
      <c r="T65" s="175"/>
      <c r="U65" s="101"/>
      <c r="V65" s="25"/>
    </row>
    <row r="66" spans="1:26" ht="18" customHeight="1" x14ac:dyDescent="0.2">
      <c r="A66" s="101"/>
      <c r="B66" s="101"/>
      <c r="C66" s="60"/>
      <c r="D66" s="83"/>
      <c r="E66" s="983"/>
      <c r="F66" s="983"/>
      <c r="G66" s="984"/>
      <c r="H66" s="984"/>
      <c r="I66" s="984"/>
      <c r="J66" s="984"/>
      <c r="K66" s="984" t="str">
        <f>IF('Data entry'!R98=0," ",'Data entry'!R98)</f>
        <v>6'0</v>
      </c>
      <c r="L66" s="984"/>
      <c r="M66" s="984"/>
      <c r="N66" s="984"/>
      <c r="O66" s="984">
        <f>IF('Data entry'!V98=0," ",'Data entry'!V98)</f>
        <v>1</v>
      </c>
      <c r="P66" s="984"/>
      <c r="Q66" s="984"/>
      <c r="R66" s="984"/>
      <c r="S66" s="60"/>
      <c r="T66" s="60"/>
      <c r="U66" s="60"/>
      <c r="V66" s="60"/>
    </row>
    <row r="67" spans="1:26" ht="0.75" customHeight="1" x14ac:dyDescent="0.2">
      <c r="A67" s="101"/>
      <c r="B67" s="101"/>
      <c r="C67" s="60"/>
      <c r="D67" s="83"/>
      <c r="E67" s="980"/>
      <c r="F67" s="980"/>
      <c r="G67" s="980"/>
      <c r="H67" s="980"/>
      <c r="I67" s="980"/>
      <c r="J67" s="980"/>
      <c r="K67" s="980"/>
      <c r="L67" s="980"/>
      <c r="M67" s="980"/>
      <c r="N67" s="980"/>
      <c r="O67" s="980"/>
      <c r="P67" s="980"/>
      <c r="Q67" s="980"/>
      <c r="R67" s="980"/>
      <c r="S67" s="176"/>
      <c r="T67" s="177"/>
      <c r="U67" s="101"/>
      <c r="V67" s="101"/>
    </row>
    <row r="68" spans="1:26" ht="18" hidden="1" customHeight="1" x14ac:dyDescent="0.2">
      <c r="A68" s="101"/>
      <c r="B68" s="101"/>
      <c r="C68" s="60"/>
      <c r="D68" s="83"/>
      <c r="E68" s="178"/>
      <c r="F68" s="179"/>
      <c r="G68" s="981"/>
      <c r="H68" s="981"/>
      <c r="I68" s="93"/>
      <c r="J68" s="93"/>
      <c r="K68" s="981"/>
      <c r="L68" s="981"/>
      <c r="M68" s="981"/>
      <c r="N68" s="981"/>
      <c r="O68" s="981"/>
      <c r="P68" s="981"/>
      <c r="Q68" s="93"/>
      <c r="R68" s="180"/>
      <c r="S68" s="25"/>
      <c r="T68" s="101"/>
      <c r="U68" s="101"/>
      <c r="V68" s="101"/>
    </row>
    <row r="69" spans="1:26" ht="18" hidden="1" customHeight="1" thickBot="1" x14ac:dyDescent="0.25">
      <c r="A69" s="101"/>
      <c r="B69" s="101"/>
      <c r="C69" s="60"/>
      <c r="D69" s="83"/>
      <c r="E69" s="150"/>
      <c r="F69" s="150"/>
      <c r="G69" s="975"/>
      <c r="H69" s="975"/>
      <c r="I69" s="181"/>
      <c r="J69" s="182"/>
      <c r="K69" s="976"/>
      <c r="L69" s="976"/>
      <c r="M69" s="977"/>
      <c r="N69" s="977"/>
      <c r="O69" s="978"/>
      <c r="P69" s="978"/>
      <c r="Q69" s="183"/>
      <c r="R69" s="182"/>
      <c r="S69" s="25"/>
      <c r="T69" s="101"/>
      <c r="U69" s="101"/>
      <c r="V69" s="101"/>
    </row>
    <row r="70" spans="1:26" ht="18" customHeight="1" x14ac:dyDescent="0.2">
      <c r="A70" s="101"/>
      <c r="B70" s="25"/>
      <c r="C70" s="60"/>
      <c r="D70" s="85"/>
      <c r="E70" s="101"/>
      <c r="F70" s="184"/>
      <c r="G70" s="184"/>
      <c r="H70" s="184"/>
      <c r="I70" s="184"/>
      <c r="J70" s="184"/>
      <c r="K70" s="184"/>
      <c r="L70" s="184"/>
      <c r="M70" s="184"/>
      <c r="N70" s="184"/>
      <c r="O70" s="184"/>
      <c r="P70" s="184"/>
      <c r="Q70" s="184"/>
      <c r="R70" s="184"/>
      <c r="S70" s="184"/>
      <c r="T70" s="25"/>
      <c r="U70" s="25"/>
      <c r="V70" s="25"/>
      <c r="W70" s="20"/>
      <c r="X70" s="20"/>
      <c r="Y70" s="20"/>
    </row>
    <row r="71" spans="1:26" ht="18" customHeight="1" thickBot="1" x14ac:dyDescent="0.25">
      <c r="A71" s="101"/>
      <c r="B71" s="101"/>
      <c r="C71" s="101"/>
      <c r="D71" s="185"/>
      <c r="E71" s="979" t="s">
        <v>171</v>
      </c>
      <c r="F71" s="979"/>
      <c r="G71" s="979"/>
      <c r="H71" s="979"/>
      <c r="I71" s="979"/>
      <c r="J71" s="979"/>
      <c r="K71" s="979"/>
      <c r="L71" s="979"/>
      <c r="M71" s="979"/>
      <c r="N71" s="979"/>
      <c r="O71" s="186"/>
      <c r="P71" s="186"/>
      <c r="Q71" s="101"/>
      <c r="R71" s="101"/>
      <c r="S71" s="25"/>
      <c r="T71" s="25"/>
      <c r="U71" s="25"/>
      <c r="V71" s="25"/>
      <c r="Y71" s="20"/>
    </row>
    <row r="72" spans="1:26" ht="18" customHeight="1" thickBot="1" x14ac:dyDescent="0.25">
      <c r="A72" s="101"/>
      <c r="B72" s="101"/>
      <c r="C72" s="974" t="str">
        <f>IF('Data entry'!J105=0," ",'Data entry'!J105)</f>
        <v xml:space="preserve"> </v>
      </c>
      <c r="D72" s="974"/>
      <c r="E72" s="974"/>
      <c r="F72" s="974"/>
      <c r="G72" s="974"/>
      <c r="H72" s="974"/>
      <c r="I72" s="974"/>
      <c r="J72" s="974"/>
      <c r="K72" s="974"/>
      <c r="L72" s="974"/>
      <c r="M72" s="974"/>
      <c r="N72" s="974"/>
      <c r="O72" s="974"/>
      <c r="P72" s="974"/>
      <c r="Q72" s="974"/>
      <c r="R72" s="974"/>
      <c r="S72" s="974"/>
      <c r="T72" s="974"/>
      <c r="U72" s="974"/>
      <c r="V72" s="974"/>
    </row>
    <row r="73" spans="1:26" ht="18" customHeight="1" thickBot="1" x14ac:dyDescent="0.25">
      <c r="A73" s="101"/>
      <c r="B73" s="101"/>
      <c r="C73" s="974" t="str">
        <f>IF('Data entry'!J106=0," ",'Data entry'!J106)</f>
        <v xml:space="preserve"> </v>
      </c>
      <c r="D73" s="974"/>
      <c r="E73" s="974"/>
      <c r="F73" s="974"/>
      <c r="G73" s="974"/>
      <c r="H73" s="974"/>
      <c r="I73" s="974"/>
      <c r="J73" s="974"/>
      <c r="K73" s="974"/>
      <c r="L73" s="974"/>
      <c r="M73" s="974"/>
      <c r="N73" s="974"/>
      <c r="O73" s="974"/>
      <c r="P73" s="974"/>
      <c r="Q73" s="974"/>
      <c r="R73" s="974"/>
      <c r="S73" s="974"/>
      <c r="T73" s="974"/>
      <c r="U73" s="974"/>
      <c r="V73" s="974"/>
    </row>
    <row r="74" spans="1:26" ht="18" customHeight="1" thickBot="1" x14ac:dyDescent="0.25">
      <c r="A74" s="101"/>
      <c r="B74" s="101"/>
      <c r="C74" s="974" t="str">
        <f>IF('Data entry'!J107=0," ",'Data entry'!J107)</f>
        <v xml:space="preserve"> </v>
      </c>
      <c r="D74" s="974"/>
      <c r="E74" s="974"/>
      <c r="F74" s="974"/>
      <c r="G74" s="974"/>
      <c r="H74" s="974"/>
      <c r="I74" s="974"/>
      <c r="J74" s="974"/>
      <c r="K74" s="974"/>
      <c r="L74" s="974"/>
      <c r="M74" s="974"/>
      <c r="N74" s="974"/>
      <c r="O74" s="974"/>
      <c r="P74" s="974"/>
      <c r="Q74" s="974"/>
      <c r="R74" s="974"/>
      <c r="S74" s="974"/>
      <c r="T74" s="974"/>
      <c r="U74" s="974"/>
      <c r="V74" s="974"/>
    </row>
    <row r="75" spans="1:26" ht="18" customHeight="1" thickBot="1" x14ac:dyDescent="0.25">
      <c r="A75" s="101"/>
      <c r="B75" s="101"/>
      <c r="C75" s="974" t="str">
        <f>IF('Data entry'!J108=0," ",'Data entry'!J108)</f>
        <v xml:space="preserve"> </v>
      </c>
      <c r="D75" s="974"/>
      <c r="E75" s="974"/>
      <c r="F75" s="974"/>
      <c r="G75" s="974"/>
      <c r="H75" s="974"/>
      <c r="I75" s="974"/>
      <c r="J75" s="974"/>
      <c r="K75" s="974"/>
      <c r="L75" s="974"/>
      <c r="M75" s="974"/>
      <c r="N75" s="974"/>
      <c r="O75" s="974"/>
      <c r="P75" s="974"/>
      <c r="Q75" s="974"/>
      <c r="R75" s="974"/>
      <c r="S75" s="974"/>
      <c r="T75" s="974"/>
      <c r="U75" s="974"/>
      <c r="V75" s="974"/>
    </row>
    <row r="76" spans="1:26" ht="18" customHeight="1" thickBot="1" x14ac:dyDescent="0.25">
      <c r="A76" s="101"/>
      <c r="B76" s="101"/>
      <c r="C76" s="974" t="str">
        <f>IF('Data entry'!J109=0," ",'Data entry'!J109)</f>
        <v xml:space="preserve"> </v>
      </c>
      <c r="D76" s="974"/>
      <c r="E76" s="974"/>
      <c r="F76" s="974"/>
      <c r="G76" s="974"/>
      <c r="H76" s="974"/>
      <c r="I76" s="974"/>
      <c r="J76" s="974"/>
      <c r="K76" s="974"/>
      <c r="L76" s="974"/>
      <c r="M76" s="974"/>
      <c r="N76" s="974"/>
      <c r="O76" s="974"/>
      <c r="P76" s="974"/>
      <c r="Q76" s="974"/>
      <c r="R76" s="974"/>
      <c r="S76" s="974"/>
      <c r="T76" s="974"/>
      <c r="U76" s="974"/>
      <c r="V76" s="974"/>
    </row>
    <row r="77" spans="1:26" ht="18" customHeight="1" x14ac:dyDescent="0.2">
      <c r="C77" s="29"/>
      <c r="D77" s="29"/>
      <c r="E77" s="20"/>
      <c r="F77" s="20"/>
      <c r="G77" s="20"/>
      <c r="H77" s="20"/>
      <c r="I77" s="20"/>
      <c r="J77" s="20"/>
      <c r="K77" s="20"/>
      <c r="L77" s="20"/>
      <c r="M77" s="20"/>
      <c r="N77" s="20"/>
      <c r="O77" s="20"/>
      <c r="P77" s="20"/>
      <c r="Q77" s="20"/>
      <c r="R77" s="20"/>
      <c r="S77" s="20"/>
      <c r="T77" s="20"/>
      <c r="U77" s="20"/>
      <c r="V77" s="20"/>
      <c r="W77" s="20"/>
      <c r="X77" s="20"/>
      <c r="Y77" s="20"/>
      <c r="Z77" s="20"/>
    </row>
  </sheetData>
  <sheetProtection selectLockedCells="1" selectUnlockedCells="1"/>
  <mergeCells count="185">
    <mergeCell ref="E27:G27"/>
    <mergeCell ref="B1:L1"/>
    <mergeCell ref="N1:T1"/>
    <mergeCell ref="B3:G3"/>
    <mergeCell ref="B4:C4"/>
    <mergeCell ref="D4:F4"/>
    <mergeCell ref="B5:C5"/>
    <mergeCell ref="D5:F5"/>
    <mergeCell ref="M5:O5"/>
    <mergeCell ref="B8:C8"/>
    <mergeCell ref="D8:F8"/>
    <mergeCell ref="M8:O8"/>
    <mergeCell ref="B9:C9"/>
    <mergeCell ref="M9:O9"/>
    <mergeCell ref="B10:C10"/>
    <mergeCell ref="D10:F10"/>
    <mergeCell ref="M10:O10"/>
    <mergeCell ref="B6:C6"/>
    <mergeCell ref="D6:F6"/>
    <mergeCell ref="M6:O6"/>
    <mergeCell ref="B7:C7"/>
    <mergeCell ref="D7:F7"/>
    <mergeCell ref="M7:O7"/>
    <mergeCell ref="B14:H14"/>
    <mergeCell ref="C15:D15"/>
    <mergeCell ref="E15:F15"/>
    <mergeCell ref="M15:O15"/>
    <mergeCell ref="B16:D16"/>
    <mergeCell ref="E16:F16"/>
    <mergeCell ref="M16:O16"/>
    <mergeCell ref="P10:Q10"/>
    <mergeCell ref="B11:C11"/>
    <mergeCell ref="D11:F11"/>
    <mergeCell ref="M11:O11"/>
    <mergeCell ref="P11:Q11"/>
    <mergeCell ref="P16:Q16"/>
    <mergeCell ref="B12:C12"/>
    <mergeCell ref="D12:F12"/>
    <mergeCell ref="M23:P23"/>
    <mergeCell ref="M24:P24"/>
    <mergeCell ref="B19:D19"/>
    <mergeCell ref="E19:F19"/>
    <mergeCell ref="M19:O19"/>
    <mergeCell ref="P19:Q19"/>
    <mergeCell ref="M20:O20"/>
    <mergeCell ref="P20:Q20"/>
    <mergeCell ref="B17:D17"/>
    <mergeCell ref="E17:F17"/>
    <mergeCell ref="M17:O17"/>
    <mergeCell ref="P17:Q17"/>
    <mergeCell ref="B18:D18"/>
    <mergeCell ref="E18:F18"/>
    <mergeCell ref="M18:O18"/>
    <mergeCell ref="P18:Q18"/>
    <mergeCell ref="M22:P22"/>
    <mergeCell ref="B31:F49"/>
    <mergeCell ref="M31:N31"/>
    <mergeCell ref="S31:T31"/>
    <mergeCell ref="M32:N32"/>
    <mergeCell ref="S32:T32"/>
    <mergeCell ref="M25:P25"/>
    <mergeCell ref="M26:P26"/>
    <mergeCell ref="C28:H28"/>
    <mergeCell ref="M28:N28"/>
    <mergeCell ref="S28:T28"/>
    <mergeCell ref="M36:N36"/>
    <mergeCell ref="S36:T36"/>
    <mergeCell ref="M37:N37"/>
    <mergeCell ref="S37:T37"/>
    <mergeCell ref="M38:N38"/>
    <mergeCell ref="S38:T38"/>
    <mergeCell ref="M33:N33"/>
    <mergeCell ref="S33:T33"/>
    <mergeCell ref="M34:N34"/>
    <mergeCell ref="S34:T34"/>
    <mergeCell ref="M35:N35"/>
    <mergeCell ref="S35:T35"/>
    <mergeCell ref="M39:N39"/>
    <mergeCell ref="B27:D27"/>
    <mergeCell ref="S39:T39"/>
    <mergeCell ref="M40:N40"/>
    <mergeCell ref="S40:T40"/>
    <mergeCell ref="I41:J45"/>
    <mergeCell ref="M41:N41"/>
    <mergeCell ref="S41:T41"/>
    <mergeCell ref="M42:N42"/>
    <mergeCell ref="S42:T42"/>
    <mergeCell ref="M43:N43"/>
    <mergeCell ref="I29:J40"/>
    <mergeCell ref="M29:N29"/>
    <mergeCell ref="S29:T29"/>
    <mergeCell ref="M30:N30"/>
    <mergeCell ref="S30:T30"/>
    <mergeCell ref="S43:T43"/>
    <mergeCell ref="M44:N44"/>
    <mergeCell ref="S44:T44"/>
    <mergeCell ref="M45:N45"/>
    <mergeCell ref="S45:T45"/>
    <mergeCell ref="I46:I51"/>
    <mergeCell ref="J46:J48"/>
    <mergeCell ref="M46:N46"/>
    <mergeCell ref="S46:T46"/>
    <mergeCell ref="M47:N47"/>
    <mergeCell ref="S47:T47"/>
    <mergeCell ref="M48:N48"/>
    <mergeCell ref="S48:T48"/>
    <mergeCell ref="J49:J51"/>
    <mergeCell ref="M49:N49"/>
    <mergeCell ref="S49:T49"/>
    <mergeCell ref="M50:N50"/>
    <mergeCell ref="S50:T50"/>
    <mergeCell ref="M51:N51"/>
    <mergeCell ref="S51:T51"/>
    <mergeCell ref="B54:C54"/>
    <mergeCell ref="H54:I54"/>
    <mergeCell ref="J54:K54"/>
    <mergeCell ref="L54:M54"/>
    <mergeCell ref="N54:O54"/>
    <mergeCell ref="P54:Q54"/>
    <mergeCell ref="B53:E53"/>
    <mergeCell ref="H53:I53"/>
    <mergeCell ref="J53:K53"/>
    <mergeCell ref="L53:M53"/>
    <mergeCell ref="N53:O53"/>
    <mergeCell ref="P53:Q53"/>
    <mergeCell ref="H55:I55"/>
    <mergeCell ref="J55:K55"/>
    <mergeCell ref="L55:M55"/>
    <mergeCell ref="N55:O55"/>
    <mergeCell ref="P55:Q55"/>
    <mergeCell ref="H56:I56"/>
    <mergeCell ref="J56:K56"/>
    <mergeCell ref="L56:M56"/>
    <mergeCell ref="N56:O56"/>
    <mergeCell ref="P56:Q56"/>
    <mergeCell ref="H57:I57"/>
    <mergeCell ref="J57:K57"/>
    <mergeCell ref="L57:M57"/>
    <mergeCell ref="N57:O57"/>
    <mergeCell ref="P57:Q57"/>
    <mergeCell ref="H58:I58"/>
    <mergeCell ref="J58:K58"/>
    <mergeCell ref="L58:M58"/>
    <mergeCell ref="N58:O58"/>
    <mergeCell ref="P58:Q58"/>
    <mergeCell ref="H61:I61"/>
    <mergeCell ref="J61:K61"/>
    <mergeCell ref="L61:M61"/>
    <mergeCell ref="N61:O61"/>
    <mergeCell ref="P61:Q61"/>
    <mergeCell ref="E64:S64"/>
    <mergeCell ref="H59:I59"/>
    <mergeCell ref="J59:K59"/>
    <mergeCell ref="L59:M59"/>
    <mergeCell ref="N59:O59"/>
    <mergeCell ref="P59:Q59"/>
    <mergeCell ref="H60:I60"/>
    <mergeCell ref="J60:K60"/>
    <mergeCell ref="L60:M60"/>
    <mergeCell ref="N60:O60"/>
    <mergeCell ref="P60:Q60"/>
    <mergeCell ref="E67:J67"/>
    <mergeCell ref="K67:R67"/>
    <mergeCell ref="G68:H68"/>
    <mergeCell ref="K68:L68"/>
    <mergeCell ref="M68:N68"/>
    <mergeCell ref="O68:P68"/>
    <mergeCell ref="E65:F65"/>
    <mergeCell ref="G65:J65"/>
    <mergeCell ref="K65:M65"/>
    <mergeCell ref="N65:Q65"/>
    <mergeCell ref="E66:F66"/>
    <mergeCell ref="G66:J66"/>
    <mergeCell ref="K66:N66"/>
    <mergeCell ref="O66:R66"/>
    <mergeCell ref="C73:V73"/>
    <mergeCell ref="C74:V74"/>
    <mergeCell ref="C75:V75"/>
    <mergeCell ref="C76:V76"/>
    <mergeCell ref="G69:H69"/>
    <mergeCell ref="K69:L69"/>
    <mergeCell ref="M69:N69"/>
    <mergeCell ref="O69:P69"/>
    <mergeCell ref="E71:N71"/>
    <mergeCell ref="C72:V72"/>
  </mergeCells>
  <dataValidations count="5">
    <dataValidation type="list" allowBlank="1" showErrorMessage="1" sqref="J54:K61">
      <formula1>height</formula1>
      <formula2>0</formula2>
    </dataValidation>
    <dataValidation type="list" allowBlank="1" showErrorMessage="1" sqref="H54:I61 R54:R61 T54:T61">
      <formula1>width</formula1>
      <formula2>0</formula2>
    </dataValidation>
    <dataValidation type="list" allowBlank="1" showErrorMessage="1" sqref="L54:M61">
      <formula1>doorstyle</formula1>
      <formula2>0</formula2>
    </dataValidation>
    <dataValidation type="list" allowBlank="1" showErrorMessage="1" sqref="P54:Q61">
      <formula1>Swing</formula1>
      <formula2>0</formula2>
    </dataValidation>
    <dataValidation type="list" allowBlank="1" showErrorMessage="1" sqref="N54:O61">
      <formula1>openhanded</formula1>
      <formula2>0</formula2>
    </dataValidation>
  </dataValidations>
  <pageMargins left="0.7" right="0.7" top="0.75" bottom="0.75" header="0.51180555555555551" footer="0.51180555555555551"/>
  <pageSetup scale="49" firstPageNumber="0" orientation="landscape"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BV50"/>
  <sheetViews>
    <sheetView topLeftCell="A16" zoomScale="40" zoomScaleNormal="40" workbookViewId="0">
      <selection activeCell="B40" sqref="B40:N50"/>
    </sheetView>
  </sheetViews>
  <sheetFormatPr defaultRowHeight="12.75" x14ac:dyDescent="0.2"/>
  <cols>
    <col min="74" max="74" width="8.140625" customWidth="1"/>
  </cols>
  <sheetData>
    <row r="1" spans="2:74" ht="13.5" thickBot="1" x14ac:dyDescent="0.25"/>
    <row r="2" spans="2:74" ht="62.25" thickBot="1" x14ac:dyDescent="0.55000000000000004">
      <c r="B2" s="1034" t="s">
        <v>728</v>
      </c>
      <c r="C2" s="1035"/>
      <c r="D2" s="1035"/>
      <c r="E2" s="1035"/>
      <c r="F2" s="1035"/>
      <c r="G2" s="1035"/>
      <c r="H2" s="1036"/>
      <c r="I2" s="1037" t="s">
        <v>729</v>
      </c>
      <c r="J2" s="1038"/>
      <c r="K2" s="1038"/>
      <c r="L2" s="1038"/>
      <c r="M2" s="1038"/>
      <c r="N2" s="1039"/>
      <c r="Q2" s="1034" t="s">
        <v>730</v>
      </c>
      <c r="R2" s="1035"/>
      <c r="S2" s="1035"/>
      <c r="T2" s="1035"/>
      <c r="U2" s="1035"/>
      <c r="V2" s="1035"/>
      <c r="W2" s="1036"/>
      <c r="X2" s="1037" t="s">
        <v>729</v>
      </c>
      <c r="Y2" s="1038"/>
      <c r="Z2" s="1038"/>
      <c r="AA2" s="1038"/>
      <c r="AB2" s="1038"/>
      <c r="AC2" s="1039"/>
      <c r="AF2" s="1034" t="s">
        <v>731</v>
      </c>
      <c r="AG2" s="1035"/>
      <c r="AH2" s="1035"/>
      <c r="AI2" s="1035"/>
      <c r="AJ2" s="1035"/>
      <c r="AK2" s="1035"/>
      <c r="AL2" s="1036"/>
      <c r="AM2" s="1037"/>
      <c r="AN2" s="1038"/>
      <c r="AO2" s="1038"/>
      <c r="AP2" s="1038"/>
      <c r="AQ2" s="1038"/>
      <c r="AR2" s="1039"/>
      <c r="AU2" s="1034" t="s">
        <v>732</v>
      </c>
      <c r="AV2" s="1035"/>
      <c r="AW2" s="1035"/>
      <c r="AX2" s="1035"/>
      <c r="AY2" s="1035"/>
      <c r="AZ2" s="1035"/>
      <c r="BA2" s="1036"/>
      <c r="BB2" s="1037" t="s">
        <v>212</v>
      </c>
      <c r="BC2" s="1038"/>
      <c r="BD2" s="1038"/>
      <c r="BE2" s="1038"/>
      <c r="BF2" s="1038"/>
      <c r="BG2" s="1039"/>
      <c r="BJ2" s="1034" t="s">
        <v>733</v>
      </c>
      <c r="BK2" s="1035"/>
      <c r="BL2" s="1035"/>
      <c r="BM2" s="1035"/>
      <c r="BN2" s="1035"/>
      <c r="BO2" s="1035"/>
      <c r="BP2" s="1036"/>
      <c r="BQ2" s="1049" t="s">
        <v>772</v>
      </c>
      <c r="BR2" s="1050"/>
      <c r="BS2" s="1050"/>
      <c r="BT2" s="1050"/>
      <c r="BU2" s="1050" t="e">
        <f>IF('Data entry'!Y44:AA44=none,0,'Data entry'!AK9)</f>
        <v>#VALUE!</v>
      </c>
      <c r="BV2" s="1051"/>
    </row>
    <row r="3" spans="2:74" ht="18.75" customHeight="1" x14ac:dyDescent="0.2">
      <c r="B3" s="1040" t="str">
        <f>'Data entry'!L2</f>
        <v>Phillips</v>
      </c>
      <c r="C3" s="1041"/>
      <c r="D3" s="1041"/>
      <c r="E3" s="1041"/>
      <c r="F3" s="1041"/>
      <c r="G3" s="1041"/>
      <c r="H3" s="1041"/>
      <c r="I3" s="1041"/>
      <c r="J3" s="1041"/>
      <c r="K3" s="1041"/>
      <c r="L3" s="1041"/>
      <c r="M3" s="1041"/>
      <c r="N3" s="1042"/>
      <c r="Q3" s="1040" t="str">
        <f>B3</f>
        <v>Phillips</v>
      </c>
      <c r="R3" s="1041"/>
      <c r="S3" s="1041"/>
      <c r="T3" s="1041"/>
      <c r="U3" s="1041"/>
      <c r="V3" s="1041"/>
      <c r="W3" s="1041"/>
      <c r="X3" s="1041"/>
      <c r="Y3" s="1041"/>
      <c r="Z3" s="1041"/>
      <c r="AA3" s="1041"/>
      <c r="AB3" s="1041"/>
      <c r="AC3" s="1042"/>
      <c r="AF3" s="1040" t="str">
        <f>B3</f>
        <v>Phillips</v>
      </c>
      <c r="AG3" s="1041"/>
      <c r="AH3" s="1041"/>
      <c r="AI3" s="1041"/>
      <c r="AJ3" s="1041"/>
      <c r="AK3" s="1041"/>
      <c r="AL3" s="1041"/>
      <c r="AM3" s="1041"/>
      <c r="AN3" s="1041"/>
      <c r="AO3" s="1041"/>
      <c r="AP3" s="1041"/>
      <c r="AQ3" s="1041"/>
      <c r="AR3" s="1042"/>
      <c r="AU3" s="1040" t="str">
        <f>B3</f>
        <v>Phillips</v>
      </c>
      <c r="AV3" s="1041"/>
      <c r="AW3" s="1041"/>
      <c r="AX3" s="1041"/>
      <c r="AY3" s="1041"/>
      <c r="AZ3" s="1041"/>
      <c r="BA3" s="1041"/>
      <c r="BB3" s="1041"/>
      <c r="BC3" s="1041"/>
      <c r="BD3" s="1041"/>
      <c r="BE3" s="1041"/>
      <c r="BF3" s="1041"/>
      <c r="BG3" s="1042"/>
      <c r="BJ3" s="1040" t="str">
        <f>B3</f>
        <v>Phillips</v>
      </c>
      <c r="BK3" s="1041"/>
      <c r="BL3" s="1041"/>
      <c r="BM3" s="1041"/>
      <c r="BN3" s="1041"/>
      <c r="BO3" s="1041"/>
      <c r="BP3" s="1041"/>
      <c r="BQ3" s="1041"/>
      <c r="BR3" s="1041"/>
      <c r="BS3" s="1041"/>
      <c r="BT3" s="1041"/>
      <c r="BU3" s="1041"/>
      <c r="BV3" s="1042"/>
    </row>
    <row r="4" spans="2:74" ht="18.75" customHeight="1" x14ac:dyDescent="0.2">
      <c r="B4" s="1043"/>
      <c r="C4" s="1044"/>
      <c r="D4" s="1044"/>
      <c r="E4" s="1044"/>
      <c r="F4" s="1044"/>
      <c r="G4" s="1044"/>
      <c r="H4" s="1044"/>
      <c r="I4" s="1044"/>
      <c r="J4" s="1044"/>
      <c r="K4" s="1044"/>
      <c r="L4" s="1044"/>
      <c r="M4" s="1044"/>
      <c r="N4" s="1045"/>
      <c r="Q4" s="1043"/>
      <c r="R4" s="1044"/>
      <c r="S4" s="1044"/>
      <c r="T4" s="1044"/>
      <c r="U4" s="1044"/>
      <c r="V4" s="1044"/>
      <c r="W4" s="1044"/>
      <c r="X4" s="1044"/>
      <c r="Y4" s="1044"/>
      <c r="Z4" s="1044"/>
      <c r="AA4" s="1044"/>
      <c r="AB4" s="1044"/>
      <c r="AC4" s="1045"/>
      <c r="AF4" s="1043"/>
      <c r="AG4" s="1044"/>
      <c r="AH4" s="1044"/>
      <c r="AI4" s="1044"/>
      <c r="AJ4" s="1044"/>
      <c r="AK4" s="1044"/>
      <c r="AL4" s="1044"/>
      <c r="AM4" s="1044"/>
      <c r="AN4" s="1044"/>
      <c r="AO4" s="1044"/>
      <c r="AP4" s="1044"/>
      <c r="AQ4" s="1044"/>
      <c r="AR4" s="1045"/>
      <c r="AU4" s="1043"/>
      <c r="AV4" s="1044"/>
      <c r="AW4" s="1044"/>
      <c r="AX4" s="1044"/>
      <c r="AY4" s="1044"/>
      <c r="AZ4" s="1044"/>
      <c r="BA4" s="1044"/>
      <c r="BB4" s="1044"/>
      <c r="BC4" s="1044"/>
      <c r="BD4" s="1044"/>
      <c r="BE4" s="1044"/>
      <c r="BF4" s="1044"/>
      <c r="BG4" s="1045"/>
      <c r="BJ4" s="1043"/>
      <c r="BK4" s="1044"/>
      <c r="BL4" s="1044"/>
      <c r="BM4" s="1044"/>
      <c r="BN4" s="1044"/>
      <c r="BO4" s="1044"/>
      <c r="BP4" s="1044"/>
      <c r="BQ4" s="1044"/>
      <c r="BR4" s="1044"/>
      <c r="BS4" s="1044"/>
      <c r="BT4" s="1044"/>
      <c r="BU4" s="1044"/>
      <c r="BV4" s="1045"/>
    </row>
    <row r="5" spans="2:74" ht="18.75" customHeight="1" x14ac:dyDescent="0.2">
      <c r="B5" s="1043"/>
      <c r="C5" s="1044"/>
      <c r="D5" s="1044"/>
      <c r="E5" s="1044"/>
      <c r="F5" s="1044"/>
      <c r="G5" s="1044"/>
      <c r="H5" s="1044"/>
      <c r="I5" s="1044"/>
      <c r="J5" s="1044"/>
      <c r="K5" s="1044"/>
      <c r="L5" s="1044"/>
      <c r="M5" s="1044"/>
      <c r="N5" s="1045"/>
      <c r="Q5" s="1043"/>
      <c r="R5" s="1044"/>
      <c r="S5" s="1044"/>
      <c r="T5" s="1044"/>
      <c r="U5" s="1044"/>
      <c r="V5" s="1044"/>
      <c r="W5" s="1044"/>
      <c r="X5" s="1044"/>
      <c r="Y5" s="1044"/>
      <c r="Z5" s="1044"/>
      <c r="AA5" s="1044"/>
      <c r="AB5" s="1044"/>
      <c r="AC5" s="1045"/>
      <c r="AF5" s="1043"/>
      <c r="AG5" s="1044"/>
      <c r="AH5" s="1044"/>
      <c r="AI5" s="1044"/>
      <c r="AJ5" s="1044"/>
      <c r="AK5" s="1044"/>
      <c r="AL5" s="1044"/>
      <c r="AM5" s="1044"/>
      <c r="AN5" s="1044"/>
      <c r="AO5" s="1044"/>
      <c r="AP5" s="1044"/>
      <c r="AQ5" s="1044"/>
      <c r="AR5" s="1045"/>
      <c r="AU5" s="1043"/>
      <c r="AV5" s="1044"/>
      <c r="AW5" s="1044"/>
      <c r="AX5" s="1044"/>
      <c r="AY5" s="1044"/>
      <c r="AZ5" s="1044"/>
      <c r="BA5" s="1044"/>
      <c r="BB5" s="1044"/>
      <c r="BC5" s="1044"/>
      <c r="BD5" s="1044"/>
      <c r="BE5" s="1044"/>
      <c r="BF5" s="1044"/>
      <c r="BG5" s="1045"/>
      <c r="BJ5" s="1043"/>
      <c r="BK5" s="1044"/>
      <c r="BL5" s="1044"/>
      <c r="BM5" s="1044"/>
      <c r="BN5" s="1044"/>
      <c r="BO5" s="1044"/>
      <c r="BP5" s="1044"/>
      <c r="BQ5" s="1044"/>
      <c r="BR5" s="1044"/>
      <c r="BS5" s="1044"/>
      <c r="BT5" s="1044"/>
      <c r="BU5" s="1044"/>
      <c r="BV5" s="1045"/>
    </row>
    <row r="6" spans="2:74" ht="18.75" customHeight="1" x14ac:dyDescent="0.2">
      <c r="B6" s="1043"/>
      <c r="C6" s="1044"/>
      <c r="D6" s="1044"/>
      <c r="E6" s="1044"/>
      <c r="F6" s="1044"/>
      <c r="G6" s="1044"/>
      <c r="H6" s="1044"/>
      <c r="I6" s="1044"/>
      <c r="J6" s="1044"/>
      <c r="K6" s="1044"/>
      <c r="L6" s="1044"/>
      <c r="M6" s="1044"/>
      <c r="N6" s="1045"/>
      <c r="Q6" s="1043"/>
      <c r="R6" s="1044"/>
      <c r="S6" s="1044"/>
      <c r="T6" s="1044"/>
      <c r="U6" s="1044"/>
      <c r="V6" s="1044"/>
      <c r="W6" s="1044"/>
      <c r="X6" s="1044"/>
      <c r="Y6" s="1044"/>
      <c r="Z6" s="1044"/>
      <c r="AA6" s="1044"/>
      <c r="AB6" s="1044"/>
      <c r="AC6" s="1045"/>
      <c r="AF6" s="1043"/>
      <c r="AG6" s="1044"/>
      <c r="AH6" s="1044"/>
      <c r="AI6" s="1044"/>
      <c r="AJ6" s="1044"/>
      <c r="AK6" s="1044"/>
      <c r="AL6" s="1044"/>
      <c r="AM6" s="1044"/>
      <c r="AN6" s="1044"/>
      <c r="AO6" s="1044"/>
      <c r="AP6" s="1044"/>
      <c r="AQ6" s="1044"/>
      <c r="AR6" s="1045"/>
      <c r="AU6" s="1043"/>
      <c r="AV6" s="1044"/>
      <c r="AW6" s="1044"/>
      <c r="AX6" s="1044"/>
      <c r="AY6" s="1044"/>
      <c r="AZ6" s="1044"/>
      <c r="BA6" s="1044"/>
      <c r="BB6" s="1044"/>
      <c r="BC6" s="1044"/>
      <c r="BD6" s="1044"/>
      <c r="BE6" s="1044"/>
      <c r="BF6" s="1044"/>
      <c r="BG6" s="1045"/>
      <c r="BJ6" s="1043"/>
      <c r="BK6" s="1044"/>
      <c r="BL6" s="1044"/>
      <c r="BM6" s="1044"/>
      <c r="BN6" s="1044"/>
      <c r="BO6" s="1044"/>
      <c r="BP6" s="1044"/>
      <c r="BQ6" s="1044"/>
      <c r="BR6" s="1044"/>
      <c r="BS6" s="1044"/>
      <c r="BT6" s="1044"/>
      <c r="BU6" s="1044"/>
      <c r="BV6" s="1045"/>
    </row>
    <row r="7" spans="2:74" ht="18.75" customHeight="1" thickBot="1" x14ac:dyDescent="0.25">
      <c r="B7" s="1046"/>
      <c r="C7" s="1047"/>
      <c r="D7" s="1047"/>
      <c r="E7" s="1047"/>
      <c r="F7" s="1047"/>
      <c r="G7" s="1047"/>
      <c r="H7" s="1047"/>
      <c r="I7" s="1047"/>
      <c r="J7" s="1047"/>
      <c r="K7" s="1047"/>
      <c r="L7" s="1047"/>
      <c r="M7" s="1047"/>
      <c r="N7" s="1048"/>
      <c r="Q7" s="1046"/>
      <c r="R7" s="1047"/>
      <c r="S7" s="1047"/>
      <c r="T7" s="1047"/>
      <c r="U7" s="1047"/>
      <c r="V7" s="1047"/>
      <c r="W7" s="1047"/>
      <c r="X7" s="1047"/>
      <c r="Y7" s="1047"/>
      <c r="Z7" s="1047"/>
      <c r="AA7" s="1047"/>
      <c r="AB7" s="1047"/>
      <c r="AC7" s="1048"/>
      <c r="AF7" s="1046"/>
      <c r="AG7" s="1047"/>
      <c r="AH7" s="1047"/>
      <c r="AI7" s="1047"/>
      <c r="AJ7" s="1047"/>
      <c r="AK7" s="1047"/>
      <c r="AL7" s="1047"/>
      <c r="AM7" s="1047"/>
      <c r="AN7" s="1047"/>
      <c r="AO7" s="1047"/>
      <c r="AP7" s="1047"/>
      <c r="AQ7" s="1047"/>
      <c r="AR7" s="1048"/>
      <c r="AU7" s="1046"/>
      <c r="AV7" s="1047"/>
      <c r="AW7" s="1047"/>
      <c r="AX7" s="1047"/>
      <c r="AY7" s="1047"/>
      <c r="AZ7" s="1047"/>
      <c r="BA7" s="1047"/>
      <c r="BB7" s="1047"/>
      <c r="BC7" s="1047"/>
      <c r="BD7" s="1047"/>
      <c r="BE7" s="1047"/>
      <c r="BF7" s="1047"/>
      <c r="BG7" s="1048"/>
      <c r="BJ7" s="1046"/>
      <c r="BK7" s="1047"/>
      <c r="BL7" s="1047"/>
      <c r="BM7" s="1047"/>
      <c r="BN7" s="1047"/>
      <c r="BO7" s="1047"/>
      <c r="BP7" s="1047"/>
      <c r="BQ7" s="1047"/>
      <c r="BR7" s="1047"/>
      <c r="BS7" s="1047"/>
      <c r="BT7" s="1047"/>
      <c r="BU7" s="1047"/>
      <c r="BV7" s="1048"/>
    </row>
    <row r="8" spans="2:74" ht="48.75" customHeight="1" x14ac:dyDescent="0.5">
      <c r="B8" s="1052" t="s">
        <v>734</v>
      </c>
      <c r="C8" s="1052"/>
      <c r="D8" s="1052"/>
      <c r="E8" s="1052"/>
      <c r="F8" s="1052"/>
      <c r="G8" s="1052"/>
      <c r="H8" s="1052"/>
      <c r="I8" s="1052"/>
      <c r="J8" s="1052"/>
      <c r="K8" s="1052"/>
      <c r="L8" s="1053" t="s">
        <v>735</v>
      </c>
      <c r="M8" s="1053"/>
      <c r="N8" s="1053"/>
      <c r="Q8" s="1052" t="s">
        <v>734</v>
      </c>
      <c r="R8" s="1052"/>
      <c r="S8" s="1052"/>
      <c r="T8" s="1052"/>
      <c r="U8" s="1052"/>
      <c r="V8" s="1052"/>
      <c r="W8" s="1052"/>
      <c r="X8" s="1052"/>
      <c r="Y8" s="1052"/>
      <c r="Z8" s="1052"/>
      <c r="AA8" s="1053" t="s">
        <v>735</v>
      </c>
      <c r="AB8" s="1053"/>
      <c r="AC8" s="1053"/>
      <c r="AF8" s="1052" t="s">
        <v>734</v>
      </c>
      <c r="AG8" s="1052"/>
      <c r="AH8" s="1052"/>
      <c r="AI8" s="1052"/>
      <c r="AJ8" s="1052"/>
      <c r="AK8" s="1052"/>
      <c r="AL8" s="1052"/>
      <c r="AM8" s="1052"/>
      <c r="AN8" s="1052"/>
      <c r="AO8" s="1052"/>
      <c r="AP8" s="1053"/>
      <c r="AQ8" s="1053"/>
      <c r="AR8" s="1053"/>
      <c r="AU8" s="1052" t="s">
        <v>734</v>
      </c>
      <c r="AV8" s="1052"/>
      <c r="AW8" s="1052"/>
      <c r="AX8" s="1052"/>
      <c r="AY8" s="1052"/>
      <c r="AZ8" s="1052"/>
      <c r="BA8" s="1052"/>
      <c r="BB8" s="1052"/>
      <c r="BC8" s="1052"/>
      <c r="BD8" s="1052"/>
      <c r="BE8" s="1053" t="s">
        <v>735</v>
      </c>
      <c r="BF8" s="1053"/>
      <c r="BG8" s="1053"/>
      <c r="BJ8" s="1052" t="s">
        <v>734</v>
      </c>
      <c r="BK8" s="1052"/>
      <c r="BL8" s="1052"/>
      <c r="BM8" s="1052"/>
      <c r="BN8" s="1052"/>
      <c r="BO8" s="1052"/>
      <c r="BP8" s="1052"/>
      <c r="BQ8" s="1052"/>
      <c r="BR8" s="1052"/>
      <c r="BS8" s="1052"/>
      <c r="BT8" s="1053" t="s">
        <v>735</v>
      </c>
      <c r="BU8" s="1053"/>
      <c r="BV8" s="1053"/>
    </row>
    <row r="9" spans="2:74" ht="48.75" customHeight="1" x14ac:dyDescent="0.5">
      <c r="B9" s="1052" t="s">
        <v>734</v>
      </c>
      <c r="C9" s="1052"/>
      <c r="D9" s="1052"/>
      <c r="E9" s="1052"/>
      <c r="F9" s="1052"/>
      <c r="G9" s="1052"/>
      <c r="H9" s="1052"/>
      <c r="I9" s="1052"/>
      <c r="J9" s="1052"/>
      <c r="K9" s="1052"/>
      <c r="L9" s="1053" t="s">
        <v>735</v>
      </c>
      <c r="M9" s="1053"/>
      <c r="N9" s="1053"/>
      <c r="Q9" s="1052" t="s">
        <v>734</v>
      </c>
      <c r="R9" s="1052"/>
      <c r="S9" s="1052"/>
      <c r="T9" s="1052"/>
      <c r="U9" s="1052"/>
      <c r="V9" s="1052"/>
      <c r="W9" s="1052"/>
      <c r="X9" s="1052"/>
      <c r="Y9" s="1052"/>
      <c r="Z9" s="1052"/>
      <c r="AA9" s="1053" t="s">
        <v>735</v>
      </c>
      <c r="AB9" s="1053"/>
      <c r="AC9" s="1053"/>
      <c r="AF9" s="1052" t="s">
        <v>734</v>
      </c>
      <c r="AG9" s="1052"/>
      <c r="AH9" s="1052"/>
      <c r="AI9" s="1052"/>
      <c r="AJ9" s="1052"/>
      <c r="AK9" s="1052"/>
      <c r="AL9" s="1052"/>
      <c r="AM9" s="1052"/>
      <c r="AN9" s="1052"/>
      <c r="AO9" s="1052"/>
      <c r="AP9" s="1053"/>
      <c r="AQ9" s="1053"/>
      <c r="AR9" s="1053"/>
      <c r="AU9" s="1052" t="s">
        <v>734</v>
      </c>
      <c r="AV9" s="1052"/>
      <c r="AW9" s="1052"/>
      <c r="AX9" s="1052"/>
      <c r="AY9" s="1052"/>
      <c r="AZ9" s="1052"/>
      <c r="BA9" s="1052"/>
      <c r="BB9" s="1052"/>
      <c r="BC9" s="1052"/>
      <c r="BD9" s="1052"/>
      <c r="BE9" s="1053" t="s">
        <v>735</v>
      </c>
      <c r="BF9" s="1053"/>
      <c r="BG9" s="1053"/>
      <c r="BJ9" s="1052" t="s">
        <v>734</v>
      </c>
      <c r="BK9" s="1052"/>
      <c r="BL9" s="1052"/>
      <c r="BM9" s="1052"/>
      <c r="BN9" s="1052"/>
      <c r="BO9" s="1052"/>
      <c r="BP9" s="1052"/>
      <c r="BQ9" s="1052"/>
      <c r="BR9" s="1052"/>
      <c r="BS9" s="1052"/>
      <c r="BT9" s="1053" t="s">
        <v>735</v>
      </c>
      <c r="BU9" s="1053"/>
      <c r="BV9" s="1053"/>
    </row>
    <row r="10" spans="2:74" ht="48.75" customHeight="1" x14ac:dyDescent="0.5">
      <c r="B10" s="1052" t="s">
        <v>734</v>
      </c>
      <c r="C10" s="1052"/>
      <c r="D10" s="1052"/>
      <c r="E10" s="1052"/>
      <c r="F10" s="1052"/>
      <c r="G10" s="1052"/>
      <c r="H10" s="1052"/>
      <c r="I10" s="1052"/>
      <c r="J10" s="1052"/>
      <c r="K10" s="1052"/>
      <c r="L10" s="1053" t="s">
        <v>735</v>
      </c>
      <c r="M10" s="1053"/>
      <c r="N10" s="1053"/>
      <c r="Q10" s="1052" t="s">
        <v>734</v>
      </c>
      <c r="R10" s="1052"/>
      <c r="S10" s="1052"/>
      <c r="T10" s="1052"/>
      <c r="U10" s="1052"/>
      <c r="V10" s="1052"/>
      <c r="W10" s="1052"/>
      <c r="X10" s="1052"/>
      <c r="Y10" s="1052"/>
      <c r="Z10" s="1052"/>
      <c r="AA10" s="1053" t="s">
        <v>735</v>
      </c>
      <c r="AB10" s="1053"/>
      <c r="AC10" s="1053"/>
      <c r="AF10" s="1052" t="s">
        <v>734</v>
      </c>
      <c r="AG10" s="1052"/>
      <c r="AH10" s="1052"/>
      <c r="AI10" s="1052"/>
      <c r="AJ10" s="1052"/>
      <c r="AK10" s="1052"/>
      <c r="AL10" s="1052"/>
      <c r="AM10" s="1052"/>
      <c r="AN10" s="1052"/>
      <c r="AO10" s="1052"/>
      <c r="AP10" s="1053"/>
      <c r="AQ10" s="1053"/>
      <c r="AR10" s="1053"/>
      <c r="AU10" s="1052" t="s">
        <v>734</v>
      </c>
      <c r="AV10" s="1052"/>
      <c r="AW10" s="1052"/>
      <c r="AX10" s="1052"/>
      <c r="AY10" s="1052"/>
      <c r="AZ10" s="1052"/>
      <c r="BA10" s="1052"/>
      <c r="BB10" s="1052"/>
      <c r="BC10" s="1052"/>
      <c r="BD10" s="1052"/>
      <c r="BE10" s="1053" t="s">
        <v>735</v>
      </c>
      <c r="BF10" s="1053"/>
      <c r="BG10" s="1053"/>
      <c r="BJ10" s="1052" t="s">
        <v>734</v>
      </c>
      <c r="BK10" s="1052"/>
      <c r="BL10" s="1052"/>
      <c r="BM10" s="1052"/>
      <c r="BN10" s="1052"/>
      <c r="BO10" s="1052"/>
      <c r="BP10" s="1052"/>
      <c r="BQ10" s="1052"/>
      <c r="BR10" s="1052"/>
      <c r="BS10" s="1052"/>
      <c r="BT10" s="1053" t="s">
        <v>735</v>
      </c>
      <c r="BU10" s="1053"/>
      <c r="BV10" s="1053"/>
    </row>
    <row r="11" spans="2:74" ht="48.75" customHeight="1" x14ac:dyDescent="0.5">
      <c r="B11" s="1052" t="s">
        <v>734</v>
      </c>
      <c r="C11" s="1052"/>
      <c r="D11" s="1052"/>
      <c r="E11" s="1052"/>
      <c r="F11" s="1052"/>
      <c r="G11" s="1052"/>
      <c r="H11" s="1052"/>
      <c r="I11" s="1052"/>
      <c r="J11" s="1052"/>
      <c r="K11" s="1052"/>
      <c r="L11" s="1053" t="s">
        <v>735</v>
      </c>
      <c r="M11" s="1053"/>
      <c r="N11" s="1053"/>
      <c r="Q11" s="1052" t="s">
        <v>734</v>
      </c>
      <c r="R11" s="1052"/>
      <c r="S11" s="1052"/>
      <c r="T11" s="1052"/>
      <c r="U11" s="1052"/>
      <c r="V11" s="1052"/>
      <c r="W11" s="1052"/>
      <c r="X11" s="1052"/>
      <c r="Y11" s="1052"/>
      <c r="Z11" s="1052"/>
      <c r="AA11" s="1053" t="s">
        <v>735</v>
      </c>
      <c r="AB11" s="1053"/>
      <c r="AC11" s="1053"/>
      <c r="AF11" s="1052" t="s">
        <v>734</v>
      </c>
      <c r="AG11" s="1052"/>
      <c r="AH11" s="1052"/>
      <c r="AI11" s="1052"/>
      <c r="AJ11" s="1052"/>
      <c r="AK11" s="1052"/>
      <c r="AL11" s="1052"/>
      <c r="AM11" s="1052"/>
      <c r="AN11" s="1052"/>
      <c r="AO11" s="1052"/>
      <c r="AP11" s="1053"/>
      <c r="AQ11" s="1053"/>
      <c r="AR11" s="1053"/>
      <c r="AU11" s="1052" t="s">
        <v>734</v>
      </c>
      <c r="AV11" s="1052"/>
      <c r="AW11" s="1052"/>
      <c r="AX11" s="1052"/>
      <c r="AY11" s="1052"/>
      <c r="AZ11" s="1052"/>
      <c r="BA11" s="1052"/>
      <c r="BB11" s="1052"/>
      <c r="BC11" s="1052"/>
      <c r="BD11" s="1052"/>
      <c r="BE11" s="1053" t="s">
        <v>735</v>
      </c>
      <c r="BF11" s="1053"/>
      <c r="BG11" s="1053"/>
      <c r="BJ11" s="1052" t="s">
        <v>734</v>
      </c>
      <c r="BK11" s="1052"/>
      <c r="BL11" s="1052"/>
      <c r="BM11" s="1052"/>
      <c r="BN11" s="1052"/>
      <c r="BO11" s="1052"/>
      <c r="BP11" s="1052"/>
      <c r="BQ11" s="1052"/>
      <c r="BR11" s="1052"/>
      <c r="BS11" s="1052"/>
      <c r="BT11" s="1053" t="s">
        <v>735</v>
      </c>
      <c r="BU11" s="1053"/>
      <c r="BV11" s="1053"/>
    </row>
    <row r="12" spans="2:74" ht="48" customHeight="1" x14ac:dyDescent="0.45">
      <c r="B12" s="1054" t="s">
        <v>736</v>
      </c>
      <c r="C12" s="1054"/>
      <c r="D12" s="1054"/>
      <c r="E12" s="1054"/>
      <c r="F12" s="1054"/>
      <c r="G12" s="1054"/>
      <c r="H12" s="1054"/>
      <c r="I12" s="1054"/>
      <c r="J12" s="1054"/>
      <c r="K12" s="1054"/>
      <c r="L12" s="1054"/>
      <c r="M12" s="1054"/>
      <c r="N12" s="1054"/>
      <c r="Q12" s="1054" t="s">
        <v>736</v>
      </c>
      <c r="R12" s="1054"/>
      <c r="S12" s="1054"/>
      <c r="T12" s="1054"/>
      <c r="U12" s="1054"/>
      <c r="V12" s="1054"/>
      <c r="W12" s="1054"/>
      <c r="X12" s="1054"/>
      <c r="Y12" s="1054"/>
      <c r="Z12" s="1054"/>
      <c r="AA12" s="1054"/>
      <c r="AB12" s="1054"/>
      <c r="AC12" s="1054"/>
      <c r="AF12" s="1054" t="s">
        <v>736</v>
      </c>
      <c r="AG12" s="1054"/>
      <c r="AH12" s="1054"/>
      <c r="AI12" s="1054"/>
      <c r="AJ12" s="1054"/>
      <c r="AK12" s="1054"/>
      <c r="AL12" s="1054"/>
      <c r="AM12" s="1054"/>
      <c r="AN12" s="1054"/>
      <c r="AO12" s="1054"/>
      <c r="AP12" s="1054"/>
      <c r="AQ12" s="1054"/>
      <c r="AR12" s="1054"/>
      <c r="AU12" s="1054" t="s">
        <v>736</v>
      </c>
      <c r="AV12" s="1054"/>
      <c r="AW12" s="1054"/>
      <c r="AX12" s="1054"/>
      <c r="AY12" s="1054"/>
      <c r="AZ12" s="1054"/>
      <c r="BA12" s="1054"/>
      <c r="BB12" s="1054"/>
      <c r="BC12" s="1054"/>
      <c r="BD12" s="1054"/>
      <c r="BE12" s="1054"/>
      <c r="BF12" s="1054"/>
      <c r="BG12" s="1054"/>
      <c r="BJ12" s="1054" t="s">
        <v>736</v>
      </c>
      <c r="BK12" s="1054"/>
      <c r="BL12" s="1054"/>
      <c r="BM12" s="1054"/>
      <c r="BN12" s="1054"/>
      <c r="BO12" s="1054"/>
      <c r="BP12" s="1054"/>
      <c r="BQ12" s="1054"/>
      <c r="BR12" s="1054"/>
      <c r="BS12" s="1054"/>
      <c r="BT12" s="1054"/>
      <c r="BU12" s="1054"/>
      <c r="BV12" s="1054"/>
    </row>
    <row r="13" spans="2:74" ht="111" customHeight="1" thickBot="1" x14ac:dyDescent="0.6">
      <c r="B13" s="1055" t="s">
        <v>776</v>
      </c>
      <c r="C13" s="1056"/>
      <c r="D13" s="1056"/>
      <c r="E13" s="1056"/>
      <c r="F13" s="1056"/>
      <c r="G13" s="1056"/>
      <c r="H13" s="1056"/>
      <c r="I13" s="1056"/>
      <c r="J13" s="1056"/>
      <c r="K13" s="1056"/>
      <c r="L13" s="1056"/>
      <c r="M13" s="1056"/>
      <c r="N13" s="1056"/>
      <c r="Q13" s="1055" t="s">
        <v>776</v>
      </c>
      <c r="R13" s="1056"/>
      <c r="S13" s="1056"/>
      <c r="T13" s="1056"/>
      <c r="U13" s="1056"/>
      <c r="V13" s="1056"/>
      <c r="W13" s="1056"/>
      <c r="X13" s="1056"/>
      <c r="Y13" s="1056"/>
      <c r="Z13" s="1056"/>
      <c r="AA13" s="1056"/>
      <c r="AB13" s="1056"/>
      <c r="AC13" s="1056"/>
      <c r="AF13" s="1055" t="s">
        <v>777</v>
      </c>
      <c r="AG13" s="1056"/>
      <c r="AH13" s="1056"/>
      <c r="AI13" s="1056"/>
      <c r="AJ13" s="1056"/>
      <c r="AK13" s="1056"/>
      <c r="AL13" s="1056"/>
      <c r="AM13" s="1056"/>
      <c r="AN13" s="1056"/>
      <c r="AO13" s="1056"/>
      <c r="AP13" s="1056"/>
      <c r="AQ13" s="1056"/>
      <c r="AR13" s="1056"/>
      <c r="AU13" s="1055" t="s">
        <v>779</v>
      </c>
      <c r="AV13" s="1056"/>
      <c r="AW13" s="1056"/>
      <c r="AX13" s="1056"/>
      <c r="AY13" s="1056"/>
      <c r="AZ13" s="1056"/>
      <c r="BA13" s="1056"/>
      <c r="BB13" s="1056"/>
      <c r="BC13" s="1056"/>
      <c r="BD13" s="1056"/>
      <c r="BE13" s="1056"/>
      <c r="BF13" s="1056"/>
      <c r="BG13" s="1056"/>
      <c r="BJ13" s="1055" t="s">
        <v>780</v>
      </c>
      <c r="BK13" s="1056"/>
      <c r="BL13" s="1056"/>
      <c r="BM13" s="1056"/>
      <c r="BN13" s="1056"/>
      <c r="BO13" s="1056"/>
      <c r="BP13" s="1056"/>
      <c r="BQ13" s="1056"/>
      <c r="BR13" s="1056"/>
      <c r="BS13" s="1056"/>
      <c r="BT13" s="1056"/>
      <c r="BU13" s="1056"/>
      <c r="BV13" s="1056"/>
    </row>
    <row r="14" spans="2:74" ht="62.25" thickBot="1" x14ac:dyDescent="0.55000000000000004">
      <c r="B14" s="1034" t="s">
        <v>737</v>
      </c>
      <c r="C14" s="1035"/>
      <c r="D14" s="1035"/>
      <c r="E14" s="1035"/>
      <c r="F14" s="1035"/>
      <c r="G14" s="1035"/>
      <c r="H14" s="1036"/>
      <c r="I14" s="1037" t="s">
        <v>729</v>
      </c>
      <c r="J14" s="1038"/>
      <c r="K14" s="1038"/>
      <c r="L14" s="1038"/>
      <c r="M14" s="1038"/>
      <c r="N14" s="1039"/>
      <c r="Q14" s="1034" t="s">
        <v>738</v>
      </c>
      <c r="R14" s="1035"/>
      <c r="S14" s="1035"/>
      <c r="T14" s="1035"/>
      <c r="U14" s="1035"/>
      <c r="V14" s="1035"/>
      <c r="W14" s="1036"/>
      <c r="X14" s="1037" t="s">
        <v>729</v>
      </c>
      <c r="Y14" s="1038"/>
      <c r="Z14" s="1038"/>
      <c r="AA14" s="1038"/>
      <c r="AB14" s="1038"/>
      <c r="AC14" s="1039"/>
      <c r="AF14" s="1034" t="s">
        <v>741</v>
      </c>
      <c r="AG14" s="1035"/>
      <c r="AH14" s="1035"/>
      <c r="AI14" s="1035"/>
      <c r="AJ14" s="1035"/>
      <c r="AK14" s="1035"/>
      <c r="AL14" s="1036"/>
      <c r="AM14" s="1037" t="s">
        <v>729</v>
      </c>
      <c r="AN14" s="1038"/>
      <c r="AO14" s="1038"/>
      <c r="AP14" s="1038"/>
      <c r="AQ14" s="1038"/>
      <c r="AR14" s="1039"/>
      <c r="AU14" s="1034" t="s">
        <v>740</v>
      </c>
      <c r="AV14" s="1035"/>
      <c r="AW14" s="1035"/>
      <c r="AX14" s="1035"/>
      <c r="AY14" s="1035"/>
      <c r="AZ14" s="1035"/>
      <c r="BA14" s="1036"/>
      <c r="BB14" s="1037"/>
      <c r="BC14" s="1038"/>
      <c r="BD14" s="1038"/>
      <c r="BE14" s="1038"/>
      <c r="BF14" s="1038"/>
      <c r="BG14" s="1039"/>
    </row>
    <row r="15" spans="2:74" ht="18" customHeight="1" x14ac:dyDescent="0.2">
      <c r="B15" s="1040" t="str">
        <f>B3</f>
        <v>Phillips</v>
      </c>
      <c r="C15" s="1041"/>
      <c r="D15" s="1041"/>
      <c r="E15" s="1041"/>
      <c r="F15" s="1041"/>
      <c r="G15" s="1041"/>
      <c r="H15" s="1041"/>
      <c r="I15" s="1041"/>
      <c r="J15" s="1041"/>
      <c r="K15" s="1041"/>
      <c r="L15" s="1041"/>
      <c r="M15" s="1041"/>
      <c r="N15" s="1042"/>
      <c r="Q15" s="1040" t="str">
        <f>Q3</f>
        <v>Phillips</v>
      </c>
      <c r="R15" s="1041"/>
      <c r="S15" s="1041"/>
      <c r="T15" s="1041"/>
      <c r="U15" s="1041"/>
      <c r="V15" s="1041"/>
      <c r="W15" s="1041"/>
      <c r="X15" s="1041"/>
      <c r="Y15" s="1041"/>
      <c r="Z15" s="1041"/>
      <c r="AA15" s="1041"/>
      <c r="AB15" s="1041"/>
      <c r="AC15" s="1042"/>
      <c r="AF15" s="1040" t="str">
        <f>BJ3</f>
        <v>Phillips</v>
      </c>
      <c r="AG15" s="1041"/>
      <c r="AH15" s="1041"/>
      <c r="AI15" s="1041"/>
      <c r="AJ15" s="1041"/>
      <c r="AK15" s="1041"/>
      <c r="AL15" s="1041"/>
      <c r="AM15" s="1041"/>
      <c r="AN15" s="1041"/>
      <c r="AO15" s="1041"/>
      <c r="AP15" s="1041"/>
      <c r="AQ15" s="1041"/>
      <c r="AR15" s="1042"/>
      <c r="AU15" s="1040" t="str">
        <f>AU3</f>
        <v>Phillips</v>
      </c>
      <c r="AV15" s="1041"/>
      <c r="AW15" s="1041"/>
      <c r="AX15" s="1041"/>
      <c r="AY15" s="1041"/>
      <c r="AZ15" s="1041"/>
      <c r="BA15" s="1041"/>
      <c r="BB15" s="1041"/>
      <c r="BC15" s="1041"/>
      <c r="BD15" s="1041"/>
      <c r="BE15" s="1041"/>
      <c r="BF15" s="1041"/>
      <c r="BG15" s="1042"/>
    </row>
    <row r="16" spans="2:74" ht="18" customHeight="1" x14ac:dyDescent="0.2">
      <c r="B16" s="1043"/>
      <c r="C16" s="1044"/>
      <c r="D16" s="1044"/>
      <c r="E16" s="1044"/>
      <c r="F16" s="1044"/>
      <c r="G16" s="1044"/>
      <c r="H16" s="1044"/>
      <c r="I16" s="1044"/>
      <c r="J16" s="1044"/>
      <c r="K16" s="1044"/>
      <c r="L16" s="1044"/>
      <c r="M16" s="1044"/>
      <c r="N16" s="1045"/>
      <c r="Q16" s="1043"/>
      <c r="R16" s="1044"/>
      <c r="S16" s="1044"/>
      <c r="T16" s="1044"/>
      <c r="U16" s="1044"/>
      <c r="V16" s="1044"/>
      <c r="W16" s="1044"/>
      <c r="X16" s="1044"/>
      <c r="Y16" s="1044"/>
      <c r="Z16" s="1044"/>
      <c r="AA16" s="1044"/>
      <c r="AB16" s="1044"/>
      <c r="AC16" s="1045"/>
      <c r="AF16" s="1043"/>
      <c r="AG16" s="1044"/>
      <c r="AH16" s="1044"/>
      <c r="AI16" s="1044"/>
      <c r="AJ16" s="1044"/>
      <c r="AK16" s="1044"/>
      <c r="AL16" s="1044"/>
      <c r="AM16" s="1044"/>
      <c r="AN16" s="1044"/>
      <c r="AO16" s="1044"/>
      <c r="AP16" s="1044"/>
      <c r="AQ16" s="1044"/>
      <c r="AR16" s="1045"/>
      <c r="AU16" s="1043"/>
      <c r="AV16" s="1044"/>
      <c r="AW16" s="1044"/>
      <c r="AX16" s="1044"/>
      <c r="AY16" s="1044"/>
      <c r="AZ16" s="1044"/>
      <c r="BA16" s="1044"/>
      <c r="BB16" s="1044"/>
      <c r="BC16" s="1044"/>
      <c r="BD16" s="1044"/>
      <c r="BE16" s="1044"/>
      <c r="BF16" s="1044"/>
      <c r="BG16" s="1045"/>
    </row>
    <row r="17" spans="2:59" ht="18" customHeight="1" x14ac:dyDescent="0.2">
      <c r="B17" s="1043"/>
      <c r="C17" s="1044"/>
      <c r="D17" s="1044"/>
      <c r="E17" s="1044"/>
      <c r="F17" s="1044"/>
      <c r="G17" s="1044"/>
      <c r="H17" s="1044"/>
      <c r="I17" s="1044"/>
      <c r="J17" s="1044"/>
      <c r="K17" s="1044"/>
      <c r="L17" s="1044"/>
      <c r="M17" s="1044"/>
      <c r="N17" s="1045"/>
      <c r="Q17" s="1043"/>
      <c r="R17" s="1044"/>
      <c r="S17" s="1044"/>
      <c r="T17" s="1044"/>
      <c r="U17" s="1044"/>
      <c r="V17" s="1044"/>
      <c r="W17" s="1044"/>
      <c r="X17" s="1044"/>
      <c r="Y17" s="1044"/>
      <c r="Z17" s="1044"/>
      <c r="AA17" s="1044"/>
      <c r="AB17" s="1044"/>
      <c r="AC17" s="1045"/>
      <c r="AF17" s="1043"/>
      <c r="AG17" s="1044"/>
      <c r="AH17" s="1044"/>
      <c r="AI17" s="1044"/>
      <c r="AJ17" s="1044"/>
      <c r="AK17" s="1044"/>
      <c r="AL17" s="1044"/>
      <c r="AM17" s="1044"/>
      <c r="AN17" s="1044"/>
      <c r="AO17" s="1044"/>
      <c r="AP17" s="1044"/>
      <c r="AQ17" s="1044"/>
      <c r="AR17" s="1045"/>
      <c r="AU17" s="1043"/>
      <c r="AV17" s="1044"/>
      <c r="AW17" s="1044"/>
      <c r="AX17" s="1044"/>
      <c r="AY17" s="1044"/>
      <c r="AZ17" s="1044"/>
      <c r="BA17" s="1044"/>
      <c r="BB17" s="1044"/>
      <c r="BC17" s="1044"/>
      <c r="BD17" s="1044"/>
      <c r="BE17" s="1044"/>
      <c r="BF17" s="1044"/>
      <c r="BG17" s="1045"/>
    </row>
    <row r="18" spans="2:59" ht="18" customHeight="1" x14ac:dyDescent="0.2">
      <c r="B18" s="1043"/>
      <c r="C18" s="1044"/>
      <c r="D18" s="1044"/>
      <c r="E18" s="1044"/>
      <c r="F18" s="1044"/>
      <c r="G18" s="1044"/>
      <c r="H18" s="1044"/>
      <c r="I18" s="1044"/>
      <c r="J18" s="1044"/>
      <c r="K18" s="1044"/>
      <c r="L18" s="1044"/>
      <c r="M18" s="1044"/>
      <c r="N18" s="1045"/>
      <c r="Q18" s="1043"/>
      <c r="R18" s="1044"/>
      <c r="S18" s="1044"/>
      <c r="T18" s="1044"/>
      <c r="U18" s="1044"/>
      <c r="V18" s="1044"/>
      <c r="W18" s="1044"/>
      <c r="X18" s="1044"/>
      <c r="Y18" s="1044"/>
      <c r="Z18" s="1044"/>
      <c r="AA18" s="1044"/>
      <c r="AB18" s="1044"/>
      <c r="AC18" s="1045"/>
      <c r="AF18" s="1043"/>
      <c r="AG18" s="1044"/>
      <c r="AH18" s="1044"/>
      <c r="AI18" s="1044"/>
      <c r="AJ18" s="1044"/>
      <c r="AK18" s="1044"/>
      <c r="AL18" s="1044"/>
      <c r="AM18" s="1044"/>
      <c r="AN18" s="1044"/>
      <c r="AO18" s="1044"/>
      <c r="AP18" s="1044"/>
      <c r="AQ18" s="1044"/>
      <c r="AR18" s="1045"/>
      <c r="AU18" s="1043"/>
      <c r="AV18" s="1044"/>
      <c r="AW18" s="1044"/>
      <c r="AX18" s="1044"/>
      <c r="AY18" s="1044"/>
      <c r="AZ18" s="1044"/>
      <c r="BA18" s="1044"/>
      <c r="BB18" s="1044"/>
      <c r="BC18" s="1044"/>
      <c r="BD18" s="1044"/>
      <c r="BE18" s="1044"/>
      <c r="BF18" s="1044"/>
      <c r="BG18" s="1045"/>
    </row>
    <row r="19" spans="2:59" ht="18" customHeight="1" thickBot="1" x14ac:dyDescent="0.25">
      <c r="B19" s="1046"/>
      <c r="C19" s="1047"/>
      <c r="D19" s="1047"/>
      <c r="E19" s="1047"/>
      <c r="F19" s="1047"/>
      <c r="G19" s="1047"/>
      <c r="H19" s="1047"/>
      <c r="I19" s="1047"/>
      <c r="J19" s="1047"/>
      <c r="K19" s="1047"/>
      <c r="L19" s="1047"/>
      <c r="M19" s="1047"/>
      <c r="N19" s="1048"/>
      <c r="Q19" s="1046"/>
      <c r="R19" s="1047"/>
      <c r="S19" s="1047"/>
      <c r="T19" s="1047"/>
      <c r="U19" s="1047"/>
      <c r="V19" s="1047"/>
      <c r="W19" s="1047"/>
      <c r="X19" s="1047"/>
      <c r="Y19" s="1047"/>
      <c r="Z19" s="1047"/>
      <c r="AA19" s="1047"/>
      <c r="AB19" s="1047"/>
      <c r="AC19" s="1048"/>
      <c r="AF19" s="1046"/>
      <c r="AG19" s="1047"/>
      <c r="AH19" s="1047"/>
      <c r="AI19" s="1047"/>
      <c r="AJ19" s="1047"/>
      <c r="AK19" s="1047"/>
      <c r="AL19" s="1047"/>
      <c r="AM19" s="1047"/>
      <c r="AN19" s="1047"/>
      <c r="AO19" s="1047"/>
      <c r="AP19" s="1047"/>
      <c r="AQ19" s="1047"/>
      <c r="AR19" s="1048"/>
      <c r="AU19" s="1046"/>
      <c r="AV19" s="1047"/>
      <c r="AW19" s="1047"/>
      <c r="AX19" s="1047"/>
      <c r="AY19" s="1047"/>
      <c r="AZ19" s="1047"/>
      <c r="BA19" s="1047"/>
      <c r="BB19" s="1047"/>
      <c r="BC19" s="1047"/>
      <c r="BD19" s="1047"/>
      <c r="BE19" s="1047"/>
      <c r="BF19" s="1047"/>
      <c r="BG19" s="1048"/>
    </row>
    <row r="20" spans="2:59" ht="48" customHeight="1" x14ac:dyDescent="0.5">
      <c r="B20" s="1052" t="s">
        <v>734</v>
      </c>
      <c r="C20" s="1052"/>
      <c r="D20" s="1052"/>
      <c r="E20" s="1052"/>
      <c r="F20" s="1052"/>
      <c r="G20" s="1052"/>
      <c r="H20" s="1052"/>
      <c r="I20" s="1052"/>
      <c r="J20" s="1052"/>
      <c r="K20" s="1052"/>
      <c r="L20" s="1053" t="s">
        <v>735</v>
      </c>
      <c r="M20" s="1053"/>
      <c r="N20" s="1053"/>
      <c r="Q20" s="1052" t="s">
        <v>734</v>
      </c>
      <c r="R20" s="1052"/>
      <c r="S20" s="1052"/>
      <c r="T20" s="1052"/>
      <c r="U20" s="1052"/>
      <c r="V20" s="1052"/>
      <c r="W20" s="1052"/>
      <c r="X20" s="1052"/>
      <c r="Y20" s="1052"/>
      <c r="Z20" s="1052"/>
      <c r="AA20" s="1053" t="s">
        <v>735</v>
      </c>
      <c r="AB20" s="1053"/>
      <c r="AC20" s="1053"/>
      <c r="AF20" s="1052" t="s">
        <v>734</v>
      </c>
      <c r="AG20" s="1052"/>
      <c r="AH20" s="1052"/>
      <c r="AI20" s="1052"/>
      <c r="AJ20" s="1052"/>
      <c r="AK20" s="1052"/>
      <c r="AL20" s="1052"/>
      <c r="AM20" s="1052"/>
      <c r="AN20" s="1052"/>
      <c r="AO20" s="1052"/>
      <c r="AP20" s="1053" t="s">
        <v>735</v>
      </c>
      <c r="AQ20" s="1053"/>
      <c r="AR20" s="1053"/>
      <c r="AU20" s="1052" t="s">
        <v>734</v>
      </c>
      <c r="AV20" s="1052"/>
      <c r="AW20" s="1052"/>
      <c r="AX20" s="1052"/>
      <c r="AY20" s="1052"/>
      <c r="AZ20" s="1052"/>
      <c r="BA20" s="1052"/>
      <c r="BB20" s="1052"/>
      <c r="BC20" s="1052"/>
      <c r="BD20" s="1052"/>
      <c r="BE20" s="1053" t="s">
        <v>735</v>
      </c>
      <c r="BF20" s="1053"/>
      <c r="BG20" s="1053"/>
    </row>
    <row r="21" spans="2:59" ht="48" customHeight="1" x14ac:dyDescent="0.5">
      <c r="B21" s="1052" t="s">
        <v>734</v>
      </c>
      <c r="C21" s="1052"/>
      <c r="D21" s="1052"/>
      <c r="E21" s="1052"/>
      <c r="F21" s="1052"/>
      <c r="G21" s="1052"/>
      <c r="H21" s="1052"/>
      <c r="I21" s="1052"/>
      <c r="J21" s="1052"/>
      <c r="K21" s="1052"/>
      <c r="L21" s="1053" t="s">
        <v>735</v>
      </c>
      <c r="M21" s="1053"/>
      <c r="N21" s="1053"/>
      <c r="Q21" s="1052" t="s">
        <v>734</v>
      </c>
      <c r="R21" s="1052"/>
      <c r="S21" s="1052"/>
      <c r="T21" s="1052"/>
      <c r="U21" s="1052"/>
      <c r="V21" s="1052"/>
      <c r="W21" s="1052"/>
      <c r="X21" s="1052"/>
      <c r="Y21" s="1052"/>
      <c r="Z21" s="1052"/>
      <c r="AA21" s="1053" t="s">
        <v>735</v>
      </c>
      <c r="AB21" s="1053"/>
      <c r="AC21" s="1053"/>
      <c r="AF21" s="1052" t="s">
        <v>734</v>
      </c>
      <c r="AG21" s="1052"/>
      <c r="AH21" s="1052"/>
      <c r="AI21" s="1052"/>
      <c r="AJ21" s="1052"/>
      <c r="AK21" s="1052"/>
      <c r="AL21" s="1052"/>
      <c r="AM21" s="1052"/>
      <c r="AN21" s="1052"/>
      <c r="AO21" s="1052"/>
      <c r="AP21" s="1053" t="s">
        <v>735</v>
      </c>
      <c r="AQ21" s="1053"/>
      <c r="AR21" s="1053"/>
      <c r="AU21" s="1052" t="s">
        <v>734</v>
      </c>
      <c r="AV21" s="1052"/>
      <c r="AW21" s="1052"/>
      <c r="AX21" s="1052"/>
      <c r="AY21" s="1052"/>
      <c r="AZ21" s="1052"/>
      <c r="BA21" s="1052"/>
      <c r="BB21" s="1052"/>
      <c r="BC21" s="1052"/>
      <c r="BD21" s="1052"/>
      <c r="BE21" s="1053" t="s">
        <v>735</v>
      </c>
      <c r="BF21" s="1053"/>
      <c r="BG21" s="1053"/>
    </row>
    <row r="22" spans="2:59" ht="48" customHeight="1" x14ac:dyDescent="0.5">
      <c r="B22" s="1052" t="s">
        <v>734</v>
      </c>
      <c r="C22" s="1052"/>
      <c r="D22" s="1052"/>
      <c r="E22" s="1052"/>
      <c r="F22" s="1052"/>
      <c r="G22" s="1052"/>
      <c r="H22" s="1052"/>
      <c r="I22" s="1052"/>
      <c r="J22" s="1052"/>
      <c r="K22" s="1052"/>
      <c r="L22" s="1053" t="s">
        <v>735</v>
      </c>
      <c r="M22" s="1053"/>
      <c r="N22" s="1053"/>
      <c r="Q22" s="1052" t="s">
        <v>734</v>
      </c>
      <c r="R22" s="1052"/>
      <c r="S22" s="1052"/>
      <c r="T22" s="1052"/>
      <c r="U22" s="1052"/>
      <c r="V22" s="1052"/>
      <c r="W22" s="1052"/>
      <c r="X22" s="1052"/>
      <c r="Y22" s="1052"/>
      <c r="Z22" s="1052"/>
      <c r="AA22" s="1053" t="s">
        <v>735</v>
      </c>
      <c r="AB22" s="1053"/>
      <c r="AC22" s="1053"/>
      <c r="AF22" s="1052" t="s">
        <v>734</v>
      </c>
      <c r="AG22" s="1052"/>
      <c r="AH22" s="1052"/>
      <c r="AI22" s="1052"/>
      <c r="AJ22" s="1052"/>
      <c r="AK22" s="1052"/>
      <c r="AL22" s="1052"/>
      <c r="AM22" s="1052"/>
      <c r="AN22" s="1052"/>
      <c r="AO22" s="1052"/>
      <c r="AP22" s="1053" t="s">
        <v>735</v>
      </c>
      <c r="AQ22" s="1053"/>
      <c r="AR22" s="1053"/>
      <c r="AU22" s="1052" t="s">
        <v>734</v>
      </c>
      <c r="AV22" s="1052"/>
      <c r="AW22" s="1052"/>
      <c r="AX22" s="1052"/>
      <c r="AY22" s="1052"/>
      <c r="AZ22" s="1052"/>
      <c r="BA22" s="1052"/>
      <c r="BB22" s="1052"/>
      <c r="BC22" s="1052"/>
      <c r="BD22" s="1052"/>
      <c r="BE22" s="1053" t="s">
        <v>735</v>
      </c>
      <c r="BF22" s="1053"/>
      <c r="BG22" s="1053"/>
    </row>
    <row r="23" spans="2:59" ht="48" customHeight="1" x14ac:dyDescent="0.5">
      <c r="B23" s="1052" t="s">
        <v>734</v>
      </c>
      <c r="C23" s="1052"/>
      <c r="D23" s="1052"/>
      <c r="E23" s="1052"/>
      <c r="F23" s="1052"/>
      <c r="G23" s="1052"/>
      <c r="H23" s="1052"/>
      <c r="I23" s="1052"/>
      <c r="J23" s="1052"/>
      <c r="K23" s="1052"/>
      <c r="L23" s="1053" t="s">
        <v>735</v>
      </c>
      <c r="M23" s="1053"/>
      <c r="N23" s="1053"/>
      <c r="Q23" s="1052" t="s">
        <v>734</v>
      </c>
      <c r="R23" s="1052"/>
      <c r="S23" s="1052"/>
      <c r="T23" s="1052"/>
      <c r="U23" s="1052"/>
      <c r="V23" s="1052"/>
      <c r="W23" s="1052"/>
      <c r="X23" s="1052"/>
      <c r="Y23" s="1052"/>
      <c r="Z23" s="1052"/>
      <c r="AA23" s="1053" t="s">
        <v>735</v>
      </c>
      <c r="AB23" s="1053"/>
      <c r="AC23" s="1053"/>
      <c r="AF23" s="1052" t="s">
        <v>734</v>
      </c>
      <c r="AG23" s="1052"/>
      <c r="AH23" s="1052"/>
      <c r="AI23" s="1052"/>
      <c r="AJ23" s="1052"/>
      <c r="AK23" s="1052"/>
      <c r="AL23" s="1052"/>
      <c r="AM23" s="1052"/>
      <c r="AN23" s="1052"/>
      <c r="AO23" s="1052"/>
      <c r="AP23" s="1053" t="s">
        <v>735</v>
      </c>
      <c r="AQ23" s="1053"/>
      <c r="AR23" s="1053"/>
      <c r="AU23" s="1052" t="s">
        <v>734</v>
      </c>
      <c r="AV23" s="1052"/>
      <c r="AW23" s="1052"/>
      <c r="AX23" s="1052"/>
      <c r="AY23" s="1052"/>
      <c r="AZ23" s="1052"/>
      <c r="BA23" s="1052"/>
      <c r="BB23" s="1052"/>
      <c r="BC23" s="1052"/>
      <c r="BD23" s="1052"/>
      <c r="BE23" s="1053" t="s">
        <v>735</v>
      </c>
      <c r="BF23" s="1053"/>
      <c r="BG23" s="1053"/>
    </row>
    <row r="24" spans="2:59" ht="48" customHeight="1" x14ac:dyDescent="0.45">
      <c r="B24" s="1054" t="s">
        <v>736</v>
      </c>
      <c r="C24" s="1057"/>
      <c r="D24" s="1057"/>
      <c r="E24" s="1057"/>
      <c r="F24" s="1057"/>
      <c r="G24" s="1057"/>
      <c r="H24" s="1057"/>
      <c r="I24" s="1057"/>
      <c r="J24" s="1057"/>
      <c r="K24" s="1057"/>
      <c r="L24" s="1057"/>
      <c r="M24" s="1057"/>
      <c r="N24" s="1057"/>
      <c r="Q24" s="1054" t="s">
        <v>736</v>
      </c>
      <c r="R24" s="1057"/>
      <c r="S24" s="1057"/>
      <c r="T24" s="1057"/>
      <c r="U24" s="1057"/>
      <c r="V24" s="1057"/>
      <c r="W24" s="1057"/>
      <c r="X24" s="1057"/>
      <c r="Y24" s="1057"/>
      <c r="Z24" s="1057"/>
      <c r="AA24" s="1057"/>
      <c r="AB24" s="1057"/>
      <c r="AC24" s="1057"/>
      <c r="AF24" s="1054" t="s">
        <v>736</v>
      </c>
      <c r="AG24" s="1057"/>
      <c r="AH24" s="1057"/>
      <c r="AI24" s="1057"/>
      <c r="AJ24" s="1057"/>
      <c r="AK24" s="1057"/>
      <c r="AL24" s="1057"/>
      <c r="AM24" s="1057"/>
      <c r="AN24" s="1057"/>
      <c r="AO24" s="1057"/>
      <c r="AP24" s="1057"/>
      <c r="AQ24" s="1057"/>
      <c r="AR24" s="1057"/>
      <c r="AU24" s="1054" t="s">
        <v>736</v>
      </c>
      <c r="AV24" s="1057"/>
      <c r="AW24" s="1057"/>
      <c r="AX24" s="1057"/>
      <c r="AY24" s="1057"/>
      <c r="AZ24" s="1057"/>
      <c r="BA24" s="1057"/>
      <c r="BB24" s="1057"/>
      <c r="BC24" s="1057"/>
      <c r="BD24" s="1057"/>
      <c r="BE24" s="1057"/>
      <c r="BF24" s="1057"/>
      <c r="BG24" s="1057"/>
    </row>
    <row r="27" spans="2:59" ht="13.5" thickBot="1" x14ac:dyDescent="0.25"/>
    <row r="28" spans="2:59" ht="62.25" thickBot="1" x14ac:dyDescent="0.55000000000000004">
      <c r="B28" s="1034" t="s">
        <v>742</v>
      </c>
      <c r="C28" s="1035"/>
      <c r="D28" s="1035"/>
      <c r="E28" s="1035"/>
      <c r="F28" s="1035"/>
      <c r="G28" s="1035"/>
      <c r="H28" s="1036"/>
      <c r="I28" s="1037"/>
      <c r="J28" s="1038"/>
      <c r="K28" s="1038"/>
      <c r="L28" s="1038"/>
      <c r="M28" s="1038"/>
      <c r="N28" s="1039"/>
    </row>
    <row r="29" spans="2:59" ht="18" customHeight="1" x14ac:dyDescent="0.2">
      <c r="B29" s="1040" t="str">
        <f>B3</f>
        <v>Phillips</v>
      </c>
      <c r="C29" s="1041"/>
      <c r="D29" s="1041"/>
      <c r="E29" s="1041"/>
      <c r="F29" s="1041"/>
      <c r="G29" s="1041"/>
      <c r="H29" s="1041"/>
      <c r="I29" s="1041"/>
      <c r="J29" s="1041"/>
      <c r="K29" s="1041"/>
      <c r="L29" s="1041"/>
      <c r="M29" s="1041"/>
      <c r="N29" s="1042"/>
    </row>
    <row r="30" spans="2:59" ht="18" customHeight="1" x14ac:dyDescent="0.2">
      <c r="B30" s="1043"/>
      <c r="C30" s="1044"/>
      <c r="D30" s="1044"/>
      <c r="E30" s="1044"/>
      <c r="F30" s="1044"/>
      <c r="G30" s="1044"/>
      <c r="H30" s="1044"/>
      <c r="I30" s="1044"/>
      <c r="J30" s="1044"/>
      <c r="K30" s="1044"/>
      <c r="L30" s="1044"/>
      <c r="M30" s="1044"/>
      <c r="N30" s="1045"/>
    </row>
    <row r="31" spans="2:59" ht="18" customHeight="1" x14ac:dyDescent="0.2">
      <c r="B31" s="1043"/>
      <c r="C31" s="1044"/>
      <c r="D31" s="1044"/>
      <c r="E31" s="1044"/>
      <c r="F31" s="1044"/>
      <c r="G31" s="1044"/>
      <c r="H31" s="1044"/>
      <c r="I31" s="1044"/>
      <c r="J31" s="1044"/>
      <c r="K31" s="1044"/>
      <c r="L31" s="1044"/>
      <c r="M31" s="1044"/>
      <c r="N31" s="1045"/>
    </row>
    <row r="32" spans="2:59" ht="18" customHeight="1" x14ac:dyDescent="0.2">
      <c r="B32" s="1043"/>
      <c r="C32" s="1044"/>
      <c r="D32" s="1044"/>
      <c r="E32" s="1044"/>
      <c r="F32" s="1044"/>
      <c r="G32" s="1044"/>
      <c r="H32" s="1044"/>
      <c r="I32" s="1044"/>
      <c r="J32" s="1044"/>
      <c r="K32" s="1044"/>
      <c r="L32" s="1044"/>
      <c r="M32" s="1044"/>
      <c r="N32" s="1045"/>
    </row>
    <row r="33" spans="2:33" ht="18" customHeight="1" thickBot="1" x14ac:dyDescent="0.25">
      <c r="B33" s="1046"/>
      <c r="C33" s="1047"/>
      <c r="D33" s="1047"/>
      <c r="E33" s="1047"/>
      <c r="F33" s="1047"/>
      <c r="G33" s="1047"/>
      <c r="H33" s="1047"/>
      <c r="I33" s="1047"/>
      <c r="J33" s="1047"/>
      <c r="K33" s="1047"/>
      <c r="L33" s="1047"/>
      <c r="M33" s="1047"/>
      <c r="N33" s="1048"/>
    </row>
    <row r="34" spans="2:33" ht="48" customHeight="1" x14ac:dyDescent="0.5">
      <c r="B34" s="1052" t="s">
        <v>734</v>
      </c>
      <c r="C34" s="1052"/>
      <c r="D34" s="1052"/>
      <c r="E34" s="1052"/>
      <c r="F34" s="1052"/>
      <c r="G34" s="1052"/>
      <c r="H34" s="1052"/>
      <c r="I34" s="1052"/>
      <c r="J34" s="1052"/>
      <c r="K34" s="1052"/>
      <c r="L34" s="1053"/>
      <c r="M34" s="1053"/>
      <c r="N34" s="1053"/>
      <c r="R34" s="634"/>
    </row>
    <row r="35" spans="2:33" ht="48" customHeight="1" x14ac:dyDescent="0.5">
      <c r="B35" s="1052" t="s">
        <v>734</v>
      </c>
      <c r="C35" s="1052"/>
      <c r="D35" s="1052"/>
      <c r="E35" s="1052"/>
      <c r="F35" s="1052"/>
      <c r="G35" s="1052"/>
      <c r="H35" s="1052"/>
      <c r="I35" s="1052"/>
      <c r="J35" s="1052"/>
      <c r="K35" s="1052"/>
      <c r="L35" s="1053"/>
      <c r="M35" s="1053"/>
      <c r="N35" s="1053"/>
    </row>
    <row r="36" spans="2:33" ht="48" customHeight="1" x14ac:dyDescent="0.5">
      <c r="B36" s="1052" t="s">
        <v>734</v>
      </c>
      <c r="C36" s="1052"/>
      <c r="D36" s="1052"/>
      <c r="E36" s="1052"/>
      <c r="F36" s="1052"/>
      <c r="G36" s="1052"/>
      <c r="H36" s="1052"/>
      <c r="I36" s="1052"/>
      <c r="J36" s="1052"/>
      <c r="K36" s="1052"/>
      <c r="L36" s="1053"/>
      <c r="M36" s="1053"/>
      <c r="N36" s="1053"/>
    </row>
    <row r="37" spans="2:33" ht="48" customHeight="1" x14ac:dyDescent="0.5">
      <c r="B37" s="1052" t="s">
        <v>734</v>
      </c>
      <c r="C37" s="1052"/>
      <c r="D37" s="1052"/>
      <c r="E37" s="1052"/>
      <c r="F37" s="1052"/>
      <c r="G37" s="1052"/>
      <c r="H37" s="1052"/>
      <c r="I37" s="1052"/>
      <c r="J37" s="1052"/>
      <c r="K37" s="1052"/>
      <c r="L37" s="1053"/>
      <c r="M37" s="1053"/>
      <c r="N37" s="1053"/>
      <c r="AG37" t="s">
        <v>552</v>
      </c>
    </row>
    <row r="38" spans="2:33" ht="48" customHeight="1" x14ac:dyDescent="0.45">
      <c r="B38" s="1054" t="s">
        <v>736</v>
      </c>
      <c r="C38" s="1054"/>
      <c r="D38" s="1054"/>
      <c r="E38" s="1054"/>
      <c r="F38" s="1054"/>
      <c r="G38" s="1054"/>
      <c r="H38" s="1054"/>
      <c r="I38" s="1054"/>
      <c r="J38" s="1054"/>
      <c r="K38" s="1054"/>
      <c r="L38" s="1054"/>
      <c r="M38" s="1054"/>
      <c r="N38" s="1054"/>
    </row>
    <row r="39" spans="2:33" ht="111.75" customHeight="1" thickBot="1" x14ac:dyDescent="0.6">
      <c r="B39" s="1055" t="s">
        <v>778</v>
      </c>
      <c r="C39" s="1056"/>
      <c r="D39" s="1056"/>
      <c r="E39" s="1056"/>
      <c r="F39" s="1056"/>
      <c r="G39" s="1056"/>
      <c r="H39" s="1056"/>
      <c r="I39" s="1056"/>
      <c r="J39" s="1056"/>
      <c r="K39" s="1056"/>
      <c r="L39" s="1056"/>
      <c r="M39" s="1056"/>
      <c r="N39" s="1056"/>
    </row>
    <row r="40" spans="2:33" ht="62.25" thickBot="1" x14ac:dyDescent="0.55000000000000004">
      <c r="B40" s="1034" t="s">
        <v>739</v>
      </c>
      <c r="C40" s="1035"/>
      <c r="D40" s="1035"/>
      <c r="E40" s="1035"/>
      <c r="F40" s="1035"/>
      <c r="G40" s="1035"/>
      <c r="H40" s="1036"/>
      <c r="I40" s="1037"/>
      <c r="J40" s="1038"/>
      <c r="K40" s="1038"/>
      <c r="L40" s="1038"/>
      <c r="M40" s="1038"/>
      <c r="N40" s="1039"/>
    </row>
    <row r="41" spans="2:33" ht="18" customHeight="1" x14ac:dyDescent="0.2">
      <c r="B41" s="1040" t="str">
        <f>AF3</f>
        <v>Phillips</v>
      </c>
      <c r="C41" s="1041"/>
      <c r="D41" s="1041"/>
      <c r="E41" s="1041"/>
      <c r="F41" s="1041"/>
      <c r="G41" s="1041"/>
      <c r="H41" s="1041"/>
      <c r="I41" s="1041"/>
      <c r="J41" s="1041"/>
      <c r="K41" s="1041"/>
      <c r="L41" s="1041"/>
      <c r="M41" s="1041"/>
      <c r="N41" s="1042"/>
    </row>
    <row r="42" spans="2:33" ht="18" customHeight="1" x14ac:dyDescent="0.2">
      <c r="B42" s="1043"/>
      <c r="C42" s="1044"/>
      <c r="D42" s="1044"/>
      <c r="E42" s="1044"/>
      <c r="F42" s="1044"/>
      <c r="G42" s="1044"/>
      <c r="H42" s="1044"/>
      <c r="I42" s="1044"/>
      <c r="J42" s="1044"/>
      <c r="K42" s="1044"/>
      <c r="L42" s="1044"/>
      <c r="M42" s="1044"/>
      <c r="N42" s="1045"/>
    </row>
    <row r="43" spans="2:33" ht="18" customHeight="1" x14ac:dyDescent="0.2">
      <c r="B43" s="1043"/>
      <c r="C43" s="1044"/>
      <c r="D43" s="1044"/>
      <c r="E43" s="1044"/>
      <c r="F43" s="1044"/>
      <c r="G43" s="1044"/>
      <c r="H43" s="1044"/>
      <c r="I43" s="1044"/>
      <c r="J43" s="1044"/>
      <c r="K43" s="1044"/>
      <c r="L43" s="1044"/>
      <c r="M43" s="1044"/>
      <c r="N43" s="1045"/>
    </row>
    <row r="44" spans="2:33" ht="18" customHeight="1" x14ac:dyDescent="0.2">
      <c r="B44" s="1043"/>
      <c r="C44" s="1044"/>
      <c r="D44" s="1044"/>
      <c r="E44" s="1044"/>
      <c r="F44" s="1044"/>
      <c r="G44" s="1044"/>
      <c r="H44" s="1044"/>
      <c r="I44" s="1044"/>
      <c r="J44" s="1044"/>
      <c r="K44" s="1044"/>
      <c r="L44" s="1044"/>
      <c r="M44" s="1044"/>
      <c r="N44" s="1045"/>
    </row>
    <row r="45" spans="2:33" ht="18" customHeight="1" thickBot="1" x14ac:dyDescent="0.25">
      <c r="B45" s="1046"/>
      <c r="C45" s="1047"/>
      <c r="D45" s="1047"/>
      <c r="E45" s="1047"/>
      <c r="F45" s="1047"/>
      <c r="G45" s="1047"/>
      <c r="H45" s="1047"/>
      <c r="I45" s="1047"/>
      <c r="J45" s="1047"/>
      <c r="K45" s="1047"/>
      <c r="L45" s="1047"/>
      <c r="M45" s="1047"/>
      <c r="N45" s="1048"/>
    </row>
    <row r="46" spans="2:33" ht="48" customHeight="1" x14ac:dyDescent="0.5">
      <c r="B46" s="1052" t="s">
        <v>734</v>
      </c>
      <c r="C46" s="1052"/>
      <c r="D46" s="1052"/>
      <c r="E46" s="1052"/>
      <c r="F46" s="1052"/>
      <c r="G46" s="1052"/>
      <c r="H46" s="1052"/>
      <c r="I46" s="1052"/>
      <c r="J46" s="1052"/>
      <c r="K46" s="1052"/>
      <c r="L46" s="1053"/>
      <c r="M46" s="1053"/>
      <c r="N46" s="1053"/>
    </row>
    <row r="47" spans="2:33" ht="48" customHeight="1" x14ac:dyDescent="0.5">
      <c r="B47" s="1052" t="s">
        <v>734</v>
      </c>
      <c r="C47" s="1052"/>
      <c r="D47" s="1052"/>
      <c r="E47" s="1052"/>
      <c r="F47" s="1052"/>
      <c r="G47" s="1052"/>
      <c r="H47" s="1052"/>
      <c r="I47" s="1052"/>
      <c r="J47" s="1052"/>
      <c r="K47" s="1052"/>
      <c r="L47" s="1053"/>
      <c r="M47" s="1053"/>
      <c r="N47" s="1053"/>
    </row>
    <row r="48" spans="2:33" ht="48" customHeight="1" x14ac:dyDescent="0.5">
      <c r="B48" s="1052" t="s">
        <v>734</v>
      </c>
      <c r="C48" s="1052"/>
      <c r="D48" s="1052"/>
      <c r="E48" s="1052"/>
      <c r="F48" s="1052"/>
      <c r="G48" s="1052"/>
      <c r="H48" s="1052"/>
      <c r="I48" s="1052"/>
      <c r="J48" s="1052"/>
      <c r="K48" s="1052"/>
      <c r="L48" s="1053"/>
      <c r="M48" s="1053"/>
      <c r="N48" s="1053"/>
    </row>
    <row r="49" spans="2:14" ht="48" customHeight="1" x14ac:dyDescent="0.5">
      <c r="B49" s="1052" t="s">
        <v>734</v>
      </c>
      <c r="C49" s="1052"/>
      <c r="D49" s="1052"/>
      <c r="E49" s="1052"/>
      <c r="F49" s="1052"/>
      <c r="G49" s="1052"/>
      <c r="H49" s="1052"/>
      <c r="I49" s="1052"/>
      <c r="J49" s="1052"/>
      <c r="K49" s="1052"/>
      <c r="L49" s="1053"/>
      <c r="M49" s="1053"/>
      <c r="N49" s="1053"/>
    </row>
    <row r="50" spans="2:14" ht="48.75" customHeight="1" x14ac:dyDescent="0.45">
      <c r="B50" s="1054" t="s">
        <v>736</v>
      </c>
      <c r="C50" s="1057"/>
      <c r="D50" s="1057"/>
      <c r="E50" s="1057"/>
      <c r="F50" s="1057"/>
      <c r="G50" s="1057"/>
      <c r="H50" s="1057"/>
      <c r="I50" s="1057"/>
      <c r="J50" s="1057"/>
      <c r="K50" s="1057"/>
      <c r="L50" s="1057"/>
      <c r="M50" s="1057"/>
      <c r="N50" s="1057"/>
    </row>
  </sheetData>
  <mergeCells count="139">
    <mergeCell ref="B50:N50"/>
    <mergeCell ref="AU24:BG24"/>
    <mergeCell ref="AF24:AR24"/>
    <mergeCell ref="B36:K36"/>
    <mergeCell ref="L36:N36"/>
    <mergeCell ref="B37:K37"/>
    <mergeCell ref="L37:N37"/>
    <mergeCell ref="B38:N38"/>
    <mergeCell ref="B28:H28"/>
    <mergeCell ref="I28:N28"/>
    <mergeCell ref="B29:N33"/>
    <mergeCell ref="B34:K34"/>
    <mergeCell ref="L34:N34"/>
    <mergeCell ref="B35:K35"/>
    <mergeCell ref="L35:N35"/>
    <mergeCell ref="B49:K49"/>
    <mergeCell ref="L49:N49"/>
    <mergeCell ref="BE23:BG23"/>
    <mergeCell ref="AF23:AO23"/>
    <mergeCell ref="AP23:AR23"/>
    <mergeCell ref="B22:K22"/>
    <mergeCell ref="L22:N22"/>
    <mergeCell ref="Q22:Z22"/>
    <mergeCell ref="AA22:AC22"/>
    <mergeCell ref="B48:K48"/>
    <mergeCell ref="L48:N48"/>
    <mergeCell ref="AU22:BD22"/>
    <mergeCell ref="BE22:BG22"/>
    <mergeCell ref="AF22:AO22"/>
    <mergeCell ref="B24:N24"/>
    <mergeCell ref="Q24:AC24"/>
    <mergeCell ref="B47:K47"/>
    <mergeCell ref="L47:N47"/>
    <mergeCell ref="AA20:AC20"/>
    <mergeCell ref="B46:K46"/>
    <mergeCell ref="L46:N46"/>
    <mergeCell ref="AU21:BD21"/>
    <mergeCell ref="AF21:AO21"/>
    <mergeCell ref="AP21:AR21"/>
    <mergeCell ref="AP22:AR22"/>
    <mergeCell ref="B23:K23"/>
    <mergeCell ref="L23:N23"/>
    <mergeCell ref="Q23:Z23"/>
    <mergeCell ref="AA23:AC23"/>
    <mergeCell ref="AU23:BD23"/>
    <mergeCell ref="B15:N19"/>
    <mergeCell ref="Q15:AC19"/>
    <mergeCell ref="B41:N45"/>
    <mergeCell ref="AU15:BG19"/>
    <mergeCell ref="AF15:AR19"/>
    <mergeCell ref="B14:H14"/>
    <mergeCell ref="I14:N14"/>
    <mergeCell ref="Q14:W14"/>
    <mergeCell ref="X14:AC14"/>
    <mergeCell ref="B40:H40"/>
    <mergeCell ref="I40:N40"/>
    <mergeCell ref="B39:N39"/>
    <mergeCell ref="AU20:BD20"/>
    <mergeCell ref="BE20:BG20"/>
    <mergeCell ref="AF20:AO20"/>
    <mergeCell ref="AP20:AR20"/>
    <mergeCell ref="B21:K21"/>
    <mergeCell ref="L21:N21"/>
    <mergeCell ref="Q21:Z21"/>
    <mergeCell ref="AA21:AC21"/>
    <mergeCell ref="BE21:BG21"/>
    <mergeCell ref="B20:K20"/>
    <mergeCell ref="L20:N20"/>
    <mergeCell ref="Q20:Z20"/>
    <mergeCell ref="B12:N12"/>
    <mergeCell ref="Q12:AC12"/>
    <mergeCell ref="AF12:AR12"/>
    <mergeCell ref="AU12:BG12"/>
    <mergeCell ref="BJ12:BV12"/>
    <mergeCell ref="AU14:BA14"/>
    <mergeCell ref="BB14:BG14"/>
    <mergeCell ref="AF14:AL14"/>
    <mergeCell ref="AM14:AR14"/>
    <mergeCell ref="B13:N13"/>
    <mergeCell ref="Q13:AC13"/>
    <mergeCell ref="AF13:AR13"/>
    <mergeCell ref="AU13:BG13"/>
    <mergeCell ref="BJ13:BV13"/>
    <mergeCell ref="BT10:BV10"/>
    <mergeCell ref="B11:K11"/>
    <mergeCell ref="L11:N11"/>
    <mergeCell ref="Q11:Z11"/>
    <mergeCell ref="AA11:AC11"/>
    <mergeCell ref="AF11:AO11"/>
    <mergeCell ref="AP11:AR11"/>
    <mergeCell ref="AU11:BD11"/>
    <mergeCell ref="BE11:BG11"/>
    <mergeCell ref="BJ11:BS11"/>
    <mergeCell ref="BT11:BV11"/>
    <mergeCell ref="B10:K10"/>
    <mergeCell ref="L10:N10"/>
    <mergeCell ref="Q10:Z10"/>
    <mergeCell ref="AA10:AC10"/>
    <mergeCell ref="AF10:AO10"/>
    <mergeCell ref="AP10:AR10"/>
    <mergeCell ref="AU10:BD10"/>
    <mergeCell ref="BE10:BG10"/>
    <mergeCell ref="BJ10:BS10"/>
    <mergeCell ref="AU8:BD8"/>
    <mergeCell ref="BE8:BG8"/>
    <mergeCell ref="BJ8:BS8"/>
    <mergeCell ref="BT8:BV8"/>
    <mergeCell ref="B9:K9"/>
    <mergeCell ref="L9:N9"/>
    <mergeCell ref="Q9:Z9"/>
    <mergeCell ref="AA9:AC9"/>
    <mergeCell ref="AF9:AO9"/>
    <mergeCell ref="AP9:AR9"/>
    <mergeCell ref="B8:K8"/>
    <mergeCell ref="L8:N8"/>
    <mergeCell ref="Q8:Z8"/>
    <mergeCell ref="AA8:AC8"/>
    <mergeCell ref="AF8:AO8"/>
    <mergeCell ref="AP8:AR8"/>
    <mergeCell ref="AU9:BD9"/>
    <mergeCell ref="BE9:BG9"/>
    <mergeCell ref="BJ9:BS9"/>
    <mergeCell ref="BT9:BV9"/>
    <mergeCell ref="AU2:BA2"/>
    <mergeCell ref="BB2:BG2"/>
    <mergeCell ref="BJ2:BP2"/>
    <mergeCell ref="B3:N7"/>
    <mergeCell ref="Q3:AC7"/>
    <mergeCell ref="AF3:AR7"/>
    <mergeCell ref="AU3:BG7"/>
    <mergeCell ref="BJ3:BV7"/>
    <mergeCell ref="B2:H2"/>
    <mergeCell ref="I2:N2"/>
    <mergeCell ref="Q2:W2"/>
    <mergeCell ref="X2:AC2"/>
    <mergeCell ref="AF2:AL2"/>
    <mergeCell ref="AM2:AR2"/>
    <mergeCell ref="BQ2:BT2"/>
    <mergeCell ref="BU2:BV2"/>
  </mergeCells>
  <pageMargins left="0.7" right="0.7" top="0.75" bottom="0.75" header="0.3" footer="0.3"/>
  <pageSetup scale="13"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BS55"/>
  <sheetViews>
    <sheetView zoomScale="80" zoomScaleNormal="80" workbookViewId="0">
      <selection activeCell="B2" sqref="B2:AY41"/>
    </sheetView>
  </sheetViews>
  <sheetFormatPr defaultColWidth="11.5703125" defaultRowHeight="12.75" x14ac:dyDescent="0.2"/>
  <cols>
    <col min="1" max="1" width="11.5703125" style="18"/>
    <col min="2" max="3" width="3.7109375" style="18" customWidth="1"/>
    <col min="4" max="4" width="6.7109375" style="18" customWidth="1"/>
    <col min="5" max="7" width="3.7109375" style="18" customWidth="1"/>
    <col min="8" max="8" width="4.7109375" style="18" customWidth="1"/>
    <col min="9" max="10" width="3.7109375" style="18" customWidth="1"/>
    <col min="11" max="11" width="5.42578125" style="18" customWidth="1"/>
    <col min="12" max="12" width="4.42578125" style="18" customWidth="1"/>
    <col min="13" max="28" width="3.7109375" style="18" customWidth="1"/>
    <col min="29" max="29" width="5.7109375" style="18" customWidth="1"/>
    <col min="30" max="30" width="11.7109375" style="18" customWidth="1"/>
    <col min="31" max="31" width="5.42578125" style="18" customWidth="1"/>
    <col min="32" max="34" width="3.7109375" style="18" customWidth="1"/>
    <col min="35" max="35" width="6.7109375" style="18" customWidth="1"/>
    <col min="36" max="41" width="3.7109375" style="18" customWidth="1"/>
    <col min="42" max="42" width="5" style="18" customWidth="1"/>
    <col min="43" max="44" width="3.7109375" style="18" customWidth="1"/>
    <col min="45" max="45" width="10.140625" style="18" customWidth="1"/>
    <col min="46" max="55" width="3.7109375" style="18" customWidth="1"/>
    <col min="56" max="56" width="11.5703125" style="18"/>
    <col min="57" max="63" width="3.7109375" style="18" customWidth="1"/>
    <col min="64" max="64" width="5.42578125" style="18" customWidth="1"/>
    <col min="65" max="66" width="3.7109375" style="18" customWidth="1"/>
    <col min="67" max="69" width="0" style="18" hidden="1" customWidth="1"/>
    <col min="70" max="16384" width="11.5703125" style="18"/>
  </cols>
  <sheetData>
    <row r="2" spans="4:50" ht="13.5" thickBot="1" x14ac:dyDescent="0.25"/>
    <row r="3" spans="4:50" ht="30.75" thickBot="1" x14ac:dyDescent="0.45">
      <c r="V3" s="1098" t="s">
        <v>317</v>
      </c>
      <c r="W3" s="1098"/>
      <c r="X3" s="1098"/>
      <c r="Y3" s="1098"/>
      <c r="Z3" s="1098"/>
      <c r="AA3" s="342" t="s">
        <v>23</v>
      </c>
      <c r="AB3" s="1102" t="str">
        <f>'Data entry'!L2</f>
        <v>Phillips</v>
      </c>
      <c r="AC3" s="1103"/>
      <c r="AD3" s="1103"/>
      <c r="AE3" s="1103"/>
      <c r="AF3" s="1103"/>
      <c r="AG3" s="1103"/>
      <c r="AH3" s="1103"/>
      <c r="AI3" s="1103"/>
      <c r="AJ3" s="1103"/>
      <c r="AK3" s="1103"/>
      <c r="AL3" s="1103"/>
      <c r="AM3" s="1103"/>
      <c r="AN3" s="1103"/>
      <c r="AO3" s="1104"/>
      <c r="AP3" s="616"/>
      <c r="AQ3" s="616"/>
      <c r="AR3" s="616"/>
      <c r="AS3" s="616"/>
      <c r="AT3" s="616"/>
      <c r="AU3" s="616"/>
      <c r="AV3" s="616"/>
      <c r="AW3" s="616"/>
      <c r="AX3" s="616"/>
    </row>
    <row r="6" spans="4:50" ht="35.25" x14ac:dyDescent="0.5">
      <c r="J6" s="1096">
        <f>SUM('Data entry'!Q11/12)</f>
        <v>14</v>
      </c>
      <c r="K6" s="1096"/>
      <c r="L6" s="341" t="s">
        <v>315</v>
      </c>
      <c r="M6" s="1097" t="s">
        <v>316</v>
      </c>
      <c r="N6" s="1097"/>
      <c r="O6" s="1097"/>
      <c r="P6" s="1097"/>
      <c r="Q6" s="1097"/>
      <c r="R6" s="1097"/>
      <c r="S6" s="1097"/>
      <c r="T6" s="1097"/>
      <c r="U6" s="1097"/>
      <c r="V6" s="1097"/>
      <c r="W6" s="1097"/>
      <c r="X6" s="1097"/>
      <c r="Y6" s="1097"/>
      <c r="Z6" s="1097"/>
      <c r="AA6" s="1097"/>
      <c r="AB6" s="1097"/>
      <c r="AC6" s="1097"/>
      <c r="AD6" s="1097"/>
      <c r="AE6" s="1097"/>
      <c r="AF6" s="1097"/>
      <c r="AG6" s="1097"/>
      <c r="AH6" s="1097"/>
      <c r="AI6" s="1097"/>
      <c r="AJ6" s="1097"/>
    </row>
    <row r="7" spans="4:50" ht="6.75" customHeight="1" x14ac:dyDescent="0.2"/>
    <row r="8" spans="4:50" ht="21" hidden="1" customHeight="1" x14ac:dyDescent="0.2"/>
    <row r="9" spans="4:50" ht="28.5" hidden="1" customHeight="1" thickBot="1" x14ac:dyDescent="0.4">
      <c r="I9" s="1099" t="s">
        <v>2</v>
      </c>
      <c r="J9" s="1099"/>
      <c r="K9" s="1099"/>
      <c r="L9" s="1099"/>
      <c r="M9" s="1099"/>
      <c r="N9" s="1099"/>
      <c r="O9" s="1100">
        <f>'Data entry'!Q10</f>
        <v>30</v>
      </c>
      <c r="P9" s="1100"/>
      <c r="U9" s="1099" t="s">
        <v>318</v>
      </c>
      <c r="V9" s="1099"/>
      <c r="W9" s="1099"/>
      <c r="X9" s="1099"/>
      <c r="Y9" s="1099"/>
      <c r="Z9" s="1099"/>
      <c r="AA9" s="1099"/>
      <c r="AB9" s="1099"/>
      <c r="AC9" s="1101">
        <f>SUM('Data entry'!Q11)</f>
        <v>168</v>
      </c>
      <c r="AD9" s="1101"/>
      <c r="AE9" s="343" t="s">
        <v>319</v>
      </c>
      <c r="AI9" s="1099" t="s">
        <v>320</v>
      </c>
      <c r="AJ9" s="1099"/>
      <c r="AK9" s="1099"/>
      <c r="AL9" s="1099"/>
      <c r="AM9" s="1099"/>
      <c r="AN9" s="1099"/>
      <c r="AO9" s="1100">
        <f>IF(O9=20,16,IF(O9=25,20,IF(O9=30,24,IF(O9=35,27,IF(O9=41,32)))))</f>
        <v>24</v>
      </c>
      <c r="AP9" s="1100"/>
    </row>
    <row r="10" spans="4:50" ht="21" hidden="1" customHeight="1" x14ac:dyDescent="0.2"/>
    <row r="11" spans="4:50" ht="21" hidden="1" customHeight="1" x14ac:dyDescent="0.2"/>
    <row r="12" spans="4:50" ht="21" hidden="1" customHeight="1" thickBot="1" x14ac:dyDescent="0.3">
      <c r="D12" s="1114" t="s">
        <v>321</v>
      </c>
      <c r="E12" s="1114"/>
      <c r="F12" s="1114"/>
      <c r="L12" s="1093" t="s">
        <v>322</v>
      </c>
      <c r="M12" s="1093"/>
      <c r="N12" s="1093" t="s">
        <v>323</v>
      </c>
      <c r="O12" s="1093"/>
      <c r="AH12" s="1093">
        <f>IF('Data entry'!Q31=" "," ",'Data entry'!Q31)</f>
        <v>13</v>
      </c>
      <c r="AI12" s="1093"/>
      <c r="AJ12" s="1093"/>
      <c r="AK12" s="1073" t="s">
        <v>324</v>
      </c>
      <c r="AL12" s="1073"/>
      <c r="AM12" s="1073"/>
      <c r="AN12" s="1073"/>
      <c r="AO12" s="1073"/>
      <c r="AP12" s="1073"/>
      <c r="AQ12" s="1073"/>
      <c r="AR12" s="1073"/>
      <c r="AS12" s="1073"/>
      <c r="AT12" s="1073"/>
      <c r="AU12" s="1073"/>
    </row>
    <row r="13" spans="4:50" ht="21" hidden="1" customHeight="1" thickBot="1" x14ac:dyDescent="0.3">
      <c r="D13" s="1091">
        <f>SUM($AQ$25)</f>
        <v>48</v>
      </c>
      <c r="E13" s="1091"/>
      <c r="F13" s="1091"/>
      <c r="G13" s="344">
        <f>IF($D$13=0," ",1)</f>
        <v>1</v>
      </c>
      <c r="H13" s="292" t="str">
        <f>IF($D$13=0," ","x")</f>
        <v>x</v>
      </c>
      <c r="I13" s="309">
        <f>IF(D13=0," ",4)</f>
        <v>4</v>
      </c>
      <c r="J13" s="292" t="str">
        <f>IF($D$13=0," ","x")</f>
        <v>x</v>
      </c>
      <c r="K13" s="635">
        <f>IF($J$6=8,8,IF($J$6=9,10,IF($J$6=10,10,IF($J$6=12,12,IF($J$6=14,16)))))</f>
        <v>16</v>
      </c>
      <c r="L13" s="1092"/>
      <c r="M13" s="1092"/>
      <c r="N13" s="1092"/>
      <c r="O13" s="1092"/>
      <c r="Q13" s="18">
        <v>1</v>
      </c>
      <c r="S13" s="18">
        <v>4</v>
      </c>
      <c r="U13" s="18" t="s">
        <v>719</v>
      </c>
      <c r="AF13" s="18">
        <v>13</v>
      </c>
      <c r="AH13" s="1093">
        <f>'Data entry'!Q32</f>
        <v>7</v>
      </c>
      <c r="AI13" s="1093"/>
      <c r="AJ13" s="1093"/>
      <c r="AK13" s="1073" t="s">
        <v>325</v>
      </c>
      <c r="AL13" s="1073"/>
      <c r="AM13" s="1073"/>
      <c r="AN13" s="1073"/>
      <c r="AO13" s="1073"/>
      <c r="AP13" s="1073"/>
      <c r="AQ13" s="1073"/>
      <c r="AR13" s="1073"/>
      <c r="AS13" s="1073"/>
      <c r="AT13" s="1073"/>
      <c r="AU13" s="1073"/>
    </row>
    <row r="14" spans="4:50" ht="21" hidden="1" customHeight="1" thickBot="1" x14ac:dyDescent="0.3">
      <c r="D14" s="1091">
        <f>SUM($AQ$29)</f>
        <v>0</v>
      </c>
      <c r="E14" s="1091"/>
      <c r="F14" s="1091"/>
      <c r="G14" s="344" t="str">
        <f>IF($D$14=0," ",1)</f>
        <v xml:space="preserve"> </v>
      </c>
      <c r="H14" s="292" t="str">
        <f>IF($D$14=0," ","x")</f>
        <v xml:space="preserve"> </v>
      </c>
      <c r="I14" s="309" t="str">
        <f>IF(D14=0," ",3)</f>
        <v xml:space="preserve"> </v>
      </c>
      <c r="J14" s="292" t="str">
        <f>IF($D$14=0," ","x")</f>
        <v xml:space="preserve"> </v>
      </c>
      <c r="K14" s="308" t="str">
        <f>IF(D14=0," ",10)</f>
        <v xml:space="preserve"> </v>
      </c>
      <c r="L14" s="1092"/>
      <c r="M14" s="1092"/>
      <c r="N14" s="1092"/>
      <c r="O14" s="1092"/>
      <c r="Q14" s="18">
        <v>1</v>
      </c>
      <c r="S14" s="18">
        <v>3</v>
      </c>
      <c r="U14" s="18">
        <v>10</v>
      </c>
      <c r="AF14" s="18">
        <v>14</v>
      </c>
      <c r="AH14" s="1093">
        <f>'Data entry'!Q26</f>
        <v>6</v>
      </c>
      <c r="AI14" s="1093"/>
      <c r="AJ14" s="1093"/>
      <c r="AK14" s="1073" t="str">
        <f>IF('Data entry'!Q26=0," ","second story/transom windows")</f>
        <v>second story/transom windows</v>
      </c>
      <c r="AL14" s="1073"/>
      <c r="AM14" s="1073"/>
      <c r="AN14" s="1073"/>
      <c r="AO14" s="1073"/>
      <c r="AP14" s="1073"/>
      <c r="AQ14" s="1073"/>
      <c r="AR14" s="1073"/>
      <c r="AS14" s="1073"/>
      <c r="AT14" s="1073"/>
      <c r="AU14" s="1073"/>
    </row>
    <row r="15" spans="4:50" ht="21" hidden="1" customHeight="1" thickBot="1" x14ac:dyDescent="0.3">
      <c r="D15" s="1115">
        <f>SUM($AQ$27+($AQ$30/2)+$AQ$33+$AQ$34)</f>
        <v>15.5</v>
      </c>
      <c r="E15" s="1115"/>
      <c r="F15" s="1115"/>
      <c r="G15" s="344">
        <f>IF($D$15=0," ",1)</f>
        <v>1</v>
      </c>
      <c r="H15" s="345" t="str">
        <f>IF($D$15=0," ","x")</f>
        <v>x</v>
      </c>
      <c r="I15" s="346">
        <f>IF(D15=0," ",4)</f>
        <v>4</v>
      </c>
      <c r="J15" s="345" t="str">
        <f>IF($D$15=0," ","x")</f>
        <v>x</v>
      </c>
      <c r="K15" s="347">
        <f>IF($D$15=0," ",8)</f>
        <v>8</v>
      </c>
      <c r="L15" s="1116"/>
      <c r="M15" s="1116"/>
      <c r="N15" s="1117"/>
      <c r="O15" s="1117"/>
      <c r="Q15" s="18">
        <v>1</v>
      </c>
      <c r="S15" s="18">
        <v>4</v>
      </c>
      <c r="U15" s="18">
        <v>8</v>
      </c>
      <c r="AF15" s="18">
        <v>15</v>
      </c>
      <c r="AH15" s="1093">
        <f>'Data entry'!Q33</f>
        <v>1</v>
      </c>
      <c r="AI15" s="1093"/>
      <c r="AJ15" s="1093"/>
      <c r="AK15" s="1073" t="str">
        <f>IF('Data entry'!Q33=0," "," Door walls")</f>
        <v xml:space="preserve"> Door walls</v>
      </c>
      <c r="AL15" s="1073"/>
      <c r="AM15" s="1073"/>
      <c r="AN15" s="1073"/>
      <c r="AO15" s="1073"/>
      <c r="AP15" s="1073"/>
      <c r="AQ15" s="1073"/>
      <c r="AR15" s="1073"/>
      <c r="AS15" s="1073"/>
      <c r="AT15" s="1073"/>
      <c r="AU15" s="1073"/>
    </row>
    <row r="16" spans="4:50" ht="21" hidden="1" customHeight="1" thickBot="1" x14ac:dyDescent="0.3">
      <c r="D16" s="1091">
        <f>$AQ$37</f>
        <v>1</v>
      </c>
      <c r="E16" s="1091"/>
      <c r="F16" s="1091"/>
      <c r="G16" s="344">
        <f>IF($D$16=0," ",2)</f>
        <v>2</v>
      </c>
      <c r="H16" s="309" t="str">
        <f>IF($D$16=0," ","x")</f>
        <v>x</v>
      </c>
      <c r="I16" s="309">
        <f>IF($D$16=0," ",4)</f>
        <v>4</v>
      </c>
      <c r="J16" s="309" t="str">
        <f>IF($D$16=0," ","x")</f>
        <v>x</v>
      </c>
      <c r="K16" s="308">
        <f>IF($D$16=0," ",8)</f>
        <v>8</v>
      </c>
      <c r="L16" s="1092"/>
      <c r="M16" s="1092"/>
      <c r="N16" s="1092"/>
      <c r="O16" s="1092"/>
      <c r="Q16" s="18">
        <v>2</v>
      </c>
      <c r="S16" s="18">
        <v>4</v>
      </c>
      <c r="U16" s="18">
        <v>8</v>
      </c>
      <c r="AF16" s="18">
        <v>16</v>
      </c>
      <c r="AH16" s="1093"/>
      <c r="AI16" s="1093"/>
      <c r="AJ16" s="1093"/>
      <c r="AK16" s="1073"/>
      <c r="AL16" s="1073"/>
      <c r="AM16" s="1073"/>
      <c r="AN16" s="1073"/>
      <c r="AO16" s="1073"/>
      <c r="AP16" s="1073"/>
      <c r="AQ16" s="1073"/>
      <c r="AR16" s="1073"/>
      <c r="AS16" s="1073"/>
      <c r="AT16" s="1073"/>
      <c r="AU16" s="1073"/>
    </row>
    <row r="17" spans="2:71" ht="21" hidden="1" customHeight="1" thickBot="1" x14ac:dyDescent="0.3">
      <c r="D17" s="1091">
        <f>SUM((($AH$15+$AH$16+$AH$18)*2))</f>
        <v>4</v>
      </c>
      <c r="E17" s="1091"/>
      <c r="F17" s="1091"/>
      <c r="G17" s="344">
        <f>IF($D$17=0," ",1)</f>
        <v>1</v>
      </c>
      <c r="H17" s="309" t="str">
        <f>IF($D$17&gt;0,"x"," ")</f>
        <v>x</v>
      </c>
      <c r="I17" s="309">
        <f>IF($D$17=0," ",3)</f>
        <v>3</v>
      </c>
      <c r="J17" s="309" t="str">
        <f>IF($D$17=0," ","x")</f>
        <v>x</v>
      </c>
      <c r="K17" s="308">
        <f>IF($D$17=0," ",8)</f>
        <v>8</v>
      </c>
      <c r="L17" s="1092"/>
      <c r="M17" s="1092"/>
      <c r="N17" s="1092"/>
      <c r="O17" s="1092"/>
      <c r="Q17" s="18">
        <v>1</v>
      </c>
      <c r="S17" s="18">
        <v>3</v>
      </c>
      <c r="U17" s="18">
        <v>8</v>
      </c>
      <c r="AF17" s="18">
        <v>17</v>
      </c>
      <c r="AH17" s="1093">
        <f>IF('Data entry'!Q25="no",0,'Data entry'!V25)</f>
        <v>0</v>
      </c>
      <c r="AI17" s="1093"/>
      <c r="AJ17" s="1093"/>
      <c r="AK17" s="1073" t="str">
        <f>IF('Data entry'!Q25=0," ","Transom Door walls")</f>
        <v xml:space="preserve"> </v>
      </c>
      <c r="AL17" s="1073"/>
      <c r="AM17" s="1073"/>
      <c r="AN17" s="1073"/>
      <c r="AO17" s="1073"/>
      <c r="AP17" s="1073"/>
      <c r="AQ17" s="1073"/>
      <c r="AR17" s="1073"/>
      <c r="AS17" s="1073"/>
      <c r="AT17" s="1073"/>
      <c r="AU17" s="1073"/>
    </row>
    <row r="18" spans="2:71" ht="21" hidden="1" customHeight="1" thickBot="1" x14ac:dyDescent="0.3">
      <c r="D18" s="1091">
        <f>$AH$15</f>
        <v>1</v>
      </c>
      <c r="E18" s="1091"/>
      <c r="F18" s="1091"/>
      <c r="G18" s="694">
        <f>IF($D$18=0," ",1)</f>
        <v>1</v>
      </c>
      <c r="H18" s="690" t="str">
        <f>IF($D$18=0," ","x")</f>
        <v>x</v>
      </c>
      <c r="I18" s="690">
        <f>IF($D$18=0," ",6)</f>
        <v>6</v>
      </c>
      <c r="J18" s="690" t="str">
        <f>IF($D$18=0," ","x")</f>
        <v>x</v>
      </c>
      <c r="K18" s="695">
        <f>IF($D$18=0," ",16)</f>
        <v>16</v>
      </c>
      <c r="L18" s="1092"/>
      <c r="M18" s="1092"/>
      <c r="N18" s="1092"/>
      <c r="O18" s="1092"/>
      <c r="Q18" s="18">
        <v>1</v>
      </c>
      <c r="S18" s="18">
        <v>6</v>
      </c>
      <c r="U18" s="18">
        <v>16</v>
      </c>
      <c r="AF18" s="18">
        <v>18</v>
      </c>
      <c r="AH18" s="1093">
        <f>'Data entry'!Q34</f>
        <v>1</v>
      </c>
      <c r="AI18" s="1093"/>
      <c r="AJ18" s="1093"/>
      <c r="AK18" s="1073" t="str">
        <f>IF('Data entry'!Q34=0," ","French Doors")</f>
        <v>French Doors</v>
      </c>
      <c r="AL18" s="1073"/>
      <c r="AM18" s="1073"/>
      <c r="AN18" s="1073"/>
      <c r="AO18" s="1073"/>
      <c r="AP18" s="1073"/>
      <c r="AQ18" s="1073"/>
      <c r="AR18" s="1073"/>
      <c r="AS18" s="1073"/>
      <c r="AT18" s="1073"/>
      <c r="AU18" s="1073"/>
      <c r="BI18" s="248"/>
    </row>
    <row r="19" spans="2:71" ht="21" hidden="1" customHeight="1" thickBot="1" x14ac:dyDescent="0.3">
      <c r="D19" s="1091">
        <f>$AH$16</f>
        <v>0</v>
      </c>
      <c r="E19" s="1091"/>
      <c r="F19" s="1094"/>
      <c r="G19" s="698" t="str">
        <f>IF($D$19=0," ",1)</f>
        <v xml:space="preserve"> </v>
      </c>
      <c r="H19" s="688" t="str">
        <f>IF($D$19=0," ","x")</f>
        <v xml:space="preserve"> </v>
      </c>
      <c r="I19" s="688" t="str">
        <f>IF($D$19=0," ",8)</f>
        <v xml:space="preserve"> </v>
      </c>
      <c r="J19" s="688" t="str">
        <f>IF($D$19=0," ","x")</f>
        <v xml:space="preserve"> </v>
      </c>
      <c r="K19" s="699" t="str">
        <f>IF($D$19=0," ",16)</f>
        <v xml:space="preserve"> </v>
      </c>
      <c r="L19" s="1095"/>
      <c r="M19" s="1092"/>
      <c r="N19" s="1092"/>
      <c r="O19" s="1092"/>
      <c r="Q19" s="18">
        <v>1</v>
      </c>
      <c r="S19" s="18">
        <v>8</v>
      </c>
      <c r="U19" s="18">
        <v>16</v>
      </c>
      <c r="AF19" s="18">
        <v>19</v>
      </c>
      <c r="AH19" s="1093">
        <f>IF('Data entry'!Q24="yes",'Data entry'!N98+'Data entry'!V98,0)</f>
        <v>0</v>
      </c>
      <c r="AI19" s="1093"/>
      <c r="AJ19" s="1093"/>
      <c r="AK19" s="1073" t="str">
        <f>IF('Data entry'!Q24=0," ","French Door Side Windows")</f>
        <v>French Door Side Windows</v>
      </c>
      <c r="AL19" s="1073"/>
      <c r="AM19" s="1073"/>
      <c r="AN19" s="1073"/>
      <c r="AO19" s="1073"/>
      <c r="AP19" s="1073"/>
      <c r="AQ19" s="1073"/>
      <c r="AR19" s="1073"/>
      <c r="AS19" s="1073"/>
      <c r="AT19" s="1073"/>
      <c r="AU19" s="1073"/>
    </row>
    <row r="20" spans="2:71" ht="21" hidden="1" customHeight="1" x14ac:dyDescent="0.25">
      <c r="D20" s="692"/>
      <c r="E20" s="693"/>
      <c r="F20" s="696"/>
      <c r="G20" s="691"/>
      <c r="H20" s="322"/>
      <c r="I20" s="322"/>
      <c r="J20" s="322"/>
      <c r="K20" s="697"/>
      <c r="L20" s="689"/>
      <c r="M20" s="283"/>
      <c r="N20" s="283"/>
      <c r="O20" s="283"/>
      <c r="AH20" s="322"/>
      <c r="AI20" s="322"/>
      <c r="AJ20" s="322"/>
      <c r="AK20" s="348"/>
      <c r="AL20" s="348"/>
      <c r="AM20" s="348"/>
      <c r="AN20" s="348"/>
      <c r="AO20" s="348"/>
      <c r="AP20" s="348"/>
      <c r="AQ20" s="348"/>
      <c r="AR20" s="348"/>
      <c r="AS20" s="348"/>
      <c r="AT20" s="348"/>
      <c r="AU20" s="348"/>
    </row>
    <row r="21" spans="2:71" ht="21" hidden="1" customHeight="1" x14ac:dyDescent="0.25">
      <c r="D21" s="692"/>
      <c r="E21" s="693"/>
      <c r="F21" s="696"/>
      <c r="G21" s="691"/>
      <c r="H21" s="322"/>
      <c r="I21" s="322"/>
      <c r="J21" s="322"/>
      <c r="K21" s="697"/>
      <c r="L21" s="689"/>
      <c r="M21" s="283"/>
      <c r="N21" s="283"/>
      <c r="O21" s="283"/>
      <c r="AH21" s="322"/>
      <c r="AI21" s="322"/>
      <c r="AJ21" s="322"/>
      <c r="AK21" s="348"/>
      <c r="AL21" s="348"/>
      <c r="AM21" s="348"/>
      <c r="AN21" s="348"/>
      <c r="AO21" s="348"/>
      <c r="AP21" s="348"/>
      <c r="AQ21" s="348"/>
      <c r="AR21" s="348"/>
      <c r="AS21" s="348"/>
      <c r="AT21" s="348"/>
      <c r="AU21" s="348"/>
    </row>
    <row r="22" spans="2:71" ht="21" customHeight="1" thickBot="1" x14ac:dyDescent="0.35">
      <c r="AE22" s="1087" t="str">
        <f>IF('Data entry'!Q35=AO9," ","The number of walls listed do not match the yurt size")</f>
        <v xml:space="preserve"> </v>
      </c>
      <c r="AF22" s="1087"/>
      <c r="AG22" s="1087"/>
      <c r="AH22" s="1087"/>
      <c r="AI22" s="1087"/>
      <c r="AJ22" s="1087"/>
      <c r="AK22" s="1087"/>
      <c r="AL22" s="1087"/>
      <c r="AM22" s="1087"/>
      <c r="AN22" s="1087"/>
      <c r="AO22" s="1087"/>
      <c r="AP22" s="1087"/>
      <c r="AQ22" s="1087"/>
      <c r="AR22" s="1087"/>
      <c r="AS22" s="1087"/>
      <c r="AT22" s="1087"/>
      <c r="AU22" s="1087"/>
      <c r="AV22" s="1087"/>
      <c r="AW22" s="1087"/>
    </row>
    <row r="23" spans="2:71" ht="21" customHeight="1" thickBot="1" x14ac:dyDescent="0.3">
      <c r="AT23" s="1083" t="s">
        <v>326</v>
      </c>
      <c r="AU23" s="1083"/>
      <c r="AV23" s="1083"/>
      <c r="AW23" s="1083" t="s">
        <v>327</v>
      </c>
      <c r="AX23" s="1083"/>
      <c r="AY23" s="1083"/>
      <c r="BD23" s="293"/>
      <c r="BE23" s="293"/>
      <c r="BF23" s="293"/>
      <c r="BG23" s="293"/>
      <c r="BH23" s="293"/>
      <c r="BI23" s="293"/>
      <c r="BJ23" s="293"/>
      <c r="BK23" s="293"/>
      <c r="BL23" s="293"/>
      <c r="BM23" s="293"/>
      <c r="BN23" s="293"/>
      <c r="BO23" s="293"/>
      <c r="BP23" s="293"/>
      <c r="BQ23" s="293"/>
      <c r="BR23" s="293"/>
      <c r="BS23" s="293"/>
    </row>
    <row r="24" spans="2:71" ht="26.25" customHeight="1" thickBot="1" x14ac:dyDescent="0.4">
      <c r="B24" s="1088" t="s">
        <v>328</v>
      </c>
      <c r="C24" s="1088"/>
      <c r="D24" s="1088"/>
      <c r="E24" s="1088"/>
      <c r="F24" s="1088"/>
      <c r="G24" s="1088"/>
      <c r="H24" s="1088"/>
      <c r="I24" s="1088"/>
      <c r="J24" s="1088"/>
      <c r="K24" s="1088"/>
      <c r="L24" s="1088"/>
      <c r="M24" s="1088"/>
      <c r="N24" s="1088"/>
      <c r="O24" s="1088"/>
      <c r="P24" s="1088"/>
      <c r="Q24" s="1088"/>
      <c r="R24" s="1088"/>
      <c r="S24" s="1088"/>
      <c r="T24" s="1088"/>
      <c r="U24" s="1088"/>
      <c r="V24" s="1088"/>
      <c r="W24" s="1088"/>
      <c r="X24" s="1088"/>
      <c r="Y24" s="1088"/>
      <c r="Z24" s="1088"/>
      <c r="AA24" s="1088"/>
      <c r="AB24" s="1088"/>
      <c r="AC24" s="1088"/>
      <c r="AD24" s="1088"/>
      <c r="AE24" s="1088"/>
      <c r="AF24" s="1088"/>
      <c r="AG24" s="1088"/>
      <c r="AH24" s="1088"/>
      <c r="AI24" s="1088"/>
      <c r="AJ24" s="1088"/>
      <c r="AK24" s="1088"/>
      <c r="AL24" s="1088"/>
      <c r="AM24" s="1083" t="s">
        <v>157</v>
      </c>
      <c r="AN24" s="1083"/>
      <c r="AO24" s="1083"/>
      <c r="AP24" s="1083"/>
      <c r="AQ24" s="1089" t="s">
        <v>329</v>
      </c>
      <c r="AR24" s="1089"/>
      <c r="AS24" s="1089"/>
      <c r="AT24" s="1090" t="s">
        <v>215</v>
      </c>
      <c r="AU24" s="1090"/>
      <c r="AV24" s="1090"/>
      <c r="AW24" s="1090" t="s">
        <v>215</v>
      </c>
      <c r="AX24" s="1090"/>
      <c r="AY24" s="1090"/>
      <c r="BD24" s="293"/>
      <c r="BE24" s="293"/>
      <c r="BF24" s="293"/>
      <c r="BG24" s="293"/>
      <c r="BH24" s="293"/>
      <c r="BI24" s="293"/>
      <c r="BJ24" s="293"/>
      <c r="BK24" s="293"/>
      <c r="BL24" s="293"/>
      <c r="BM24" s="293"/>
      <c r="BN24" s="293"/>
      <c r="BO24" s="293"/>
      <c r="BP24" s="293"/>
      <c r="BQ24" s="293"/>
      <c r="BR24" s="293"/>
      <c r="BS24" s="293"/>
    </row>
    <row r="25" spans="2:71" ht="26.25" customHeight="1" thickBot="1" x14ac:dyDescent="0.3">
      <c r="B25" s="1074" t="s">
        <v>745</v>
      </c>
      <c r="C25" s="1074"/>
      <c r="D25" s="1074"/>
      <c r="E25" s="1074"/>
      <c r="F25" s="1074"/>
      <c r="G25" s="1074"/>
      <c r="H25" s="1074"/>
      <c r="I25" s="1074"/>
      <c r="J25" s="1074"/>
      <c r="K25" s="1074"/>
      <c r="L25" s="1074"/>
      <c r="M25" s="1074"/>
      <c r="N25" s="1074"/>
      <c r="O25" s="1074"/>
      <c r="P25" s="1074"/>
      <c r="Q25" s="1074"/>
      <c r="R25" s="1074"/>
      <c r="S25" s="1074"/>
      <c r="T25" s="1074"/>
      <c r="U25" s="1074"/>
      <c r="V25" s="1074"/>
      <c r="W25" s="1074"/>
      <c r="X25" s="1074"/>
      <c r="Y25" s="1074"/>
      <c r="Z25" s="1074"/>
      <c r="AA25" s="1074"/>
      <c r="AB25" s="1074"/>
      <c r="AC25" s="1074"/>
      <c r="AD25" s="1074"/>
      <c r="AE25" s="1074"/>
      <c r="AF25" s="1074"/>
      <c r="AG25" s="1074"/>
      <c r="AH25" s="1074"/>
      <c r="AI25" s="1074"/>
      <c r="AJ25" s="1074"/>
      <c r="AK25" s="1074"/>
      <c r="AL25" s="1074"/>
      <c r="AM25" s="1082">
        <f>IF('Data entry'!Q15="slab",'&gt;Trim Materials'!AC9/12,('&gt;Trim Materials'!AC9+12)/12)</f>
        <v>15</v>
      </c>
      <c r="AN25" s="1084"/>
      <c r="AO25" s="1084"/>
      <c r="AP25" s="1085"/>
      <c r="AQ25" s="1079">
        <f>IF('Data entry'!Q45="yes",AO9*2,0)</f>
        <v>48</v>
      </c>
      <c r="AR25" s="1079"/>
      <c r="AS25" s="1079"/>
      <c r="AT25" s="928"/>
      <c r="AU25" s="928"/>
      <c r="AV25" s="928"/>
      <c r="AW25" s="856"/>
      <c r="AX25" s="856"/>
      <c r="AY25" s="856"/>
      <c r="BA25" s="18">
        <v>23</v>
      </c>
      <c r="BD25" s="293"/>
      <c r="BE25" s="1086" t="s">
        <v>321</v>
      </c>
      <c r="BF25" s="1086"/>
      <c r="BG25" s="1086"/>
      <c r="BH25" s="293"/>
      <c r="BI25" s="293"/>
      <c r="BJ25" s="293"/>
      <c r="BK25" s="293"/>
      <c r="BL25" s="293"/>
      <c r="BM25" s="1080" t="s">
        <v>322</v>
      </c>
      <c r="BN25" s="1080"/>
      <c r="BO25" s="1080" t="s">
        <v>323</v>
      </c>
      <c r="BP25" s="1080"/>
      <c r="BQ25" s="293"/>
      <c r="BR25" s="293"/>
      <c r="BS25" s="293"/>
    </row>
    <row r="26" spans="2:71" ht="26.25" hidden="1" customHeight="1" thickBot="1" x14ac:dyDescent="0.3">
      <c r="B26" s="1081"/>
      <c r="C26" s="1081"/>
      <c r="D26" s="1081"/>
      <c r="E26" s="1081"/>
      <c r="F26" s="1081"/>
      <c r="G26" s="1081"/>
      <c r="H26" s="1081"/>
      <c r="I26" s="1081"/>
      <c r="J26" s="1081"/>
      <c r="K26" s="1081"/>
      <c r="L26" s="1081"/>
      <c r="M26" s="1081"/>
      <c r="N26" s="1081"/>
      <c r="O26" s="1081"/>
      <c r="P26" s="1081"/>
      <c r="Q26" s="1081"/>
      <c r="R26" s="1081"/>
      <c r="S26" s="1081"/>
      <c r="T26" s="1081"/>
      <c r="U26" s="1081"/>
      <c r="V26" s="1081"/>
      <c r="W26" s="1081"/>
      <c r="X26" s="1081"/>
      <c r="Y26" s="1081"/>
      <c r="Z26" s="1081"/>
      <c r="AA26" s="1081"/>
      <c r="AB26" s="1081"/>
      <c r="AC26" s="1081"/>
      <c r="AD26" s="1081"/>
      <c r="AE26" s="1081"/>
      <c r="AF26" s="1081"/>
      <c r="AG26" s="1081"/>
      <c r="AH26" s="1081"/>
      <c r="AI26" s="1081"/>
      <c r="AJ26" s="1081"/>
      <c r="AK26" s="1081"/>
      <c r="AL26" s="1081"/>
      <c r="AM26" s="1082"/>
      <c r="AN26" s="1082"/>
      <c r="AO26" s="1082"/>
      <c r="AP26" s="1082"/>
      <c r="AQ26" s="1083"/>
      <c r="AR26" s="1083"/>
      <c r="AS26" s="1083"/>
      <c r="AT26" s="928"/>
      <c r="AU26" s="928"/>
      <c r="AV26" s="928"/>
      <c r="AW26" s="856"/>
      <c r="AX26" s="856"/>
      <c r="AY26" s="856"/>
      <c r="BA26" s="18">
        <v>24</v>
      </c>
      <c r="BD26" s="293"/>
      <c r="BE26" s="293"/>
      <c r="BF26" s="293"/>
      <c r="BG26" s="293"/>
      <c r="BH26" s="349">
        <v>1</v>
      </c>
      <c r="BI26" s="350" t="s">
        <v>330</v>
      </c>
      <c r="BJ26" s="351">
        <v>4</v>
      </c>
      <c r="BK26" s="350" t="s">
        <v>330</v>
      </c>
      <c r="BL26" s="352">
        <f>IF($J$6=8,8,IF($J$6=9,10,IF($J$6=10,10,IF($J$6=12,12,IF($J$6=14,16)))))</f>
        <v>16</v>
      </c>
      <c r="BM26" s="1075"/>
      <c r="BN26" s="1075"/>
      <c r="BO26" s="1075"/>
      <c r="BP26" s="1075"/>
      <c r="BQ26" s="293"/>
      <c r="BR26" s="293"/>
      <c r="BS26" s="293"/>
    </row>
    <row r="27" spans="2:71" ht="26.25" customHeight="1" thickBot="1" x14ac:dyDescent="0.3">
      <c r="B27" s="1074" t="s">
        <v>718</v>
      </c>
      <c r="C27" s="1074"/>
      <c r="D27" s="1074"/>
      <c r="E27" s="1074"/>
      <c r="F27" s="1074"/>
      <c r="G27" s="1074"/>
      <c r="H27" s="1074"/>
      <c r="I27" s="1074"/>
      <c r="J27" s="1074"/>
      <c r="K27" s="1074"/>
      <c r="L27" s="1074"/>
      <c r="M27" s="1074"/>
      <c r="N27" s="1074"/>
      <c r="O27" s="1074"/>
      <c r="P27" s="1074"/>
      <c r="Q27" s="1074"/>
      <c r="R27" s="1074"/>
      <c r="S27" s="1074"/>
      <c r="T27" s="1074"/>
      <c r="U27" s="1074"/>
      <c r="V27" s="1074"/>
      <c r="W27" s="1074"/>
      <c r="X27" s="1074"/>
      <c r="Y27" s="1074"/>
      <c r="Z27" s="1074"/>
      <c r="AA27" s="1074"/>
      <c r="AB27" s="1074"/>
      <c r="AC27" s="1074"/>
      <c r="AD27" s="1074"/>
      <c r="AE27" s="1074"/>
      <c r="AF27" s="1074"/>
      <c r="AG27" s="1074"/>
      <c r="AH27" s="1074"/>
      <c r="AI27" s="1074"/>
      <c r="AJ27" s="1074"/>
      <c r="AK27" s="1074"/>
      <c r="AL27" s="1074"/>
      <c r="AM27" s="1078" t="s">
        <v>203</v>
      </c>
      <c r="AN27" s="1078"/>
      <c r="AO27" s="1078"/>
      <c r="AP27" s="1078"/>
      <c r="AQ27" s="1083">
        <f>IF('Data entry'!Q45="yes",IF(SUM(AH13+AH14)=0,0,SUM(AH13+AH14)),0)</f>
        <v>13</v>
      </c>
      <c r="AR27" s="1083"/>
      <c r="AS27" s="1083"/>
      <c r="AT27" s="928"/>
      <c r="AU27" s="928"/>
      <c r="AV27" s="928"/>
      <c r="AW27" s="856"/>
      <c r="AX27" s="856"/>
      <c r="AY27" s="856"/>
      <c r="BA27" s="18">
        <v>25</v>
      </c>
      <c r="BD27" s="293"/>
      <c r="BE27" s="293"/>
      <c r="BF27" s="293"/>
      <c r="BG27" s="293"/>
      <c r="BH27" s="349">
        <v>1</v>
      </c>
      <c r="BI27" s="350" t="s">
        <v>330</v>
      </c>
      <c r="BJ27" s="351">
        <v>3</v>
      </c>
      <c r="BK27" s="350" t="s">
        <v>330</v>
      </c>
      <c r="BL27" s="352">
        <v>10</v>
      </c>
      <c r="BM27" s="1075"/>
      <c r="BN27" s="1075"/>
      <c r="BO27" s="1075"/>
      <c r="BP27" s="1075"/>
      <c r="BQ27" s="293"/>
      <c r="BR27" s="293"/>
      <c r="BS27" s="293"/>
    </row>
    <row r="28" spans="2:71" ht="26.25" customHeight="1" thickBot="1" x14ac:dyDescent="0.3">
      <c r="B28" s="1074" t="str">
        <f>IF(AQ28=" "," ","1x3x96 door sides-leave at rough length to be cut on site")</f>
        <v>1x3x96 door sides-leave at rough length to be cut on site</v>
      </c>
      <c r="C28" s="1074"/>
      <c r="D28" s="1074"/>
      <c r="E28" s="1074"/>
      <c r="F28" s="1074"/>
      <c r="G28" s="1074"/>
      <c r="H28" s="1074"/>
      <c r="I28" s="1074"/>
      <c r="J28" s="1074"/>
      <c r="K28" s="1074"/>
      <c r="L28" s="1074"/>
      <c r="M28" s="1074"/>
      <c r="N28" s="1074"/>
      <c r="O28" s="1074"/>
      <c r="P28" s="1074"/>
      <c r="Q28" s="1074"/>
      <c r="R28" s="1074"/>
      <c r="S28" s="1074"/>
      <c r="T28" s="1074"/>
      <c r="U28" s="1074"/>
      <c r="V28" s="1074"/>
      <c r="W28" s="1074"/>
      <c r="X28" s="1074"/>
      <c r="Y28" s="1074"/>
      <c r="Z28" s="1074"/>
      <c r="AA28" s="1074"/>
      <c r="AB28" s="1074"/>
      <c r="AC28" s="1074"/>
      <c r="AD28" s="1074"/>
      <c r="AE28" s="1074"/>
      <c r="AF28" s="1074"/>
      <c r="AG28" s="1074"/>
      <c r="AH28" s="1074"/>
      <c r="AI28" s="1074"/>
      <c r="AJ28" s="1074"/>
      <c r="AK28" s="1074"/>
      <c r="AL28" s="1074"/>
      <c r="AM28" s="1078" t="str">
        <f>IF(AQ28=" "," ","8'")</f>
        <v>8'</v>
      </c>
      <c r="AN28" s="1078"/>
      <c r="AO28" s="1078"/>
      <c r="AP28" s="1078"/>
      <c r="AQ28" s="1079">
        <f>IF('Data entry'!Q45="yes",IF((AH15*2+AH16*2)=0,0,(AH15*2+AH16*2)),0)</f>
        <v>2</v>
      </c>
      <c r="AR28" s="1079"/>
      <c r="AS28" s="1079"/>
      <c r="AT28" s="928"/>
      <c r="AU28" s="928"/>
      <c r="AV28" s="928"/>
      <c r="AW28" s="856"/>
      <c r="AX28" s="856"/>
      <c r="AY28" s="856"/>
      <c r="BA28" s="18">
        <v>26</v>
      </c>
      <c r="BD28" s="293"/>
      <c r="BE28" s="293"/>
      <c r="BF28" s="293"/>
      <c r="BG28" s="293"/>
      <c r="BH28" s="349">
        <v>1</v>
      </c>
      <c r="BI28" s="350" t="s">
        <v>330</v>
      </c>
      <c r="BJ28" s="351">
        <v>4</v>
      </c>
      <c r="BK28" s="350" t="s">
        <v>330</v>
      </c>
      <c r="BL28" s="352">
        <v>8</v>
      </c>
      <c r="BM28" s="1075"/>
      <c r="BN28" s="1075"/>
      <c r="BO28" s="1077"/>
      <c r="BP28" s="1077"/>
      <c r="BQ28" s="353"/>
      <c r="BR28" s="293"/>
      <c r="BS28" s="293"/>
    </row>
    <row r="29" spans="2:71" ht="26.25" hidden="1" customHeight="1" thickBot="1" x14ac:dyDescent="0.3">
      <c r="B29" s="1074" t="str">
        <f>IF(AH17=0," ","1x3x120 transom door sides -      leave at rough length to be cut on site")</f>
        <v xml:space="preserve"> </v>
      </c>
      <c r="C29" s="1074"/>
      <c r="D29" s="1074"/>
      <c r="E29" s="1074"/>
      <c r="F29" s="1074"/>
      <c r="G29" s="1074"/>
      <c r="H29" s="1074"/>
      <c r="I29" s="1074"/>
      <c r="J29" s="1074"/>
      <c r="K29" s="1074"/>
      <c r="L29" s="1074"/>
      <c r="M29" s="1074"/>
      <c r="N29" s="1074"/>
      <c r="O29" s="1074"/>
      <c r="P29" s="1074"/>
      <c r="Q29" s="1074"/>
      <c r="R29" s="1074"/>
      <c r="S29" s="1074"/>
      <c r="T29" s="1074"/>
      <c r="U29" s="1074"/>
      <c r="V29" s="1074"/>
      <c r="W29" s="1074"/>
      <c r="X29" s="1074"/>
      <c r="Y29" s="1074"/>
      <c r="Z29" s="1074"/>
      <c r="AA29" s="1074"/>
      <c r="AB29" s="1074"/>
      <c r="AC29" s="1074"/>
      <c r="AD29" s="1074"/>
      <c r="AE29" s="1074"/>
      <c r="AF29" s="1074"/>
      <c r="AG29" s="1074"/>
      <c r="AH29" s="1074"/>
      <c r="AI29" s="1074"/>
      <c r="AJ29" s="1074"/>
      <c r="AK29" s="1074"/>
      <c r="AL29" s="1074"/>
      <c r="AM29" s="1072" t="str">
        <f>IF(AH17=0," ","10'")</f>
        <v xml:space="preserve"> </v>
      </c>
      <c r="AN29" s="1072"/>
      <c r="AO29" s="1072"/>
      <c r="AP29" s="1072"/>
      <c r="AQ29" s="945">
        <f>IF('Data entry'!Q45="yes",IF(AH17=0,0,AH17*2),0)</f>
        <v>0</v>
      </c>
      <c r="AR29" s="945"/>
      <c r="AS29" s="945"/>
      <c r="AT29" s="928"/>
      <c r="AU29" s="928"/>
      <c r="AV29" s="928"/>
      <c r="AW29" s="856"/>
      <c r="AX29" s="856"/>
      <c r="AY29" s="856"/>
      <c r="BA29" s="18">
        <v>27</v>
      </c>
      <c r="BD29" s="293"/>
      <c r="BE29" s="293"/>
      <c r="BF29" s="293"/>
      <c r="BG29" s="293"/>
      <c r="BH29" s="349">
        <v>2</v>
      </c>
      <c r="BI29" s="350" t="s">
        <v>330</v>
      </c>
      <c r="BJ29" s="351">
        <v>4</v>
      </c>
      <c r="BK29" s="350" t="s">
        <v>330</v>
      </c>
      <c r="BL29" s="352">
        <v>8</v>
      </c>
      <c r="BM29" s="1075"/>
      <c r="BN29" s="1075"/>
      <c r="BO29" s="1075"/>
      <c r="BP29" s="1075"/>
      <c r="BQ29" s="293"/>
      <c r="BR29" s="293"/>
      <c r="BS29" s="293"/>
    </row>
    <row r="30" spans="2:71" ht="26.25" customHeight="1" thickBot="1" x14ac:dyDescent="0.3">
      <c r="B30" s="1074" t="str">
        <f>IF(AQ30=" "," ","1x4x4' Door Lintel and/or Transom Pieces -     Typically cut from 8' piece - leave full length is even number")</f>
        <v>1x4x4' Door Lintel and/or Transom Pieces -     Typically cut from 8' piece - leave full length is even number</v>
      </c>
      <c r="C30" s="1074"/>
      <c r="D30" s="1074"/>
      <c r="E30" s="1074"/>
      <c r="F30" s="1074"/>
      <c r="G30" s="1074"/>
      <c r="H30" s="1074"/>
      <c r="I30" s="1074"/>
      <c r="J30" s="1074"/>
      <c r="K30" s="1074"/>
      <c r="L30" s="1074"/>
      <c r="M30" s="1074"/>
      <c r="N30" s="1074"/>
      <c r="O30" s="1074"/>
      <c r="P30" s="1074"/>
      <c r="Q30" s="1074"/>
      <c r="R30" s="1074"/>
      <c r="S30" s="1074"/>
      <c r="T30" s="1074"/>
      <c r="U30" s="1074"/>
      <c r="V30" s="1074"/>
      <c r="W30" s="1074"/>
      <c r="X30" s="1074"/>
      <c r="Y30" s="1074"/>
      <c r="Z30" s="1074"/>
      <c r="AA30" s="1074"/>
      <c r="AB30" s="1074"/>
      <c r="AC30" s="1074"/>
      <c r="AD30" s="1074"/>
      <c r="AE30" s="1074"/>
      <c r="AF30" s="1074"/>
      <c r="AG30" s="1074"/>
      <c r="AH30" s="1074"/>
      <c r="AI30" s="1074"/>
      <c r="AJ30" s="1074"/>
      <c r="AK30" s="1074"/>
      <c r="AL30" s="1074"/>
      <c r="AM30" s="1072" t="str">
        <f>IF(AQ30=" "," ","4'")</f>
        <v>4'</v>
      </c>
      <c r="AN30" s="1072"/>
      <c r="AO30" s="1072"/>
      <c r="AP30" s="1072"/>
      <c r="AQ30" s="945">
        <f>IF('Data entry'!Q45="yes",IF((AH15+AH16+AH17)=0,0,(AH15+AH16+AH17)),0)</f>
        <v>1</v>
      </c>
      <c r="AR30" s="945"/>
      <c r="AS30" s="945"/>
      <c r="AT30" s="928"/>
      <c r="AU30" s="928"/>
      <c r="AV30" s="928"/>
      <c r="AW30" s="856"/>
      <c r="AX30" s="856"/>
      <c r="AY30" s="856"/>
      <c r="BA30" s="18">
        <v>28</v>
      </c>
      <c r="BD30" s="293"/>
      <c r="BE30" s="293"/>
      <c r="BF30" s="293"/>
      <c r="BG30" s="293"/>
      <c r="BH30" s="349">
        <v>1</v>
      </c>
      <c r="BI30" s="350" t="s">
        <v>330</v>
      </c>
      <c r="BJ30" s="351">
        <v>3</v>
      </c>
      <c r="BK30" s="350" t="s">
        <v>330</v>
      </c>
      <c r="BL30" s="352">
        <v>8</v>
      </c>
      <c r="BM30" s="1075"/>
      <c r="BN30" s="1075"/>
      <c r="BO30" s="1075"/>
      <c r="BP30" s="1075"/>
      <c r="BQ30" s="293"/>
      <c r="BR30" s="293"/>
      <c r="BS30" s="293"/>
    </row>
    <row r="31" spans="2:71" ht="26.25" customHeight="1" thickBot="1" x14ac:dyDescent="0.3">
      <c r="B31" s="1074" t="str">
        <f>IF(AH15=0," ","1x6x8' Door Edge Siding - For 3'0 doors - Cut from 1x6x16 - leave long")</f>
        <v>1x6x8' Door Edge Siding - For 3'0 doors - Cut from 1x6x16 - leave long</v>
      </c>
      <c r="C31" s="1074"/>
      <c r="D31" s="1074"/>
      <c r="E31" s="1074"/>
      <c r="F31" s="1074"/>
      <c r="G31" s="1074"/>
      <c r="H31" s="1074"/>
      <c r="I31" s="1074"/>
      <c r="J31" s="1074"/>
      <c r="K31" s="1074"/>
      <c r="L31" s="1074"/>
      <c r="M31" s="1074"/>
      <c r="N31" s="1074"/>
      <c r="O31" s="1074"/>
      <c r="P31" s="1074"/>
      <c r="Q31" s="1074"/>
      <c r="R31" s="1074"/>
      <c r="S31" s="1074"/>
      <c r="T31" s="1074"/>
      <c r="U31" s="1074"/>
      <c r="V31" s="1074"/>
      <c r="W31" s="1074"/>
      <c r="X31" s="1074"/>
      <c r="Y31" s="1074"/>
      <c r="Z31" s="1074"/>
      <c r="AA31" s="1074"/>
      <c r="AB31" s="1074"/>
      <c r="AC31" s="1074"/>
      <c r="AD31" s="1074"/>
      <c r="AE31" s="1074"/>
      <c r="AF31" s="1074"/>
      <c r="AG31" s="1074"/>
      <c r="AH31" s="1074"/>
      <c r="AI31" s="1074"/>
      <c r="AJ31" s="1074"/>
      <c r="AK31" s="1074"/>
      <c r="AL31" s="1074"/>
      <c r="AM31" s="1072" t="str">
        <f>IF(AH15=0,"","8' ")</f>
        <v xml:space="preserve">8' </v>
      </c>
      <c r="AN31" s="1072"/>
      <c r="AO31" s="1072"/>
      <c r="AP31" s="1072"/>
      <c r="AQ31" s="945">
        <f>IF('Data entry'!Q45="yes",IF(AH15=0,0,AH15*2),0)</f>
        <v>2</v>
      </c>
      <c r="AR31" s="945"/>
      <c r="AS31" s="945"/>
      <c r="AT31" s="928"/>
      <c r="AU31" s="928"/>
      <c r="AV31" s="928"/>
      <c r="AW31" s="856"/>
      <c r="AX31" s="856"/>
      <c r="AY31" s="856"/>
      <c r="BA31" s="18">
        <v>29</v>
      </c>
      <c r="BD31" s="293"/>
      <c r="BE31" s="293"/>
      <c r="BF31" s="293"/>
      <c r="BG31" s="293"/>
      <c r="BH31" s="349">
        <v>1</v>
      </c>
      <c r="BI31" s="350" t="s">
        <v>330</v>
      </c>
      <c r="BJ31" s="351">
        <v>6</v>
      </c>
      <c r="BK31" s="350" t="s">
        <v>330</v>
      </c>
      <c r="BL31" s="352">
        <v>16</v>
      </c>
      <c r="BM31" s="1075"/>
      <c r="BN31" s="1075"/>
      <c r="BO31" s="1075"/>
      <c r="BP31" s="1075"/>
      <c r="BQ31" s="293"/>
      <c r="BR31" s="293"/>
      <c r="BS31" s="293"/>
    </row>
    <row r="32" spans="2:71" ht="26.25" customHeight="1" x14ac:dyDescent="0.25">
      <c r="B32" s="1074" t="str">
        <f>IF(AQ32=" "," ","1x6x4' T&amp;G Siding - For top of Doors -  select medium colored siding boards - 2 for each door with Siding")</f>
        <v>1x6x4' T&amp;G Siding - For top of Doors -  select medium colored siding boards - 2 for each door with Siding</v>
      </c>
      <c r="C32" s="1074"/>
      <c r="D32" s="1074"/>
      <c r="E32" s="1074"/>
      <c r="F32" s="1074"/>
      <c r="G32" s="1074"/>
      <c r="H32" s="1074"/>
      <c r="I32" s="1074"/>
      <c r="J32" s="1074"/>
      <c r="K32" s="1074"/>
      <c r="L32" s="1074"/>
      <c r="M32" s="1074"/>
      <c r="N32" s="1074"/>
      <c r="O32" s="1074"/>
      <c r="P32" s="1074"/>
      <c r="Q32" s="1074"/>
      <c r="R32" s="1074"/>
      <c r="S32" s="1074"/>
      <c r="T32" s="1074"/>
      <c r="U32" s="1074"/>
      <c r="V32" s="1074"/>
      <c r="W32" s="1074"/>
      <c r="X32" s="1074"/>
      <c r="Y32" s="1074"/>
      <c r="Z32" s="1074"/>
      <c r="AA32" s="1074"/>
      <c r="AB32" s="1074"/>
      <c r="AC32" s="1074"/>
      <c r="AD32" s="1074"/>
      <c r="AE32" s="1074"/>
      <c r="AF32" s="1074"/>
      <c r="AG32" s="1074"/>
      <c r="AH32" s="1074"/>
      <c r="AI32" s="1074"/>
      <c r="AJ32" s="1074"/>
      <c r="AK32" s="1074"/>
      <c r="AL32" s="1074"/>
      <c r="AM32" s="1076" t="str">
        <f>IF(AQ32=" "," ","4'")</f>
        <v>4'</v>
      </c>
      <c r="AN32" s="1076"/>
      <c r="AO32" s="1076"/>
      <c r="AP32" s="1076"/>
      <c r="AQ32" s="945">
        <f>IF('Data entry'!Q45="yes",IF((AH15+AH16)=0,0,(AH15*2)+(AH16*2)),0)</f>
        <v>2</v>
      </c>
      <c r="AR32" s="945"/>
      <c r="AS32" s="945"/>
      <c r="AT32" s="928"/>
      <c r="AU32" s="928"/>
      <c r="AV32" s="928"/>
      <c r="AW32" s="856"/>
      <c r="AX32" s="856"/>
      <c r="AY32" s="856"/>
      <c r="BA32" s="18">
        <v>30</v>
      </c>
      <c r="BD32" s="293"/>
      <c r="BE32" s="293"/>
      <c r="BF32" s="293"/>
      <c r="BG32" s="293"/>
      <c r="BH32" s="349">
        <v>1</v>
      </c>
      <c r="BI32" s="350" t="s">
        <v>330</v>
      </c>
      <c r="BJ32" s="351">
        <v>8</v>
      </c>
      <c r="BK32" s="350" t="s">
        <v>330</v>
      </c>
      <c r="BL32" s="352">
        <v>16</v>
      </c>
      <c r="BM32" s="1075"/>
      <c r="BN32" s="1075"/>
      <c r="BO32" s="1075"/>
      <c r="BP32" s="1075"/>
      <c r="BQ32" s="293"/>
      <c r="BR32" s="293"/>
      <c r="BS32" s="293"/>
    </row>
    <row r="33" spans="2:71" ht="26.25" customHeight="1" thickBot="1" x14ac:dyDescent="0.3">
      <c r="B33" s="1074" t="str">
        <f>IF(AH18=0," ","French Door top pieces 1x4x8' -     Leave at rough length to be cut on site")</f>
        <v>French Door top pieces 1x4x8' -     Leave at rough length to be cut on site</v>
      </c>
      <c r="C33" s="1074"/>
      <c r="D33" s="1074"/>
      <c r="E33" s="1074"/>
      <c r="F33" s="1074"/>
      <c r="G33" s="1074"/>
      <c r="H33" s="1074"/>
      <c r="I33" s="1074"/>
      <c r="J33" s="1074"/>
      <c r="K33" s="1074"/>
      <c r="L33" s="1074"/>
      <c r="M33" s="1074"/>
      <c r="N33" s="1074"/>
      <c r="O33" s="1074"/>
      <c r="P33" s="1074"/>
      <c r="Q33" s="1074"/>
      <c r="R33" s="1074"/>
      <c r="S33" s="1074"/>
      <c r="T33" s="1074"/>
      <c r="U33" s="1074"/>
      <c r="V33" s="1074"/>
      <c r="W33" s="1074"/>
      <c r="X33" s="1074"/>
      <c r="Y33" s="1074"/>
      <c r="Z33" s="1074"/>
      <c r="AA33" s="1074"/>
      <c r="AB33" s="1074"/>
      <c r="AC33" s="1074"/>
      <c r="AD33" s="1074"/>
      <c r="AE33" s="1074"/>
      <c r="AF33" s="1074"/>
      <c r="AG33" s="1074"/>
      <c r="AH33" s="1074"/>
      <c r="AI33" s="1074"/>
      <c r="AJ33" s="1074"/>
      <c r="AK33" s="1074"/>
      <c r="AL33" s="1074"/>
      <c r="AM33" s="1072" t="str">
        <f>IF(AH18=0," ","8'")</f>
        <v>8'</v>
      </c>
      <c r="AN33" s="1072"/>
      <c r="AO33" s="1072"/>
      <c r="AP33" s="1072"/>
      <c r="AQ33" s="945">
        <f>IF('Data entry'!Q45="yes",IF(AH18=0,0,AH18*2),0)</f>
        <v>2</v>
      </c>
      <c r="AR33" s="945"/>
      <c r="AS33" s="945"/>
      <c r="AT33" s="928"/>
      <c r="AU33" s="928"/>
      <c r="AV33" s="928"/>
      <c r="AW33" s="856"/>
      <c r="AX33" s="856"/>
      <c r="AY33" s="856"/>
      <c r="BA33" s="18">
        <v>31</v>
      </c>
      <c r="BD33" s="293"/>
      <c r="BE33" s="293"/>
      <c r="BF33" s="293"/>
      <c r="BG33" s="293"/>
      <c r="BH33" s="293"/>
      <c r="BI33" s="293"/>
      <c r="BJ33" s="293"/>
      <c r="BK33" s="293"/>
      <c r="BL33" s="293"/>
      <c r="BM33" s="293"/>
      <c r="BN33" s="293"/>
      <c r="BO33" s="293"/>
      <c r="BP33" s="293"/>
      <c r="BQ33" s="293"/>
      <c r="BR33" s="293"/>
      <c r="BS33" s="293"/>
    </row>
    <row r="34" spans="2:71" ht="26.25" hidden="1" customHeight="1" thickBot="1" x14ac:dyDescent="0.3">
      <c r="B34" s="1074" t="str">
        <f>IF(AH19=0," ","French Door Side Window Trim  1x4x8' -     Leave at rough length to be cut on site")</f>
        <v xml:space="preserve"> </v>
      </c>
      <c r="C34" s="1074"/>
      <c r="D34" s="1074"/>
      <c r="E34" s="1074"/>
      <c r="F34" s="1074"/>
      <c r="G34" s="1074"/>
      <c r="H34" s="1074"/>
      <c r="I34" s="1074"/>
      <c r="J34" s="1074"/>
      <c r="K34" s="1074"/>
      <c r="L34" s="1074"/>
      <c r="M34" s="1074"/>
      <c r="N34" s="1074"/>
      <c r="O34" s="1074"/>
      <c r="P34" s="1074"/>
      <c r="Q34" s="1074"/>
      <c r="R34" s="1074"/>
      <c r="S34" s="1074"/>
      <c r="T34" s="1074"/>
      <c r="U34" s="1074"/>
      <c r="V34" s="1074"/>
      <c r="W34" s="1074"/>
      <c r="X34" s="1074"/>
      <c r="Y34" s="1074"/>
      <c r="Z34" s="1074"/>
      <c r="AA34" s="1074"/>
      <c r="AB34" s="1074"/>
      <c r="AC34" s="1074"/>
      <c r="AD34" s="1074"/>
      <c r="AE34" s="1074"/>
      <c r="AF34" s="1074"/>
      <c r="AG34" s="1074"/>
      <c r="AH34" s="1074"/>
      <c r="AI34" s="1074"/>
      <c r="AJ34" s="1074"/>
      <c r="AK34" s="1074"/>
      <c r="AL34" s="1074"/>
      <c r="AM34" s="1072" t="str">
        <f>IF(AH19=0," ","8'")</f>
        <v xml:space="preserve"> </v>
      </c>
      <c r="AN34" s="1072"/>
      <c r="AO34" s="1072"/>
      <c r="AP34" s="1072"/>
      <c r="AQ34" s="945">
        <f>IF('Data entry'!Q45="yes",IF(AH19=0,0,AH19*4),0)</f>
        <v>0</v>
      </c>
      <c r="AR34" s="945"/>
      <c r="AS34" s="945"/>
      <c r="AT34" s="928"/>
      <c r="AU34" s="928"/>
      <c r="AV34" s="928"/>
      <c r="AW34" s="856"/>
      <c r="AX34" s="856"/>
      <c r="AY34" s="856"/>
      <c r="BA34" s="18">
        <v>32</v>
      </c>
      <c r="BD34" s="293"/>
      <c r="BE34" s="293"/>
      <c r="BF34" s="293"/>
      <c r="BG34" s="293"/>
      <c r="BH34" s="293"/>
      <c r="BI34" s="293"/>
      <c r="BJ34" s="293"/>
      <c r="BK34" s="293"/>
      <c r="BL34" s="293"/>
      <c r="BM34" s="293"/>
      <c r="BN34" s="293"/>
      <c r="BO34" s="293"/>
      <c r="BP34" s="293"/>
      <c r="BQ34" s="293"/>
      <c r="BR34" s="293"/>
      <c r="BS34" s="293"/>
    </row>
    <row r="35" spans="2:71" ht="26.25" customHeight="1" thickBot="1" x14ac:dyDescent="0.3">
      <c r="B35" s="1073" t="str">
        <f>IF(AH18=0," ","French Door Header Siding - 1x6 T&amp;G 4' -   Leave at rough length to be cut on site/select from scrap siding")</f>
        <v>French Door Header Siding - 1x6 T&amp;G 4' -   Leave at rough length to be cut on site/select from scrap siding</v>
      </c>
      <c r="C35" s="1073"/>
      <c r="D35" s="1073"/>
      <c r="E35" s="1073"/>
      <c r="F35" s="1073"/>
      <c r="G35" s="1073"/>
      <c r="H35" s="1073"/>
      <c r="I35" s="1073"/>
      <c r="J35" s="1073"/>
      <c r="K35" s="1073"/>
      <c r="L35" s="1073"/>
      <c r="M35" s="1073"/>
      <c r="N35" s="1073"/>
      <c r="O35" s="1073"/>
      <c r="P35" s="1073"/>
      <c r="Q35" s="1073"/>
      <c r="R35" s="1073"/>
      <c r="S35" s="1073"/>
      <c r="T35" s="1073"/>
      <c r="U35" s="1073"/>
      <c r="V35" s="1073"/>
      <c r="W35" s="1073"/>
      <c r="X35" s="1073"/>
      <c r="Y35" s="1073"/>
      <c r="Z35" s="1073"/>
      <c r="AA35" s="1073"/>
      <c r="AB35" s="1073"/>
      <c r="AC35" s="1073"/>
      <c r="AD35" s="1073"/>
      <c r="AE35" s="1073"/>
      <c r="AF35" s="1073"/>
      <c r="AG35" s="1073"/>
      <c r="AH35" s="1073"/>
      <c r="AI35" s="1073"/>
      <c r="AJ35" s="1073"/>
      <c r="AK35" s="1073"/>
      <c r="AL35" s="1073"/>
      <c r="AM35" s="1072" t="str">
        <f>IF(AH18=0," ","4'")</f>
        <v>4'</v>
      </c>
      <c r="AN35" s="1072"/>
      <c r="AO35" s="1072"/>
      <c r="AP35" s="1072"/>
      <c r="AQ35" s="945">
        <f>IF('Data entry'!Q45="yes",IF(AH18=0,0,AH18*6),0)</f>
        <v>6</v>
      </c>
      <c r="AR35" s="945"/>
      <c r="AS35" s="945"/>
      <c r="AT35" s="928"/>
      <c r="AU35" s="928"/>
      <c r="AV35" s="928"/>
      <c r="AW35" s="856"/>
      <c r="AX35" s="856"/>
      <c r="AY35" s="856"/>
      <c r="BA35" s="18">
        <v>33</v>
      </c>
      <c r="BD35" s="293"/>
      <c r="BE35" s="293"/>
      <c r="BF35" s="293"/>
      <c r="BG35" s="293"/>
      <c r="BH35" s="293"/>
      <c r="BI35" s="293"/>
      <c r="BJ35" s="293"/>
      <c r="BK35" s="293"/>
      <c r="BL35" s="293"/>
      <c r="BM35" s="293"/>
      <c r="BN35" s="293"/>
      <c r="BO35" s="293"/>
      <c r="BP35" s="293"/>
      <c r="BQ35" s="293"/>
      <c r="BR35" s="293"/>
      <c r="BS35" s="293"/>
    </row>
    <row r="36" spans="2:71" ht="26.25" customHeight="1" thickBot="1" x14ac:dyDescent="0.3">
      <c r="B36" s="1074" t="str">
        <f>IF(AH18=0," ","French Door Edge Siding - 1x3x8' -     Leave at rough length to be cut on site")</f>
        <v>French Door Edge Siding - 1x3x8' -     Leave at rough length to be cut on site</v>
      </c>
      <c r="C36" s="1074"/>
      <c r="D36" s="1074"/>
      <c r="E36" s="1074"/>
      <c r="F36" s="1074"/>
      <c r="G36" s="1074"/>
      <c r="H36" s="1074"/>
      <c r="I36" s="1074"/>
      <c r="J36" s="1074"/>
      <c r="K36" s="1074"/>
      <c r="L36" s="1074"/>
      <c r="M36" s="1074"/>
      <c r="N36" s="1074"/>
      <c r="O36" s="1074"/>
      <c r="P36" s="1074"/>
      <c r="Q36" s="1074"/>
      <c r="R36" s="1074"/>
      <c r="S36" s="1074"/>
      <c r="T36" s="1074"/>
      <c r="U36" s="1074"/>
      <c r="V36" s="1074"/>
      <c r="W36" s="1074"/>
      <c r="X36" s="1074"/>
      <c r="Y36" s="1074"/>
      <c r="Z36" s="1074"/>
      <c r="AA36" s="1074"/>
      <c r="AB36" s="1074"/>
      <c r="AC36" s="1074"/>
      <c r="AD36" s="1074"/>
      <c r="AE36" s="1074"/>
      <c r="AF36" s="1074"/>
      <c r="AG36" s="1074"/>
      <c r="AH36" s="1074"/>
      <c r="AI36" s="1074"/>
      <c r="AJ36" s="1074"/>
      <c r="AK36" s="1074"/>
      <c r="AL36" s="1074"/>
      <c r="AM36" s="1072" t="str">
        <f>IF(AH18=0," ","8'")</f>
        <v>8'</v>
      </c>
      <c r="AN36" s="1072"/>
      <c r="AO36" s="1072"/>
      <c r="AP36" s="1072"/>
      <c r="AQ36" s="945">
        <f>IF('Data entry'!Q45="yes",IF(AH18=0,0,AH18*2),0)</f>
        <v>2</v>
      </c>
      <c r="AR36" s="945"/>
      <c r="AS36" s="945"/>
      <c r="AT36" s="928"/>
      <c r="AU36" s="928"/>
      <c r="AV36" s="928"/>
      <c r="AW36" s="856"/>
      <c r="AX36" s="856"/>
      <c r="AY36" s="856"/>
      <c r="BA36" s="18">
        <v>34</v>
      </c>
      <c r="BD36" s="293"/>
      <c r="BE36" s="293"/>
      <c r="BF36" s="293"/>
      <c r="BG36" s="293"/>
      <c r="BH36" s="293"/>
      <c r="BI36" s="293"/>
      <c r="BJ36" s="293"/>
      <c r="BK36" s="293"/>
      <c r="BL36" s="293"/>
      <c r="BM36" s="293"/>
      <c r="BN36" s="293"/>
      <c r="BO36" s="293"/>
      <c r="BP36" s="293"/>
      <c r="BQ36" s="293"/>
      <c r="BR36" s="293"/>
      <c r="BS36" s="293"/>
    </row>
    <row r="37" spans="2:71" ht="26.25" customHeight="1" thickBot="1" x14ac:dyDescent="0.3">
      <c r="B37" s="1071" t="str">
        <f>IF(AH18=0," ","French Door Header Support (2x4x8') -     Leave at rough length to be cut on site")</f>
        <v>French Door Header Support (2x4x8') -     Leave at rough length to be cut on site</v>
      </c>
      <c r="C37" s="1071"/>
      <c r="D37" s="1071"/>
      <c r="E37" s="1071"/>
      <c r="F37" s="1071"/>
      <c r="G37" s="1071"/>
      <c r="H37" s="1071"/>
      <c r="I37" s="1071"/>
      <c r="J37" s="1071"/>
      <c r="K37" s="1071"/>
      <c r="L37" s="1071"/>
      <c r="M37" s="1071"/>
      <c r="N37" s="1071"/>
      <c r="O37" s="1071"/>
      <c r="P37" s="1071"/>
      <c r="Q37" s="1071"/>
      <c r="R37" s="1071"/>
      <c r="S37" s="1071"/>
      <c r="T37" s="1071"/>
      <c r="U37" s="1071"/>
      <c r="V37" s="1071"/>
      <c r="W37" s="1071"/>
      <c r="X37" s="1071"/>
      <c r="Y37" s="1071"/>
      <c r="Z37" s="1071"/>
      <c r="AA37" s="1071"/>
      <c r="AB37" s="1071"/>
      <c r="AC37" s="1071"/>
      <c r="AD37" s="1071"/>
      <c r="AE37" s="1071"/>
      <c r="AF37" s="1071"/>
      <c r="AG37" s="1071"/>
      <c r="AH37" s="1071"/>
      <c r="AI37" s="1071"/>
      <c r="AJ37" s="1071"/>
      <c r="AK37" s="1071"/>
      <c r="AL37" s="1071"/>
      <c r="AM37" s="1072" t="str">
        <f>IF(AH18=0," ","8'")</f>
        <v>8'</v>
      </c>
      <c r="AN37" s="1072"/>
      <c r="AO37" s="1072"/>
      <c r="AP37" s="1072"/>
      <c r="AQ37" s="945">
        <f>IF(AH18=0,0,AH18)</f>
        <v>1</v>
      </c>
      <c r="AR37" s="945"/>
      <c r="AS37" s="945"/>
      <c r="AT37" s="928"/>
      <c r="AU37" s="928"/>
      <c r="AV37" s="928"/>
      <c r="AW37" s="856"/>
      <c r="AX37" s="856"/>
      <c r="AY37" s="856"/>
      <c r="BA37" s="18">
        <v>35</v>
      </c>
    </row>
    <row r="38" spans="2:71" ht="26.25" hidden="1" customHeight="1" thickBot="1" x14ac:dyDescent="0.3">
      <c r="B38" s="1060" t="s">
        <v>723</v>
      </c>
      <c r="C38" s="1061"/>
      <c r="D38" s="1061"/>
      <c r="E38" s="1061"/>
      <c r="F38" s="1061"/>
      <c r="G38" s="1061"/>
      <c r="H38" s="629">
        <f>'Wall Materials'!H21</f>
        <v>2</v>
      </c>
      <c r="I38" s="629" t="str">
        <f>'Wall Materials'!I21</f>
        <v>X</v>
      </c>
      <c r="J38" s="629">
        <f>'Wall Materials'!J21</f>
        <v>12</v>
      </c>
      <c r="K38" s="629" t="str">
        <f>'Wall Materials'!K21</f>
        <v>X</v>
      </c>
      <c r="L38" s="629">
        <f>'Wall Materials'!L21</f>
        <v>14</v>
      </c>
      <c r="M38" s="629" t="str">
        <f>'Wall Materials'!M21</f>
        <v>ft</v>
      </c>
      <c r="N38" s="629"/>
      <c r="O38" s="629"/>
      <c r="P38" s="629"/>
      <c r="Q38" s="629"/>
      <c r="R38" s="629"/>
      <c r="S38" s="1069" t="str">
        <f>IF(Z38=" "," ","Insure  ht. is correct")</f>
        <v>Insure  ht. is correct</v>
      </c>
      <c r="T38" s="1069"/>
      <c r="U38" s="1069"/>
      <c r="V38" s="1069"/>
      <c r="W38" s="1069"/>
      <c r="X38" s="1069"/>
      <c r="Y38" s="1069"/>
      <c r="Z38" s="1069">
        <v>2</v>
      </c>
      <c r="AA38" s="1069"/>
      <c r="AB38" s="1069"/>
      <c r="AC38" s="309" t="str">
        <f>IF(S38=" "," ","@")</f>
        <v>@</v>
      </c>
      <c r="AD38" s="1069" t="str">
        <f>IF(Z38=" "," ","Cut to 66'' - add to rafter pallet")</f>
        <v>Cut to 66'' - add to rafter pallet</v>
      </c>
      <c r="AE38" s="1069"/>
      <c r="AF38" s="1069"/>
      <c r="AG38" s="1069"/>
      <c r="AH38" s="1069"/>
      <c r="AI38" s="1069"/>
      <c r="AJ38" s="1069"/>
      <c r="AK38" s="1069"/>
      <c r="AL38" s="1069"/>
      <c r="AM38" s="1070" t="s">
        <v>331</v>
      </c>
      <c r="AN38" s="1070"/>
      <c r="AO38" s="1070"/>
      <c r="AP38" s="1070"/>
      <c r="AQ38" s="1063">
        <f>SUM('Data entry'!N98*2)</f>
        <v>0</v>
      </c>
      <c r="AR38" s="1063"/>
      <c r="AS38" s="1063"/>
      <c r="AT38" s="928"/>
      <c r="AU38" s="928"/>
      <c r="AV38" s="928"/>
      <c r="AW38" s="856"/>
      <c r="AX38" s="856"/>
      <c r="AY38" s="856"/>
    </row>
    <row r="39" spans="2:71" ht="26.25" customHeight="1" thickBot="1" x14ac:dyDescent="0.3">
      <c r="B39" s="1058" t="s">
        <v>722</v>
      </c>
      <c r="C39" s="1059"/>
      <c r="D39" s="1059"/>
      <c r="E39" s="1059"/>
      <c r="F39" s="1059"/>
      <c r="G39" s="1059"/>
      <c r="H39" s="683">
        <f>'Wall Materials'!H21</f>
        <v>2</v>
      </c>
      <c r="I39" s="683" t="str">
        <f>'Wall Materials'!I21</f>
        <v>X</v>
      </c>
      <c r="J39" s="683">
        <f>'Wall Materials'!J21</f>
        <v>12</v>
      </c>
      <c r="K39" s="683" t="str">
        <f>'Wall Materials'!K21</f>
        <v>X</v>
      </c>
      <c r="L39" s="683">
        <f>'Wall Materials'!L21</f>
        <v>14</v>
      </c>
      <c r="M39" s="683" t="str">
        <f>'Wall Materials'!M21</f>
        <v>ft</v>
      </c>
      <c r="N39" s="683"/>
      <c r="O39" s="683"/>
      <c r="P39" s="683"/>
      <c r="Q39" s="683"/>
      <c r="R39" s="683"/>
      <c r="S39" s="1064" t="str">
        <f>IF(Z39=" "," ","Insure ht. is correct")</f>
        <v>Insure ht. is correct</v>
      </c>
      <c r="T39" s="1064"/>
      <c r="U39" s="1064"/>
      <c r="V39" s="1064"/>
      <c r="W39" s="1064"/>
      <c r="X39" s="1064"/>
      <c r="Y39" s="1064"/>
      <c r="Z39" s="1065">
        <v>2</v>
      </c>
      <c r="AA39" s="1065"/>
      <c r="AB39" s="1065"/>
      <c r="AC39" s="684" t="str">
        <f>IF(S39=" "," ","@")</f>
        <v>@</v>
      </c>
      <c r="AD39" s="1064" t="str">
        <f>IF(Z39=" "," ","Cut to 78'' -add to rafter pallet")</f>
        <v>Cut to 78'' -add to rafter pallet</v>
      </c>
      <c r="AE39" s="1064"/>
      <c r="AF39" s="1064"/>
      <c r="AG39" s="1064"/>
      <c r="AH39" s="1064"/>
      <c r="AI39" s="1064"/>
      <c r="AJ39" s="1064"/>
      <c r="AK39" s="1064"/>
      <c r="AL39" s="1064"/>
      <c r="AM39" s="1066" t="s">
        <v>332</v>
      </c>
      <c r="AN39" s="1066"/>
      <c r="AO39" s="1066"/>
      <c r="AP39" s="1066"/>
      <c r="AQ39" s="1067">
        <f>SUM('Data entry'!V98*2)</f>
        <v>2</v>
      </c>
      <c r="AR39" s="1067"/>
      <c r="AS39" s="1067"/>
      <c r="AT39" s="1068"/>
      <c r="AU39" s="1068"/>
      <c r="AV39" s="1068"/>
      <c r="AW39" s="1062"/>
      <c r="AX39" s="1062"/>
      <c r="AY39" s="1062"/>
    </row>
    <row r="40" spans="2:71" ht="26.25" customHeight="1" thickBot="1" x14ac:dyDescent="0.3">
      <c r="B40" s="1128" t="str">
        <f>IF('Data entry'!Y44="pine T&amp;G","pine T&amp;G",0)</f>
        <v>pine T&amp;G</v>
      </c>
      <c r="C40" s="1129"/>
      <c r="D40" s="1129"/>
      <c r="E40" s="1129"/>
      <c r="F40" s="1129"/>
      <c r="G40" s="1129"/>
      <c r="H40" s="1129"/>
      <c r="I40" s="1129"/>
      <c r="J40" s="1129"/>
      <c r="K40" s="1129"/>
      <c r="L40" s="1129"/>
      <c r="M40" s="1129"/>
      <c r="N40" s="1129"/>
      <c r="O40" s="1129"/>
      <c r="P40" s="1129"/>
      <c r="Q40" s="1129"/>
      <c r="R40" s="1129"/>
      <c r="S40" s="1129"/>
      <c r="T40" s="1129"/>
      <c r="U40" s="1129"/>
      <c r="V40" s="1129"/>
      <c r="W40" s="1129"/>
      <c r="X40" s="1129"/>
      <c r="Y40" s="1129"/>
      <c r="Z40" s="1129"/>
      <c r="AA40" s="1129"/>
      <c r="AB40" s="1129"/>
      <c r="AC40" s="1129"/>
      <c r="AD40" s="1129"/>
      <c r="AE40" s="1129"/>
      <c r="AF40" s="1129"/>
      <c r="AG40" s="1129"/>
      <c r="AH40" s="1129"/>
      <c r="AI40" s="1129"/>
      <c r="AJ40" s="1129"/>
      <c r="AK40" s="1129"/>
      <c r="AL40" s="1130"/>
      <c r="AM40" s="1119" t="str">
        <f>IF(B40&gt;0,"8'"," ")</f>
        <v>8'</v>
      </c>
      <c r="AN40" s="1120"/>
      <c r="AO40" s="1120"/>
      <c r="AP40" s="1121"/>
      <c r="AQ40" s="1122">
        <f>IF(B40&gt;0,BG40," ")</f>
        <v>12</v>
      </c>
      <c r="AR40" s="1123"/>
      <c r="AS40" s="1124"/>
      <c r="AT40" s="1125"/>
      <c r="AU40" s="1126"/>
      <c r="AV40" s="1127"/>
      <c r="AW40" s="1125"/>
      <c r="AX40" s="1126"/>
      <c r="AY40" s="1127"/>
      <c r="BG40" s="18">
        <f>IF(O9=20,8,IF(O9=25,10,IF(O9=30,12,IF(O9=35,14,16))))</f>
        <v>12</v>
      </c>
    </row>
    <row r="41" spans="2:71" ht="26.25" customHeight="1" thickBot="1" x14ac:dyDescent="0.3">
      <c r="B41" s="1125" t="str">
        <f>'&gt;Ordering NVL'!Q54</f>
        <v>Rafter Trim</v>
      </c>
      <c r="C41" s="1126"/>
      <c r="D41" s="1126"/>
      <c r="E41" s="1126"/>
      <c r="F41" s="1126"/>
      <c r="G41" s="1126"/>
      <c r="H41" s="1126"/>
      <c r="I41" s="1126"/>
      <c r="J41" s="1126"/>
      <c r="K41" s="1126"/>
      <c r="L41" s="1126"/>
      <c r="M41" s="1126"/>
      <c r="N41" s="1126"/>
      <c r="O41" s="1126"/>
      <c r="P41" s="1126"/>
      <c r="Q41" s="1126"/>
      <c r="R41" s="1126"/>
      <c r="S41" s="1126"/>
      <c r="T41" s="1127"/>
      <c r="U41" s="1128" t="str">
        <f>'&gt;Ordering NVL'!T54</f>
        <v>Clear Hemlock</v>
      </c>
      <c r="V41" s="1129"/>
      <c r="W41" s="1129"/>
      <c r="X41" s="1129"/>
      <c r="Y41" s="1129"/>
      <c r="Z41" s="1129"/>
      <c r="AA41" s="1129"/>
      <c r="AB41" s="1129"/>
      <c r="AC41" s="1129"/>
      <c r="AD41" s="1129"/>
      <c r="AE41" s="704">
        <f>'&gt;Ordering NVL'!G54</f>
        <v>1</v>
      </c>
      <c r="AF41" s="704" t="str">
        <f>'&gt;Ordering NVL'!H54</f>
        <v>x</v>
      </c>
      <c r="AG41" s="704">
        <f>'&gt;Ordering NVL'!I54</f>
        <v>3</v>
      </c>
      <c r="AH41" s="704" t="str">
        <f>'&gt;Ordering NVL'!J54</f>
        <v>x</v>
      </c>
      <c r="AI41" s="704">
        <f>'&gt;Ordering NVL'!K54</f>
        <v>16</v>
      </c>
      <c r="AJ41" s="704"/>
      <c r="AK41" s="704"/>
      <c r="AL41" s="705"/>
      <c r="AM41" s="1119">
        <f>'&gt;Ordering NVL'!K54</f>
        <v>16</v>
      </c>
      <c r="AN41" s="1120"/>
      <c r="AO41" s="1120"/>
      <c r="AP41" s="1121"/>
      <c r="AQ41" s="1122">
        <f>'&gt;Ordering NVL'!D54</f>
        <v>48</v>
      </c>
      <c r="AR41" s="1123"/>
      <c r="AS41" s="1124"/>
      <c r="AT41" s="1125"/>
      <c r="AU41" s="1126"/>
      <c r="AV41" s="1127"/>
      <c r="AW41" s="1125"/>
      <c r="AX41" s="1126"/>
      <c r="AY41" s="1127"/>
    </row>
    <row r="42" spans="2:71" ht="20.25" customHeight="1" x14ac:dyDescent="0.2"/>
    <row r="43" spans="2:71" ht="13.5" thickBot="1" x14ac:dyDescent="0.25"/>
    <row r="44" spans="2:71" ht="30.75" thickBot="1" x14ac:dyDescent="0.45">
      <c r="B44" s="1105" t="s">
        <v>692</v>
      </c>
      <c r="C44" s="1106"/>
      <c r="D44" s="1106"/>
      <c r="E44" s="1106"/>
      <c r="F44" s="1106"/>
      <c r="G44" s="1106"/>
      <c r="H44" s="1106"/>
      <c r="I44" s="1106"/>
      <c r="J44" s="1106"/>
      <c r="K44" s="1106"/>
      <c r="L44" s="1106"/>
      <c r="M44" s="1107"/>
      <c r="N44" s="628"/>
      <c r="O44" s="1111" t="s">
        <v>720</v>
      </c>
      <c r="P44" s="1112"/>
      <c r="Q44" s="1112"/>
      <c r="R44" s="1112"/>
      <c r="S44" s="1112"/>
      <c r="T44" s="1113"/>
      <c r="U44" s="628"/>
      <c r="V44" s="1108" t="s">
        <v>693</v>
      </c>
      <c r="W44" s="1109"/>
      <c r="X44" s="1109"/>
      <c r="Y44" s="1109"/>
      <c r="Z44" s="1109"/>
      <c r="AA44" s="1109"/>
      <c r="AB44" s="1109"/>
      <c r="AC44" s="1109"/>
      <c r="AD44" s="1109"/>
      <c r="AE44" s="1109"/>
      <c r="AF44" s="1109"/>
      <c r="AG44" s="1109"/>
      <c r="AH44" s="1109"/>
      <c r="AI44" s="1110"/>
    </row>
    <row r="46" spans="2:71" ht="22.5" customHeight="1" x14ac:dyDescent="0.2">
      <c r="B46" s="1118" t="s">
        <v>694</v>
      </c>
      <c r="C46" s="1118"/>
      <c r="D46" s="1118"/>
      <c r="E46" s="1118" t="s">
        <v>502</v>
      </c>
      <c r="F46" s="1118"/>
      <c r="G46" s="1118"/>
      <c r="H46" s="1118"/>
      <c r="I46" s="1118"/>
      <c r="J46" s="1118"/>
      <c r="K46" s="1118"/>
      <c r="L46" s="1118" t="s">
        <v>695</v>
      </c>
      <c r="M46" s="1118"/>
      <c r="N46" s="1118"/>
      <c r="O46" s="1118"/>
      <c r="P46" s="1118"/>
      <c r="Q46" s="1118" t="s">
        <v>157</v>
      </c>
      <c r="R46" s="1118"/>
      <c r="S46" s="1118"/>
      <c r="V46" s="1118" t="s">
        <v>694</v>
      </c>
      <c r="W46" s="1118"/>
      <c r="X46" s="1118"/>
      <c r="Y46" s="1118" t="s">
        <v>502</v>
      </c>
      <c r="Z46" s="1118"/>
      <c r="AA46" s="1118"/>
      <c r="AB46" s="1118"/>
      <c r="AC46" s="1118"/>
      <c r="AD46" s="1118"/>
      <c r="AE46" s="1118"/>
      <c r="AF46" s="1118" t="s">
        <v>695</v>
      </c>
      <c r="AG46" s="1118"/>
      <c r="AH46" s="1118"/>
      <c r="AI46" s="1118"/>
      <c r="AJ46" s="1118"/>
      <c r="AK46" s="1118" t="s">
        <v>157</v>
      </c>
      <c r="AL46" s="1118"/>
      <c r="AM46" s="1118"/>
    </row>
    <row r="47" spans="2:71" ht="22.5" customHeight="1" x14ac:dyDescent="0.2">
      <c r="B47" s="1118"/>
      <c r="C47" s="1118"/>
      <c r="D47" s="1118"/>
      <c r="E47" s="1118"/>
      <c r="F47" s="1118"/>
      <c r="G47" s="1118"/>
      <c r="H47" s="1118"/>
      <c r="I47" s="1118"/>
      <c r="J47" s="1118"/>
      <c r="K47" s="1118"/>
      <c r="L47" s="1118"/>
      <c r="M47" s="1118"/>
      <c r="N47" s="1118"/>
      <c r="O47" s="1118"/>
      <c r="P47" s="1118"/>
      <c r="Q47" s="1118"/>
      <c r="R47" s="1118"/>
      <c r="S47" s="1118"/>
      <c r="V47" s="1118"/>
      <c r="W47" s="1118"/>
      <c r="X47" s="1118"/>
      <c r="Y47" s="1118"/>
      <c r="Z47" s="1118"/>
      <c r="AA47" s="1118"/>
      <c r="AB47" s="1118"/>
      <c r="AC47" s="1118"/>
      <c r="AD47" s="1118"/>
      <c r="AE47" s="1118"/>
      <c r="AF47" s="1118"/>
      <c r="AG47" s="1118"/>
      <c r="AH47" s="1118"/>
      <c r="AI47" s="1118"/>
      <c r="AJ47" s="1118"/>
      <c r="AK47" s="1118"/>
      <c r="AL47" s="1118"/>
      <c r="AM47" s="1118"/>
    </row>
    <row r="48" spans="2:71" ht="22.5" customHeight="1" x14ac:dyDescent="0.2">
      <c r="B48" s="1118"/>
      <c r="C48" s="1118"/>
      <c r="D48" s="1118"/>
      <c r="E48" s="1118"/>
      <c r="F48" s="1118"/>
      <c r="G48" s="1118"/>
      <c r="H48" s="1118"/>
      <c r="I48" s="1118"/>
      <c r="J48" s="1118"/>
      <c r="K48" s="1118"/>
      <c r="L48" s="1118"/>
      <c r="M48" s="1118"/>
      <c r="N48" s="1118"/>
      <c r="O48" s="1118"/>
      <c r="P48" s="1118"/>
      <c r="Q48" s="1118"/>
      <c r="R48" s="1118"/>
      <c r="S48" s="1118"/>
      <c r="V48" s="1118"/>
      <c r="W48" s="1118"/>
      <c r="X48" s="1118"/>
      <c r="Y48" s="1118"/>
      <c r="Z48" s="1118"/>
      <c r="AA48" s="1118"/>
      <c r="AB48" s="1118"/>
      <c r="AC48" s="1118"/>
      <c r="AD48" s="1118"/>
      <c r="AE48" s="1118"/>
      <c r="AF48" s="1118"/>
      <c r="AG48" s="1118"/>
      <c r="AH48" s="1118"/>
      <c r="AI48" s="1118"/>
      <c r="AJ48" s="1118"/>
      <c r="AK48" s="1118"/>
      <c r="AL48" s="1118"/>
      <c r="AM48" s="1118"/>
    </row>
    <row r="49" spans="2:39" ht="22.5" customHeight="1" x14ac:dyDescent="0.2">
      <c r="B49" s="1118"/>
      <c r="C49" s="1118"/>
      <c r="D49" s="1118"/>
      <c r="E49" s="1118"/>
      <c r="F49" s="1118"/>
      <c r="G49" s="1118"/>
      <c r="H49" s="1118"/>
      <c r="I49" s="1118"/>
      <c r="J49" s="1118"/>
      <c r="K49" s="1118"/>
      <c r="L49" s="1118"/>
      <c r="M49" s="1118"/>
      <c r="N49" s="1118"/>
      <c r="O49" s="1118"/>
      <c r="P49" s="1118"/>
      <c r="Q49" s="1118"/>
      <c r="R49" s="1118"/>
      <c r="S49" s="1118"/>
      <c r="V49" s="1118"/>
      <c r="W49" s="1118"/>
      <c r="X49" s="1118"/>
      <c r="Y49" s="1118"/>
      <c r="Z49" s="1118"/>
      <c r="AA49" s="1118"/>
      <c r="AB49" s="1118"/>
      <c r="AC49" s="1118"/>
      <c r="AD49" s="1118"/>
      <c r="AE49" s="1118"/>
      <c r="AF49" s="1118"/>
      <c r="AG49" s="1118"/>
      <c r="AH49" s="1118"/>
      <c r="AI49" s="1118"/>
      <c r="AJ49" s="1118"/>
      <c r="AK49" s="1118"/>
      <c r="AL49" s="1118"/>
      <c r="AM49" s="1118"/>
    </row>
    <row r="50" spans="2:39" ht="22.5" customHeight="1" x14ac:dyDescent="0.2">
      <c r="B50" s="1118"/>
      <c r="C50" s="1118"/>
      <c r="D50" s="1118"/>
      <c r="E50" s="1118"/>
      <c r="F50" s="1118"/>
      <c r="G50" s="1118"/>
      <c r="H50" s="1118"/>
      <c r="I50" s="1118"/>
      <c r="J50" s="1118"/>
      <c r="K50" s="1118"/>
      <c r="L50" s="1118"/>
      <c r="M50" s="1118"/>
      <c r="N50" s="1118"/>
      <c r="O50" s="1118"/>
      <c r="P50" s="1118"/>
      <c r="Q50" s="1118"/>
      <c r="R50" s="1118"/>
      <c r="S50" s="1118"/>
      <c r="V50" s="1118"/>
      <c r="W50" s="1118"/>
      <c r="X50" s="1118"/>
      <c r="Y50" s="1118"/>
      <c r="Z50" s="1118"/>
      <c r="AA50" s="1118"/>
      <c r="AB50" s="1118"/>
      <c r="AC50" s="1118"/>
      <c r="AD50" s="1118"/>
      <c r="AE50" s="1118"/>
      <c r="AF50" s="1118"/>
      <c r="AG50" s="1118"/>
      <c r="AH50" s="1118"/>
      <c r="AI50" s="1118"/>
      <c r="AJ50" s="1118"/>
      <c r="AK50" s="1118"/>
      <c r="AL50" s="1118"/>
      <c r="AM50" s="1118"/>
    </row>
    <row r="51" spans="2:39" ht="22.5" customHeight="1" x14ac:dyDescent="0.2">
      <c r="B51" s="1118"/>
      <c r="C51" s="1118"/>
      <c r="D51" s="1118"/>
      <c r="E51" s="1118"/>
      <c r="F51" s="1118"/>
      <c r="G51" s="1118"/>
      <c r="H51" s="1118"/>
      <c r="I51" s="1118"/>
      <c r="J51" s="1118"/>
      <c r="K51" s="1118"/>
      <c r="L51" s="1118"/>
      <c r="M51" s="1118"/>
      <c r="N51" s="1118"/>
      <c r="O51" s="1118"/>
      <c r="P51" s="1118"/>
      <c r="Q51" s="1118"/>
      <c r="R51" s="1118"/>
      <c r="S51" s="1118"/>
      <c r="V51" s="1118"/>
      <c r="W51" s="1118"/>
      <c r="X51" s="1118"/>
      <c r="Y51" s="1118"/>
      <c r="Z51" s="1118"/>
      <c r="AA51" s="1118"/>
      <c r="AB51" s="1118"/>
      <c r="AC51" s="1118"/>
      <c r="AD51" s="1118"/>
      <c r="AE51" s="1118"/>
      <c r="AF51" s="1118"/>
      <c r="AG51" s="1118"/>
      <c r="AH51" s="1118"/>
      <c r="AI51" s="1118"/>
      <c r="AJ51" s="1118"/>
      <c r="AK51" s="1118"/>
      <c r="AL51" s="1118"/>
      <c r="AM51" s="1118"/>
    </row>
    <row r="52" spans="2:39" ht="22.5" customHeight="1" x14ac:dyDescent="0.2">
      <c r="B52" s="1118"/>
      <c r="C52" s="1118"/>
      <c r="D52" s="1118"/>
      <c r="E52" s="1118"/>
      <c r="F52" s="1118"/>
      <c r="G52" s="1118"/>
      <c r="H52" s="1118"/>
      <c r="I52" s="1118"/>
      <c r="J52" s="1118"/>
      <c r="K52" s="1118"/>
      <c r="L52" s="1118"/>
      <c r="M52" s="1118"/>
      <c r="N52" s="1118"/>
      <c r="O52" s="1118"/>
      <c r="P52" s="1118"/>
      <c r="Q52" s="1118"/>
      <c r="R52" s="1118"/>
      <c r="S52" s="1118"/>
      <c r="V52" s="1118"/>
      <c r="W52" s="1118"/>
      <c r="X52" s="1118"/>
      <c r="Y52" s="1118"/>
      <c r="Z52" s="1118"/>
      <c r="AA52" s="1118"/>
      <c r="AB52" s="1118"/>
      <c r="AC52" s="1118"/>
      <c r="AD52" s="1118"/>
      <c r="AE52" s="1118"/>
      <c r="AF52" s="1118"/>
      <c r="AG52" s="1118"/>
      <c r="AH52" s="1118"/>
      <c r="AI52" s="1118"/>
      <c r="AJ52" s="1118"/>
      <c r="AK52" s="1118"/>
      <c r="AL52" s="1118"/>
      <c r="AM52" s="1118"/>
    </row>
    <row r="53" spans="2:39" ht="22.5" customHeight="1" x14ac:dyDescent="0.2">
      <c r="B53" s="1118"/>
      <c r="C53" s="1118"/>
      <c r="D53" s="1118"/>
      <c r="E53" s="1118"/>
      <c r="F53" s="1118"/>
      <c r="G53" s="1118"/>
      <c r="H53" s="1118"/>
      <c r="I53" s="1118"/>
      <c r="J53" s="1118"/>
      <c r="K53" s="1118"/>
      <c r="L53" s="1118"/>
      <c r="M53" s="1118"/>
      <c r="N53" s="1118"/>
      <c r="O53" s="1118"/>
      <c r="P53" s="1118"/>
      <c r="Q53" s="1118"/>
      <c r="R53" s="1118"/>
      <c r="S53" s="1118"/>
      <c r="V53" s="1118"/>
      <c r="W53" s="1118"/>
      <c r="X53" s="1118"/>
      <c r="Y53" s="1118"/>
      <c r="Z53" s="1118"/>
      <c r="AA53" s="1118"/>
      <c r="AB53" s="1118"/>
      <c r="AC53" s="1118"/>
      <c r="AD53" s="1118"/>
      <c r="AE53" s="1118"/>
      <c r="AF53" s="1118"/>
      <c r="AG53" s="1118"/>
      <c r="AH53" s="1118"/>
      <c r="AI53" s="1118"/>
      <c r="AJ53" s="1118"/>
      <c r="AK53" s="1118"/>
      <c r="AL53" s="1118"/>
      <c r="AM53" s="1118"/>
    </row>
    <row r="54" spans="2:39" ht="22.5" customHeight="1" x14ac:dyDescent="0.2">
      <c r="B54" s="1118"/>
      <c r="C54" s="1118"/>
      <c r="D54" s="1118"/>
      <c r="E54" s="1118"/>
      <c r="F54" s="1118"/>
      <c r="G54" s="1118"/>
      <c r="H54" s="1118"/>
      <c r="I54" s="1118"/>
      <c r="J54" s="1118"/>
      <c r="K54" s="1118"/>
      <c r="L54" s="1118"/>
      <c r="M54" s="1118"/>
      <c r="N54" s="1118"/>
      <c r="O54" s="1118"/>
      <c r="P54" s="1118"/>
      <c r="Q54" s="1118"/>
      <c r="R54" s="1118"/>
      <c r="S54" s="1118"/>
      <c r="V54" s="1118"/>
      <c r="W54" s="1118"/>
      <c r="X54" s="1118"/>
      <c r="Y54" s="1118"/>
      <c r="Z54" s="1118"/>
      <c r="AA54" s="1118"/>
      <c r="AB54" s="1118"/>
      <c r="AC54" s="1118"/>
      <c r="AD54" s="1118"/>
      <c r="AE54" s="1118"/>
      <c r="AF54" s="1118"/>
      <c r="AG54" s="1118"/>
      <c r="AH54" s="1118"/>
      <c r="AI54" s="1118"/>
      <c r="AJ54" s="1118"/>
      <c r="AK54" s="1118"/>
      <c r="AL54" s="1118"/>
      <c r="AM54" s="1118"/>
    </row>
    <row r="55" spans="2:39" ht="22.5" customHeight="1" x14ac:dyDescent="0.2">
      <c r="B55" s="1118"/>
      <c r="C55" s="1118"/>
      <c r="D55" s="1118"/>
      <c r="E55" s="1118"/>
      <c r="F55" s="1118"/>
      <c r="G55" s="1118"/>
      <c r="H55" s="1118"/>
      <c r="I55" s="1118"/>
      <c r="J55" s="1118"/>
      <c r="K55" s="1118"/>
      <c r="L55" s="1118"/>
      <c r="M55" s="1118"/>
      <c r="N55" s="1118"/>
      <c r="O55" s="1118"/>
      <c r="P55" s="1118"/>
      <c r="Q55" s="1118"/>
      <c r="R55" s="1118"/>
      <c r="S55" s="1118"/>
      <c r="V55" s="1118"/>
      <c r="W55" s="1118"/>
      <c r="X55" s="1118"/>
      <c r="Y55" s="1118"/>
      <c r="Z55" s="1118"/>
      <c r="AA55" s="1118"/>
      <c r="AB55" s="1118"/>
      <c r="AC55" s="1118"/>
      <c r="AD55" s="1118"/>
      <c r="AE55" s="1118"/>
      <c r="AF55" s="1118"/>
      <c r="AG55" s="1118"/>
      <c r="AH55" s="1118"/>
      <c r="AI55" s="1118"/>
      <c r="AJ55" s="1118"/>
      <c r="AK55" s="1118"/>
      <c r="AL55" s="1118"/>
      <c r="AM55" s="1118"/>
    </row>
  </sheetData>
  <sheetProtection selectLockedCells="1" selectUnlockedCells="1"/>
  <mergeCells count="250">
    <mergeCell ref="AM41:AP41"/>
    <mergeCell ref="AQ41:AS41"/>
    <mergeCell ref="AT41:AV41"/>
    <mergeCell ref="AW41:AY41"/>
    <mergeCell ref="U41:AD41"/>
    <mergeCell ref="B41:T41"/>
    <mergeCell ref="B40:AL40"/>
    <mergeCell ref="AM40:AP40"/>
    <mergeCell ref="AQ40:AS40"/>
    <mergeCell ref="AT40:AV40"/>
    <mergeCell ref="AW40:AY40"/>
    <mergeCell ref="Y55:AE55"/>
    <mergeCell ref="AF55:AJ55"/>
    <mergeCell ref="AK55:AM55"/>
    <mergeCell ref="V53:X53"/>
    <mergeCell ref="Y53:AE53"/>
    <mergeCell ref="AF53:AJ53"/>
    <mergeCell ref="AK53:AM53"/>
    <mergeCell ref="V54:X54"/>
    <mergeCell ref="Y54:AE54"/>
    <mergeCell ref="AF54:AJ54"/>
    <mergeCell ref="AK54:AM54"/>
    <mergeCell ref="V51:X51"/>
    <mergeCell ref="Y51:AE51"/>
    <mergeCell ref="AF51:AJ51"/>
    <mergeCell ref="AK51:AM51"/>
    <mergeCell ref="V52:X52"/>
    <mergeCell ref="Y52:AE52"/>
    <mergeCell ref="AF52:AJ52"/>
    <mergeCell ref="AK52:AM52"/>
    <mergeCell ref="Y48:AE48"/>
    <mergeCell ref="V50:X50"/>
    <mergeCell ref="Y50:AE50"/>
    <mergeCell ref="AF50:AJ50"/>
    <mergeCell ref="AK50:AM50"/>
    <mergeCell ref="AK46:AM46"/>
    <mergeCell ref="V47:X47"/>
    <mergeCell ref="Y47:AE47"/>
    <mergeCell ref="AF47:AJ47"/>
    <mergeCell ref="AK47:AM47"/>
    <mergeCell ref="AF48:AJ48"/>
    <mergeCell ref="AK48:AM48"/>
    <mergeCell ref="V49:X49"/>
    <mergeCell ref="Y49:AE49"/>
    <mergeCell ref="AF49:AJ49"/>
    <mergeCell ref="AK49:AM49"/>
    <mergeCell ref="B54:D54"/>
    <mergeCell ref="E54:K54"/>
    <mergeCell ref="L54:P54"/>
    <mergeCell ref="Q54:S54"/>
    <mergeCell ref="B55:D55"/>
    <mergeCell ref="E55:K55"/>
    <mergeCell ref="L55:P55"/>
    <mergeCell ref="Q55:S55"/>
    <mergeCell ref="V46:X46"/>
    <mergeCell ref="V48:X48"/>
    <mergeCell ref="V55:X55"/>
    <mergeCell ref="B51:D51"/>
    <mergeCell ref="E51:K51"/>
    <mergeCell ref="L51:P51"/>
    <mergeCell ref="Q51:S51"/>
    <mergeCell ref="B52:D52"/>
    <mergeCell ref="E52:K52"/>
    <mergeCell ref="L52:P52"/>
    <mergeCell ref="Q52:S52"/>
    <mergeCell ref="B53:D53"/>
    <mergeCell ref="E53:K53"/>
    <mergeCell ref="L53:P53"/>
    <mergeCell ref="Q53:S53"/>
    <mergeCell ref="B48:D48"/>
    <mergeCell ref="E48:K48"/>
    <mergeCell ref="L48:P48"/>
    <mergeCell ref="Q48:S48"/>
    <mergeCell ref="B49:D49"/>
    <mergeCell ref="E49:K49"/>
    <mergeCell ref="L49:P49"/>
    <mergeCell ref="Q49:S49"/>
    <mergeCell ref="B50:D50"/>
    <mergeCell ref="E50:K50"/>
    <mergeCell ref="L50:P50"/>
    <mergeCell ref="Q50:S50"/>
    <mergeCell ref="L46:P46"/>
    <mergeCell ref="Q46:S46"/>
    <mergeCell ref="E46:K46"/>
    <mergeCell ref="B46:D46"/>
    <mergeCell ref="AF46:AJ46"/>
    <mergeCell ref="B47:D47"/>
    <mergeCell ref="E47:K47"/>
    <mergeCell ref="L47:P47"/>
    <mergeCell ref="Q47:S47"/>
    <mergeCell ref="Y46:AE46"/>
    <mergeCell ref="B44:M44"/>
    <mergeCell ref="V44:AI44"/>
    <mergeCell ref="O44:T44"/>
    <mergeCell ref="AO9:AP9"/>
    <mergeCell ref="D12:F12"/>
    <mergeCell ref="L12:M12"/>
    <mergeCell ref="N12:O12"/>
    <mergeCell ref="AH12:AJ12"/>
    <mergeCell ref="AK12:AU12"/>
    <mergeCell ref="D13:F13"/>
    <mergeCell ref="L13:M13"/>
    <mergeCell ref="N13:O13"/>
    <mergeCell ref="AH13:AJ13"/>
    <mergeCell ref="AK13:AU13"/>
    <mergeCell ref="D14:F14"/>
    <mergeCell ref="L14:M14"/>
    <mergeCell ref="N14:O14"/>
    <mergeCell ref="AH14:AJ14"/>
    <mergeCell ref="AK14:AU14"/>
    <mergeCell ref="D15:F15"/>
    <mergeCell ref="L15:M15"/>
    <mergeCell ref="N15:O15"/>
    <mergeCell ref="AH15:AJ15"/>
    <mergeCell ref="AK15:AU15"/>
    <mergeCell ref="J6:K6"/>
    <mergeCell ref="M6:AJ6"/>
    <mergeCell ref="V3:Z3"/>
    <mergeCell ref="I9:N9"/>
    <mergeCell ref="O9:P9"/>
    <mergeCell ref="U9:AB9"/>
    <mergeCell ref="AC9:AD9"/>
    <mergeCell ref="AI9:AN9"/>
    <mergeCell ref="AB3:AO3"/>
    <mergeCell ref="D16:F16"/>
    <mergeCell ref="L16:M16"/>
    <mergeCell ref="N16:O16"/>
    <mergeCell ref="AH16:AJ16"/>
    <mergeCell ref="AK16:AU16"/>
    <mergeCell ref="D19:F19"/>
    <mergeCell ref="L19:M19"/>
    <mergeCell ref="N19:O19"/>
    <mergeCell ref="AH19:AJ19"/>
    <mergeCell ref="AK19:AU19"/>
    <mergeCell ref="AE22:AW22"/>
    <mergeCell ref="AT23:AV23"/>
    <mergeCell ref="AW23:AY23"/>
    <mergeCell ref="B24:AL24"/>
    <mergeCell ref="AM24:AP24"/>
    <mergeCell ref="AQ24:AS24"/>
    <mergeCell ref="AT24:AV24"/>
    <mergeCell ref="AW24:AY24"/>
    <mergeCell ref="D17:F17"/>
    <mergeCell ref="L17:M17"/>
    <mergeCell ref="N17:O17"/>
    <mergeCell ref="AH17:AJ17"/>
    <mergeCell ref="AK17:AU17"/>
    <mergeCell ref="D18:F18"/>
    <mergeCell ref="L18:M18"/>
    <mergeCell ref="N18:O18"/>
    <mergeCell ref="AH18:AJ18"/>
    <mergeCell ref="AK18:AU18"/>
    <mergeCell ref="BM25:BN25"/>
    <mergeCell ref="BO25:BP25"/>
    <mergeCell ref="BO26:BP26"/>
    <mergeCell ref="BO27:BP27"/>
    <mergeCell ref="B26:AL26"/>
    <mergeCell ref="AM26:AP26"/>
    <mergeCell ref="AQ26:AS26"/>
    <mergeCell ref="AT26:AV26"/>
    <mergeCell ref="AW26:AY26"/>
    <mergeCell ref="BM26:BN26"/>
    <mergeCell ref="B25:AL25"/>
    <mergeCell ref="AM25:AP25"/>
    <mergeCell ref="AQ25:AS25"/>
    <mergeCell ref="AT25:AV25"/>
    <mergeCell ref="AW25:AY25"/>
    <mergeCell ref="BE25:BG25"/>
    <mergeCell ref="B27:AL27"/>
    <mergeCell ref="AM27:AP27"/>
    <mergeCell ref="AQ27:AS27"/>
    <mergeCell ref="AT27:AV27"/>
    <mergeCell ref="AW27:AY27"/>
    <mergeCell ref="BM27:BN27"/>
    <mergeCell ref="BO29:BP29"/>
    <mergeCell ref="BO30:BP30"/>
    <mergeCell ref="B30:AL30"/>
    <mergeCell ref="AM30:AP30"/>
    <mergeCell ref="AQ30:AS30"/>
    <mergeCell ref="AT30:AV30"/>
    <mergeCell ref="AW30:AY30"/>
    <mergeCell ref="BM30:BN30"/>
    <mergeCell ref="BO28:BP28"/>
    <mergeCell ref="B29:AL29"/>
    <mergeCell ref="AM29:AP29"/>
    <mergeCell ref="AQ29:AS29"/>
    <mergeCell ref="AT29:AV29"/>
    <mergeCell ref="AW29:AY29"/>
    <mergeCell ref="BM29:BN29"/>
    <mergeCell ref="B28:AL28"/>
    <mergeCell ref="AM28:AP28"/>
    <mergeCell ref="AQ28:AS28"/>
    <mergeCell ref="AT28:AV28"/>
    <mergeCell ref="AW28:AY28"/>
    <mergeCell ref="BM28:BN28"/>
    <mergeCell ref="BO31:BP31"/>
    <mergeCell ref="B32:AL32"/>
    <mergeCell ref="AM32:AP32"/>
    <mergeCell ref="AQ32:AS32"/>
    <mergeCell ref="AT32:AV32"/>
    <mergeCell ref="AW32:AY32"/>
    <mergeCell ref="BM32:BN32"/>
    <mergeCell ref="BO32:BP32"/>
    <mergeCell ref="B31:AL31"/>
    <mergeCell ref="AM31:AP31"/>
    <mergeCell ref="AQ31:AS31"/>
    <mergeCell ref="AT31:AV31"/>
    <mergeCell ref="AW31:AY31"/>
    <mergeCell ref="BM31:BN31"/>
    <mergeCell ref="B33:AL33"/>
    <mergeCell ref="AM33:AP33"/>
    <mergeCell ref="AQ33:AS33"/>
    <mergeCell ref="AT33:AV33"/>
    <mergeCell ref="AW33:AY33"/>
    <mergeCell ref="B34:AL34"/>
    <mergeCell ref="AM34:AP34"/>
    <mergeCell ref="AQ34:AS34"/>
    <mergeCell ref="AT34:AV34"/>
    <mergeCell ref="AW34:AY34"/>
    <mergeCell ref="B37:AL37"/>
    <mergeCell ref="AM37:AP37"/>
    <mergeCell ref="AQ37:AS37"/>
    <mergeCell ref="AT37:AV37"/>
    <mergeCell ref="AW37:AY37"/>
    <mergeCell ref="B35:AL35"/>
    <mergeCell ref="AM35:AP35"/>
    <mergeCell ref="AQ35:AS35"/>
    <mergeCell ref="AT35:AV35"/>
    <mergeCell ref="AW35:AY35"/>
    <mergeCell ref="B36:AL36"/>
    <mergeCell ref="AM36:AP36"/>
    <mergeCell ref="AQ36:AS36"/>
    <mergeCell ref="AT36:AV36"/>
    <mergeCell ref="AW36:AY36"/>
    <mergeCell ref="B39:G39"/>
    <mergeCell ref="B38:G38"/>
    <mergeCell ref="AW39:AY39"/>
    <mergeCell ref="AQ38:AS38"/>
    <mergeCell ref="AT38:AV38"/>
    <mergeCell ref="AW38:AY38"/>
    <mergeCell ref="S39:Y39"/>
    <mergeCell ref="Z39:AB39"/>
    <mergeCell ref="AD39:AL39"/>
    <mergeCell ref="AM39:AP39"/>
    <mergeCell ref="AQ39:AS39"/>
    <mergeCell ref="AT39:AV39"/>
    <mergeCell ref="S38:Y38"/>
    <mergeCell ref="Z38:AB38"/>
    <mergeCell ref="AD38:AL38"/>
    <mergeCell ref="AM38:AP38"/>
  </mergeCells>
  <pageMargins left="0.78749999999999998" right="0.78749999999999998" top="1.0527777777777778" bottom="1.0527777777777778" header="0.78749999999999998" footer="0.78749999999999998"/>
  <pageSetup scale="42" firstPageNumber="0" orientation="landscape" horizontalDpi="300" verticalDpi="300" r:id="rId1"/>
  <headerFooter alignWithMargins="0">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D1:U53"/>
  <sheetViews>
    <sheetView zoomScale="80" zoomScaleNormal="80" workbookViewId="0">
      <selection activeCell="D3" sqref="D3:U28"/>
    </sheetView>
  </sheetViews>
  <sheetFormatPr defaultColWidth="11.5703125" defaultRowHeight="12.75" x14ac:dyDescent="0.2"/>
  <cols>
    <col min="1" max="8" width="3.85546875" style="18" customWidth="1"/>
    <col min="9" max="9" width="4.85546875" style="18" customWidth="1"/>
    <col min="10" max="10" width="3.85546875" style="18" customWidth="1"/>
    <col min="11" max="11" width="5.140625" style="18" customWidth="1"/>
    <col min="12" max="41" width="3.85546875" style="18" customWidth="1"/>
    <col min="42" max="245" width="9" style="18" customWidth="1"/>
    <col min="246" max="16384" width="11.5703125" style="18"/>
  </cols>
  <sheetData>
    <row r="1" spans="4:21" ht="25.5" customHeight="1" x14ac:dyDescent="0.2"/>
    <row r="2" spans="4:21" ht="25.5" customHeight="1" x14ac:dyDescent="0.2"/>
    <row r="3" spans="4:21" ht="25.5" customHeight="1" x14ac:dyDescent="0.2">
      <c r="D3" s="1133" t="s">
        <v>258</v>
      </c>
      <c r="E3" s="1133"/>
      <c r="F3" s="1133"/>
      <c r="G3" s="1133"/>
      <c r="H3" s="1133"/>
      <c r="I3" s="1133"/>
      <c r="J3" s="1133"/>
      <c r="K3" s="1133"/>
      <c r="L3" s="1133"/>
      <c r="M3" s="1133"/>
      <c r="N3" s="1133"/>
      <c r="O3" s="1133"/>
      <c r="P3" s="1133"/>
      <c r="Q3" s="1133"/>
      <c r="R3" s="1133"/>
      <c r="S3" s="1133"/>
      <c r="T3" s="1133"/>
    </row>
    <row r="4" spans="4:21" ht="21.95" customHeight="1" x14ac:dyDescent="0.2"/>
    <row r="5" spans="4:21" ht="24.4" customHeight="1" x14ac:dyDescent="0.35">
      <c r="D5" s="1134" t="s">
        <v>259</v>
      </c>
      <c r="E5" s="1134"/>
      <c r="F5" s="1134"/>
      <c r="G5" s="1134"/>
      <c r="H5" s="1134"/>
      <c r="I5" s="1134"/>
      <c r="J5" s="1135" t="str">
        <f>'Data entry'!L2</f>
        <v>Phillips</v>
      </c>
      <c r="K5" s="1135"/>
      <c r="L5" s="1135"/>
      <c r="M5" s="1135"/>
      <c r="N5" s="1135"/>
      <c r="O5" s="1135"/>
      <c r="P5" s="1135"/>
      <c r="Q5" s="1135"/>
      <c r="R5" s="1135"/>
      <c r="S5" s="1135"/>
      <c r="T5" s="1135"/>
      <c r="U5" s="1135"/>
    </row>
    <row r="6" spans="4:21" ht="21.2" customHeight="1" x14ac:dyDescent="0.2"/>
    <row r="7" spans="4:21" ht="22.9" customHeight="1" x14ac:dyDescent="0.3">
      <c r="D7" s="1134" t="s">
        <v>260</v>
      </c>
      <c r="E7" s="1134"/>
      <c r="F7" s="1134"/>
      <c r="G7" s="1134"/>
      <c r="I7" s="837">
        <f>'Data entry'!Q10</f>
        <v>30</v>
      </c>
      <c r="J7" s="837"/>
    </row>
    <row r="8" spans="4:21" ht="26.65" customHeight="1" x14ac:dyDescent="0.3">
      <c r="D8" s="1134" t="s">
        <v>261</v>
      </c>
      <c r="E8" s="1134"/>
      <c r="F8" s="1134"/>
      <c r="G8" s="1134"/>
      <c r="H8" s="1134"/>
      <c r="I8" s="278">
        <f>'Data entry'!Q13</f>
        <v>2</v>
      </c>
      <c r="J8" s="279" t="s">
        <v>5</v>
      </c>
      <c r="K8" s="280">
        <f>'Data entry'!S13</f>
        <v>12</v>
      </c>
    </row>
    <row r="9" spans="4:21" ht="21.95" customHeight="1" x14ac:dyDescent="0.2"/>
    <row r="10" spans="4:21" ht="15" customHeight="1" x14ac:dyDescent="0.2">
      <c r="L10" s="1136" t="s">
        <v>215</v>
      </c>
      <c r="M10" s="1136"/>
      <c r="N10" s="1136"/>
      <c r="R10" s="18" t="s">
        <v>262</v>
      </c>
    </row>
    <row r="11" spans="4:21" ht="15" customHeight="1" x14ac:dyDescent="0.2">
      <c r="D11" s="1131" t="s">
        <v>263</v>
      </c>
      <c r="E11" s="1131"/>
      <c r="F11" s="1131"/>
      <c r="G11" s="1131"/>
      <c r="H11" s="1131"/>
      <c r="I11" s="1131"/>
      <c r="J11" s="1131"/>
      <c r="K11" s="1131"/>
      <c r="L11" s="1131"/>
      <c r="M11" s="1131"/>
      <c r="N11" s="1131"/>
      <c r="O11" s="1131"/>
      <c r="P11" s="1131"/>
      <c r="Q11" s="1131"/>
      <c r="R11" s="856"/>
      <c r="S11" s="856"/>
      <c r="T11" s="856"/>
    </row>
    <row r="12" spans="4:21" ht="15" customHeight="1" x14ac:dyDescent="0.2">
      <c r="D12" s="1131" t="s">
        <v>264</v>
      </c>
      <c r="E12" s="1131"/>
      <c r="F12" s="1131"/>
      <c r="G12" s="1131"/>
      <c r="H12" s="1131"/>
      <c r="I12" s="1131"/>
      <c r="J12" s="1131"/>
      <c r="K12" s="1131"/>
      <c r="L12" s="1131"/>
      <c r="M12" s="1131"/>
      <c r="N12" s="1131"/>
      <c r="O12" s="1131"/>
      <c r="P12" s="1131"/>
      <c r="Q12" s="1131"/>
      <c r="R12" s="856"/>
      <c r="S12" s="856"/>
      <c r="T12" s="856"/>
    </row>
    <row r="13" spans="4:21" ht="15" customHeight="1" x14ac:dyDescent="0.2">
      <c r="D13" s="281"/>
      <c r="E13" s="282"/>
      <c r="F13" s="282"/>
      <c r="G13" s="282"/>
      <c r="H13" s="282"/>
      <c r="I13" s="282"/>
      <c r="J13" s="282"/>
      <c r="K13" s="282"/>
      <c r="L13" s="281"/>
      <c r="M13" s="282"/>
      <c r="N13" s="282"/>
      <c r="O13" s="282"/>
      <c r="P13" s="282"/>
      <c r="Q13" s="282"/>
      <c r="R13" s="283"/>
    </row>
    <row r="14" spans="4:21" ht="22.9" customHeight="1" x14ac:dyDescent="0.2">
      <c r="D14" s="1131" t="s">
        <v>265</v>
      </c>
      <c r="E14" s="1131"/>
      <c r="F14" s="1131"/>
      <c r="G14" s="1131"/>
      <c r="H14" s="1131"/>
      <c r="I14" s="1131"/>
      <c r="J14" s="1131"/>
      <c r="K14" s="1131"/>
      <c r="L14" s="1131" t="str">
        <f>IF(I7=41,"6'","5'")</f>
        <v>5'</v>
      </c>
      <c r="M14" s="1131"/>
      <c r="N14" s="1131"/>
      <c r="O14" s="1131"/>
      <c r="P14" s="1131"/>
      <c r="Q14" s="1131"/>
      <c r="R14" s="856"/>
      <c r="S14" s="856"/>
      <c r="T14" s="856"/>
    </row>
    <row r="15" spans="4:21" ht="20.45" customHeight="1" x14ac:dyDescent="0.2">
      <c r="D15" s="1131" t="s">
        <v>266</v>
      </c>
      <c r="E15" s="1131"/>
      <c r="F15" s="1131"/>
      <c r="G15" s="1131"/>
      <c r="H15" s="1131"/>
      <c r="I15" s="1131"/>
      <c r="J15" s="1131"/>
      <c r="K15" s="1131"/>
      <c r="L15" s="1131">
        <f>IF(K8=12,11,IF(K8=10,10,IF(K8=8,8,IF("9v8"=6,6))))</f>
        <v>11</v>
      </c>
      <c r="M15" s="1131"/>
      <c r="N15" s="1131"/>
      <c r="O15" s="1131"/>
      <c r="P15" s="1131"/>
      <c r="Q15" s="1131"/>
      <c r="R15" s="856"/>
      <c r="S15" s="856"/>
      <c r="T15" s="856"/>
    </row>
    <row r="16" spans="4:21" ht="20.45" customHeight="1" x14ac:dyDescent="0.2">
      <c r="D16" s="1131" t="s">
        <v>267</v>
      </c>
      <c r="E16" s="1131"/>
      <c r="F16" s="1131"/>
      <c r="G16" s="1131"/>
      <c r="H16" s="1131"/>
      <c r="I16" s="1131"/>
      <c r="J16" s="1131"/>
      <c r="K16" s="1131"/>
      <c r="L16" s="1131" t="s">
        <v>268</v>
      </c>
      <c r="M16" s="1131"/>
      <c r="N16" s="1131"/>
      <c r="O16" s="1131"/>
      <c r="P16" s="1131"/>
      <c r="Q16" s="1131"/>
      <c r="R16" s="856"/>
      <c r="S16" s="856"/>
      <c r="T16" s="856"/>
    </row>
    <row r="17" spans="4:20" ht="20.45" customHeight="1" x14ac:dyDescent="0.2">
      <c r="D17" s="282"/>
      <c r="E17" s="282"/>
      <c r="F17" s="282"/>
      <c r="G17" s="282"/>
      <c r="H17" s="282"/>
      <c r="I17" s="282"/>
      <c r="J17" s="282"/>
      <c r="K17" s="282"/>
      <c r="L17" s="282"/>
      <c r="M17" s="282"/>
      <c r="N17" s="282"/>
      <c r="O17" s="282"/>
      <c r="P17" s="282"/>
      <c r="Q17" s="282"/>
    </row>
    <row r="18" spans="4:20" ht="20.45" customHeight="1" x14ac:dyDescent="0.2">
      <c r="D18" s="1132" t="s">
        <v>269</v>
      </c>
      <c r="E18" s="1132"/>
      <c r="F18" s="1132"/>
      <c r="G18" s="1132"/>
      <c r="H18" s="1132"/>
      <c r="I18" s="1132"/>
      <c r="J18" s="1132"/>
      <c r="K18" s="1132"/>
      <c r="L18" s="1131" t="str">
        <f>L14</f>
        <v>5'</v>
      </c>
      <c r="M18" s="1131"/>
      <c r="N18" s="1131"/>
      <c r="O18" s="1131"/>
      <c r="P18" s="1131"/>
      <c r="Q18" s="1131"/>
      <c r="R18" s="856"/>
      <c r="S18" s="856"/>
      <c r="T18" s="856"/>
    </row>
    <row r="19" spans="4:20" ht="20.45" customHeight="1" x14ac:dyDescent="0.2">
      <c r="D19" s="1131" t="s">
        <v>270</v>
      </c>
      <c r="E19" s="1131"/>
      <c r="F19" s="1131"/>
      <c r="G19" s="1131"/>
      <c r="H19" s="1131"/>
      <c r="I19" s="1131"/>
      <c r="J19" s="1131"/>
      <c r="K19" s="1131"/>
      <c r="L19" s="1131" t="str">
        <f>'Data entry'!Q78</f>
        <v>Clear Low-E</v>
      </c>
      <c r="M19" s="1131"/>
      <c r="N19" s="1131"/>
      <c r="O19" s="1131"/>
      <c r="P19" s="1131"/>
      <c r="Q19" s="1131"/>
      <c r="R19" s="856"/>
      <c r="S19" s="856"/>
      <c r="T19" s="856"/>
    </row>
    <row r="20" spans="4:20" ht="20.45" customHeight="1" x14ac:dyDescent="0.2">
      <c r="D20" s="1131" t="s">
        <v>271</v>
      </c>
      <c r="E20" s="1131"/>
      <c r="F20" s="1131"/>
      <c r="G20" s="1131"/>
      <c r="H20" s="1131"/>
      <c r="I20" s="1131"/>
      <c r="J20" s="1131"/>
      <c r="K20" s="1131"/>
      <c r="L20" s="1131" t="str">
        <f>'Data entry'!Q79</f>
        <v>Triple Pane</v>
      </c>
      <c r="M20" s="1131"/>
      <c r="N20" s="1131"/>
      <c r="O20" s="1131"/>
      <c r="P20" s="1131"/>
      <c r="Q20" s="1131"/>
      <c r="R20" s="856"/>
      <c r="S20" s="856"/>
      <c r="T20" s="856"/>
    </row>
    <row r="21" spans="4:20" ht="20.45" customHeight="1" x14ac:dyDescent="0.2">
      <c r="D21" s="1131" t="s">
        <v>272</v>
      </c>
      <c r="E21" s="1131"/>
      <c r="F21" s="1131"/>
      <c r="G21" s="1131"/>
      <c r="H21" s="1131"/>
      <c r="I21" s="1131"/>
      <c r="J21" s="1131"/>
      <c r="K21" s="1131"/>
      <c r="L21" s="1131" t="str">
        <f>IF('Data entry'!Q81="Electric","Electric",IF('Data entry'!Q81="Manual","Manual",0))</f>
        <v>Manual</v>
      </c>
      <c r="M21" s="1131"/>
      <c r="N21" s="1131"/>
      <c r="O21" s="1131"/>
      <c r="P21" s="1131"/>
      <c r="Q21" s="1131"/>
      <c r="R21" s="856"/>
      <c r="S21" s="856"/>
      <c r="T21" s="856"/>
    </row>
    <row r="22" spans="4:20" ht="20.45" customHeight="1" x14ac:dyDescent="0.2">
      <c r="D22" s="1131"/>
      <c r="E22" s="1131"/>
      <c r="F22" s="1131"/>
      <c r="G22" s="1131"/>
      <c r="H22" s="1131"/>
      <c r="I22" s="1131"/>
      <c r="J22" s="1131"/>
      <c r="K22" s="1131"/>
      <c r="L22" s="1131"/>
      <c r="M22" s="1131"/>
      <c r="N22" s="1131"/>
      <c r="O22" s="1131"/>
      <c r="P22" s="1131"/>
      <c r="Q22" s="1131"/>
      <c r="R22" s="856"/>
      <c r="S22" s="856"/>
      <c r="T22" s="856"/>
    </row>
    <row r="23" spans="4:20" ht="20.45" customHeight="1" x14ac:dyDescent="0.2">
      <c r="D23" s="1131" t="s">
        <v>273</v>
      </c>
      <c r="E23" s="1131"/>
      <c r="F23" s="1131"/>
      <c r="G23" s="1131"/>
      <c r="H23" s="1131"/>
      <c r="I23" s="1131"/>
      <c r="J23" s="1131"/>
      <c r="K23" s="1131"/>
      <c r="L23" s="1131"/>
      <c r="M23" s="1131"/>
      <c r="N23" s="1131"/>
      <c r="O23" s="1131"/>
      <c r="P23" s="1131"/>
      <c r="Q23" s="1131"/>
      <c r="R23" s="856"/>
      <c r="S23" s="856"/>
      <c r="T23" s="856"/>
    </row>
    <row r="24" spans="4:20" ht="21.2" customHeight="1" x14ac:dyDescent="0.2"/>
    <row r="25" spans="4:20" ht="24.4" customHeight="1" x14ac:dyDescent="0.3">
      <c r="D25" s="284" t="s">
        <v>274</v>
      </c>
      <c r="E25" s="285"/>
      <c r="F25" s="285"/>
      <c r="G25" s="285"/>
      <c r="H25" s="285"/>
      <c r="I25" s="285"/>
      <c r="J25" s="285"/>
      <c r="K25" s="285"/>
      <c r="L25" s="285"/>
      <c r="M25" s="285"/>
      <c r="N25" s="285"/>
      <c r="O25" s="285"/>
      <c r="P25" s="285"/>
      <c r="Q25" s="285"/>
      <c r="R25" s="285"/>
      <c r="S25" s="285"/>
      <c r="T25" s="285"/>
    </row>
    <row r="26" spans="4:20" ht="24.4" customHeight="1" x14ac:dyDescent="0.2">
      <c r="D26" s="285"/>
      <c r="E26" s="285"/>
      <c r="F26" s="285"/>
      <c r="G26" s="285"/>
      <c r="H26" s="285"/>
      <c r="I26" s="285"/>
      <c r="J26" s="285"/>
      <c r="K26" s="285"/>
      <c r="L26" s="285"/>
      <c r="M26" s="285"/>
      <c r="N26" s="285"/>
      <c r="O26" s="285"/>
      <c r="P26" s="285"/>
      <c r="Q26" s="285"/>
      <c r="R26" s="285"/>
      <c r="S26" s="285"/>
      <c r="T26" s="286"/>
    </row>
    <row r="27" spans="4:20" ht="24.4" customHeight="1" x14ac:dyDescent="0.2">
      <c r="D27" s="285"/>
      <c r="E27" s="285"/>
      <c r="F27" s="285"/>
      <c r="G27" s="285"/>
      <c r="H27" s="285"/>
      <c r="I27" s="285"/>
      <c r="J27" s="285"/>
      <c r="K27" s="285"/>
      <c r="L27" s="285"/>
      <c r="M27" s="285"/>
      <c r="N27" s="285"/>
      <c r="O27" s="285"/>
      <c r="P27" s="285"/>
      <c r="Q27" s="285"/>
      <c r="R27" s="285"/>
      <c r="S27" s="285"/>
      <c r="T27" s="286"/>
    </row>
    <row r="28" spans="4:20" ht="52.7" customHeight="1" x14ac:dyDescent="0.2"/>
    <row r="29" spans="4:20" ht="23.65" customHeight="1" x14ac:dyDescent="0.2"/>
    <row r="30" spans="4:20" ht="25.5" customHeight="1" x14ac:dyDescent="0.2"/>
    <row r="31" spans="4:20" ht="25.5" customHeight="1" x14ac:dyDescent="0.2"/>
    <row r="32" spans="4:20" ht="25.5" customHeight="1" x14ac:dyDescent="0.2"/>
    <row r="33" spans="4:4" ht="25.5" customHeight="1" x14ac:dyDescent="0.2"/>
    <row r="34" spans="4:4" ht="25.5" customHeight="1" x14ac:dyDescent="0.2"/>
    <row r="35" spans="4:4" ht="25.5" customHeight="1" x14ac:dyDescent="0.2"/>
    <row r="36" spans="4:4" ht="25.5" customHeight="1" x14ac:dyDescent="0.2"/>
    <row r="37" spans="4:4" ht="25.5" customHeight="1" x14ac:dyDescent="0.2"/>
    <row r="38" spans="4:4" ht="25.5" customHeight="1" x14ac:dyDescent="0.2"/>
    <row r="39" spans="4:4" ht="25.5" customHeight="1" x14ac:dyDescent="0.2"/>
    <row r="40" spans="4:4" ht="25.5" customHeight="1" x14ac:dyDescent="0.2">
      <c r="D40" s="283"/>
    </row>
    <row r="41" spans="4:4" ht="25.5" customHeight="1" x14ac:dyDescent="0.2"/>
    <row r="42" spans="4:4" ht="25.5" customHeight="1" x14ac:dyDescent="0.2"/>
    <row r="43" spans="4:4" ht="25.5" customHeight="1" x14ac:dyDescent="0.2"/>
    <row r="44" spans="4:4" ht="25.5" customHeight="1" x14ac:dyDescent="0.2"/>
    <row r="45" spans="4:4" ht="25.5" customHeight="1" x14ac:dyDescent="0.2"/>
    <row r="46" spans="4:4" ht="24" customHeight="1" x14ac:dyDescent="0.2"/>
    <row r="47" spans="4:4" ht="21.6" customHeight="1" x14ac:dyDescent="0.2"/>
    <row r="48" spans="4:4" ht="21.6" customHeight="1" x14ac:dyDescent="0.2"/>
    <row r="49" ht="21.6" customHeight="1" x14ac:dyDescent="0.2"/>
    <row r="50" ht="21.6" customHeight="1" x14ac:dyDescent="0.2"/>
    <row r="51" ht="21.6" customHeight="1" x14ac:dyDescent="0.2"/>
    <row r="52" ht="21.6" customHeight="1" x14ac:dyDescent="0.2"/>
    <row r="53" ht="21.6" customHeight="1" x14ac:dyDescent="0.2"/>
  </sheetData>
  <sheetProtection selectLockedCells="1" selectUnlockedCells="1"/>
  <mergeCells count="37">
    <mergeCell ref="D14:K14"/>
    <mergeCell ref="L14:Q14"/>
    <mergeCell ref="R14:T14"/>
    <mergeCell ref="D3:T3"/>
    <mergeCell ref="D5:I5"/>
    <mergeCell ref="J5:U5"/>
    <mergeCell ref="D7:G7"/>
    <mergeCell ref="I7:J7"/>
    <mergeCell ref="D8:H8"/>
    <mergeCell ref="L10:N10"/>
    <mergeCell ref="D11:Q11"/>
    <mergeCell ref="R11:T11"/>
    <mergeCell ref="D12:Q12"/>
    <mergeCell ref="R12:T12"/>
    <mergeCell ref="D15:K15"/>
    <mergeCell ref="L15:Q15"/>
    <mergeCell ref="R15:T15"/>
    <mergeCell ref="D16:K16"/>
    <mergeCell ref="L16:Q16"/>
    <mergeCell ref="R16:T16"/>
    <mergeCell ref="D18:K18"/>
    <mergeCell ref="L18:Q18"/>
    <mergeCell ref="R18:T18"/>
    <mergeCell ref="D19:K19"/>
    <mergeCell ref="L19:Q19"/>
    <mergeCell ref="R19:T19"/>
    <mergeCell ref="D20:K20"/>
    <mergeCell ref="L20:Q20"/>
    <mergeCell ref="R20:T20"/>
    <mergeCell ref="D21:K21"/>
    <mergeCell ref="L21:Q21"/>
    <mergeCell ref="R21:T21"/>
    <mergeCell ref="D23:Q23"/>
    <mergeCell ref="R23:T23"/>
    <mergeCell ref="D22:K22"/>
    <mergeCell ref="L22:Q22"/>
    <mergeCell ref="R22:T22"/>
  </mergeCell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19</vt:i4>
      </vt:variant>
    </vt:vector>
  </HeadingPairs>
  <TitlesOfParts>
    <vt:vector size="45" baseType="lpstr">
      <vt:lpstr>Shared P&amp;L</vt:lpstr>
      <vt:lpstr>Proj P&amp;L</vt:lpstr>
      <vt:lpstr>Data entry</vt:lpstr>
      <vt:lpstr>&gt;Ordering NVL</vt:lpstr>
      <vt:lpstr>Order sheet #2</vt:lpstr>
      <vt:lpstr>&gt;Pro Detail</vt:lpstr>
      <vt:lpstr>Sticker sheets</vt:lpstr>
      <vt:lpstr>&gt;Trim Materials</vt:lpstr>
      <vt:lpstr>&gt;Ring Pallert</vt:lpstr>
      <vt:lpstr>&gt;Misc Pallet</vt:lpstr>
      <vt:lpstr>&gt;Rafter Pallet Cut out</vt:lpstr>
      <vt:lpstr>&gt;Ceiling</vt:lpstr>
      <vt:lpstr>&gt;Hardware List</vt:lpstr>
      <vt:lpstr>&gt;Wall Plan</vt:lpstr>
      <vt:lpstr>Wall Draw</vt:lpstr>
      <vt:lpstr>Wall #s</vt:lpstr>
      <vt:lpstr>&gt;Roof Kit Materials</vt:lpstr>
      <vt:lpstr>Wall Materials</vt:lpstr>
      <vt:lpstr>PA</vt:lpstr>
      <vt:lpstr>PALLET MATERIALS</vt:lpstr>
      <vt:lpstr>PA prep</vt:lpstr>
      <vt:lpstr>Drop down list</vt:lpstr>
      <vt:lpstr>&gt;Wall Cutout Sheet</vt:lpstr>
      <vt:lpstr>Engineering</vt:lpstr>
      <vt:lpstr>Photos</vt:lpstr>
      <vt:lpstr>Notes</vt:lpstr>
      <vt:lpstr>'&gt;Wall Cutout Sheet'!__xlnm._FilterDatabase</vt:lpstr>
      <vt:lpstr>__xlnm._FilterDatabase_1</vt:lpstr>
      <vt:lpstr>'PALLET MATERIALS'!__xlnm.Print_Area</vt:lpstr>
      <vt:lpstr>BottomPlates</vt:lpstr>
      <vt:lpstr>doorstyle</vt:lpstr>
      <vt:lpstr>'&gt;Wall Cutout Sheet'!Excel_BuiltIn__FilterDatabase</vt:lpstr>
      <vt:lpstr>Foundation_2</vt:lpstr>
      <vt:lpstr>height</vt:lpstr>
      <vt:lpstr>openhanded</vt:lpstr>
      <vt:lpstr>'PALLET MATERIALS'!Print_Area</vt:lpstr>
      <vt:lpstr>ringsize</vt:lpstr>
      <vt:lpstr>roof</vt:lpstr>
      <vt:lpstr>skylightcolor</vt:lpstr>
      <vt:lpstr>Skylighttype</vt:lpstr>
      <vt:lpstr>Swing</vt:lpstr>
      <vt:lpstr>width</vt:lpstr>
      <vt:lpstr>windowtype</vt:lpstr>
      <vt:lpstr>windowtype2</vt:lpstr>
      <vt:lpstr>yesno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HANZ</dc:creator>
  <cp:lastModifiedBy>dixonpj@yahoo.com</cp:lastModifiedBy>
  <cp:lastPrinted>2021-05-18T21:11:45Z</cp:lastPrinted>
  <dcterms:created xsi:type="dcterms:W3CDTF">2018-10-23T14:57:52Z</dcterms:created>
  <dcterms:modified xsi:type="dcterms:W3CDTF">2021-05-19T15:27:47Z</dcterms:modified>
</cp:coreProperties>
</file>