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D:\Jack\Source\SpreadCore\Source\Demos\ExamplesDemo\Examples\Resource\xlsx\"/>
    </mc:Choice>
  </mc:AlternateContent>
  <bookViews>
    <workbookView xWindow="0" yWindow="0" windowWidth="24000" windowHeight="13635" tabRatio="756"/>
  </bookViews>
  <sheets>
    <sheet name="PLANNED EXPENSES" sheetId="2" r:id="rId1"/>
    <sheet name="ACTUAL EXPENSES" sheetId="3" r:id="rId2"/>
    <sheet name="EXPENSE VARIANCES" sheetId="4" r:id="rId3"/>
    <sheet name="EXPENSE ANALYSIS" sheetId="5" r:id="rId4"/>
  </sheets>
  <calcPr calcId="171027"/>
</workbook>
</file>

<file path=xl/calcChain.xml><?xml version="1.0" encoding="utf-8"?>
<calcChain xmlns="http://schemas.openxmlformats.org/spreadsheetml/2006/main">
  <c r="B10" i="5" l="1"/>
  <c r="B9" i="5"/>
  <c r="B8" i="5"/>
  <c r="B7" i="5"/>
  <c r="B2" i="5"/>
  <c r="G34" i="4"/>
  <c r="N33" i="4"/>
  <c r="M33" i="4"/>
  <c r="L33" i="4"/>
  <c r="K33" i="4"/>
  <c r="J33" i="4"/>
  <c r="I33" i="4"/>
  <c r="H33" i="4"/>
  <c r="G33" i="4"/>
  <c r="F33" i="4"/>
  <c r="E33" i="4"/>
  <c r="D33" i="4"/>
  <c r="C33" i="4"/>
  <c r="O33" i="4" s="1"/>
  <c r="N32" i="4"/>
  <c r="N34" i="4" s="1"/>
  <c r="M32" i="4"/>
  <c r="M34" i="4" s="1"/>
  <c r="L32" i="4"/>
  <c r="L34" i="4" s="1"/>
  <c r="K32" i="4"/>
  <c r="K34" i="4" s="1"/>
  <c r="J32" i="4"/>
  <c r="J34" i="4" s="1"/>
  <c r="I32" i="4"/>
  <c r="I34" i="4" s="1"/>
  <c r="H32" i="4"/>
  <c r="H34" i="4" s="1"/>
  <c r="G32" i="4"/>
  <c r="F32" i="4"/>
  <c r="F34" i="4" s="1"/>
  <c r="E32" i="4"/>
  <c r="E34" i="4" s="1"/>
  <c r="D32" i="4"/>
  <c r="D34" i="4" s="1"/>
  <c r="C32" i="4"/>
  <c r="O32" i="4" s="1"/>
  <c r="O34" i="4" s="1"/>
  <c r="N28" i="4"/>
  <c r="M28" i="4"/>
  <c r="L28" i="4"/>
  <c r="K28" i="4"/>
  <c r="J28" i="4"/>
  <c r="I28" i="4"/>
  <c r="H28" i="4"/>
  <c r="G28" i="4"/>
  <c r="F28" i="4"/>
  <c r="E28" i="4"/>
  <c r="D28" i="4"/>
  <c r="C28" i="4"/>
  <c r="O28" i="4" s="1"/>
  <c r="N27" i="4"/>
  <c r="M27" i="4"/>
  <c r="L27" i="4"/>
  <c r="K27" i="4"/>
  <c r="J27" i="4"/>
  <c r="I27" i="4"/>
  <c r="H27" i="4"/>
  <c r="H29" i="4" s="1"/>
  <c r="G27" i="4"/>
  <c r="F27" i="4"/>
  <c r="E27" i="4"/>
  <c r="D27" i="4"/>
  <c r="C27" i="4"/>
  <c r="O27" i="4" s="1"/>
  <c r="N26" i="4"/>
  <c r="M26" i="4"/>
  <c r="L26" i="4"/>
  <c r="K26" i="4"/>
  <c r="J26" i="4"/>
  <c r="I26" i="4"/>
  <c r="H26" i="4"/>
  <c r="G26" i="4"/>
  <c r="F26" i="4"/>
  <c r="E26" i="4"/>
  <c r="O26" i="4" s="1"/>
  <c r="D26" i="4"/>
  <c r="C26" i="4"/>
  <c r="N25" i="4"/>
  <c r="M25" i="4"/>
  <c r="L25" i="4"/>
  <c r="K25" i="4"/>
  <c r="J25" i="4"/>
  <c r="I25" i="4"/>
  <c r="H25" i="4"/>
  <c r="G25" i="4"/>
  <c r="F25" i="4"/>
  <c r="E25" i="4"/>
  <c r="D25" i="4"/>
  <c r="C25" i="4"/>
  <c r="O25" i="4" s="1"/>
  <c r="N24" i="4"/>
  <c r="M24" i="4"/>
  <c r="L24" i="4"/>
  <c r="K24" i="4"/>
  <c r="J24" i="4"/>
  <c r="I24" i="4"/>
  <c r="H24" i="4"/>
  <c r="G24" i="4"/>
  <c r="O24" i="4" s="1"/>
  <c r="F24" i="4"/>
  <c r="E24" i="4"/>
  <c r="D24" i="4"/>
  <c r="C24" i="4"/>
  <c r="N23" i="4"/>
  <c r="N29" i="4" s="1"/>
  <c r="M23" i="4"/>
  <c r="M29" i="4" s="1"/>
  <c r="L23" i="4"/>
  <c r="L29" i="4" s="1"/>
  <c r="K23" i="4"/>
  <c r="K29" i="4" s="1"/>
  <c r="J23" i="4"/>
  <c r="J29" i="4" s="1"/>
  <c r="I23" i="4"/>
  <c r="I29" i="4" s="1"/>
  <c r="H23" i="4"/>
  <c r="G23" i="4"/>
  <c r="G29" i="4" s="1"/>
  <c r="F23" i="4"/>
  <c r="F29" i="4" s="1"/>
  <c r="E23" i="4"/>
  <c r="E29" i="4" s="1"/>
  <c r="D23" i="4"/>
  <c r="D29" i="4" s="1"/>
  <c r="C23" i="4"/>
  <c r="C29" i="4" s="1"/>
  <c r="N19" i="4"/>
  <c r="M19" i="4"/>
  <c r="L19" i="4"/>
  <c r="K19" i="4"/>
  <c r="J19" i="4"/>
  <c r="I19" i="4"/>
  <c r="H19" i="4"/>
  <c r="G19" i="4"/>
  <c r="F19" i="4"/>
  <c r="E19" i="4"/>
  <c r="D19" i="4"/>
  <c r="C19" i="4"/>
  <c r="O19" i="4" s="1"/>
  <c r="N18" i="4"/>
  <c r="M18" i="4"/>
  <c r="L18" i="4"/>
  <c r="K18" i="4"/>
  <c r="J18" i="4"/>
  <c r="I18" i="4"/>
  <c r="H18" i="4"/>
  <c r="G18" i="4"/>
  <c r="F18" i="4"/>
  <c r="E18" i="4"/>
  <c r="D18" i="4"/>
  <c r="C18" i="4"/>
  <c r="O18" i="4" s="1"/>
  <c r="N17" i="4"/>
  <c r="M17" i="4"/>
  <c r="L17" i="4"/>
  <c r="K17" i="4"/>
  <c r="J17" i="4"/>
  <c r="I17" i="4"/>
  <c r="H17" i="4"/>
  <c r="G17" i="4"/>
  <c r="F17" i="4"/>
  <c r="E17" i="4"/>
  <c r="D17" i="4"/>
  <c r="C17" i="4"/>
  <c r="O17" i="4" s="1"/>
  <c r="N16" i="4"/>
  <c r="M16" i="4"/>
  <c r="L16" i="4"/>
  <c r="K16" i="4"/>
  <c r="J16" i="4"/>
  <c r="I16" i="4"/>
  <c r="H16" i="4"/>
  <c r="G16" i="4"/>
  <c r="F16" i="4"/>
  <c r="E16" i="4"/>
  <c r="O16" i="4" s="1"/>
  <c r="D16" i="4"/>
  <c r="C16" i="4"/>
  <c r="N15" i="4"/>
  <c r="M15" i="4"/>
  <c r="L15" i="4"/>
  <c r="K15" i="4"/>
  <c r="J15" i="4"/>
  <c r="I15" i="4"/>
  <c r="H15" i="4"/>
  <c r="G15" i="4"/>
  <c r="F15" i="4"/>
  <c r="E15" i="4"/>
  <c r="D15" i="4"/>
  <c r="C15" i="4"/>
  <c r="O15" i="4" s="1"/>
  <c r="N14" i="4"/>
  <c r="M14" i="4"/>
  <c r="L14" i="4"/>
  <c r="K14" i="4"/>
  <c r="J14" i="4"/>
  <c r="I14" i="4"/>
  <c r="H14" i="4"/>
  <c r="G14" i="4"/>
  <c r="O14" i="4" s="1"/>
  <c r="F14" i="4"/>
  <c r="E14" i="4"/>
  <c r="D14" i="4"/>
  <c r="C14" i="4"/>
  <c r="N13" i="4"/>
  <c r="M13" i="4"/>
  <c r="L13" i="4"/>
  <c r="K13" i="4"/>
  <c r="J13" i="4"/>
  <c r="I13" i="4"/>
  <c r="H13" i="4"/>
  <c r="G13" i="4"/>
  <c r="F13" i="4"/>
  <c r="E13" i="4"/>
  <c r="D13" i="4"/>
  <c r="C13" i="4"/>
  <c r="O13" i="4" s="1"/>
  <c r="N12" i="4"/>
  <c r="N20" i="4" s="1"/>
  <c r="M12" i="4"/>
  <c r="M20" i="4" s="1"/>
  <c r="L12" i="4"/>
  <c r="L20" i="4" s="1"/>
  <c r="K12" i="4"/>
  <c r="K20" i="4" s="1"/>
  <c r="J12" i="4"/>
  <c r="J20" i="4" s="1"/>
  <c r="I12" i="4"/>
  <c r="I20" i="4" s="1"/>
  <c r="H12" i="4"/>
  <c r="H20" i="4" s="1"/>
  <c r="G12" i="4"/>
  <c r="G20" i="4" s="1"/>
  <c r="F12" i="4"/>
  <c r="F20" i="4" s="1"/>
  <c r="E12" i="4"/>
  <c r="E20" i="4" s="1"/>
  <c r="D12" i="4"/>
  <c r="D20" i="4" s="1"/>
  <c r="C12" i="4"/>
  <c r="O12" i="4" s="1"/>
  <c r="O20" i="4" s="1"/>
  <c r="K8" i="4"/>
  <c r="C8" i="4"/>
  <c r="N7" i="4"/>
  <c r="M7" i="4"/>
  <c r="L7" i="4"/>
  <c r="K7" i="4"/>
  <c r="K9" i="4" s="1"/>
  <c r="J7" i="4"/>
  <c r="I7" i="4"/>
  <c r="H7" i="4"/>
  <c r="H9" i="4" s="1"/>
  <c r="G7" i="4"/>
  <c r="F7" i="4"/>
  <c r="E7" i="4"/>
  <c r="D7" i="4"/>
  <c r="C7" i="4"/>
  <c r="O7" i="4" s="1"/>
  <c r="B2" i="4"/>
  <c r="L37" i="3"/>
  <c r="J37" i="3"/>
  <c r="D37" i="3"/>
  <c r="O34" i="3"/>
  <c r="N34" i="3"/>
  <c r="M34" i="3"/>
  <c r="L34" i="3"/>
  <c r="K34" i="3"/>
  <c r="J34" i="3"/>
  <c r="I34" i="3"/>
  <c r="I37" i="3" s="1"/>
  <c r="H34" i="3"/>
  <c r="G34" i="3"/>
  <c r="F34" i="3"/>
  <c r="E34" i="3"/>
  <c r="D34" i="3"/>
  <c r="C34" i="3"/>
  <c r="O33" i="3"/>
  <c r="O32" i="3"/>
  <c r="N29" i="3"/>
  <c r="N37" i="3" s="1"/>
  <c r="M29" i="3"/>
  <c r="L29" i="3"/>
  <c r="K29" i="3"/>
  <c r="J29" i="3"/>
  <c r="I29" i="3"/>
  <c r="H29" i="3"/>
  <c r="H37" i="3" s="1"/>
  <c r="G29" i="3"/>
  <c r="F29" i="3"/>
  <c r="F37" i="3" s="1"/>
  <c r="E29" i="3"/>
  <c r="D29" i="3"/>
  <c r="C29" i="3"/>
  <c r="O28" i="3"/>
  <c r="O27" i="3"/>
  <c r="O26" i="3"/>
  <c r="O25" i="3"/>
  <c r="O24" i="3"/>
  <c r="O23" i="3"/>
  <c r="O29" i="3" s="1"/>
  <c r="D8" i="5" s="1"/>
  <c r="N20" i="3"/>
  <c r="M20" i="3"/>
  <c r="L20" i="3"/>
  <c r="K20" i="3"/>
  <c r="J20" i="3"/>
  <c r="I20" i="3"/>
  <c r="H20" i="3"/>
  <c r="G20" i="3"/>
  <c r="F20" i="3"/>
  <c r="E20" i="3"/>
  <c r="D20" i="3"/>
  <c r="C20" i="3"/>
  <c r="O19" i="3"/>
  <c r="O18" i="3"/>
  <c r="O17" i="3"/>
  <c r="O16" i="3"/>
  <c r="O15" i="3"/>
  <c r="O14" i="3"/>
  <c r="O13" i="3"/>
  <c r="O12" i="3"/>
  <c r="O20" i="3" s="1"/>
  <c r="D7" i="5" s="1"/>
  <c r="N9" i="3"/>
  <c r="L9" i="3"/>
  <c r="J9" i="3"/>
  <c r="I9" i="3"/>
  <c r="H9" i="3"/>
  <c r="F9" i="3"/>
  <c r="D9" i="3"/>
  <c r="N8" i="3"/>
  <c r="M8" i="3"/>
  <c r="M9" i="3" s="1"/>
  <c r="M37" i="3" s="1"/>
  <c r="L8" i="3"/>
  <c r="K8" i="3"/>
  <c r="K9" i="3" s="1"/>
  <c r="J8" i="3"/>
  <c r="I8" i="3"/>
  <c r="H8" i="3"/>
  <c r="G8" i="3"/>
  <c r="G9" i="3" s="1"/>
  <c r="F8" i="3"/>
  <c r="E8" i="3"/>
  <c r="E9" i="3" s="1"/>
  <c r="E37" i="3" s="1"/>
  <c r="D8" i="3"/>
  <c r="C8" i="3"/>
  <c r="C9" i="3" s="1"/>
  <c r="O7" i="3"/>
  <c r="B2" i="3"/>
  <c r="N37" i="2"/>
  <c r="H37" i="2"/>
  <c r="F37" i="2"/>
  <c r="N34" i="2"/>
  <c r="M34" i="2"/>
  <c r="M37" i="2" s="1"/>
  <c r="L34" i="2"/>
  <c r="K34" i="2"/>
  <c r="J34" i="2"/>
  <c r="I34" i="2"/>
  <c r="H34" i="2"/>
  <c r="G34" i="2"/>
  <c r="G37" i="2" s="1"/>
  <c r="F34" i="2"/>
  <c r="E34" i="2"/>
  <c r="E37" i="2" s="1"/>
  <c r="D34" i="2"/>
  <c r="C34" i="2"/>
  <c r="O33" i="2"/>
  <c r="O32" i="2"/>
  <c r="O34" i="2" s="1"/>
  <c r="N29" i="2"/>
  <c r="M29" i="2"/>
  <c r="L29" i="2"/>
  <c r="L37" i="2" s="1"/>
  <c r="K29" i="2"/>
  <c r="J29" i="2"/>
  <c r="J37" i="2" s="1"/>
  <c r="I29" i="2"/>
  <c r="H29" i="2"/>
  <c r="G29" i="2"/>
  <c r="F29" i="2"/>
  <c r="E29" i="2"/>
  <c r="D29" i="2"/>
  <c r="D37" i="2" s="1"/>
  <c r="C29" i="2"/>
  <c r="O28" i="2"/>
  <c r="O27" i="2"/>
  <c r="O26" i="2"/>
  <c r="O25" i="2"/>
  <c r="O24" i="2"/>
  <c r="O23" i="2"/>
  <c r="O29" i="2" s="1"/>
  <c r="C8" i="5" s="1"/>
  <c r="E8" i="5" s="1"/>
  <c r="F8" i="5" s="1"/>
  <c r="N20" i="2"/>
  <c r="M20" i="2"/>
  <c r="L20" i="2"/>
  <c r="K20" i="2"/>
  <c r="J20" i="2"/>
  <c r="I20" i="2"/>
  <c r="H20" i="2"/>
  <c r="G20" i="2"/>
  <c r="F20" i="2"/>
  <c r="E20" i="2"/>
  <c r="D20" i="2"/>
  <c r="C20" i="2"/>
  <c r="O19" i="2"/>
  <c r="O18" i="2"/>
  <c r="O17" i="2"/>
  <c r="O16" i="2"/>
  <c r="O15" i="2"/>
  <c r="O14" i="2"/>
  <c r="O20" i="2" s="1"/>
  <c r="C7" i="5" s="1"/>
  <c r="E7" i="5" s="1"/>
  <c r="F7" i="5" s="1"/>
  <c r="O13" i="2"/>
  <c r="O12" i="2"/>
  <c r="N9" i="2"/>
  <c r="M9" i="2"/>
  <c r="L9" i="2"/>
  <c r="J9" i="2"/>
  <c r="H9" i="2"/>
  <c r="F9" i="2"/>
  <c r="E9" i="2"/>
  <c r="D9" i="2"/>
  <c r="O8" i="2"/>
  <c r="N8" i="2"/>
  <c r="N8" i="4" s="1"/>
  <c r="N9" i="4" s="1"/>
  <c r="M8" i="2"/>
  <c r="L8" i="2"/>
  <c r="L8" i="4" s="1"/>
  <c r="K8" i="2"/>
  <c r="K9" i="2" s="1"/>
  <c r="J8" i="2"/>
  <c r="J8" i="4" s="1"/>
  <c r="I8" i="2"/>
  <c r="I9" i="2" s="1"/>
  <c r="H8" i="2"/>
  <c r="H8" i="4" s="1"/>
  <c r="G8" i="2"/>
  <c r="G9" i="2" s="1"/>
  <c r="F8" i="2"/>
  <c r="F8" i="4" s="1"/>
  <c r="F9" i="4" s="1"/>
  <c r="E8" i="2"/>
  <c r="D8" i="2"/>
  <c r="D8" i="4" s="1"/>
  <c r="C8" i="2"/>
  <c r="C9" i="2" s="1"/>
  <c r="O7" i="2"/>
  <c r="O9" i="2" s="1"/>
  <c r="C6" i="5" s="1"/>
  <c r="K37" i="4" l="1"/>
  <c r="C37" i="3"/>
  <c r="K37" i="3"/>
  <c r="J9" i="4"/>
  <c r="I37" i="2"/>
  <c r="F37" i="4"/>
  <c r="N37" i="4"/>
  <c r="O37" i="2"/>
  <c r="C10" i="5" s="1"/>
  <c r="C9" i="5"/>
  <c r="D9" i="4"/>
  <c r="D37" i="4" s="1"/>
  <c r="L9" i="4"/>
  <c r="L37" i="4" s="1"/>
  <c r="J37" i="4"/>
  <c r="C37" i="2"/>
  <c r="K37" i="2"/>
  <c r="G37" i="3"/>
  <c r="H37" i="4"/>
  <c r="O23" i="4"/>
  <c r="O29" i="4" s="1"/>
  <c r="D9" i="5"/>
  <c r="C20" i="4"/>
  <c r="O8" i="3"/>
  <c r="O9" i="3" s="1"/>
  <c r="G8" i="4"/>
  <c r="G9" i="4" s="1"/>
  <c r="G37" i="4" s="1"/>
  <c r="C34" i="4"/>
  <c r="M8" i="4"/>
  <c r="M9" i="4" s="1"/>
  <c r="M37" i="4" s="1"/>
  <c r="C9" i="4"/>
  <c r="E8" i="4"/>
  <c r="O8" i="4" s="1"/>
  <c r="O9" i="4" s="1"/>
  <c r="I8" i="4"/>
  <c r="I9" i="4" s="1"/>
  <c r="I37" i="4" s="1"/>
  <c r="D6" i="5" l="1"/>
  <c r="E6" i="5" s="1"/>
  <c r="F6" i="5" s="1"/>
  <c r="O37" i="3"/>
  <c r="D10" i="5" s="1"/>
  <c r="O37" i="4"/>
  <c r="N38" i="3"/>
  <c r="F38" i="3"/>
  <c r="L38" i="3"/>
  <c r="D38" i="3"/>
  <c r="K38" i="3"/>
  <c r="C38" i="3"/>
  <c r="J38" i="3"/>
  <c r="I38" i="3"/>
  <c r="G38" i="3"/>
  <c r="E38" i="3"/>
  <c r="H38" i="3"/>
  <c r="M38" i="3"/>
  <c r="E9" i="5"/>
  <c r="F9" i="5" s="1"/>
  <c r="C37" i="4"/>
  <c r="E10" i="5"/>
  <c r="F10" i="5" s="1"/>
  <c r="E9" i="4"/>
  <c r="E37" i="4" s="1"/>
  <c r="J38" i="2"/>
  <c r="I38" i="2"/>
  <c r="H38" i="2"/>
  <c r="K38" i="2"/>
  <c r="G38" i="2"/>
  <c r="N38" i="2"/>
  <c r="F38" i="2"/>
  <c r="M38" i="2"/>
  <c r="E38" i="2"/>
  <c r="C38" i="2"/>
  <c r="L38" i="2"/>
  <c r="D38" i="2"/>
  <c r="N38" i="4" l="1"/>
  <c r="F38" i="4"/>
  <c r="M38" i="4"/>
  <c r="E38" i="4"/>
  <c r="L38" i="4"/>
  <c r="D38" i="4"/>
  <c r="K38" i="4"/>
  <c r="C38" i="4"/>
  <c r="G38" i="4"/>
  <c r="J38" i="4"/>
  <c r="I38" i="4"/>
  <c r="H38" i="4"/>
</calcChain>
</file>

<file path=xl/sharedStrings.xml><?xml version="1.0" encoding="utf-8"?>
<sst xmlns="http://schemas.openxmlformats.org/spreadsheetml/2006/main" count="300" uniqueCount="53">
  <si>
    <t>&lt;Company Name&gt;</t>
  </si>
  <si>
    <t>Detailed Expense Estimates</t>
  </si>
  <si>
    <t>Planned Expenses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</si>
  <si>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</si>
  <si>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</si>
  <si>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</si>
  <si>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</si>
  <si>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</si>
  <si>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</si>
  <si>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</si>
  <si>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</si>
  <si>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</si>
  <si>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</si>
  <si>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</si>
  <si>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</si>
  <si>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</si>
  <si>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Employee Costs</t>
  </si>
  <si>
    <t>Wages</t>
  </si>
  <si>
    <t>Benefits</t>
  </si>
  <si>
    <t>Subtotal</t>
  </si>
  <si>
    <t>Office Costs</t>
  </si>
  <si>
    <t>Office lease</t>
  </si>
  <si>
    <t>Gas</t>
  </si>
  <si>
    <t>Electric</t>
  </si>
  <si>
    <t>Water</t>
  </si>
  <si>
    <t>Telephone</t>
  </si>
  <si>
    <t>Internet access</t>
  </si>
  <si>
    <t>Office supplies</t>
  </si>
  <si>
    <t>Security</t>
  </si>
  <si>
    <t>Marketing Costs</t>
  </si>
  <si>
    <t>Web site hosting</t>
  </si>
  <si>
    <t>Web site updates</t>
  </si>
  <si>
    <t>Collateral preparation</t>
  </si>
  <si>
    <t>Collateral printing</t>
  </si>
  <si>
    <t>Marketing events</t>
  </si>
  <si>
    <t>Miscellaneous expenses</t>
  </si>
  <si>
    <t>Training/Travel</t>
  </si>
  <si>
    <t>Training classes</t>
  </si>
  <si>
    <t>Training-related travel costs</t>
  </si>
  <si>
    <t>TOTALS</t>
  </si>
  <si>
    <t>Monthly Planned Expenses</t>
  </si>
  <si>
    <t>TOTAL Planned Expenses</t>
  </si>
  <si>
    <t>Actual Expenses</t>
  </si>
  <si>
    <t>Monthly Actual Expenses</t>
  </si>
  <si>
    <t>TOTAL Actual Expenses</t>
  </si>
  <si>
    <t>Expense Variances</t>
  </si>
  <si>
    <t>Monthly Expense Variances</t>
  </si>
  <si>
    <t>TOTAL Expense Variances</t>
  </si>
  <si>
    <t>Expense Category</t>
  </si>
  <si>
    <t>Variance Percentage</t>
  </si>
  <si>
    <t xml:space="preserve"> </t>
  </si>
  <si>
    <t>Shaded cells are calculations.</t>
  </si>
  <si>
    <t>All cells are calculations.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</si>
</sst>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#,##0.00_);[Red]\(\$#,##0.00\)"/>
    <numFmt numFmtId="165" formatCode="_(\$* #,##0_);_(\$* \(#,##0\);_(\$* &quot;-&quot;??_);_(@_)"/>
  </numFmts>
  <fonts count="18" x14ac:knownFonts="1">
    <font>
      <sz val="9"/>
      <color theme="1" tint="0.24994659260841701"/>
      <name val="Trebuchet MS"/>
      <family val="2"/>
      <scheme val="minor"/>
    </font>
    <font>
      <sz val="14"/>
      <color theme="1"/>
      <name val="Trebuchet MS"/>
      <family val="2"/>
      <scheme val="minor"/>
    </font>
    <font>
      <b/>
      <sz val="14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0"/>
      <color theme="1"/>
      <name val="Trebuchet MS"/>
      <family val="2"/>
      <scheme val="minor"/>
    </font>
    <font>
      <b/>
      <u/>
      <sz val="10"/>
      <color theme="1"/>
      <name val="Trebuchet MS"/>
      <family val="2"/>
      <scheme val="minor"/>
    </font>
    <font>
      <b/>
      <sz val="10"/>
      <color theme="1"/>
      <name val="Trebuchet MS"/>
      <family val="2"/>
      <scheme val="minor"/>
    </font>
    <font>
      <b/>
      <i/>
      <sz val="10"/>
      <color theme="1"/>
      <name val="Trebuchet MS"/>
      <family val="2"/>
      <scheme val="minor"/>
    </font>
    <font>
      <b/>
      <sz val="22"/>
      <color theme="1" tint="0.24994659260841701"/>
      <name val="Microsoft Sans Serif"/>
      <family val="2"/>
      <scheme val="major"/>
    </font>
    <font>
      <b/>
      <sz val="14"/>
      <color theme="1" tint="0.14993743705557422"/>
      <name val="Microsoft Sans Serif"/>
      <family val="2"/>
      <scheme val="major"/>
    </font>
    <font>
      <sz val="11"/>
      <color theme="1" tint="0.24994659260841701"/>
      <name val="Microsoft Sans Serif"/>
      <family val="2"/>
      <scheme val="major"/>
    </font>
    <font>
      <b/>
      <sz val="9"/>
      <color theme="1" tint="0.24994659260841701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0"/>
      <color theme="2"/>
      <name val="Microsoft Sans Serif"/>
      <family val="2"/>
      <scheme val="major"/>
    </font>
    <font>
      <i/>
      <sz val="8"/>
      <color rgb="FF7F7F7F"/>
      <name val="Trebuchet MS"/>
      <family val="2"/>
      <scheme val="minor"/>
    </font>
    <font>
      <sz val="11"/>
      <color theme="3" tint="0.89992980742820516"/>
      <name val="Microsoft Sans Serif"/>
      <family val="2"/>
      <scheme val="major"/>
    </font>
    <font>
      <sz val="9"/>
      <color theme="3" tint="0.89996032593768116"/>
      <name val="Trebuchet MS"/>
      <family val="2"/>
      <scheme val="minor"/>
    </font>
    <font>
      <sz val="9"/>
      <color theme="1" tint="0.24994659260841701"/>
      <name val="Trebuchet M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3" tint="0.89992980742820516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thin">
        <color theme="3" tint="0.24994659260841701"/>
      </left>
      <right style="thin">
        <color theme="3" tint="0.24994659260841701"/>
      </right>
      <top style="thin">
        <color theme="3" tint="0.24994659260841701"/>
      </top>
      <bottom style="thin">
        <color theme="3" tint="0.24994659260841701"/>
      </bottom>
      <diagonal/>
    </border>
    <border>
      <left style="thin">
        <color theme="3" tint="0.24994659260841701"/>
      </left>
      <right style="thin">
        <color theme="3" tint="0.24994659260841701"/>
      </right>
      <top style="thin">
        <color theme="3" tint="0.24994659260841701"/>
      </top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3" tint="0.24994659260841701"/>
      </left>
      <right style="thin">
        <color theme="3" tint="0.24994659260841701"/>
      </right>
      <top/>
      <bottom style="thin">
        <color theme="3" tint="0.24994659260841701"/>
      </bottom>
      <diagonal/>
    </border>
    <border>
      <left/>
      <right/>
      <top style="thin">
        <color theme="3" tint="0.24994659260841701"/>
      </top>
      <bottom/>
      <diagonal/>
    </border>
  </borders>
  <cellStyleXfs count="6">
    <xf numFmtId="0" fontId="0" fillId="0" borderId="0"/>
    <xf numFmtId="0" fontId="8" fillId="0" borderId="0" applyNumberFormat="0" applyFill="0" applyProtection="0">
      <alignment vertical="center"/>
    </xf>
    <xf numFmtId="0" fontId="9" fillId="0" borderId="0" applyNumberFormat="0" applyProtection="0">
      <alignment vertical="center"/>
    </xf>
    <xf numFmtId="0" fontId="13" fillId="2" borderId="0" applyNumberFormat="0" applyProtection="0">
      <alignment vertical="center"/>
    </xf>
    <xf numFmtId="0" fontId="10" fillId="3" borderId="3" applyNumberFormat="0" applyProtection="0">
      <alignment horizontal="left" vertical="center" indent="1"/>
    </xf>
    <xf numFmtId="0" fontId="12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5" fontId="3" fillId="0" borderId="0" xfId="0" applyNumberFormat="1" applyFont="1" applyAlignment="1">
      <alignment horizontal="right"/>
    </xf>
    <xf numFmtId="0" fontId="4" fillId="0" borderId="0" xfId="0" applyNumberFormat="1" applyFont="1" applyAlignment="1"/>
    <xf numFmtId="0" fontId="5" fillId="0" borderId="0" xfId="0" applyNumberFormat="1" applyFont="1" applyAlignment="1"/>
    <xf numFmtId="165" fontId="5" fillId="0" borderId="0" xfId="0" applyNumberFormat="1" applyFont="1" applyAlignment="1">
      <alignment horizontal="right"/>
    </xf>
    <xf numFmtId="0" fontId="1" fillId="0" borderId="0" xfId="0" applyFont="1" applyBorder="1"/>
    <xf numFmtId="37" fontId="4" fillId="0" borderId="0" xfId="0" applyNumberFormat="1" applyFont="1" applyAlignment="1">
      <alignment horizontal="right"/>
    </xf>
    <xf numFmtId="37" fontId="6" fillId="0" borderId="0" xfId="0" applyNumberFormat="1" applyFont="1" applyAlignment="1">
      <alignment horizontal="right"/>
    </xf>
    <xf numFmtId="37" fontId="7" fillId="0" borderId="0" xfId="0" applyNumberFormat="1" applyFont="1" applyAlignment="1">
      <alignment horizontal="right"/>
    </xf>
    <xf numFmtId="0" fontId="4" fillId="0" borderId="0" xfId="0" applyFont="1"/>
    <xf numFmtId="0" fontId="4" fillId="0" borderId="0" xfId="0" applyFont="1" applyBorder="1"/>
    <xf numFmtId="0" fontId="9" fillId="0" borderId="0" xfId="2" applyNumberFormat="1" applyAlignment="1"/>
    <xf numFmtId="0" fontId="13" fillId="2" borderId="0" xfId="3" applyNumberFormat="1" applyAlignment="1">
      <alignment horizontal="left" vertical="center"/>
    </xf>
    <xf numFmtId="0" fontId="13" fillId="2" borderId="0" xfId="3" applyNumberFormat="1" applyAlignment="1">
      <alignment horizontal="center" vertical="center"/>
    </xf>
    <xf numFmtId="165" fontId="13" fillId="2" borderId="0" xfId="3" applyNumberFormat="1" applyAlignment="1">
      <alignment horizontal="center" vertical="center"/>
    </xf>
    <xf numFmtId="0" fontId="13" fillId="2" borderId="0" xfId="3" applyNumberFormat="1" applyAlignment="1">
      <alignment horizontal="left" vertical="center" indent="1"/>
    </xf>
    <xf numFmtId="0" fontId="13" fillId="2" borderId="0" xfId="3" applyNumberFormat="1" applyAlignment="1">
      <alignment vertical="center"/>
    </xf>
    <xf numFmtId="165" fontId="13" fillId="2" borderId="0" xfId="3" applyNumberFormat="1" applyAlignment="1">
      <alignment horizontal="right" vertical="center"/>
    </xf>
    <xf numFmtId="0" fontId="8" fillId="0" borderId="0" xfId="1" applyNumberFormat="1" applyAlignment="1"/>
    <xf numFmtId="0" fontId="0" fillId="0" borderId="1" xfId="0" applyNumberFormat="1" applyFont="1" applyBorder="1" applyAlignment="1">
      <alignment horizontal="left" indent="2"/>
    </xf>
    <xf numFmtId="164" fontId="0" fillId="0" borderId="1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left" indent="2"/>
    </xf>
    <xf numFmtId="164" fontId="0" fillId="0" borderId="2" xfId="0" applyNumberFormat="1" applyFont="1" applyBorder="1" applyAlignment="1">
      <alignment horizontal="right"/>
    </xf>
    <xf numFmtId="164" fontId="11" fillId="0" borderId="1" xfId="0" applyNumberFormat="1" applyFont="1" applyBorder="1" applyAlignment="1">
      <alignment horizontal="right"/>
    </xf>
    <xf numFmtId="0" fontId="11" fillId="0" borderId="1" xfId="0" applyNumberFormat="1" applyFont="1" applyBorder="1" applyAlignment="1">
      <alignment horizontal="left" indent="1"/>
    </xf>
    <xf numFmtId="9" fontId="0" fillId="0" borderId="1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left" indent="2"/>
    </xf>
    <xf numFmtId="164" fontId="0" fillId="0" borderId="0" xfId="0" applyNumberFormat="1" applyFont="1" applyBorder="1" applyAlignment="1">
      <alignment horizontal="right"/>
    </xf>
    <xf numFmtId="9" fontId="0" fillId="0" borderId="0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left" indent="1"/>
    </xf>
    <xf numFmtId="164" fontId="0" fillId="4" borderId="2" xfId="0" applyNumberFormat="1" applyFont="1" applyFill="1" applyBorder="1" applyAlignment="1">
      <alignment horizontal="right"/>
    </xf>
    <xf numFmtId="164" fontId="11" fillId="4" borderId="1" xfId="0" applyNumberFormat="1" applyFont="1" applyFill="1" applyBorder="1" applyAlignment="1">
      <alignment horizontal="right"/>
    </xf>
    <xf numFmtId="164" fontId="0" fillId="4" borderId="1" xfId="0" applyNumberFormat="1" applyFont="1" applyFill="1" applyBorder="1" applyAlignment="1">
      <alignment horizontal="right"/>
    </xf>
    <xf numFmtId="0" fontId="14" fillId="0" borderId="0" xfId="5" applyNumberFormat="1" applyFont="1" applyAlignment="1"/>
    <xf numFmtId="0" fontId="10" fillId="3" borderId="4" xfId="4" applyNumberFormat="1" applyBorder="1">
      <alignment horizontal="left" vertical="center" indent="1"/>
    </xf>
    <xf numFmtId="0" fontId="15" fillId="3" borderId="5" xfId="4" applyNumberFormat="1" applyFont="1" applyBorder="1">
      <alignment horizontal="left" vertical="center" indent="1"/>
    </xf>
    <xf numFmtId="165" fontId="15" fillId="3" borderId="5" xfId="4" applyNumberFormat="1" applyFont="1" applyBorder="1">
      <alignment horizontal="left" vertical="center" indent="1"/>
    </xf>
    <xf numFmtId="0" fontId="15" fillId="3" borderId="6" xfId="4" applyNumberFormat="1" applyFont="1" applyBorder="1">
      <alignment horizontal="left" vertical="center" indent="1"/>
    </xf>
    <xf numFmtId="0" fontId="0" fillId="0" borderId="0" xfId="4" applyNumberFormat="1" applyFont="1" applyFill="1" applyBorder="1">
      <alignment horizontal="left" vertical="center" indent="1"/>
    </xf>
    <xf numFmtId="0" fontId="0" fillId="0" borderId="0" xfId="0" applyNumberFormat="1" applyFont="1" applyFill="1" applyBorder="1" applyAlignment="1">
      <alignment horizontal="left" indent="2"/>
    </xf>
    <xf numFmtId="164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left" indent="2"/>
    </xf>
    <xf numFmtId="0" fontId="16" fillId="0" borderId="0" xfId="4" applyNumberFormat="1" applyFont="1" applyFill="1" applyBorder="1">
      <alignment horizontal="left" vertical="center" indent="1"/>
    </xf>
    <xf numFmtId="165" fontId="16" fillId="0" borderId="0" xfId="4" applyNumberFormat="1" applyFont="1" applyFill="1" applyBorder="1">
      <alignment horizontal="left" vertical="center" indent="1"/>
    </xf>
    <xf numFmtId="0" fontId="11" fillId="0" borderId="7" xfId="0" applyNumberFormat="1" applyFont="1" applyBorder="1" applyAlignment="1">
      <alignment horizontal="left" indent="2"/>
    </xf>
    <xf numFmtId="0" fontId="16" fillId="0" borderId="0" xfId="4" applyNumberFormat="1" applyFont="1" applyFill="1" applyBorder="1" applyAlignment="1">
      <alignment horizontal="left" vertical="center" indent="1"/>
    </xf>
    <xf numFmtId="165" fontId="16" fillId="0" borderId="0" xfId="4" applyNumberFormat="1" applyFont="1" applyFill="1" applyBorder="1" applyAlignment="1">
      <alignment horizontal="left" vertical="center" indent="1"/>
    </xf>
    <xf numFmtId="164" fontId="0" fillId="0" borderId="0" xfId="0" applyNumberFormat="1" applyFont="1" applyFill="1" applyBorder="1"/>
    <xf numFmtId="164" fontId="0" fillId="0" borderId="0" xfId="0" applyNumberFormat="1"/>
    <xf numFmtId="164" fontId="11" fillId="5" borderId="1" xfId="0" applyNumberFormat="1" applyFont="1" applyFill="1" applyBorder="1" applyAlignment="1">
      <alignment horizontal="right"/>
    </xf>
    <xf numFmtId="0" fontId="17" fillId="0" borderId="0" xfId="0" applyFont="1" applyFill="1" applyBorder="1" applyAlignment="1">
      <alignment horizontal="left" indent="2"/>
    </xf>
    <xf numFmtId="164" fontId="0" fillId="5" borderId="0" xfId="0" applyNumberFormat="1" applyFont="1" applyFill="1" applyBorder="1" applyAlignment="1">
      <alignment horizontal="right"/>
    </xf>
    <xf numFmtId="0" fontId="6" fillId="0" borderId="8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</cellXfs>
  <cellStyles count="6">
    <cellStyle name="Explanatory Text" xfId="5" builtinId="53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</cellStyles>
  <dxfs count="203"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0" formatCode="General"/>
      <alignment horizontal="left" vertical="bottom" textRotation="0" wrapText="0" indent="2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/>
        <bottom style="thin">
          <color theme="3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0" formatCode="General"/>
      <alignment horizontal="left" vertical="bottom" textRotation="0" wrapText="0" indent="2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/>
        <bottom style="thin">
          <color theme="3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0" formatCode="General"/>
      <alignment horizontal="left" vertical="bottom" textRotation="0" wrapText="0" indent="2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/>
        <bottom style="thin">
          <color theme="3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0" formatCode="General"/>
      <alignment horizontal="left" vertical="bottom" textRotation="0" wrapText="0" indent="2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/>
        <bottom style="thin">
          <color theme="3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numFmt numFmtId="164" formatCode="\$#,##0.00_);[Red]\(\$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solid">
          <fgColor indexed="64"/>
          <bgColor theme="0" tint="-0.1499374370555742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0" formatCode="General"/>
      <alignment horizontal="left" vertical="bottom" textRotation="0" wrapText="0" indent="2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border outline="0">
        <top style="thin">
          <color theme="3" tint="0.24994659260841701"/>
        </top>
      </border>
    </dxf>
    <dxf>
      <border outline="0">
        <top style="thin">
          <color theme="5" tint="-0.499984740745262"/>
        </top>
        <bottom style="medium">
          <color theme="3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alignment horizontal="right" vertical="bottom" textRotation="0" wrapText="0" indent="0" justifyLastLine="0" shrinkToFit="0" readingOrder="0"/>
    </dxf>
    <dxf>
      <border outline="0">
        <bottom style="thin">
          <color theme="5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89992980742820516"/>
        <name val="Microsoft Sans Serif"/>
        <scheme val="maj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64" formatCode="\$#,##0.00_);[Red]\(\$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color theme="1" tint="0.24994659260841701"/>
      </font>
      <fill>
        <patternFill patternType="solid">
          <fgColor theme="0" tint="-0.14993743705557422"/>
          <bgColor theme="3" tint="0.89992980742820516"/>
        </patternFill>
      </fill>
    </dxf>
    <dxf>
      <font>
        <b val="0"/>
        <i val="0"/>
        <color theme="1" tint="0.24994659260841701"/>
      </font>
      <fill>
        <patternFill>
          <bgColor theme="0" tint="-0.14993743705557422"/>
        </patternFill>
      </fill>
    </dxf>
    <dxf>
      <font>
        <b/>
        <i val="0"/>
        <color theme="1" tint="0.24994659260841701"/>
      </font>
      <fill>
        <patternFill>
          <bgColor theme="0" tint="-0.14993743705557422"/>
        </patternFill>
      </fill>
      <border>
        <top style="thin">
          <color theme="1"/>
        </top>
      </border>
    </dxf>
    <dxf>
      <font>
        <color theme="1" tint="0.24994659260841701"/>
      </font>
      <fill>
        <patternFill>
          <bgColor theme="3" tint="0.89992980742820516"/>
        </patternFill>
      </fill>
      <border>
        <bottom style="thin">
          <color theme="1"/>
        </bottom>
        <vertical/>
        <horizontal/>
      </border>
    </dxf>
    <dxf>
      <font>
        <b val="0"/>
        <i val="0"/>
        <color theme="1" tint="0.24994659260841701"/>
      </font>
      <border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 style="thin">
          <color theme="3" tint="0.24994659260841701"/>
        </vertical>
        <horizontal style="thin">
          <color theme="3" tint="0.24994659260841701"/>
        </horizontal>
      </border>
    </dxf>
  </dxfs>
  <tableStyles count="1" defaultTableStyle="Detailed expense estimates Table" defaultPivotStyle="PivotStyleLight16">
    <tableStyle name="Detailed expense estimates Table" pivot="0" count="5">
      <tableStyleElement type="wholeTable" dxfId="202"/>
      <tableStyleElement type="headerRow" dxfId="201"/>
      <tableStyleElement type="totalRow" dxfId="200"/>
      <tableStyleElement type="lastColumn" dxfId="199"/>
      <tableStyleElement type="firstRowStripe" dxfId="198"/>
    </tableStyle>
  </tableStyles>
  <colors>
    <mruColors>
      <color rgb="FF99CCFF"/>
      <color rgb="FFFFCC99"/>
      <color rgb="FF800080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spcFirstLastPara="1" vertOverflow="ellipsis" vert="horz" wrap="square" rtlCol="0" anchor="ctr" anchorCtr="1"/>
          <a:lstStyle/>
          <a:p>
            <a:pPr>
              <a:defRPr sz="1800" b="1" i="0" u="none" strike="noStrike" kern="1200" spc="2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>
                <a:latin typeface="+mn-lt"/>
                <a:ea typeface="+mn-ea"/>
                <a:cs typeface="+mn-cs"/>
              </a:rPr>
              <a:t>Monthly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Planned</c:v>
          </c:tx>
          <c:spPr>
            <a:gradFill flip="none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  <a:tileRect/>
            </a:gradFill>
            <a:ln w="9525" cap="flat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'PLANNED EXPENSES'!$C$37:$N$37</c:f>
              <c:numCache>
                <c:formatCode>\$#,##0.00_);[Red]\(\$#,##0.00\)</c:formatCode>
                <c:ptCount val="12"/>
                <c:pt idx="0">
                  <c:v>131420</c:v>
                </c:pt>
                <c:pt idx="1">
                  <c:v>126820</c:v>
                </c:pt>
                <c:pt idx="2">
                  <c:v>126820</c:v>
                </c:pt>
                <c:pt idx="3">
                  <c:v>137695</c:v>
                </c:pt>
                <c:pt idx="4">
                  <c:v>129695</c:v>
                </c:pt>
                <c:pt idx="5">
                  <c:v>130495</c:v>
                </c:pt>
                <c:pt idx="6">
                  <c:v>134695</c:v>
                </c:pt>
                <c:pt idx="7">
                  <c:v>138918</c:v>
                </c:pt>
                <c:pt idx="8">
                  <c:v>135918</c:v>
                </c:pt>
                <c:pt idx="9">
                  <c:v>140918</c:v>
                </c:pt>
                <c:pt idx="10">
                  <c:v>136218</c:v>
                </c:pt>
                <c:pt idx="11">
                  <c:v>140018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5-4757-8103-BF6DB8877302}"/>
            </c:ext>
          </c:extLst>
        </c:ser>
        <c:ser>
          <c:idx val="2"/>
          <c:order val="2"/>
          <c:tx>
            <c:v>Actual</c:v>
          </c:tx>
          <c:spPr>
            <a:gradFill flip="none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  <a:tileRect/>
            </a:gradFill>
            <a:ln w="9525" cap="flat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'ACTUAL EXPENSES'!$C$37:$N$37</c:f>
              <c:numCache>
                <c:formatCode>\$#,##0.00_);[Red]\(\$#,##0.00\)</c:formatCode>
                <c:ptCount val="12"/>
                <c:pt idx="0">
                  <c:v>129682</c:v>
                </c:pt>
                <c:pt idx="1">
                  <c:v>127804</c:v>
                </c:pt>
                <c:pt idx="2">
                  <c:v>125565</c:v>
                </c:pt>
                <c:pt idx="3">
                  <c:v>137394</c:v>
                </c:pt>
                <c:pt idx="4">
                  <c:v>128255</c:v>
                </c:pt>
                <c:pt idx="5">
                  <c:v>134239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5-4757-8103-BF6DB8877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000000"/>
        <c:axId val="10000001"/>
      </c:barChart>
      <c:lineChart>
        <c:grouping val="standard"/>
        <c:varyColors val="0"/>
        <c:ser>
          <c:idx val="0"/>
          <c:order val="0"/>
          <c:tx>
            <c:v>Variance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'EXPENSE VARIANCES'!$C$37:$N$37</c:f>
              <c:numCache>
                <c:formatCode>\$#,##0.00_);[Red]\(\$#,##0.00\)</c:formatCode>
                <c:ptCount val="12"/>
                <c:pt idx="0">
                  <c:v>1738</c:v>
                </c:pt>
                <c:pt idx="1">
                  <c:v>-984</c:v>
                </c:pt>
                <c:pt idx="2">
                  <c:v>1255</c:v>
                </c:pt>
                <c:pt idx="3">
                  <c:v>301</c:v>
                </c:pt>
                <c:pt idx="4">
                  <c:v>1440</c:v>
                </c:pt>
                <c:pt idx="5">
                  <c:v>-3744</c:v>
                </c:pt>
                <c:pt idx="6">
                  <c:v>134695</c:v>
                </c:pt>
                <c:pt idx="7">
                  <c:v>138918</c:v>
                </c:pt>
                <c:pt idx="8">
                  <c:v>135918</c:v>
                </c:pt>
                <c:pt idx="9">
                  <c:v>140918</c:v>
                </c:pt>
                <c:pt idx="10">
                  <c:v>136218</c:v>
                </c:pt>
                <c:pt idx="11">
                  <c:v>140018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5-4757-8103-BF6DB8877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0000"/>
        <c:axId val="10000001"/>
      </c:lineChart>
      <c:catAx>
        <c:axId val="10000000"/>
        <c:scaling>
          <c:orientation val="minMax"/>
        </c:scaling>
        <c:delete val="0"/>
        <c:axPos val="b"/>
        <c:title>
          <c:tx>
            <c:rich>
              <a:bodyPr spcFirstLastPara="1" vertOverflow="ellipsis" vert="horz" wrap="square" rtlCol="0" anchor="ctr" anchorCtr="1"/>
              <a:lstStyle/>
              <a:p>
                <a:pPr>
                  <a:defRPr sz="900" b="0" i="0" u="none" strike="noStrike" kern="1200" cap="all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>
                    <a:latin typeface="+mn-lt"/>
                    <a:ea typeface="+mn-ea"/>
                    <a:cs typeface="+mn-cs"/>
                  </a:rPr>
                  <a:t>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rtlCol="0" anchor="ctr" anchorCtr="1"/>
          <a:lstStyle/>
          <a:p>
            <a:pPr>
              <a:defRPr sz="900" b="0" i="0" u="none" strike="noStrike" kern="120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001"/>
        <c:crosses val="autoZero"/>
        <c:auto val="1"/>
        <c:lblAlgn val="ctr"/>
        <c:lblOffset val="100"/>
        <c:tickMarkSkip val="1"/>
        <c:noMultiLvlLbl val="1"/>
      </c:catAx>
      <c:valAx>
        <c:axId val="10000001"/>
        <c:scaling>
          <c:orientation val="minMax"/>
        </c:scaling>
        <c:delete val="0"/>
        <c:axPos val="l"/>
        <c:majorGridlines>
          <c:spPr>
            <a:ln w="9525" cap="flat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rtlCol="0" anchor="ctr" anchorCtr="1"/>
              <a:lstStyle/>
              <a:p>
                <a:pPr>
                  <a:defRPr sz="900" b="0" i="0" u="none" strike="noStrike" kern="1200" cap="all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>
                    <a:latin typeface="+mn-lt"/>
                    <a:ea typeface="+mn-ea"/>
                    <a:cs typeface="+mn-cs"/>
                  </a:rPr>
                  <a:t>Expenses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\$#,##0.00_);[Red]\(\$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rtlCol="0" anchor="ctr" anchorCtr="1"/>
          <a:lstStyle/>
          <a:p>
            <a:pPr>
              <a:defRPr sz="900" b="0" i="0" u="none" strike="noStrike" kern="120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spcFirstLastPara="1" vertOverflow="ellipsis" vert="horz" wrap="square" rtlCol="0" anchor="ctr" anchorCtr="1"/>
        <a:lstStyle/>
        <a:p>
          <a:pPr>
            <a:defRPr sz="900" b="0" i="0" u="none" strike="noStrike" kern="12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>
      <a:noFill/>
      <a:round/>
    </a:ln>
    <a:effectLst/>
  </c:spPr>
  <c:txPr>
    <a:bodyPr rtlCol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spcFirstLastPara="1" vertOverflow="ellipsis" vert="horz" wrap="square" rtlCol="0" anchor="ctr" anchorCtr="1"/>
          <a:lstStyle/>
          <a:p>
            <a:pPr>
              <a:defRPr sz="1800" b="1" i="0" u="none" strike="noStrike" kern="1200" spc="2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>
                <a:latin typeface="+mn-lt"/>
                <a:ea typeface="+mn-ea"/>
                <a:cs typeface="+mn-cs"/>
              </a:rPr>
              <a:t>Planned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/>
            <a:effectLst/>
          </c:spPr>
          <c:dPt>
            <c:idx val="0"/>
            <c:bubble3D val="0"/>
            <c:spPr>
              <a:gradFill flip="none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  <a:tileRect/>
              </a:gradFill>
              <a:ln w="9525" cap="flat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38-4AEF-8FBE-BFF774614FD7}"/>
              </c:ext>
            </c:extLst>
          </c:dPt>
          <c:dPt>
            <c:idx val="1"/>
            <c:bubble3D val="0"/>
            <c:spPr>
              <a:gradFill flip="none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  <a:tileRect/>
              </a:gradFill>
              <a:ln w="9525" cap="flat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38-4AEF-8FBE-BFF774614FD7}"/>
              </c:ext>
            </c:extLst>
          </c:dPt>
          <c:dPt>
            <c:idx val="2"/>
            <c:bubble3D val="0"/>
            <c:spPr>
              <a:gradFill flip="none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  <a:tileRect/>
              </a:gradFill>
              <a:ln w="9525" cap="flat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38-4AEF-8FBE-BFF774614FD7}"/>
              </c:ext>
            </c:extLst>
          </c:dPt>
          <c:dPt>
            <c:idx val="3"/>
            <c:bubble3D val="0"/>
            <c:spPr>
              <a:gradFill flip="none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  <a:tileRect/>
              </a:gradFill>
              <a:ln w="9525" cap="flat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38-4AEF-8FBE-BFF774614F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horz" wrap="square" lIns="38100" tIns="19050" rIns="38100" bIns="19050" rtlCol="0" anchor="ctr" anchorCtr="1">
                <a:spAutoFit/>
              </a:bodyPr>
              <a:lstStyle/>
              <a:p>
                <a:pPr>
                  <a:defRPr sz="900" b="0" i="0" u="none" strike="noStrike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 ANALYSIS'!$B$6:$B$9</c:f>
              <c:strCache>
                <c:ptCount val="4"/>
                <c:pt idx="0">
                  <c:v>Employee Costs</c:v>
                </c:pt>
                <c:pt idx="1">
                  <c:v>Office Costs</c:v>
                </c:pt>
                <c:pt idx="2">
                  <c:v>Marketing Costs</c:v>
                </c:pt>
                <c:pt idx="3">
                  <c:v>Training/Travel</c:v>
                </c:pt>
              </c:strCache>
            </c:strRef>
          </c:cat>
          <c:val>
            <c:numRef>
              <c:f>'EXPENSE ANALYSIS'!$C$6:$C$9</c:f>
              <c:numCache>
                <c:formatCode>\$#,##0.00_);[Red]\(\$#,##0.00\)</c:formatCode>
                <c:ptCount val="4"/>
                <c:pt idx="0">
                  <c:v>1355090</c:v>
                </c:pt>
                <c:pt idx="1">
                  <c:v>138740</c:v>
                </c:pt>
                <c:pt idx="2">
                  <c:v>67800</c:v>
                </c:pt>
                <c:pt idx="3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8-4AEF-8FBE-BFF774614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0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spcFirstLastPara="1" vertOverflow="ellipsis" vert="horz" wrap="square" rtlCol="0" anchor="ctr" anchorCtr="1"/>
        <a:lstStyle/>
        <a:p>
          <a:pPr>
            <a:defRPr sz="900" b="0" i="0" u="none" strike="noStrike" kern="12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>
      <a:noFill/>
      <a:round/>
    </a:ln>
    <a:effectLst/>
  </c:spPr>
  <c:txPr>
    <a:bodyPr rtlCol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spcFirstLastPara="1" vertOverflow="ellipsis" vert="horz" wrap="square" rtlCol="0" anchor="ctr" anchorCtr="1"/>
          <a:lstStyle/>
          <a:p>
            <a:pPr>
              <a:defRPr sz="1800" b="1" i="0" u="none" strike="noStrike" kern="1200" spc="2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>
                <a:latin typeface="+mn-lt"/>
                <a:ea typeface="+mn-ea"/>
                <a:cs typeface="+mn-cs"/>
              </a:rPr>
              <a:t>Actual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/>
            <a:effectLst/>
          </c:spPr>
          <c:dPt>
            <c:idx val="0"/>
            <c:bubble3D val="0"/>
            <c:spPr>
              <a:gradFill flip="none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  <a:tileRect/>
              </a:gradFill>
              <a:ln w="9525" cap="flat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B3-48EE-918D-913A7FD6DE16}"/>
              </c:ext>
            </c:extLst>
          </c:dPt>
          <c:dPt>
            <c:idx val="1"/>
            <c:bubble3D val="0"/>
            <c:spPr>
              <a:gradFill flip="none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  <a:tileRect/>
              </a:gradFill>
              <a:ln w="9525" cap="flat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B3-48EE-918D-913A7FD6DE16}"/>
              </c:ext>
            </c:extLst>
          </c:dPt>
          <c:dPt>
            <c:idx val="2"/>
            <c:bubble3D val="0"/>
            <c:spPr>
              <a:gradFill flip="none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  <a:tileRect/>
              </a:gradFill>
              <a:ln w="9525" cap="flat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B3-48EE-918D-913A7FD6DE16}"/>
              </c:ext>
            </c:extLst>
          </c:dPt>
          <c:dPt>
            <c:idx val="3"/>
            <c:bubble3D val="0"/>
            <c:spPr>
              <a:gradFill flip="none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  <a:tileRect/>
              </a:gradFill>
              <a:ln w="9525" cap="flat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B3-48EE-918D-913A7FD6DE16}"/>
              </c:ext>
            </c:extLst>
          </c:dPt>
          <c:dLbls>
            <c:dLbl>
              <c:idx val="1"/>
              <c:layout>
                <c:manualLayout>
                  <c:x val="9.0726906999872903E-2"/>
                  <c:y val="-1.105249817717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3-48EE-918D-913A7FD6DE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ellipsis" vert="horz" wrap="square" lIns="38100" tIns="19050" rIns="38100" bIns="19050" rtlCol="0" anchor="ctr" anchorCtr="1">
                <a:spAutoFit/>
              </a:bodyPr>
              <a:lstStyle/>
              <a:p>
                <a:pPr>
                  <a:defRPr sz="900" b="0" i="0" u="none" strike="noStrike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 ANALYSIS'!$B$6:$B$9</c:f>
              <c:strCache>
                <c:ptCount val="4"/>
                <c:pt idx="0">
                  <c:v>Employee Costs</c:v>
                </c:pt>
                <c:pt idx="1">
                  <c:v>Office Costs</c:v>
                </c:pt>
                <c:pt idx="2">
                  <c:v>Marketing Costs</c:v>
                </c:pt>
                <c:pt idx="3">
                  <c:v>Training/Travel</c:v>
                </c:pt>
              </c:strCache>
            </c:strRef>
          </c:cat>
          <c:val>
            <c:numRef>
              <c:f>'EXPENSE ANALYSIS'!$D$6:$D$9</c:f>
              <c:numCache>
                <c:formatCode>\$#,##0.00_);[Red]\(\$#,##0.00\)</c:formatCode>
                <c:ptCount val="4"/>
                <c:pt idx="0">
                  <c:v>659130</c:v>
                </c:pt>
                <c:pt idx="1">
                  <c:v>69350</c:v>
                </c:pt>
                <c:pt idx="2">
                  <c:v>33159</c:v>
                </c:pt>
                <c:pt idx="3">
                  <c:v>21300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B3-48EE-918D-913A7FD6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0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spcFirstLastPara="1" vertOverflow="ellipsis" vert="horz" wrap="square" rtlCol="0" anchor="ctr" anchorCtr="1"/>
        <a:lstStyle/>
        <a:p>
          <a:pPr>
            <a:defRPr sz="900" b="0" i="0" u="none" strike="noStrike" kern="12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>
      <a:noFill/>
      <a:round/>
    </a:ln>
    <a:effectLst/>
  </c:spPr>
  <c:txPr>
    <a:bodyPr rtlCol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781050</xdr:colOff>
      <xdr:row>1</xdr:row>
      <xdr:rowOff>0</xdr:rowOff>
    </xdr:from>
    <xdr:to>
      <xdr:col>14</xdr:col>
      <xdr:colOff>885825</xdr:colOff>
      <xdr:row>2</xdr:row>
      <xdr:rowOff>209550</xdr:rowOff>
    </xdr:to>
    <xdr:pic>
      <xdr:nvPicPr>
        <xdr:cNvPr id="2" name="Picture 4" title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dpi="0" rotWithShape="1">
        <a:blip xmlns:r="http://schemas.openxmlformats.org/officeDocument/2006/relationships" r:embed="rId1" cstate="print">
          <a:extLst/>
        </a:blip>
        <a:srcRect/>
        <a:stretch>
          <a:fillRect/>
        </a:stretch>
      </xdr:blipFill>
      <xdr:spPr>
        <a:xfrm>
          <a:off x="11819259" y="126364"/>
          <a:ext cx="999976" cy="552450"/>
        </a:xfrm>
        <a:prstGeom prst="rect">
          <a:avLst/>
        </a:prstGeom>
        <a:extLst/>
      </xdr:spPr>
    </xdr:pic>
    <xdr:clientData/>
  </xdr:twoCellAnchor>
  <xdr:twoCellAnchor>
    <xdr:from>
      <xdr:col>4</xdr:col>
      <xdr:colOff>9525</xdr:colOff>
      <xdr:row>0</xdr:row>
      <xdr:rowOff>57150</xdr:rowOff>
    </xdr:from>
    <xdr:to>
      <xdr:col>12</xdr:col>
      <xdr:colOff>847725</xdr:colOff>
      <xdr:row>3</xdr:row>
      <xdr:rowOff>142875</xdr:rowOff>
    </xdr:to>
    <xdr:sp macro="" textlink="">
      <xdr:nvSpPr>
        <xdr:cNvPr id="3" name="Rectangle 1" descr="Tip on how to use this template." title="Ti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14427" y="57150"/>
          <a:ext cx="7476306" cy="793115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 w="19050">
          <a:solidFill>
            <a:schemeClr val="tx2">
              <a:lumMod val="75000"/>
              <a:lumOff val="25000"/>
            </a:schemeClr>
          </a:solidFill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>
            <a:defRPr>
              <a:solidFill>
                <a:schemeClr val="bg1"/>
              </a:solidFill>
              <a:latin typeface="+mn-lt"/>
              <a:ea typeface="+mn-ea"/>
              <a:cs typeface="+mn-cs"/>
            </a:defRPr>
          </a:pPr>
          <a:r>
            <a:rPr lang="en-US" sz="1200" b="1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+mj-ea"/>
              <a:cs typeface="+mj-cs"/>
            </a:rPr>
            <a:t>HOW TO USE THIS TEMPLATE</a:t>
          </a:r>
        </a:p>
        <a:p>
          <a:pPr algn="l">
            <a:defRPr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 sz="1000">
            <a:solidFill>
              <a:schemeClr val="tx1">
                <a:lumMod val="75000"/>
                <a:lumOff val="25000"/>
              </a:schemeClr>
            </a:solidFill>
            <a:latin typeface="+mn-lt"/>
          </a:endParaRPr>
        </a:p>
        <a:p>
          <a:pPr algn="l">
            <a:defRPr>
              <a:solidFill>
                <a:schemeClr val="bg1"/>
              </a:solidFill>
              <a:latin typeface="+mn-lt"/>
              <a:ea typeface="+mn-ea"/>
              <a:cs typeface="+mn-cs"/>
            </a:defRPr>
          </a:pPr>
          <a:r>
            <a:rPr 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Input data in the white cells on the PLANNED EXPENSES and ACTUAL EXPENSES worksheets, and the EXPENSE VARIANCES and EXPENSE ANALYSIS will be calculated for you.  If you add a row on one sheet, the other sheets need to match.</a:t>
          </a:r>
          <a:endParaRPr lang="en-US" sz="1000">
            <a:solidFill>
              <a:schemeClr val="tx1">
                <a:lumMod val="75000"/>
                <a:lumOff val="25000"/>
              </a:schemeClr>
            </a:solidFill>
            <a:latin typeface="+mn-lt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781050</xdr:colOff>
      <xdr:row>1</xdr:row>
      <xdr:rowOff>0</xdr:rowOff>
    </xdr:from>
    <xdr:to>
      <xdr:col>14</xdr:col>
      <xdr:colOff>885825</xdr:colOff>
      <xdr:row>2</xdr:row>
      <xdr:rowOff>209550</xdr:rowOff>
    </xdr:to>
    <xdr:pic>
      <xdr:nvPicPr>
        <xdr:cNvPr id="2" name="Picture 3" title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dpi="0" rotWithShape="1">
        <a:blip xmlns:r="http://schemas.openxmlformats.org/officeDocument/2006/relationships" r:embed="rId1" cstate="print">
          <a:extLst/>
        </a:blip>
        <a:srcRect/>
        <a:stretch>
          <a:fillRect/>
        </a:stretch>
      </xdr:blipFill>
      <xdr:spPr>
        <a:xfrm>
          <a:off x="11819259" y="126364"/>
          <a:ext cx="999976" cy="552450"/>
        </a:xfrm>
        <a:prstGeom prst="rect">
          <a:avLst/>
        </a:prstGeom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781050</xdr:colOff>
      <xdr:row>1</xdr:row>
      <xdr:rowOff>0</xdr:rowOff>
    </xdr:from>
    <xdr:to>
      <xdr:col>14</xdr:col>
      <xdr:colOff>885825</xdr:colOff>
      <xdr:row>2</xdr:row>
      <xdr:rowOff>209550</xdr:rowOff>
    </xdr:to>
    <xdr:pic>
      <xdr:nvPicPr>
        <xdr:cNvPr id="2" name="Picture 3" title="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dpi="0" rotWithShape="1">
        <a:blip xmlns:r="http://schemas.openxmlformats.org/officeDocument/2006/relationships" r:embed="rId1" cstate="print">
          <a:extLst/>
        </a:blip>
        <a:srcRect/>
        <a:stretch>
          <a:fillRect/>
        </a:stretch>
      </xdr:blipFill>
      <xdr:spPr>
        <a:xfrm>
          <a:off x="11819259" y="126364"/>
          <a:ext cx="999976" cy="552450"/>
        </a:xfrm>
        <a:prstGeom prst="rect">
          <a:avLst/>
        </a:prstGeom>
        <a:ex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400050</xdr:colOff>
      <xdr:row>1</xdr:row>
      <xdr:rowOff>0</xdr:rowOff>
    </xdr:from>
    <xdr:to>
      <xdr:col>6</xdr:col>
      <xdr:colOff>752</xdr:colOff>
      <xdr:row>2</xdr:row>
      <xdr:rowOff>209550</xdr:rowOff>
    </xdr:to>
    <xdr:pic>
      <xdr:nvPicPr>
        <xdr:cNvPr id="2" name="Picture 6" title="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dpi="0" rotWithShape="1">
        <a:blip xmlns:r="http://schemas.openxmlformats.org/officeDocument/2006/relationships" r:embed="rId1" cstate="print">
          <a:extLst/>
        </a:blip>
        <a:srcRect/>
        <a:stretch>
          <a:fillRect/>
        </a:stretch>
      </xdr:blipFill>
      <xdr:spPr>
        <a:xfrm>
          <a:off x="5990927" y="126364"/>
          <a:ext cx="1010253" cy="552450"/>
        </a:xfrm>
        <a:prstGeom prst="rect">
          <a:avLst/>
        </a:prstGeom>
        <a:extLst/>
      </xdr:spPr>
    </xdr:pic>
    <xdr:clientData/>
  </xdr:twoCellAnchor>
  <xdr:absoluteAnchor>
    <xdr:pos x="114300" y="5334000"/>
    <xdr:ext cx="6886575" cy="5415761"/>
    <xdr:graphicFrame macro="">
      <xdr:nvGraphicFramePr>
        <xdr:cNvPr id="8" name="MonthlyExpensesChart" descr="Combination chart with planned and actual costs as column bars, and variance as a line." title="Monthly expenses chart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1</xdr:col>
      <xdr:colOff>0</xdr:colOff>
      <xdr:row>11</xdr:row>
      <xdr:rowOff>1</xdr:rowOff>
    </xdr:from>
    <xdr:to>
      <xdr:col>3</xdr:col>
      <xdr:colOff>771525</xdr:colOff>
      <xdr:row>26</xdr:row>
      <xdr:rowOff>85726</xdr:rowOff>
    </xdr:to>
    <xdr:graphicFrame macro="">
      <xdr:nvGraphicFramePr>
        <xdr:cNvPr id="12" name="PlannedExpensesChart" descr="Showing breakdown of all planned expenses." title="Planned expenses chart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762000</xdr:colOff>
      <xdr:row>11</xdr:row>
      <xdr:rowOff>0</xdr:rowOff>
    </xdr:from>
    <xdr:to>
      <xdr:col>6</xdr:col>
      <xdr:colOff>0</xdr:colOff>
      <xdr:row>26</xdr:row>
      <xdr:rowOff>85726</xdr:rowOff>
    </xdr:to>
    <xdr:graphicFrame macro="">
      <xdr:nvGraphicFramePr>
        <xdr:cNvPr id="13" name="ActualExpensesChart" descr="Showing breakdown of all actual expense totals." title="Actual expenses chart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OffPlan" displayName="tblOffPlan" ref="B11:O20" totalsRowCount="1">
  <autoFilter ref="B11:O19">
    <filterColumn colId="0" hiddenButton="1" showButton="0"/>
    <filterColumn colId="1" hiddenButton="1" showButton="0"/>
    <filterColumn colId="2" hiddenButton="1" showButton="0"/>
    <filterColumn colId="3" hiddenButton="1" showButton="0"/>
    <filterColumn colId="4" hiddenButton="1" showButton="0"/>
    <filterColumn colId="5" hiddenButton="1" showButton="0"/>
    <filterColumn colId="6" hiddenButton="1" showButton="0"/>
    <filterColumn colId="7" hiddenButton="1" showButton="0"/>
    <filterColumn colId="8" hiddenButton="1" showButton="0"/>
    <filterColumn colId="9" hiddenButton="1" showButton="0"/>
    <filterColumn colId="10" hiddenButton="1" showButton="0"/>
    <filterColumn colId="11" hiddenButton="1" showButton="0"/>
    <filterColumn colId="12" hiddenButton="1" showButton="0"/>
    <filterColumn colId="13" hiddenButton="1" showButton="0"/>
  </autoFilter>
  <tableColumns count="14">
    <tableColumn id="1" name="Office Costs" totalsRowLabel="Subtotal" totalsRowDxfId="197"/>
    <tableColumn id="2" name="Jan" totalsRowFunction="sum" totalsRowDxfId="196"/>
    <tableColumn id="3" name="Feb" totalsRowFunction="sum" totalsRowDxfId="195"/>
    <tableColumn id="4" name="Mar" totalsRowFunction="sum" totalsRowDxfId="194"/>
    <tableColumn id="5" name="Apr" totalsRowFunction="sum" totalsRowDxfId="193"/>
    <tableColumn id="6" name="May" totalsRowFunction="sum" totalsRowDxfId="192"/>
    <tableColumn id="7" name="Jun" totalsRowFunction="sum" totalsRowDxfId="191"/>
    <tableColumn id="8" name="Jul" totalsRowFunction="sum" totalsRowDxfId="190"/>
    <tableColumn id="9" name="Aug" totalsRowFunction="sum" totalsRowDxfId="189"/>
    <tableColumn id="10" name="Sep" totalsRowFunction="sum" totalsRowDxfId="188"/>
    <tableColumn id="11" name="Oct" totalsRowFunction="sum" totalsRowDxfId="187"/>
    <tableColumn id="12" name="Nov" totalsRowFunction="sum" totalsRowDxfId="186"/>
    <tableColumn id="13" name="Dec" totalsRowFunction="sum" totalsRowDxfId="185"/>
    <tableColumn id="14" name="YEAR" totalsRowFunction="sum" totalsRowDxfId="184">
      <calculatedColumnFormula>SUM(C12:N12)</calculatedColumnFormula>
    </tableColumn>
  </tableColumns>
  <tableStyleInfo name="Detailed expense estimates Table" showFirstColumn="0" showLastColumn="1" showRowStripes="0" showColumnStripes="0"/>
</table>
</file>

<file path=xl/tables/table10.xml><?xml version="1.0" encoding="utf-8"?>
<table xmlns="http://schemas.openxmlformats.org/spreadsheetml/2006/main" id="10" name="tblOffVar" displayName="tblOffVar" ref="B11:O20" totalsRowCount="1">
  <autoFilter ref="B11:O19">
    <filterColumn colId="0" hiddenButton="1" showButton="0"/>
    <filterColumn colId="1" hiddenButton="1" showButton="0"/>
    <filterColumn colId="2" hiddenButton="1" showButton="0"/>
    <filterColumn colId="3" hiddenButton="1" showButton="0"/>
    <filterColumn colId="4" hiddenButton="1" showButton="0"/>
    <filterColumn colId="5" hiddenButton="1" showButton="0"/>
    <filterColumn colId="6" hiddenButton="1" showButton="0"/>
    <filterColumn colId="7" hiddenButton="1" showButton="0"/>
    <filterColumn colId="8" hiddenButton="1" showButton="0"/>
    <filterColumn colId="9" hiddenButton="1" showButton="0"/>
    <filterColumn colId="10" hiddenButton="1" showButton="0"/>
    <filterColumn colId="11" hiddenButton="1" showButton="0"/>
    <filterColumn colId="12" hiddenButton="1" showButton="0"/>
    <filterColumn colId="13" hiddenButton="1" showButton="0"/>
  </autoFilter>
  <tableColumns count="14">
    <tableColumn id="1" name="Office Costs" totalsRowLabel="Subtotal" dataDxfId="61" totalsRowDxfId="60"/>
    <tableColumn id="2" name="Jan" totalsRowFunction="sum" dataDxfId="59" totalsRowDxfId="58">
      <calculatedColumnFormula>INDEX(tblOffPlan[],MATCH(INDEX(tblOffVar[],ROW()-ROW(tblOffVar[[#Headers],[Jan]]),1),INDEX(tblOffPlan[],,1),0),MATCH(tblOffVar[[#Headers],[Jan]],tblOffPlan[#Headers],0))-INDEX(tblOffActual[],MATCH(INDEX(tblOffVar[],ROW()-ROW(tblOffVar[[#Headers],[Jan]]),1),INDEX(tblOffPlan[],,1),0),MATCH(tblOffVar[[#Headers],[Jan]],tblOffActual[#Headers],0))</calculatedColumnFormula>
    </tableColumn>
    <tableColumn id="3" name="Feb" totalsRowFunction="sum" dataDxfId="57" totalsRowDxfId="56">
      <calculatedColumnFormula>INDEX(tblOffPlan[],MATCH(INDEX(tblOffVar[],ROW()-ROW(tblOffVar[[#Headers],[Feb]]),1),INDEX(tblOffPlan[],,1),0),MATCH(tblOffVar[[#Headers],[Feb]],tblOffPlan[#Headers],0))-INDEX(tblOffActual[],MATCH(INDEX(tblOffVar[],ROW()-ROW(tblOffVar[[#Headers],[Feb]]),1),INDEX(tblOffPlan[],,1),0),MATCH(tblOffVar[[#Headers],[Feb]],tblOffActual[#Headers],0))</calculatedColumnFormula>
    </tableColumn>
    <tableColumn id="4" name="Mar" totalsRowFunction="sum" dataDxfId="55" totalsRowDxfId="54">
      <calculatedColumnFormula>INDEX(tblOffPlan[],MATCH(INDEX(tblOffVar[],ROW()-ROW(tblOffVar[[#Headers],[Mar]]),1),INDEX(tblOffPlan[],,1),0),MATCH(tblOffVar[[#Headers],[Mar]],tblOffPlan[#Headers],0))-INDEX(tblOffActual[],MATCH(INDEX(tblOffVar[],ROW()-ROW(tblOffVar[[#Headers],[Mar]]),1),INDEX(tblOffPlan[],,1),0),MATCH(tblOffVar[[#Headers],[Mar]],tblOffActual[#Headers],0))</calculatedColumnFormula>
    </tableColumn>
    <tableColumn id="5" name="Apr" totalsRowFunction="sum" dataDxfId="53" totalsRowDxfId="52">
      <calculatedColumnFormula>INDEX(tblOffPlan[],MATCH(INDEX(tblOffVar[],ROW()-ROW(tblOffVar[[#Headers],[Apr]]),1),INDEX(tblOffPlan[],,1),0),MATCH(tblOffVar[[#Headers],[Apr]],tblOffPlan[#Headers],0))-INDEX(tblOffActual[],MATCH(INDEX(tblOffVar[],ROW()-ROW(tblOffVar[[#Headers],[Apr]]),1),INDEX(tblOffPlan[],,1),0),MATCH(tblOffVar[[#Headers],[Apr]],tblOffActual[#Headers],0))</calculatedColumnFormula>
    </tableColumn>
    <tableColumn id="6" name="May" totalsRowFunction="sum" dataDxfId="51" totalsRowDxfId="50">
      <calculatedColumnFormula>INDEX(tblOffPlan[],MATCH(INDEX(tblOffVar[],ROW()-ROW(tblOffVar[[#Headers],[May]]),1),INDEX(tblOffPlan[],,1),0),MATCH(tblOffVar[[#Headers],[May]],tblOffPlan[#Headers],0))-INDEX(tblOffActual[],MATCH(INDEX(tblOffVar[],ROW()-ROW(tblOffVar[[#Headers],[May]]),1),INDEX(tblOffPlan[],,1),0),MATCH(tblOffVar[[#Headers],[May]],tblOffActual[#Headers],0))</calculatedColumnFormula>
    </tableColumn>
    <tableColumn id="7" name="Jun" totalsRowFunction="sum" dataDxfId="49" totalsRowDxfId="48">
      <calculatedColumnFormula>INDEX(tblOffPlan[],MATCH(INDEX(tblOffVar[],ROW()-ROW(tblOffVar[[#Headers],[Jun]]),1),INDEX(tblOffPlan[],,1),0),MATCH(tblOffVar[[#Headers],[Jun]],tblOffPlan[#Headers],0))-INDEX(tblOffActual[],MATCH(INDEX(tblOffVar[],ROW()-ROW(tblOffVar[[#Headers],[Jun]]),1),INDEX(tblOffPlan[],,1),0),MATCH(tblOffVar[[#Headers],[Jun]],tblOffActual[#Headers],0))</calculatedColumnFormula>
    </tableColumn>
    <tableColumn id="8" name="Jul" totalsRowFunction="sum" dataDxfId="47" totalsRowDxfId="46">
      <calculatedColumnFormula>INDEX(tblOffPlan[],MATCH(INDEX(tblOffVar[],ROW()-ROW(tblOffVar[[#Headers],[Jul]]),1),INDEX(tblOffPlan[],,1),0),MATCH(tblOffVar[[#Headers],[Jul]],tblOffPlan[#Headers],0))-INDEX(tblOffActual[],MATCH(INDEX(tblOffVar[],ROW()-ROW(tblOffVar[[#Headers],[Jul]]),1),INDEX(tblOffPlan[],,1),0),MATCH(tblOffVar[[#Headers],[Jul]],tblOffActual[#Headers],0))</calculatedColumnFormula>
    </tableColumn>
    <tableColumn id="9" name="Aug" totalsRowFunction="sum" dataDxfId="45" totalsRowDxfId="44">
      <calculatedColumnFormula>INDEX(tblOffPlan[],MATCH(INDEX(tblOffVar[],ROW()-ROW(tblOffVar[[#Headers],[Aug]]),1),INDEX(tblOffPlan[],,1),0),MATCH(tblOffVar[[#Headers],[Aug]],tblOffPlan[#Headers],0))-INDEX(tblOffActual[],MATCH(INDEX(tblOffVar[],ROW()-ROW(tblOffVar[[#Headers],[Aug]]),1),INDEX(tblOffPlan[],,1),0),MATCH(tblOffVar[[#Headers],[Aug]],tblOffActual[#Headers],0))</calculatedColumnFormula>
    </tableColumn>
    <tableColumn id="10" name="Sep" totalsRowFunction="sum" dataDxfId="43" totalsRowDxfId="42">
      <calculatedColumnFormula>INDEX(tblOffPlan[],MATCH(INDEX(tblOffVar[],ROW()-ROW(tblOffVar[[#Headers],[Sep]]),1),INDEX(tblOffPlan[],,1),0),MATCH(tblOffVar[[#Headers],[Sep]],tblOffPlan[#Headers],0))-INDEX(tblOffActual[],MATCH(INDEX(tblOffVar[],ROW()-ROW(tblOffVar[[#Headers],[Sep]]),1),INDEX(tblOffPlan[],,1),0),MATCH(tblOffVar[[#Headers],[Sep]],tblOffActual[#Headers],0))</calculatedColumnFormula>
    </tableColumn>
    <tableColumn id="11" name="Oct" totalsRowFunction="sum" dataDxfId="41" totalsRowDxfId="40">
      <calculatedColumnFormula>INDEX(tblOffPlan[],MATCH(INDEX(tblOffVar[],ROW()-ROW(tblOffVar[[#Headers],[Oct]]),1),INDEX(tblOffPlan[],,1),0),MATCH(tblOffVar[[#Headers],[Oct]],tblOffPlan[#Headers],0))-INDEX(tblOffActual[],MATCH(INDEX(tblOffVar[],ROW()-ROW(tblOffVar[[#Headers],[Oct]]),1),INDEX(tblOffPlan[],,1),0),MATCH(tblOffVar[[#Headers],[Oct]],tblOffActual[#Headers],0))</calculatedColumnFormula>
    </tableColumn>
    <tableColumn id="12" name="Nov" totalsRowFunction="sum" dataDxfId="39" totalsRowDxfId="38">
      <calculatedColumnFormula>INDEX(tblOffPlan[],MATCH(INDEX(tblOffVar[],ROW()-ROW(tblOffVar[[#Headers],[Nov]]),1),INDEX(tblOffPlan[],,1),0),MATCH(tblOffVar[[#Headers],[Nov]],tblOffPlan[#Headers],0))-INDEX(tblOffActual[],MATCH(INDEX(tblOffVar[],ROW()-ROW(tblOffVar[[#Headers],[Nov]]),1),INDEX(tblOffPlan[],,1),0),MATCH(tblOffVar[[#Headers],[Nov]],tblOffActual[#Headers],0))</calculatedColumnFormula>
    </tableColumn>
    <tableColumn id="13" name="Dec" totalsRowFunction="sum" dataDxfId="37" totalsRowDxfId="36">
      <calculatedColumnFormula>INDEX(tblOffPlan[],MATCH(INDEX(tblOffVar[],ROW()-ROW(tblOffVar[[#Headers],[Dec]]),1),INDEX(tblOffPlan[],,1),0),MATCH(tblOffVar[[#Headers],[Dec]],tblOffPlan[#Headers],0))-INDEX(tblOffActual[],MATCH(INDEX(tblOffVar[],ROW()-ROW(tblOffVar[[#Headers],[Dec]]),1),INDEX(tblOffPlan[],,1),0),MATCH(tblOffVar[[#Headers],[Dec]],tblOffActual[#Headers],0))</calculatedColumnFormula>
    </tableColumn>
    <tableColumn id="14" name="YEAR" totalsRowFunction="sum" dataDxfId="35" totalsRowDxfId="34">
      <calculatedColumnFormula>SUM(tblOffVar[[#This Row],[Jan]:[Dec]])</calculatedColumnFormula>
    </tableColumn>
  </tableColumns>
  <tableStyleInfo name="Detailed expense estimates Table" showFirstColumn="0" showLastColumn="1" showRowStripes="0" showColumnStripes="0"/>
</table>
</file>

<file path=xl/tables/table11.xml><?xml version="1.0" encoding="utf-8"?>
<table xmlns="http://schemas.openxmlformats.org/spreadsheetml/2006/main" id="11" name="tblMarkVar" displayName="tblMarkVar" ref="B22:O29" totalsRowCount="1">
  <autoFilter ref="B22:O28">
    <filterColumn colId="0" hiddenButton="1" showButton="0"/>
    <filterColumn colId="1" hiddenButton="1" showButton="0"/>
    <filterColumn colId="2" hiddenButton="1" showButton="0"/>
    <filterColumn colId="3" hiddenButton="1" showButton="0"/>
    <filterColumn colId="4" hiddenButton="1" showButton="0"/>
    <filterColumn colId="5" hiddenButton="1" showButton="0"/>
    <filterColumn colId="6" hiddenButton="1" showButton="0"/>
    <filterColumn colId="7" hiddenButton="1" showButton="0"/>
    <filterColumn colId="8" hiddenButton="1" showButton="0"/>
    <filterColumn colId="9" hiddenButton="1" showButton="0"/>
    <filterColumn colId="10" hiddenButton="1" showButton="0"/>
    <filterColumn colId="11" hiddenButton="1" showButton="0"/>
    <filterColumn colId="12" hiddenButton="1" showButton="0"/>
    <filterColumn colId="13" hiddenButton="1" showButton="0"/>
  </autoFilter>
  <tableColumns count="14">
    <tableColumn id="1" name="Marketing Costs" totalsRowLabel="Subtotal" dataDxfId="33" totalsRowDxfId="32"/>
    <tableColumn id="2" name="Jan" totalsRowFunction="sum" dataDxfId="31" totalsRowDxfId="30">
      <calculatedColumnFormula>INDEX(tblMarkPlan[],MATCH(INDEX(tblMarkVar[],ROW()-ROW(tblMarkVar[[#Headers],[Jan]]),1),INDEX(tblMarkPlan[],,1),0),MATCH(tblMarkVar[[#Headers],[Jan]],tblMarkPlan[#Headers],0))-INDEX(tblMarkActual[],MATCH(INDEX(tblMarkVar[],ROW()-ROW(tblMarkVar[[#Headers],[Jan]]),1),INDEX(tblMarkPlan[],,1),0),MATCH(tblMarkVar[[#Headers],[Jan]],tblMarkActual[#Headers],0))</calculatedColumnFormula>
    </tableColumn>
    <tableColumn id="3" name="Feb" totalsRowFunction="sum" totalsRowDxfId="29">
      <calculatedColumnFormula>INDEX(tblMarkPlan[],MATCH(INDEX(tblMarkVar[],ROW()-ROW(tblMarkVar[[#Headers],[Feb]]),1),INDEX(tblMarkPlan[],,1),0),MATCH(tblMarkVar[[#Headers],[Feb]],tblMarkPlan[#Headers],0))-INDEX(tblMarkActual[],MATCH(INDEX(tblMarkVar[],ROW()-ROW(tblMarkVar[[#Headers],[Feb]]),1),INDEX(tblMarkPlan[],,1),0),MATCH(tblMarkVar[[#Headers],[Feb]],tblMarkActual[#Headers],0))</calculatedColumnFormula>
    </tableColumn>
    <tableColumn id="4" name="Mar" totalsRowFunction="sum" totalsRowDxfId="28">
      <calculatedColumnFormula>INDEX(tblMarkPlan[],MATCH(INDEX(tblMarkVar[],ROW()-ROW(tblMarkVar[[#Headers],[Mar]]),1),INDEX(tblMarkPlan[],,1),0),MATCH(tblMarkVar[[#Headers],[Mar]],tblMarkPlan[#Headers],0))-INDEX(tblMarkActual[],MATCH(INDEX(tblMarkVar[],ROW()-ROW(tblMarkVar[[#Headers],[Mar]]),1),INDEX(tblMarkPlan[],,1),0),MATCH(tblMarkVar[[#Headers],[Mar]],tblMarkActual[#Headers],0))</calculatedColumnFormula>
    </tableColumn>
    <tableColumn id="5" name="Apr" totalsRowFunction="sum" totalsRowDxfId="27">
      <calculatedColumnFormula>INDEX(tblMarkPlan[],MATCH(INDEX(tblMarkVar[],ROW()-ROW(tblMarkVar[[#Headers],[Apr]]),1),INDEX(tblMarkPlan[],,1),0),MATCH(tblMarkVar[[#Headers],[Apr]],tblMarkPlan[#Headers],0))-INDEX(tblMarkActual[],MATCH(INDEX(tblMarkVar[],ROW()-ROW(tblMarkVar[[#Headers],[Apr]]),1),INDEX(tblMarkPlan[],,1),0),MATCH(tblMarkVar[[#Headers],[Apr]],tblMarkActual[#Headers],0))</calculatedColumnFormula>
    </tableColumn>
    <tableColumn id="6" name="May" totalsRowFunction="sum" totalsRowDxfId="26">
      <calculatedColumnFormula>INDEX(tblMarkPlan[],MATCH(INDEX(tblMarkVar[],ROW()-ROW(tblMarkVar[[#Headers],[May]]),1),INDEX(tblMarkPlan[],,1),0),MATCH(tblMarkVar[[#Headers],[May]],tblMarkPlan[#Headers],0))-INDEX(tblMarkActual[],MATCH(INDEX(tblMarkVar[],ROW()-ROW(tblMarkVar[[#Headers],[May]]),1),INDEX(tblMarkPlan[],,1),0),MATCH(tblMarkVar[[#Headers],[May]],tblMarkActual[#Headers],0))</calculatedColumnFormula>
    </tableColumn>
    <tableColumn id="7" name="Jun" totalsRowFunction="sum" totalsRowDxfId="25">
      <calculatedColumnFormula>INDEX(tblMarkPlan[],MATCH(INDEX(tblMarkVar[],ROW()-ROW(tblMarkVar[[#Headers],[Jun]]),1),INDEX(tblMarkPlan[],,1),0),MATCH(tblMarkVar[[#Headers],[Jun]],tblMarkPlan[#Headers],0))-INDEX(tblMarkActual[],MATCH(INDEX(tblMarkVar[],ROW()-ROW(tblMarkVar[[#Headers],[Jun]]),1),INDEX(tblMarkPlan[],,1),0),MATCH(tblMarkVar[[#Headers],[Jun]],tblMarkActual[#Headers],0))</calculatedColumnFormula>
    </tableColumn>
    <tableColumn id="8" name="Jul" totalsRowFunction="sum" totalsRowDxfId="24">
      <calculatedColumnFormula>INDEX(tblMarkPlan[],MATCH(INDEX(tblMarkVar[],ROW()-ROW(tblMarkVar[[#Headers],[Jul]]),1),INDEX(tblMarkPlan[],,1),0),MATCH(tblMarkVar[[#Headers],[Jul]],tblMarkPlan[#Headers],0))-INDEX(tblMarkActual[],MATCH(INDEX(tblMarkVar[],ROW()-ROW(tblMarkVar[[#Headers],[Jul]]),1),INDEX(tblMarkPlan[],,1),0),MATCH(tblMarkVar[[#Headers],[Jul]],tblMarkActual[#Headers],0))</calculatedColumnFormula>
    </tableColumn>
    <tableColumn id="9" name="Aug" totalsRowFunction="sum" totalsRowDxfId="23">
      <calculatedColumnFormula>INDEX(tblMarkPlan[],MATCH(INDEX(tblMarkVar[],ROW()-ROW(tblMarkVar[[#Headers],[Aug]]),1),INDEX(tblMarkPlan[],,1),0),MATCH(tblMarkVar[[#Headers],[Aug]],tblMarkPlan[#Headers],0))-INDEX(tblMarkActual[],MATCH(INDEX(tblMarkVar[],ROW()-ROW(tblMarkVar[[#Headers],[Aug]]),1),INDEX(tblMarkPlan[],,1),0),MATCH(tblMarkVar[[#Headers],[Aug]],tblMarkActual[#Headers],0))</calculatedColumnFormula>
    </tableColumn>
    <tableColumn id="10" name="Sep" totalsRowFunction="sum" totalsRowDxfId="22">
      <calculatedColumnFormula>INDEX(tblMarkPlan[],MATCH(INDEX(tblMarkVar[],ROW()-ROW(tblMarkVar[[#Headers],[Sep]]),1),INDEX(tblMarkPlan[],,1),0),MATCH(tblMarkVar[[#Headers],[Sep]],tblMarkPlan[#Headers],0))-INDEX(tblMarkActual[],MATCH(INDEX(tblMarkVar[],ROW()-ROW(tblMarkVar[[#Headers],[Sep]]),1),INDEX(tblMarkPlan[],,1),0),MATCH(tblMarkVar[[#Headers],[Sep]],tblMarkActual[#Headers],0))</calculatedColumnFormula>
    </tableColumn>
    <tableColumn id="11" name="Oct" totalsRowFunction="sum" totalsRowDxfId="21">
      <calculatedColumnFormula>INDEX(tblMarkPlan[],MATCH(INDEX(tblMarkVar[],ROW()-ROW(tblMarkVar[[#Headers],[Oct]]),1),INDEX(tblMarkPlan[],,1),0),MATCH(tblMarkVar[[#Headers],[Oct]],tblMarkPlan[#Headers],0))-INDEX(tblMarkActual[],MATCH(INDEX(tblMarkVar[],ROW()-ROW(tblMarkVar[[#Headers],[Oct]]),1),INDEX(tblMarkPlan[],,1),0),MATCH(tblMarkVar[[#Headers],[Oct]],tblMarkActual[#Headers],0))</calculatedColumnFormula>
    </tableColumn>
    <tableColumn id="12" name="Nov" totalsRowFunction="sum" totalsRowDxfId="20">
      <calculatedColumnFormula>INDEX(tblMarkPlan[],MATCH(INDEX(tblMarkVar[],ROW()-ROW(tblMarkVar[[#Headers],[Nov]]),1),INDEX(tblMarkPlan[],,1),0),MATCH(tblMarkVar[[#Headers],[Nov]],tblMarkPlan[#Headers],0))-INDEX(tblMarkActual[],MATCH(INDEX(tblMarkVar[],ROW()-ROW(tblMarkVar[[#Headers],[Nov]]),1),INDEX(tblMarkPlan[],,1),0),MATCH(tblMarkVar[[#Headers],[Nov]],tblMarkActual[#Headers],0))</calculatedColumnFormula>
    </tableColumn>
    <tableColumn id="13" name="Dec" totalsRowFunction="sum" totalsRowDxfId="19">
      <calculatedColumnFormula>INDEX(tblMarkPlan[],MATCH(INDEX(tblMarkVar[],ROW()-ROW(tblMarkVar[[#Headers],[Dec]]),1),INDEX(tblMarkPlan[],,1),0),MATCH(tblMarkVar[[#Headers],[Dec]],tblMarkPlan[#Headers],0))-INDEX(tblMarkActual[],MATCH(INDEX(tblMarkVar[],ROW()-ROW(tblMarkVar[[#Headers],[Dec]]),1),INDEX(tblMarkPlan[],,1),0),MATCH(tblMarkVar[[#Headers],[Dec]],tblMarkActual[#Headers],0))</calculatedColumnFormula>
    </tableColumn>
    <tableColumn id="14" name="YEAR" totalsRowFunction="sum" dataDxfId="18" totalsRowDxfId="17">
      <calculatedColumnFormula>SUM(tblMarkVar[[#This Row],[Jan]:[Dec]])</calculatedColumnFormula>
    </tableColumn>
  </tableColumns>
  <tableStyleInfo name="Detailed expense estimates Table" showFirstColumn="0" showLastColumn="1" showRowStripes="0" showColumnStripes="0"/>
</table>
</file>

<file path=xl/tables/table12.xml><?xml version="1.0" encoding="utf-8"?>
<table xmlns="http://schemas.openxmlformats.org/spreadsheetml/2006/main" id="12" name="tblTrainVar" displayName="tblTrainVar" ref="B31:O34" totalsRowCount="1">
  <autoFilter ref="B31:O33">
    <filterColumn colId="0" hiddenButton="1" showButton="0"/>
    <filterColumn colId="1" hiddenButton="1" showButton="0"/>
    <filterColumn colId="2" hiddenButton="1" showButton="0"/>
    <filterColumn colId="3" hiddenButton="1" showButton="0"/>
    <filterColumn colId="4" hiddenButton="1" showButton="0"/>
    <filterColumn colId="5" hiddenButton="1" showButton="0"/>
    <filterColumn colId="6" hiddenButton="1" showButton="0"/>
    <filterColumn colId="7" hiddenButton="1" showButton="0"/>
    <filterColumn colId="8" hiddenButton="1" showButton="0"/>
    <filterColumn colId="9" hiddenButton="1" showButton="0"/>
    <filterColumn colId="10" hiddenButton="1" showButton="0"/>
    <filterColumn colId="11" hiddenButton="1" showButton="0"/>
    <filterColumn colId="12" hiddenButton="1" showButton="0"/>
    <filterColumn colId="13" hiddenButton="1" showButton="0"/>
  </autoFilter>
  <tableColumns count="14">
    <tableColumn id="1" name="Training/Travel" totalsRowLabel="Subtotal" dataDxfId="16" totalsRowDxfId="15"/>
    <tableColumn id="2" name="Jan" totalsRowFunction="sum" dataDxfId="14" totalsRowDxfId="13">
      <calculatedColumnFormula>INDEX(tblTrainPlan[],MATCH(INDEX(tblTrainVar[],ROW()-ROW(tblTrainVar[[#Headers],[Jan]]),1),INDEX(tblTrainPlan[],,1),0),MATCH(tblTrainVar[[#Headers],[Jan]],tblTrainPlan[#Headers],0))-INDEX(tblTrainActual[],MATCH(INDEX(tblTrainVar[],ROW()-ROW(tblTrainVar[[#Headers],[Jan]]),1),INDEX(tblTrainPlan[],,1),0),MATCH(tblTrainVar[[#Headers],[Jan]],tblTrainActual[#Headers],0))</calculatedColumnFormula>
    </tableColumn>
    <tableColumn id="3" name="Feb" totalsRowFunction="sum" totalsRowDxfId="12">
      <calculatedColumnFormula>INDEX(tblTrainPlan[],MATCH(INDEX(tblTrainVar[],ROW()-ROW(tblTrainVar[[#Headers],[Feb]]),1),INDEX(tblTrainPlan[],,1),0),MATCH(tblTrainVar[[#Headers],[Feb]],tblTrainPlan[#Headers],0))-INDEX(tblTrainActual[],MATCH(INDEX(tblTrainVar[],ROW()-ROW(tblTrainVar[[#Headers],[Feb]]),1),INDEX(tblTrainPlan[],,1),0),MATCH(tblTrainVar[[#Headers],[Feb]],tblTrainActual[#Headers],0))</calculatedColumnFormula>
    </tableColumn>
    <tableColumn id="4" name="Mar" totalsRowFunction="sum" totalsRowDxfId="11">
      <calculatedColumnFormula>INDEX(tblTrainPlan[],MATCH(INDEX(tblTrainVar[],ROW()-ROW(tblTrainVar[[#Headers],[Mar]]),1),INDEX(tblTrainPlan[],,1),0),MATCH(tblTrainVar[[#Headers],[Mar]],tblTrainPlan[#Headers],0))-INDEX(tblTrainActual[],MATCH(INDEX(tblTrainVar[],ROW()-ROW(tblTrainVar[[#Headers],[Mar]]),1),INDEX(tblTrainPlan[],,1),0),MATCH(tblTrainVar[[#Headers],[Mar]],tblTrainActual[#Headers],0))</calculatedColumnFormula>
    </tableColumn>
    <tableColumn id="5" name="Apr" totalsRowFunction="sum" totalsRowDxfId="10">
      <calculatedColumnFormula>INDEX(tblTrainPlan[],MATCH(INDEX(tblTrainVar[],ROW()-ROW(tblTrainVar[[#Headers],[Apr]]),1),INDEX(tblTrainPlan[],,1),0),MATCH(tblTrainVar[[#Headers],[Apr]],tblTrainPlan[#Headers],0))-INDEX(tblTrainActual[],MATCH(INDEX(tblTrainVar[],ROW()-ROW(tblTrainVar[[#Headers],[Apr]]),1),INDEX(tblTrainPlan[],,1),0),MATCH(tblTrainVar[[#Headers],[Apr]],tblTrainActual[#Headers],0))</calculatedColumnFormula>
    </tableColumn>
    <tableColumn id="6" name="May" totalsRowFunction="sum" totalsRowDxfId="9">
      <calculatedColumnFormula>INDEX(tblTrainPlan[],MATCH(INDEX(tblTrainVar[],ROW()-ROW(tblTrainVar[[#Headers],[May]]),1),INDEX(tblTrainPlan[],,1),0),MATCH(tblTrainVar[[#Headers],[May]],tblTrainPlan[#Headers],0))-INDEX(tblTrainActual[],MATCH(INDEX(tblTrainVar[],ROW()-ROW(tblTrainVar[[#Headers],[May]]),1),INDEX(tblTrainPlan[],,1),0),MATCH(tblTrainVar[[#Headers],[May]],tblTrainActual[#Headers],0))</calculatedColumnFormula>
    </tableColumn>
    <tableColumn id="7" name="Jun" totalsRowFunction="sum" totalsRowDxfId="8">
      <calculatedColumnFormula>INDEX(tblTrainPlan[],MATCH(INDEX(tblTrainVar[],ROW()-ROW(tblTrainVar[[#Headers],[Jun]]),1),INDEX(tblTrainPlan[],,1),0),MATCH(tblTrainVar[[#Headers],[Jun]],tblTrainPlan[#Headers],0))-INDEX(tblTrainActual[],MATCH(INDEX(tblTrainVar[],ROW()-ROW(tblTrainVar[[#Headers],[Jun]]),1),INDEX(tblTrainPlan[],,1),0),MATCH(tblTrainVar[[#Headers],[Jun]],tblTrainActual[#Headers],0))</calculatedColumnFormula>
    </tableColumn>
    <tableColumn id="8" name="Jul" totalsRowFunction="sum" totalsRowDxfId="7">
      <calculatedColumnFormula>INDEX(tblTrainPlan[],MATCH(INDEX(tblTrainVar[],ROW()-ROW(tblTrainVar[[#Headers],[Jul]]),1),INDEX(tblTrainPlan[],,1),0),MATCH(tblTrainVar[[#Headers],[Jul]],tblTrainPlan[#Headers],0))-INDEX(tblTrainActual[],MATCH(INDEX(tblTrainVar[],ROW()-ROW(tblTrainVar[[#Headers],[Jul]]),1),INDEX(tblTrainPlan[],,1),0),MATCH(tblTrainVar[[#Headers],[Jul]],tblTrainActual[#Headers],0))</calculatedColumnFormula>
    </tableColumn>
    <tableColumn id="9" name="Aug" totalsRowFunction="sum" totalsRowDxfId="6">
      <calculatedColumnFormula>INDEX(tblTrainPlan[],MATCH(INDEX(tblTrainVar[],ROW()-ROW(tblTrainVar[[#Headers],[Aug]]),1),INDEX(tblTrainPlan[],,1),0),MATCH(tblTrainVar[[#Headers],[Aug]],tblTrainPlan[#Headers],0))-INDEX(tblTrainActual[],MATCH(INDEX(tblTrainVar[],ROW()-ROW(tblTrainVar[[#Headers],[Aug]]),1),INDEX(tblTrainPlan[],,1),0),MATCH(tblTrainVar[[#Headers],[Aug]],tblTrainActual[#Headers],0))</calculatedColumnFormula>
    </tableColumn>
    <tableColumn id="10" name="Sep" totalsRowFunction="sum" totalsRowDxfId="5">
      <calculatedColumnFormula>INDEX(tblTrainPlan[],MATCH(INDEX(tblTrainVar[],ROW()-ROW(tblTrainVar[[#Headers],[Sep]]),1),INDEX(tblTrainPlan[],,1),0),MATCH(tblTrainVar[[#Headers],[Sep]],tblTrainPlan[#Headers],0))-INDEX(tblTrainActual[],MATCH(INDEX(tblTrainVar[],ROW()-ROW(tblTrainVar[[#Headers],[Sep]]),1),INDEX(tblTrainPlan[],,1),0),MATCH(tblTrainVar[[#Headers],[Sep]],tblTrainActual[#Headers],0))</calculatedColumnFormula>
    </tableColumn>
    <tableColumn id="11" name="Oct" totalsRowFunction="sum" totalsRowDxfId="4">
      <calculatedColumnFormula>INDEX(tblTrainPlan[],MATCH(INDEX(tblTrainVar[],ROW()-ROW(tblTrainVar[[#Headers],[Oct]]),1),INDEX(tblTrainPlan[],,1),0),MATCH(tblTrainVar[[#Headers],[Oct]],tblTrainPlan[#Headers],0))-INDEX(tblTrainActual[],MATCH(INDEX(tblTrainVar[],ROW()-ROW(tblTrainVar[[#Headers],[Oct]]),1),INDEX(tblTrainPlan[],,1),0),MATCH(tblTrainVar[[#Headers],[Oct]],tblTrainActual[#Headers],0))</calculatedColumnFormula>
    </tableColumn>
    <tableColumn id="12" name="Nov" totalsRowFunction="sum" totalsRowDxfId="3">
      <calculatedColumnFormula>INDEX(tblTrainPlan[],MATCH(INDEX(tblTrainVar[],ROW()-ROW(tblTrainVar[[#Headers],[Nov]]),1),INDEX(tblTrainPlan[],,1),0),MATCH(tblTrainVar[[#Headers],[Nov]],tblTrainPlan[#Headers],0))-INDEX(tblTrainActual[],MATCH(INDEX(tblTrainVar[],ROW()-ROW(tblTrainVar[[#Headers],[Nov]]),1),INDEX(tblTrainPlan[],,1),0),MATCH(tblTrainVar[[#Headers],[Nov]],tblTrainActual[#Headers],0))</calculatedColumnFormula>
    </tableColumn>
    <tableColumn id="13" name="Dec" totalsRowFunction="sum" totalsRowDxfId="2">
      <calculatedColumnFormula>INDEX(tblTrainPlan[],MATCH(INDEX(tblTrainVar[],ROW()-ROW(tblTrainVar[[#Headers],[Dec]]),1),INDEX(tblTrainPlan[],,1),0),MATCH(tblTrainVar[[#Headers],[Dec]],tblTrainPlan[#Headers],0))-INDEX(tblTrainActual[],MATCH(INDEX(tblTrainVar[],ROW()-ROW(tblTrainVar[[#Headers],[Dec]]),1),INDEX(tblTrainPlan[],,1),0),MATCH(tblTrainVar[[#Headers],[Dec]],tblTrainActual[#Headers],0))</calculatedColumnFormula>
    </tableColumn>
    <tableColumn id="14" name="YEAR" totalsRowFunction="sum" dataDxfId="1" totalsRowDxfId="0">
      <calculatedColumnFormula>SUM(tblTrainVar[[#This Row],[Jan]:[Dec]])</calculatedColumnFormula>
    </tableColumn>
  </tableColumns>
  <tableStyleInfo name="Detailed expense estimates Table" showFirstColumn="0" showLastColumn="1" showRowStripes="0" showColumnStripes="0"/>
</table>
</file>

<file path=xl/tables/table2.xml><?xml version="1.0" encoding="utf-8"?>
<table xmlns="http://schemas.openxmlformats.org/spreadsheetml/2006/main" id="2" name="tblMarkPlan" displayName="tblMarkPlan" ref="B22:O29" totalsRowCount="1">
  <autoFilter ref="B22:O28">
    <filterColumn colId="0" hiddenButton="1" showButton="0"/>
    <filterColumn colId="1" hiddenButton="1" showButton="0"/>
    <filterColumn colId="2" hiddenButton="1" showButton="0"/>
    <filterColumn colId="3" hiddenButton="1" showButton="0"/>
    <filterColumn colId="4" hiddenButton="1" showButton="0"/>
    <filterColumn colId="5" hiddenButton="1" showButton="0"/>
    <filterColumn colId="6" hiddenButton="1" showButton="0"/>
    <filterColumn colId="7" hiddenButton="1" showButton="0"/>
    <filterColumn colId="8" hiddenButton="1" showButton="0"/>
    <filterColumn colId="9" hiddenButton="1" showButton="0"/>
    <filterColumn colId="10" hiddenButton="1" showButton="0"/>
    <filterColumn colId="11" hiddenButton="1" showButton="0"/>
    <filterColumn colId="12" hiddenButton="1" showButton="0"/>
    <filterColumn colId="13" hiddenButton="1" showButton="0"/>
  </autoFilter>
  <tableColumns count="14">
    <tableColumn id="1" name="Marketing Costs" totalsRowLabel="Subtotal"/>
    <tableColumn id="2" name="Jan" totalsRowFunction="sum"/>
    <tableColumn id="3" name="Feb" totalsRowFunction="sum"/>
    <tableColumn id="4" name="Mar" totalsRowFunction="sum"/>
    <tableColumn id="5" name="Apr" totalsRowFunction="sum"/>
    <tableColumn id="6" name="May" totalsRowFunction="sum"/>
    <tableColumn id="7" name="Jun" totalsRowFunction="sum"/>
    <tableColumn id="8" name="Jul" totalsRowFunction="sum"/>
    <tableColumn id="9" name="Aug" totalsRowFunction="sum"/>
    <tableColumn id="10" name="Sep" totalsRowFunction="sum"/>
    <tableColumn id="11" name="Oct" totalsRowFunction="sum"/>
    <tableColumn id="12" name="Nov" totalsRowFunction="sum"/>
    <tableColumn id="13" name="Dec" totalsRowFunction="sum"/>
    <tableColumn id="14" name="YEAR" totalsRowFunction="sum">
      <calculatedColumnFormula>SUM(C23:N23)</calculatedColumnFormula>
    </tableColumn>
  </tableColumns>
  <tableStyleInfo name="Detailed expense estimates Table" showFirstColumn="0" showLastColumn="1" showRowStripes="0" showColumnStripes="0"/>
</table>
</file>

<file path=xl/tables/table3.xml><?xml version="1.0" encoding="utf-8"?>
<table xmlns="http://schemas.openxmlformats.org/spreadsheetml/2006/main" id="3" name="tblTrainPlan" displayName="tblTrainPlan" ref="B31:O34" totalsRowCount="1" headerRowDxfId="183" dataDxfId="181" headerRowBorderDxfId="182" tableBorderDxfId="180" totalsRowBorderDxfId="179" headerRowCellStyle="Heading 4">
  <autoFilter ref="B31:O33">
    <filterColumn colId="0" hiddenButton="1" showButton="0"/>
    <filterColumn colId="1" hiddenButton="1" showButton="0"/>
    <filterColumn colId="2" hiddenButton="1" showButton="0"/>
    <filterColumn colId="3" hiddenButton="1" showButton="0"/>
    <filterColumn colId="4" hiddenButton="1" showButton="0"/>
    <filterColumn colId="5" hiddenButton="1" showButton="0"/>
    <filterColumn colId="6" hiddenButton="1" showButton="0"/>
    <filterColumn colId="7" hiddenButton="1" showButton="0"/>
    <filterColumn colId="8" hiddenButton="1" showButton="0"/>
    <filterColumn colId="9" hiddenButton="1" showButton="0"/>
    <filterColumn colId="10" hiddenButton="1" showButton="0"/>
    <filterColumn colId="11" hiddenButton="1" showButton="0"/>
    <filterColumn colId="12" hiddenButton="1" showButton="0"/>
    <filterColumn colId="13" hiddenButton="1" showButton="0"/>
  </autoFilter>
  <tableColumns count="14">
    <tableColumn id="1" name="Training/Travel" totalsRowLabel="Subtotal" dataDxfId="178" totalsRowDxfId="177"/>
    <tableColumn id="2" name="Jan" totalsRowFunction="sum" dataDxfId="176" totalsRowDxfId="175"/>
    <tableColumn id="3" name="Feb" totalsRowFunction="sum" dataDxfId="174" totalsRowDxfId="173"/>
    <tableColumn id="4" name="Mar" totalsRowFunction="sum" dataDxfId="172" totalsRowDxfId="171"/>
    <tableColumn id="5" name="Apr" totalsRowFunction="sum" dataDxfId="170" totalsRowDxfId="169"/>
    <tableColumn id="6" name="May" totalsRowFunction="sum" dataDxfId="168" totalsRowDxfId="167"/>
    <tableColumn id="7" name="Jun" totalsRowFunction="sum" dataDxfId="166" totalsRowDxfId="165"/>
    <tableColumn id="8" name="Jul" totalsRowFunction="sum" dataDxfId="164" totalsRowDxfId="163"/>
    <tableColumn id="9" name="Aug" totalsRowFunction="sum" dataDxfId="162" totalsRowDxfId="161"/>
    <tableColumn id="10" name="Sep" totalsRowFunction="sum" dataDxfId="160" totalsRowDxfId="159"/>
    <tableColumn id="11" name="Oct" totalsRowFunction="sum" dataDxfId="158" totalsRowDxfId="157"/>
    <tableColumn id="12" name="Nov" totalsRowFunction="sum" dataDxfId="156" totalsRowDxfId="155"/>
    <tableColumn id="13" name="Dec" totalsRowFunction="sum" dataDxfId="154" totalsRowDxfId="153"/>
    <tableColumn id="14" name="YEAR" totalsRowFunction="sum" dataDxfId="152" totalsRowDxfId="151">
      <calculatedColumnFormula>SUM(C32:N32)</calculatedColumnFormula>
    </tableColumn>
  </tableColumns>
  <tableStyleInfo name="Detailed expense estimates Table" showFirstColumn="0" showLastColumn="1" showRowStripes="0" showColumnStripes="0"/>
</table>
</file>

<file path=xl/tables/table4.xml><?xml version="1.0" encoding="utf-8"?>
<table xmlns="http://schemas.openxmlformats.org/spreadsheetml/2006/main" id="7" name="tblEmplPlan" displayName="tblEmplPlan" ref="B6:O9" totalsRowCount="1">
  <autoFilter ref="B6:O8">
    <filterColumn colId="0" hiddenButton="1" showButton="0"/>
    <filterColumn colId="1" hiddenButton="1" showButton="0"/>
    <filterColumn colId="2" hiddenButton="1" showButton="0"/>
    <filterColumn colId="3" hiddenButton="1" showButton="0"/>
    <filterColumn colId="4" hiddenButton="1" showButton="0"/>
    <filterColumn colId="5" hiddenButton="1" showButton="0"/>
    <filterColumn colId="6" hiddenButton="1" showButton="0"/>
    <filterColumn colId="7" hiddenButton="1" showButton="0"/>
    <filterColumn colId="8" hiddenButton="1" showButton="0"/>
    <filterColumn colId="9" hiddenButton="1" showButton="0"/>
    <filterColumn colId="10" hiddenButton="1" showButton="0"/>
    <filterColumn colId="11" hiddenButton="1" showButton="0"/>
    <filterColumn colId="12" hiddenButton="1" showButton="0"/>
    <filterColumn colId="13" hiddenButton="1" showButton="0"/>
  </autoFilter>
  <tableColumns count="14">
    <tableColumn id="1" name="Employee Costs" totalsRowLabel="Subtotal" dataDxfId="150" totalsRowDxfId="149"/>
    <tableColumn id="2" name="Jan" totalsRowFunction="sum" totalsRowDxfId="148">
      <calculatedColumnFormula>C6*0.27</calculatedColumnFormula>
    </tableColumn>
    <tableColumn id="3" name="Feb" totalsRowFunction="sum" totalsRowDxfId="147">
      <calculatedColumnFormula>D6*0.27</calculatedColumnFormula>
    </tableColumn>
    <tableColumn id="4" name="Mar" totalsRowFunction="sum" totalsRowDxfId="146">
      <calculatedColumnFormula>E6*0.27</calculatedColumnFormula>
    </tableColumn>
    <tableColumn id="5" name="Apr" totalsRowFunction="sum" totalsRowDxfId="145">
      <calculatedColumnFormula>F6*0.27</calculatedColumnFormula>
    </tableColumn>
    <tableColumn id="6" name="May" totalsRowFunction="sum" totalsRowDxfId="144">
      <calculatedColumnFormula>G6*0.27</calculatedColumnFormula>
    </tableColumn>
    <tableColumn id="7" name="Jun" totalsRowFunction="sum" totalsRowDxfId="143">
      <calculatedColumnFormula>H6*0.27</calculatedColumnFormula>
    </tableColumn>
    <tableColumn id="8" name="Jul" totalsRowFunction="sum" totalsRowDxfId="142">
      <calculatedColumnFormula>I6*0.27</calculatedColumnFormula>
    </tableColumn>
    <tableColumn id="9" name="Aug" totalsRowFunction="sum" totalsRowDxfId="141">
      <calculatedColumnFormula>J6*0.27</calculatedColumnFormula>
    </tableColumn>
    <tableColumn id="10" name="Sep" totalsRowFunction="sum" totalsRowDxfId="140">
      <calculatedColumnFormula>K6*0.27</calculatedColumnFormula>
    </tableColumn>
    <tableColumn id="11" name="Oct" totalsRowFunction="sum" totalsRowDxfId="139">
      <calculatedColumnFormula>L6*0.27</calculatedColumnFormula>
    </tableColumn>
    <tableColumn id="12" name="Nov" totalsRowFunction="sum" totalsRowDxfId="138">
      <calculatedColumnFormula>M6*0.27</calculatedColumnFormula>
    </tableColumn>
    <tableColumn id="13" name="Dec" totalsRowFunction="sum" totalsRowDxfId="137">
      <calculatedColumnFormula>N6*0.27</calculatedColumnFormula>
    </tableColumn>
    <tableColumn id="14" name="YEAR" totalsRowFunction="sum" totalsRowDxfId="136">
      <calculatedColumnFormula>SUM(C7:N7)</calculatedColumnFormula>
    </tableColumn>
  </tableColumns>
  <tableStyleInfo name="Detailed expense estimates Table" showFirstColumn="0" showLastColumn="1" showRowStripes="0" showColumnStripes="0"/>
</table>
</file>

<file path=xl/tables/table5.xml><?xml version="1.0" encoding="utf-8"?>
<table xmlns="http://schemas.openxmlformats.org/spreadsheetml/2006/main" id="4" name="tblOffActual" displayName="tblOffActual" ref="B11:O20" totalsRowCount="1">
  <autoFilter ref="B11:O19">
    <filterColumn colId="0" hiddenButton="1" showButton="0"/>
    <filterColumn colId="1" hiddenButton="1" showButton="0"/>
    <filterColumn colId="2" hiddenButton="1" showButton="0"/>
    <filterColumn colId="3" hiddenButton="1" showButton="0"/>
    <filterColumn colId="4" hiddenButton="1" showButton="0"/>
    <filterColumn colId="5" hiddenButton="1" showButton="0"/>
    <filterColumn colId="6" hiddenButton="1" showButton="0"/>
    <filterColumn colId="7" hiddenButton="1" showButton="0"/>
    <filterColumn colId="8" hiddenButton="1" showButton="0"/>
    <filterColumn colId="9" hiddenButton="1" showButton="0"/>
    <filterColumn colId="10" hiddenButton="1" showButton="0"/>
    <filterColumn colId="11" hiddenButton="1" showButton="0"/>
    <filterColumn colId="12" hiddenButton="1" showButton="0"/>
    <filterColumn colId="13" hiddenButton="1" showButton="0"/>
  </autoFilter>
  <tableColumns count="14">
    <tableColumn id="1" name="Office Costs" totalsRowLabel="Subtotal" totalsRowDxfId="135"/>
    <tableColumn id="2" name="Jan" totalsRowFunction="sum" totalsRowDxfId="134"/>
    <tableColumn id="3" name="Feb" totalsRowFunction="sum" totalsRowDxfId="133"/>
    <tableColumn id="4" name="Mar" totalsRowFunction="sum" totalsRowDxfId="132"/>
    <tableColumn id="5" name="Apr" totalsRowFunction="sum" totalsRowDxfId="131"/>
    <tableColumn id="6" name="May" totalsRowFunction="sum" totalsRowDxfId="130"/>
    <tableColumn id="7" name="Jun" totalsRowFunction="sum" totalsRowDxfId="129"/>
    <tableColumn id="8" name="Jul" totalsRowFunction="sum" totalsRowDxfId="128"/>
    <tableColumn id="9" name="Aug" totalsRowFunction="sum" totalsRowDxfId="127"/>
    <tableColumn id="10" name="Sep" totalsRowFunction="sum" totalsRowDxfId="126"/>
    <tableColumn id="11" name="Oct" totalsRowFunction="sum" totalsRowDxfId="125"/>
    <tableColumn id="12" name="Nov" totalsRowFunction="sum" totalsRowDxfId="124"/>
    <tableColumn id="13" name="Dec" totalsRowFunction="sum" totalsRowDxfId="123"/>
    <tableColumn id="14" name="YEAR" totalsRowFunction="sum" totalsRowDxfId="122">
      <calculatedColumnFormula>SUM(C12:N12)</calculatedColumnFormula>
    </tableColumn>
  </tableColumns>
  <tableStyleInfo name="Detailed expense estimates Table" showFirstColumn="0" showLastColumn="1" showRowStripes="0" showColumnStripes="0"/>
</table>
</file>

<file path=xl/tables/table6.xml><?xml version="1.0" encoding="utf-8"?>
<table xmlns="http://schemas.openxmlformats.org/spreadsheetml/2006/main" id="5" name="tblMarkActual" displayName="tblMarkActual" ref="B22:O29" totalsRowCount="1">
  <autoFilter ref="B22:O28">
    <filterColumn colId="0" hiddenButton="1" showButton="0"/>
    <filterColumn colId="1" hiddenButton="1" showButton="0"/>
    <filterColumn colId="2" hiddenButton="1" showButton="0"/>
    <filterColumn colId="3" hiddenButton="1" showButton="0"/>
    <filterColumn colId="4" hiddenButton="1" showButton="0"/>
    <filterColumn colId="5" hiddenButton="1" showButton="0"/>
    <filterColumn colId="6" hiddenButton="1" showButton="0"/>
    <filterColumn colId="7" hiddenButton="1" showButton="0"/>
    <filterColumn colId="8" hiddenButton="1" showButton="0"/>
    <filterColumn colId="9" hiddenButton="1" showButton="0"/>
    <filterColumn colId="10" hiddenButton="1" showButton="0"/>
    <filterColumn colId="11" hiddenButton="1" showButton="0"/>
    <filterColumn colId="12" hiddenButton="1" showButton="0"/>
    <filterColumn colId="13" hiddenButton="1" showButton="0"/>
  </autoFilter>
  <tableColumns count="14">
    <tableColumn id="1" name="Marketing Costs" totalsRowLabel="Subtotal" totalsRowDxfId="121"/>
    <tableColumn id="2" name="Jan" totalsRowFunction="sum" totalsRowDxfId="120"/>
    <tableColumn id="3" name="Feb" totalsRowFunction="sum" totalsRowDxfId="119"/>
    <tableColumn id="4" name="Mar" totalsRowFunction="sum" totalsRowDxfId="118"/>
    <tableColumn id="5" name="Apr" totalsRowFunction="sum" totalsRowDxfId="117"/>
    <tableColumn id="6" name="May" totalsRowFunction="sum" totalsRowDxfId="116"/>
    <tableColumn id="7" name="Jun" totalsRowFunction="sum" totalsRowDxfId="115"/>
    <tableColumn id="8" name="Jul" totalsRowFunction="sum" totalsRowDxfId="114"/>
    <tableColumn id="9" name="Aug" totalsRowFunction="sum" totalsRowDxfId="113"/>
    <tableColumn id="10" name="Sep" totalsRowFunction="sum" totalsRowDxfId="112"/>
    <tableColumn id="11" name="Oct" totalsRowFunction="sum" totalsRowDxfId="111"/>
    <tableColumn id="12" name="Nov" totalsRowFunction="sum" totalsRowDxfId="110"/>
    <tableColumn id="13" name="Dec" totalsRowFunction="sum" totalsRowDxfId="109"/>
    <tableColumn id="14" name="YEAR" totalsRowFunction="sum" totalsRowDxfId="108">
      <calculatedColumnFormula>SUM(C23:N23)</calculatedColumnFormula>
    </tableColumn>
  </tableColumns>
  <tableStyleInfo name="Detailed expense estimates Table" showFirstColumn="0" showLastColumn="1" showRowStripes="0" showColumnStripes="0"/>
</table>
</file>

<file path=xl/tables/table7.xml><?xml version="1.0" encoding="utf-8"?>
<table xmlns="http://schemas.openxmlformats.org/spreadsheetml/2006/main" id="6" name="tblTrainActual" displayName="tblTrainActual" ref="B31:O34" totalsRowCount="1">
  <autoFilter ref="B31:O33">
    <filterColumn colId="0" hiddenButton="1" showButton="0"/>
    <filterColumn colId="1" hiddenButton="1" showButton="0"/>
    <filterColumn colId="2" hiddenButton="1" showButton="0"/>
    <filterColumn colId="3" hiddenButton="1" showButton="0"/>
    <filterColumn colId="4" hiddenButton="1" showButton="0"/>
    <filterColumn colId="5" hiddenButton="1" showButton="0"/>
    <filterColumn colId="6" hiddenButton="1" showButton="0"/>
    <filterColumn colId="7" hiddenButton="1" showButton="0"/>
    <filterColumn colId="8" hiddenButton="1" showButton="0"/>
    <filterColumn colId="9" hiddenButton="1" showButton="0"/>
    <filterColumn colId="10" hiddenButton="1" showButton="0"/>
    <filterColumn colId="11" hiddenButton="1" showButton="0"/>
    <filterColumn colId="12" hiddenButton="1" showButton="0"/>
    <filterColumn colId="13" hiddenButton="1" showButton="0"/>
  </autoFilter>
  <tableColumns count="14">
    <tableColumn id="1" name="Training/Travel" totalsRowLabel="Subtotal" totalsRowDxfId="107"/>
    <tableColumn id="2" name="Jan" totalsRowFunction="sum" totalsRowDxfId="106"/>
    <tableColumn id="3" name="Feb" totalsRowFunction="sum" totalsRowDxfId="105"/>
    <tableColumn id="4" name="Mar" totalsRowFunction="sum" totalsRowDxfId="104"/>
    <tableColumn id="5" name="Apr" totalsRowFunction="sum" totalsRowDxfId="103"/>
    <tableColumn id="6" name="May" totalsRowFunction="sum" totalsRowDxfId="102"/>
    <tableColumn id="7" name="Jun" totalsRowFunction="sum" totalsRowDxfId="101"/>
    <tableColumn id="8" name="Jul" totalsRowFunction="sum" totalsRowDxfId="100"/>
    <tableColumn id="9" name="Aug" totalsRowFunction="sum" totalsRowDxfId="99"/>
    <tableColumn id="10" name="Sep" totalsRowFunction="sum" totalsRowDxfId="98"/>
    <tableColumn id="11" name="Oct" totalsRowFunction="sum" totalsRowDxfId="97"/>
    <tableColumn id="12" name="Nov" totalsRowFunction="sum" totalsRowDxfId="96"/>
    <tableColumn id="13" name="Dec" totalsRowFunction="sum" totalsRowDxfId="95"/>
    <tableColumn id="14" name="YEAR" totalsRowFunction="sum" totalsRowDxfId="94">
      <calculatedColumnFormula>SUM(C32:N32)</calculatedColumnFormula>
    </tableColumn>
  </tableColumns>
  <tableStyleInfo name="Detailed expense estimates Table" showFirstColumn="0" showLastColumn="1" showRowStripes="0" showColumnStripes="0"/>
</table>
</file>

<file path=xl/tables/table8.xml><?xml version="1.0" encoding="utf-8"?>
<table xmlns="http://schemas.openxmlformats.org/spreadsheetml/2006/main" id="8" name="tblEmplActual" displayName="tblEmplActual" ref="B6:O9" totalsRowCount="1">
  <autoFilter ref="B6:O8">
    <filterColumn colId="0" hiddenButton="1" showButton="0"/>
    <filterColumn colId="1" hiddenButton="1" showButton="0"/>
    <filterColumn colId="2" hiddenButton="1" showButton="0"/>
    <filterColumn colId="3" hiddenButton="1" showButton="0"/>
    <filterColumn colId="4" hiddenButton="1" showButton="0"/>
    <filterColumn colId="5" hiddenButton="1" showButton="0"/>
    <filterColumn colId="6" hiddenButton="1" showButton="0"/>
    <filterColumn colId="7" hiddenButton="1" showButton="0"/>
    <filterColumn colId="8" hiddenButton="1" showButton="0"/>
    <filterColumn colId="9" hiddenButton="1" showButton="0"/>
    <filterColumn colId="10" hiddenButton="1" showButton="0"/>
    <filterColumn colId="11" hiddenButton="1" showButton="0"/>
    <filterColumn colId="12" hiddenButton="1" showButton="0"/>
    <filterColumn colId="13" hiddenButton="1" showButton="0"/>
  </autoFilter>
  <tableColumns count="14">
    <tableColumn id="1" name="Employee Costs" totalsRowLabel="Subtotal" dataDxfId="93" totalsRowDxfId="92"/>
    <tableColumn id="2" name="Jan" totalsRowFunction="sum" totalsRowDxfId="91">
      <calculatedColumnFormula>C6*0.27</calculatedColumnFormula>
    </tableColumn>
    <tableColumn id="3" name="Feb" totalsRowFunction="sum" totalsRowDxfId="90">
      <calculatedColumnFormula>D6*0.27</calculatedColumnFormula>
    </tableColumn>
    <tableColumn id="4" name="Mar" totalsRowFunction="sum" totalsRowDxfId="89">
      <calculatedColumnFormula>E6*0.27</calculatedColumnFormula>
    </tableColumn>
    <tableColumn id="5" name="Apr" totalsRowFunction="sum" totalsRowDxfId="88">
      <calculatedColumnFormula>F6*0.27</calculatedColumnFormula>
    </tableColumn>
    <tableColumn id="6" name="May" totalsRowFunction="sum" totalsRowDxfId="87">
      <calculatedColumnFormula>G6*0.27</calculatedColumnFormula>
    </tableColumn>
    <tableColumn id="7" name="Jun" totalsRowFunction="sum" totalsRowDxfId="86">
      <calculatedColumnFormula>H6*0.27</calculatedColumnFormula>
    </tableColumn>
    <tableColumn id="8" name="Jul" totalsRowFunction="sum" totalsRowDxfId="85"/>
    <tableColumn id="9" name="Aug" totalsRowFunction="sum" totalsRowDxfId="84"/>
    <tableColumn id="10" name="Sep" totalsRowFunction="sum" totalsRowDxfId="83"/>
    <tableColumn id="11" name="Oct" totalsRowFunction="sum" totalsRowDxfId="82"/>
    <tableColumn id="12" name="Nov" totalsRowFunction="sum" totalsRowDxfId="81"/>
    <tableColumn id="13" name="Dec" totalsRowFunction="sum" totalsRowDxfId="80"/>
    <tableColumn id="14" name="YEAR" totalsRowFunction="sum" totalsRowDxfId="79">
      <calculatedColumnFormula>SUM(C7:N7)</calculatedColumnFormula>
    </tableColumn>
  </tableColumns>
  <tableStyleInfo name="Detailed expense estimates Table" showFirstColumn="0" showLastColumn="1" showRowStripes="0" showColumnStripes="0"/>
</table>
</file>

<file path=xl/tables/table9.xml><?xml version="1.0" encoding="utf-8"?>
<table xmlns="http://schemas.openxmlformats.org/spreadsheetml/2006/main" id="9" name="tblEmplVar" displayName="tblEmplVar" ref="B6:O9" totalsRowCount="1">
  <autoFilter ref="B6:O8">
    <filterColumn colId="0" hiddenButton="1" showButton="0"/>
    <filterColumn colId="1" hiddenButton="1" showButton="0"/>
    <filterColumn colId="2" hiddenButton="1" showButton="0"/>
    <filterColumn colId="3" hiddenButton="1" showButton="0"/>
    <filterColumn colId="4" hiddenButton="1" showButton="0"/>
    <filterColumn colId="5" hiddenButton="1" showButton="0"/>
    <filterColumn colId="6" hiddenButton="1" showButton="0"/>
    <filterColumn colId="7" hiddenButton="1" showButton="0"/>
    <filterColumn colId="8" hiddenButton="1" showButton="0"/>
    <filterColumn colId="9" hiddenButton="1" showButton="0"/>
    <filterColumn colId="10" hiddenButton="1" showButton="0"/>
    <filterColumn colId="11" hiddenButton="1" showButton="0"/>
    <filterColumn colId="12" hiddenButton="1" showButton="0"/>
    <filterColumn colId="13" hiddenButton="1" showButton="0"/>
  </autoFilter>
  <tableColumns count="14">
    <tableColumn id="1" name="Employee Costs" totalsRowLabel="Subtotal" dataDxfId="78" totalsRowDxfId="77"/>
    <tableColumn id="2" name="Jan" totalsRowFunction="sum" dataDxfId="76" totalsRowDxfId="75">
      <calculatedColumnFormula>INDEX(tblEmplPlan[],MATCH(INDEX(tblEmplVar[],ROW()-ROW(tblEmplVar[[#Headers],[Jan]]),1),INDEX(tblEmplPlan[],,1),0),MATCH(tblEmplVar[[#Headers],[Jan]],tblEmplPlan[#Headers],0))-INDEX(tblEmplActual[],MATCH(INDEX(tblEmplVar[],ROW()-ROW(tblEmplVar[[#Headers],[Jan]]),1),INDEX(tblEmplPlan[],,1),0),MATCH(tblEmplVar[[#Headers],[Jan]],tblEmplActual[#Headers],0))</calculatedColumnFormula>
    </tableColumn>
    <tableColumn id="3" name="Feb" totalsRowFunction="sum" totalsRowDxfId="74">
      <calculatedColumnFormula>INDEX(tblEmplPlan[],MATCH(INDEX(tblEmplVar[],ROW()-ROW(tblEmplVar[[#Headers],[Feb]]),1),INDEX(tblEmplPlan[],,1),0),MATCH(tblEmplVar[[#Headers],[Feb]],tblEmplPlan[#Headers],0))-INDEX(tblEmplActual[],MATCH(INDEX(tblEmplVar[],ROW()-ROW(tblEmplVar[[#Headers],[Feb]]),1),INDEX(tblEmplPlan[],,1),0),MATCH(tblEmplVar[[#Headers],[Feb]],tblEmplActual[#Headers],0))</calculatedColumnFormula>
    </tableColumn>
    <tableColumn id="4" name="Mar" totalsRowFunction="sum" totalsRowDxfId="73">
      <calculatedColumnFormula>INDEX(tblEmplPlan[],MATCH(INDEX(tblEmplVar[],ROW()-ROW(tblEmplVar[[#Headers],[Mar]]),1),INDEX(tblEmplPlan[],,1),0),MATCH(tblEmplVar[[#Headers],[Mar]],tblEmplPlan[#Headers],0))-INDEX(tblEmplActual[],MATCH(INDEX(tblEmplVar[],ROW()-ROW(tblEmplVar[[#Headers],[Mar]]),1),INDEX(tblEmplPlan[],,1),0),MATCH(tblEmplVar[[#Headers],[Mar]],tblEmplActual[#Headers],0))</calculatedColumnFormula>
    </tableColumn>
    <tableColumn id="5" name="Apr" totalsRowFunction="sum" totalsRowDxfId="72">
      <calculatedColumnFormula>INDEX(tblEmplPlan[],MATCH(INDEX(tblEmplVar[],ROW()-ROW(tblEmplVar[[#Headers],[Apr]]),1),INDEX(tblEmplPlan[],,1),0),MATCH(tblEmplVar[[#Headers],[Apr]],tblEmplPlan[#Headers],0))-INDEX(tblEmplActual[],MATCH(INDEX(tblEmplVar[],ROW()-ROW(tblEmplVar[[#Headers],[Apr]]),1),INDEX(tblEmplPlan[],,1),0),MATCH(tblEmplVar[[#Headers],[Apr]],tblEmplActual[#Headers],0))</calculatedColumnFormula>
    </tableColumn>
    <tableColumn id="6" name="May" totalsRowFunction="sum" totalsRowDxfId="71">
      <calculatedColumnFormula>INDEX(tblEmplPlan[],MATCH(INDEX(tblEmplVar[],ROW()-ROW(tblEmplVar[[#Headers],[May]]),1),INDEX(tblEmplPlan[],,1),0),MATCH(tblEmplVar[[#Headers],[May]],tblEmplPlan[#Headers],0))-INDEX(tblEmplActual[],MATCH(INDEX(tblEmplVar[],ROW()-ROW(tblEmplVar[[#Headers],[May]]),1),INDEX(tblEmplPlan[],,1),0),MATCH(tblEmplVar[[#Headers],[May]],tblEmplActual[#Headers],0))</calculatedColumnFormula>
    </tableColumn>
    <tableColumn id="7" name="Jun" totalsRowFunction="sum" totalsRowDxfId="70">
      <calculatedColumnFormula>INDEX(tblEmplPlan[],MATCH(INDEX(tblEmplVar[],ROW()-ROW(tblEmplVar[[#Headers],[Jun]]),1),INDEX(tblEmplPlan[],,1),0),MATCH(tblEmplVar[[#Headers],[Jun]],tblEmplPlan[#Headers],0))-INDEX(tblEmplActual[],MATCH(INDEX(tblEmplVar[],ROW()-ROW(tblEmplVar[[#Headers],[Jun]]),1),INDEX(tblEmplPlan[],,1),0),MATCH(tblEmplVar[[#Headers],[Jun]],tblEmplActual[#Headers],0))</calculatedColumnFormula>
    </tableColumn>
    <tableColumn id="8" name="Jul" totalsRowFunction="sum" totalsRowDxfId="69">
      <calculatedColumnFormula>INDEX(tblEmplPlan[],MATCH(INDEX(tblEmplVar[],ROW()-ROW(tblEmplVar[[#Headers],[Jul]]),1),INDEX(tblEmplPlan[],,1),0),MATCH(tblEmplVar[[#Headers],[Jul]],tblEmplPlan[#Headers],0))-INDEX(tblEmplActual[],MATCH(INDEX(tblEmplVar[],ROW()-ROW(tblEmplVar[[#Headers],[Jul]]),1),INDEX(tblEmplPlan[],,1),0),MATCH(tblEmplVar[[#Headers],[Jul]],tblEmplActual[#Headers],0))</calculatedColumnFormula>
    </tableColumn>
    <tableColumn id="9" name="Aug" totalsRowFunction="sum" totalsRowDxfId="68">
      <calculatedColumnFormula>INDEX(tblEmplPlan[],MATCH(INDEX(tblEmplVar[],ROW()-ROW(tblEmplVar[[#Headers],[Aug]]),1),INDEX(tblEmplPlan[],,1),0),MATCH(tblEmplVar[[#Headers],[Aug]],tblEmplPlan[#Headers],0))-INDEX(tblEmplActual[],MATCH(INDEX(tblEmplVar[],ROW()-ROW(tblEmplVar[[#Headers],[Aug]]),1),INDEX(tblEmplPlan[],,1),0),MATCH(tblEmplVar[[#Headers],[Aug]],tblEmplActual[#Headers],0))</calculatedColumnFormula>
    </tableColumn>
    <tableColumn id="10" name="Sep" totalsRowFunction="sum" totalsRowDxfId="67">
      <calculatedColumnFormula>INDEX(tblEmplPlan[],MATCH(INDEX(tblEmplVar[],ROW()-ROW(tblEmplVar[[#Headers],[Sep]]),1),INDEX(tblEmplPlan[],,1),0),MATCH(tblEmplVar[[#Headers],[Sep]],tblEmplPlan[#Headers],0))-INDEX(tblEmplActual[],MATCH(INDEX(tblEmplVar[],ROW()-ROW(tblEmplVar[[#Headers],[Sep]]),1),INDEX(tblEmplPlan[],,1),0),MATCH(tblEmplVar[[#Headers],[Sep]],tblEmplActual[#Headers],0))</calculatedColumnFormula>
    </tableColumn>
    <tableColumn id="11" name="Oct" totalsRowFunction="sum" totalsRowDxfId="66">
      <calculatedColumnFormula>INDEX(tblEmplPlan[],MATCH(INDEX(tblEmplVar[],ROW()-ROW(tblEmplVar[[#Headers],[Oct]]),1),INDEX(tblEmplPlan[],,1),0),MATCH(tblEmplVar[[#Headers],[Oct]],tblEmplPlan[#Headers],0))-INDEX(tblEmplActual[],MATCH(INDEX(tblEmplVar[],ROW()-ROW(tblEmplVar[[#Headers],[Oct]]),1),INDEX(tblEmplPlan[],,1),0),MATCH(tblEmplVar[[#Headers],[Oct]],tblEmplActual[#Headers],0))</calculatedColumnFormula>
    </tableColumn>
    <tableColumn id="12" name="Nov" totalsRowFunction="sum" totalsRowDxfId="65">
      <calculatedColumnFormula>INDEX(tblEmplPlan[],MATCH(INDEX(tblEmplVar[],ROW()-ROW(tblEmplVar[[#Headers],[Nov]]),1),INDEX(tblEmplPlan[],,1),0),MATCH(tblEmplVar[[#Headers],[Nov]],tblEmplPlan[#Headers],0))-INDEX(tblEmplActual[],MATCH(INDEX(tblEmplVar[],ROW()-ROW(tblEmplVar[[#Headers],[Nov]]),1),INDEX(tblEmplPlan[],,1),0),MATCH(tblEmplVar[[#Headers],[Nov]],tblEmplActual[#Headers],0))</calculatedColumnFormula>
    </tableColumn>
    <tableColumn id="13" name="Dec" totalsRowFunction="sum" totalsRowDxfId="64">
      <calculatedColumnFormula>INDEX(tblEmplPlan[],MATCH(INDEX(tblEmplVar[],ROW()-ROW(tblEmplVar[[#Headers],[Dec]]),1),INDEX(tblEmplPlan[],,1),0),MATCH(tblEmplVar[[#Headers],[Dec]],tblEmplPlan[#Headers],0))-INDEX(tblEmplActual[],MATCH(INDEX(tblEmplVar[],ROW()-ROW(tblEmplVar[[#Headers],[Dec]]),1),INDEX(tblEmplPlan[],,1),0),MATCH(tblEmplVar[[#Headers],[Dec]],tblEmplActual[#Headers],0))</calculatedColumnFormula>
    </tableColumn>
    <tableColumn id="14" name="YEAR" totalsRowFunction="sum" dataDxfId="63" totalsRowDxfId="62">
      <calculatedColumnFormula>SUM(tblEmplVar[[#This Row],[Jan]:[Dec]])</calculatedColumnFormula>
    </tableColumn>
  </tableColumns>
  <tableStyleInfo name="Detailed expense estimates Table" showFirstColumn="0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Detailed expense estimate">
      <a:dk1>
        <a:srgbClr val="000000"/>
      </a:dk1>
      <a:lt1>
        <a:srgbClr val="FFFFFF"/>
      </a:lt1>
      <a:dk2>
        <a:srgbClr val="1E2E2F"/>
      </a:dk2>
      <a:lt2>
        <a:srgbClr val="DEDED4"/>
      </a:lt2>
      <a:accent1>
        <a:srgbClr val="E9755A"/>
      </a:accent1>
      <a:accent2>
        <a:srgbClr val="7AB6BA"/>
      </a:accent2>
      <a:accent3>
        <a:srgbClr val="7DB587"/>
      </a:accent3>
      <a:accent4>
        <a:srgbClr val="E6BF5E"/>
      </a:accent4>
      <a:accent5>
        <a:srgbClr val="E68F4D"/>
      </a:accent5>
      <a:accent6>
        <a:srgbClr val="C26B70"/>
      </a:accent6>
      <a:hlink>
        <a:srgbClr val="7AB6BA"/>
      </a:hlink>
      <a:folHlink>
        <a:srgbClr val="A68CB1"/>
      </a:folHlink>
    </a:clrScheme>
    <a:fontScheme name="Detailed expense estimate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autoPageBreaks="0" fitToPage="1"/>
  </sheetPr>
  <dimension ref="A1:O38"/>
  <sheetViews>
    <sheetView showGridLines="0" tabSelected="1" workbookViewId="0">
      <selection activeCell="C12" sqref="C12"/>
    </sheetView>
  </sheetViews>
  <sheetFormatPr defaultRowHeight="21" customHeight="1" x14ac:dyDescent="0.3"/>
  <cols>
    <col min="1" max="1" width="2" style="1" customWidth="1"/>
    <col min="2" max="2" width="31.6640625" style="1" customWidth="1"/>
    <col min="3" max="9" width="13.83203125" style="1" customWidth="1"/>
    <col min="10" max="15" width="15.6640625" style="1" customWidth="1"/>
    <col min="16" max="16" width="9.33203125" style="1" customWidth="1"/>
    <col min="17" max="16384" width="9.33203125" style="1"/>
  </cols>
  <sheetData>
    <row r="1" spans="1:15" ht="9.9499999999999993" customHeight="1" x14ac:dyDescent="0.3">
      <c r="A1" s="1" t="s">
        <v>50</v>
      </c>
    </row>
    <row r="2" spans="1:15" ht="27" customHeight="1" x14ac:dyDescent="0.35">
      <c r="B2" s="22" t="s">
        <v>0</v>
      </c>
      <c r="C2" s="2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8.75" customHeight="1" x14ac:dyDescent="0.3">
      <c r="B3" s="15" t="s">
        <v>1</v>
      </c>
      <c r="C3" s="4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" customHeight="1" x14ac:dyDescent="0.3">
      <c r="B4" s="37" t="s">
        <v>51</v>
      </c>
      <c r="C4" s="7"/>
      <c r="D4" s="7"/>
      <c r="E4" s="8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ht="21" customHeight="1" x14ac:dyDescent="0.3">
      <c r="B5" s="19" t="s">
        <v>2</v>
      </c>
      <c r="C5" s="17" t="s">
        <v>3</v>
      </c>
      <c r="D5" s="17" t="s">
        <v>4</v>
      </c>
      <c r="E5" s="18" t="s">
        <v>5</v>
      </c>
      <c r="F5" s="17" t="s">
        <v>6</v>
      </c>
      <c r="G5" s="17" t="s">
        <v>7</v>
      </c>
      <c r="H5" s="17" t="s">
        <v>8</v>
      </c>
      <c r="I5" s="18" t="s">
        <v>9</v>
      </c>
      <c r="J5" s="17" t="s">
        <v>10</v>
      </c>
      <c r="K5" s="17" t="s">
        <v>11</v>
      </c>
      <c r="L5" s="17" t="s">
        <v>12</v>
      </c>
      <c r="M5" s="17" t="s">
        <v>13</v>
      </c>
      <c r="N5" s="18" t="s">
        <v>14</v>
      </c>
      <c r="O5" s="17" t="s">
        <v>15</v>
      </c>
    </row>
    <row r="6" spans="1:15" s="9" customFormat="1" ht="21" customHeight="1" x14ac:dyDescent="0.3">
      <c r="B6" s="42" t="s">
        <v>16</v>
      </c>
      <c r="C6" s="49" t="s">
        <v>3</v>
      </c>
      <c r="D6" s="49" t="s">
        <v>4</v>
      </c>
      <c r="E6" s="50" t="s">
        <v>5</v>
      </c>
      <c r="F6" s="49" t="s">
        <v>6</v>
      </c>
      <c r="G6" s="49" t="s">
        <v>7</v>
      </c>
      <c r="H6" s="49" t="s">
        <v>8</v>
      </c>
      <c r="I6" s="49" t="s">
        <v>9</v>
      </c>
      <c r="J6" s="49" t="s">
        <v>10</v>
      </c>
      <c r="K6" s="49" t="s">
        <v>11</v>
      </c>
      <c r="L6" s="49" t="s">
        <v>12</v>
      </c>
      <c r="M6" s="49" t="s">
        <v>13</v>
      </c>
      <c r="N6" s="49" t="s">
        <v>14</v>
      </c>
      <c r="O6" s="49" t="s">
        <v>15</v>
      </c>
    </row>
    <row r="7" spans="1:15" ht="21" customHeight="1" x14ac:dyDescent="0.35">
      <c r="B7" s="43" t="s">
        <v>17</v>
      </c>
      <c r="C7" s="44">
        <v>85000</v>
      </c>
      <c r="D7" s="44">
        <v>85000</v>
      </c>
      <c r="E7" s="44">
        <v>85000</v>
      </c>
      <c r="F7" s="44">
        <v>87500</v>
      </c>
      <c r="G7" s="44">
        <v>87500</v>
      </c>
      <c r="H7" s="44">
        <v>87500</v>
      </c>
      <c r="I7" s="44">
        <v>87500</v>
      </c>
      <c r="J7" s="44">
        <v>92400</v>
      </c>
      <c r="K7" s="44">
        <v>92400</v>
      </c>
      <c r="L7" s="44">
        <v>92400</v>
      </c>
      <c r="M7" s="44">
        <v>92400</v>
      </c>
      <c r="N7" s="44">
        <v>92400</v>
      </c>
      <c r="O7" s="44">
        <f t="shared" ref="O7:O8" si="0">SUM(C7:N7)</f>
        <v>1067000</v>
      </c>
    </row>
    <row r="8" spans="1:15" ht="21" customHeight="1" x14ac:dyDescent="0.35">
      <c r="B8" s="43" t="s">
        <v>18</v>
      </c>
      <c r="C8" s="55">
        <f t="shared" ref="C8:N8" si="1">C7*0.27</f>
        <v>22950</v>
      </c>
      <c r="D8" s="55">
        <f t="shared" si="1"/>
        <v>22950</v>
      </c>
      <c r="E8" s="55">
        <f t="shared" si="1"/>
        <v>22950</v>
      </c>
      <c r="F8" s="55">
        <f t="shared" si="1"/>
        <v>23625</v>
      </c>
      <c r="G8" s="55">
        <f t="shared" si="1"/>
        <v>23625</v>
      </c>
      <c r="H8" s="55">
        <f t="shared" si="1"/>
        <v>23625</v>
      </c>
      <c r="I8" s="55">
        <f t="shared" si="1"/>
        <v>23625</v>
      </c>
      <c r="J8" s="55">
        <f t="shared" si="1"/>
        <v>24948</v>
      </c>
      <c r="K8" s="55">
        <f t="shared" si="1"/>
        <v>24948</v>
      </c>
      <c r="L8" s="55">
        <f t="shared" si="1"/>
        <v>24948</v>
      </c>
      <c r="M8" s="55">
        <f t="shared" si="1"/>
        <v>24948</v>
      </c>
      <c r="N8" s="55">
        <f t="shared" si="1"/>
        <v>24948</v>
      </c>
      <c r="O8" s="44">
        <f t="shared" si="0"/>
        <v>288090</v>
      </c>
    </row>
    <row r="9" spans="1:15" ht="21" customHeight="1" x14ac:dyDescent="0.35">
      <c r="B9" s="45" t="s">
        <v>19</v>
      </c>
      <c r="C9" s="51">
        <f>SUBTOTAL(109,tblEmplPlan[Jan])</f>
        <v>107950</v>
      </c>
      <c r="D9" s="51">
        <f>SUBTOTAL(109,tblEmplPlan[Feb])</f>
        <v>107950</v>
      </c>
      <c r="E9" s="51">
        <f>SUBTOTAL(109,tblEmplPlan[Mar])</f>
        <v>107950</v>
      </c>
      <c r="F9" s="51">
        <f>SUBTOTAL(109,tblEmplPlan[Apr])</f>
        <v>111125</v>
      </c>
      <c r="G9" s="51">
        <f>SUBTOTAL(109,tblEmplPlan[May])</f>
        <v>111125</v>
      </c>
      <c r="H9" s="51">
        <f>SUBTOTAL(109,tblEmplPlan[Jun])</f>
        <v>111125</v>
      </c>
      <c r="I9" s="51">
        <f>SUBTOTAL(109,tblEmplPlan[Jul])</f>
        <v>111125</v>
      </c>
      <c r="J9" s="51">
        <f>SUBTOTAL(109,tblEmplPlan[Aug])</f>
        <v>117348</v>
      </c>
      <c r="K9" s="51">
        <f>SUBTOTAL(109,tblEmplPlan[Sep])</f>
        <v>117348</v>
      </c>
      <c r="L9" s="51">
        <f>SUBTOTAL(109,tblEmplPlan[Oct])</f>
        <v>117348</v>
      </c>
      <c r="M9" s="51">
        <f>SUBTOTAL(109,tblEmplPlan[Nov])</f>
        <v>117348</v>
      </c>
      <c r="N9" s="51">
        <f>SUBTOTAL(109,tblEmplPlan[Dec])</f>
        <v>117348</v>
      </c>
      <c r="O9" s="51">
        <f>SUBTOTAL(109,tblEmplPlan[YEAR])</f>
        <v>1355090</v>
      </c>
    </row>
    <row r="10" spans="1:15" ht="21" customHeight="1" x14ac:dyDescent="0.3">
      <c r="B10" s="56"/>
      <c r="C10" s="5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1:15" ht="21" customHeight="1" x14ac:dyDescent="0.3">
      <c r="B11" s="42" t="s">
        <v>20</v>
      </c>
      <c r="C11" s="46" t="s">
        <v>3</v>
      </c>
      <c r="D11" s="46" t="s">
        <v>4</v>
      </c>
      <c r="E11" s="47" t="s">
        <v>5</v>
      </c>
      <c r="F11" s="46" t="s">
        <v>6</v>
      </c>
      <c r="G11" s="46" t="s">
        <v>7</v>
      </c>
      <c r="H11" s="46" t="s">
        <v>8</v>
      </c>
      <c r="I11" s="46" t="s">
        <v>9</v>
      </c>
      <c r="J11" s="46" t="s">
        <v>10</v>
      </c>
      <c r="K11" s="46" t="s">
        <v>11</v>
      </c>
      <c r="L11" s="46" t="s">
        <v>12</v>
      </c>
      <c r="M11" s="46" t="s">
        <v>13</v>
      </c>
      <c r="N11" s="46" t="s">
        <v>14</v>
      </c>
      <c r="O11" s="46" t="s">
        <v>15</v>
      </c>
    </row>
    <row r="12" spans="1:15" ht="21" customHeight="1" x14ac:dyDescent="0.35">
      <c r="B12" s="43" t="s">
        <v>21</v>
      </c>
      <c r="C12" s="44">
        <v>9800</v>
      </c>
      <c r="D12" s="44">
        <v>9800</v>
      </c>
      <c r="E12" s="44">
        <v>9800</v>
      </c>
      <c r="F12" s="44">
        <v>9800</v>
      </c>
      <c r="G12" s="44">
        <v>9800</v>
      </c>
      <c r="H12" s="44">
        <v>9800</v>
      </c>
      <c r="I12" s="44">
        <v>9800</v>
      </c>
      <c r="J12" s="44">
        <v>9800</v>
      </c>
      <c r="K12" s="44">
        <v>9800</v>
      </c>
      <c r="L12" s="44">
        <v>9800</v>
      </c>
      <c r="M12" s="44">
        <v>9800</v>
      </c>
      <c r="N12" s="44">
        <v>9800</v>
      </c>
      <c r="O12" s="44">
        <f t="shared" ref="O12:O19" si="2">SUM(C12:N12)</f>
        <v>117600</v>
      </c>
    </row>
    <row r="13" spans="1:15" ht="21" customHeight="1" x14ac:dyDescent="0.35">
      <c r="B13" s="43" t="s">
        <v>22</v>
      </c>
      <c r="C13" s="44"/>
      <c r="D13" s="44">
        <v>400</v>
      </c>
      <c r="E13" s="44">
        <v>400</v>
      </c>
      <c r="F13" s="44">
        <v>100</v>
      </c>
      <c r="G13" s="44">
        <v>100</v>
      </c>
      <c r="H13" s="44">
        <v>100</v>
      </c>
      <c r="I13" s="44">
        <v>100</v>
      </c>
      <c r="J13" s="44">
        <v>100</v>
      </c>
      <c r="K13" s="44">
        <v>100</v>
      </c>
      <c r="L13" s="44">
        <v>100</v>
      </c>
      <c r="M13" s="44">
        <v>400</v>
      </c>
      <c r="N13" s="44">
        <v>400</v>
      </c>
      <c r="O13" s="44">
        <f t="shared" si="2"/>
        <v>2300</v>
      </c>
    </row>
    <row r="14" spans="1:15" ht="21" customHeight="1" x14ac:dyDescent="0.35">
      <c r="B14" s="43" t="s">
        <v>23</v>
      </c>
      <c r="C14" s="44">
        <v>300</v>
      </c>
      <c r="D14" s="44">
        <v>300</v>
      </c>
      <c r="E14" s="44">
        <v>300</v>
      </c>
      <c r="F14" s="44">
        <v>300</v>
      </c>
      <c r="G14" s="44">
        <v>300</v>
      </c>
      <c r="H14" s="44">
        <v>300</v>
      </c>
      <c r="I14" s="44">
        <v>300</v>
      </c>
      <c r="J14" s="44">
        <v>300</v>
      </c>
      <c r="K14" s="44">
        <v>300</v>
      </c>
      <c r="L14" s="44">
        <v>300</v>
      </c>
      <c r="M14" s="44">
        <v>300</v>
      </c>
      <c r="N14" s="44">
        <v>300</v>
      </c>
      <c r="O14" s="44">
        <f t="shared" si="2"/>
        <v>3600</v>
      </c>
    </row>
    <row r="15" spans="1:15" ht="21" customHeight="1" x14ac:dyDescent="0.35">
      <c r="B15" s="43" t="s">
        <v>24</v>
      </c>
      <c r="C15" s="44">
        <v>40</v>
      </c>
      <c r="D15" s="44">
        <v>40</v>
      </c>
      <c r="E15" s="44">
        <v>40</v>
      </c>
      <c r="F15" s="44">
        <v>40</v>
      </c>
      <c r="G15" s="44">
        <v>40</v>
      </c>
      <c r="H15" s="44">
        <v>40</v>
      </c>
      <c r="I15" s="44">
        <v>40</v>
      </c>
      <c r="J15" s="44">
        <v>40</v>
      </c>
      <c r="K15" s="44">
        <v>40</v>
      </c>
      <c r="L15" s="44">
        <v>40</v>
      </c>
      <c r="M15" s="44">
        <v>40</v>
      </c>
      <c r="N15" s="44">
        <v>40</v>
      </c>
      <c r="O15" s="44">
        <f t="shared" si="2"/>
        <v>480</v>
      </c>
    </row>
    <row r="16" spans="1:15" ht="21" customHeight="1" x14ac:dyDescent="0.35">
      <c r="B16" s="43" t="s">
        <v>25</v>
      </c>
      <c r="C16" s="44">
        <v>250</v>
      </c>
      <c r="D16" s="44">
        <v>250</v>
      </c>
      <c r="E16" s="44">
        <v>250</v>
      </c>
      <c r="F16" s="44">
        <v>250</v>
      </c>
      <c r="G16" s="44">
        <v>250</v>
      </c>
      <c r="H16" s="44">
        <v>250</v>
      </c>
      <c r="I16" s="44">
        <v>250</v>
      </c>
      <c r="J16" s="44">
        <v>250</v>
      </c>
      <c r="K16" s="44">
        <v>250</v>
      </c>
      <c r="L16" s="44">
        <v>250</v>
      </c>
      <c r="M16" s="44">
        <v>250</v>
      </c>
      <c r="N16" s="44">
        <v>250</v>
      </c>
      <c r="O16" s="44">
        <f t="shared" si="2"/>
        <v>3000</v>
      </c>
    </row>
    <row r="17" spans="2:15" ht="21" customHeight="1" x14ac:dyDescent="0.35">
      <c r="B17" s="43" t="s">
        <v>26</v>
      </c>
      <c r="C17" s="44">
        <v>180</v>
      </c>
      <c r="D17" s="44">
        <v>180</v>
      </c>
      <c r="E17" s="44">
        <v>180</v>
      </c>
      <c r="F17" s="44">
        <v>180</v>
      </c>
      <c r="G17" s="44">
        <v>180</v>
      </c>
      <c r="H17" s="44">
        <v>180</v>
      </c>
      <c r="I17" s="44">
        <v>180</v>
      </c>
      <c r="J17" s="44">
        <v>180</v>
      </c>
      <c r="K17" s="44">
        <v>180</v>
      </c>
      <c r="L17" s="44">
        <v>180</v>
      </c>
      <c r="M17" s="44">
        <v>180</v>
      </c>
      <c r="N17" s="44">
        <v>180</v>
      </c>
      <c r="O17" s="44">
        <f t="shared" si="2"/>
        <v>2160</v>
      </c>
    </row>
    <row r="18" spans="2:15" ht="21" customHeight="1" x14ac:dyDescent="0.35">
      <c r="B18" s="43" t="s">
        <v>27</v>
      </c>
      <c r="C18" s="44">
        <v>200</v>
      </c>
      <c r="D18" s="44">
        <v>200</v>
      </c>
      <c r="E18" s="44">
        <v>200</v>
      </c>
      <c r="F18" s="44">
        <v>200</v>
      </c>
      <c r="G18" s="44">
        <v>200</v>
      </c>
      <c r="H18" s="44">
        <v>200</v>
      </c>
      <c r="I18" s="44">
        <v>200</v>
      </c>
      <c r="J18" s="44">
        <v>200</v>
      </c>
      <c r="K18" s="44">
        <v>200</v>
      </c>
      <c r="L18" s="44">
        <v>200</v>
      </c>
      <c r="M18" s="44">
        <v>200</v>
      </c>
      <c r="N18" s="44">
        <v>200</v>
      </c>
      <c r="O18" s="44">
        <f t="shared" si="2"/>
        <v>2400</v>
      </c>
    </row>
    <row r="19" spans="2:15" ht="21" customHeight="1" x14ac:dyDescent="0.35">
      <c r="B19" s="43" t="s">
        <v>28</v>
      </c>
      <c r="C19" s="44">
        <v>600</v>
      </c>
      <c r="D19" s="44">
        <v>600</v>
      </c>
      <c r="E19" s="44">
        <v>600</v>
      </c>
      <c r="F19" s="44">
        <v>600</v>
      </c>
      <c r="G19" s="44">
        <v>600</v>
      </c>
      <c r="H19" s="44">
        <v>600</v>
      </c>
      <c r="I19" s="44">
        <v>600</v>
      </c>
      <c r="J19" s="44">
        <v>600</v>
      </c>
      <c r="K19" s="44">
        <v>600</v>
      </c>
      <c r="L19" s="44">
        <v>600</v>
      </c>
      <c r="M19" s="44">
        <v>600</v>
      </c>
      <c r="N19" s="44">
        <v>600</v>
      </c>
      <c r="O19" s="44">
        <f t="shared" si="2"/>
        <v>7200</v>
      </c>
    </row>
    <row r="20" spans="2:15" ht="21" customHeight="1" x14ac:dyDescent="0.35">
      <c r="B20" s="45" t="s">
        <v>19</v>
      </c>
      <c r="C20" s="44">
        <f>SUBTOTAL(109,tblOffPlan[Jan])</f>
        <v>11370</v>
      </c>
      <c r="D20" s="44">
        <f>SUBTOTAL(109,tblOffPlan[Feb])</f>
        <v>11770</v>
      </c>
      <c r="E20" s="44">
        <f>SUBTOTAL(109,tblOffPlan[Mar])</f>
        <v>11770</v>
      </c>
      <c r="F20" s="44">
        <f>SUBTOTAL(109,tblOffPlan[Apr])</f>
        <v>11470</v>
      </c>
      <c r="G20" s="44">
        <f>SUBTOTAL(109,tblOffPlan[May])</f>
        <v>11470</v>
      </c>
      <c r="H20" s="44">
        <f>SUBTOTAL(109,tblOffPlan[Jun])</f>
        <v>11470</v>
      </c>
      <c r="I20" s="44">
        <f>SUBTOTAL(109,tblOffPlan[Jul])</f>
        <v>11470</v>
      </c>
      <c r="J20" s="44">
        <f>SUBTOTAL(109,tblOffPlan[Aug])</f>
        <v>11470</v>
      </c>
      <c r="K20" s="44">
        <f>SUBTOTAL(109,tblOffPlan[Sep])</f>
        <v>11470</v>
      </c>
      <c r="L20" s="44">
        <f>SUBTOTAL(109,tblOffPlan[Oct])</f>
        <v>11470</v>
      </c>
      <c r="M20" s="44">
        <f>SUBTOTAL(109,tblOffPlan[Nov])</f>
        <v>11770</v>
      </c>
      <c r="N20" s="44">
        <f>SUBTOTAL(109,tblOffPlan[Dec])</f>
        <v>11770</v>
      </c>
      <c r="O20" s="44">
        <f>SUBTOTAL(109,tblOffPlan[YEAR])</f>
        <v>138740</v>
      </c>
    </row>
    <row r="21" spans="2:15" ht="21" customHeight="1" x14ac:dyDescent="0.3">
      <c r="B21" s="57"/>
      <c r="C21" s="57"/>
      <c r="D21" s="10"/>
      <c r="E21" s="10"/>
      <c r="F21" s="12"/>
      <c r="G21" s="12"/>
      <c r="H21" s="12"/>
      <c r="I21" s="12"/>
      <c r="J21" s="12"/>
      <c r="K21" s="12"/>
      <c r="L21" s="12"/>
      <c r="M21" s="12"/>
      <c r="N21" s="12"/>
      <c r="O21" s="11"/>
    </row>
    <row r="22" spans="2:15" ht="21" customHeight="1" x14ac:dyDescent="0.3">
      <c r="B22" s="42" t="s">
        <v>29</v>
      </c>
      <c r="C22" s="46" t="s">
        <v>3</v>
      </c>
      <c r="D22" s="46" t="s">
        <v>4</v>
      </c>
      <c r="E22" s="47" t="s">
        <v>5</v>
      </c>
      <c r="F22" s="46" t="s">
        <v>6</v>
      </c>
      <c r="G22" s="46" t="s">
        <v>7</v>
      </c>
      <c r="H22" s="46" t="s">
        <v>8</v>
      </c>
      <c r="I22" s="46" t="s">
        <v>9</v>
      </c>
      <c r="J22" s="46" t="s">
        <v>10</v>
      </c>
      <c r="K22" s="46" t="s">
        <v>11</v>
      </c>
      <c r="L22" s="46" t="s">
        <v>12</v>
      </c>
      <c r="M22" s="46" t="s">
        <v>13</v>
      </c>
      <c r="N22" s="46" t="s">
        <v>14</v>
      </c>
      <c r="O22" s="46" t="s">
        <v>15</v>
      </c>
    </row>
    <row r="23" spans="2:15" ht="21" customHeight="1" x14ac:dyDescent="0.35">
      <c r="B23" s="43" t="s">
        <v>30</v>
      </c>
      <c r="C23" s="44">
        <v>500</v>
      </c>
      <c r="D23" s="44">
        <v>500</v>
      </c>
      <c r="E23" s="44">
        <v>500</v>
      </c>
      <c r="F23" s="44">
        <v>500</v>
      </c>
      <c r="G23" s="44">
        <v>500</v>
      </c>
      <c r="H23" s="44">
        <v>500</v>
      </c>
      <c r="I23" s="44">
        <v>500</v>
      </c>
      <c r="J23" s="44">
        <v>500</v>
      </c>
      <c r="K23" s="44">
        <v>500</v>
      </c>
      <c r="L23" s="44">
        <v>500</v>
      </c>
      <c r="M23" s="44">
        <v>500</v>
      </c>
      <c r="N23" s="44">
        <v>500</v>
      </c>
      <c r="O23" s="44">
        <f t="shared" ref="O23:O28" si="3">SUM(C23:N23)</f>
        <v>6000</v>
      </c>
    </row>
    <row r="24" spans="2:15" ht="21" customHeight="1" x14ac:dyDescent="0.35">
      <c r="B24" s="43" t="s">
        <v>31</v>
      </c>
      <c r="C24" s="44">
        <v>200</v>
      </c>
      <c r="D24" s="44">
        <v>200</v>
      </c>
      <c r="E24" s="44">
        <v>200</v>
      </c>
      <c r="F24" s="44">
        <v>200</v>
      </c>
      <c r="G24" s="44">
        <v>200</v>
      </c>
      <c r="H24" s="44">
        <v>1000</v>
      </c>
      <c r="I24" s="44">
        <v>200</v>
      </c>
      <c r="J24" s="44">
        <v>200</v>
      </c>
      <c r="K24" s="44">
        <v>200</v>
      </c>
      <c r="L24" s="44">
        <v>200</v>
      </c>
      <c r="M24" s="44">
        <v>200</v>
      </c>
      <c r="N24" s="44">
        <v>1000</v>
      </c>
      <c r="O24" s="44">
        <f t="shared" si="3"/>
        <v>4000</v>
      </c>
    </row>
    <row r="25" spans="2:15" ht="21" customHeight="1" x14ac:dyDescent="0.35">
      <c r="B25" s="43" t="s">
        <v>32</v>
      </c>
      <c r="C25" s="44">
        <v>5000</v>
      </c>
      <c r="D25" s="44">
        <v>0</v>
      </c>
      <c r="E25" s="44">
        <v>0</v>
      </c>
      <c r="F25" s="44">
        <v>5000</v>
      </c>
      <c r="G25" s="44">
        <v>0</v>
      </c>
      <c r="H25" s="44">
        <v>0</v>
      </c>
      <c r="I25" s="44">
        <v>5000</v>
      </c>
      <c r="J25" s="44">
        <v>0</v>
      </c>
      <c r="K25" s="44">
        <v>0</v>
      </c>
      <c r="L25" s="44">
        <v>5000</v>
      </c>
      <c r="M25" s="44">
        <v>0</v>
      </c>
      <c r="N25" s="44">
        <v>0</v>
      </c>
      <c r="O25" s="44">
        <f t="shared" si="3"/>
        <v>20000</v>
      </c>
    </row>
    <row r="26" spans="2:15" ht="21" customHeight="1" x14ac:dyDescent="0.35">
      <c r="B26" s="43" t="s">
        <v>33</v>
      </c>
      <c r="C26" s="44">
        <v>200</v>
      </c>
      <c r="D26" s="44">
        <v>200</v>
      </c>
      <c r="E26" s="44">
        <v>200</v>
      </c>
      <c r="F26" s="44">
        <v>200</v>
      </c>
      <c r="G26" s="44">
        <v>200</v>
      </c>
      <c r="H26" s="44">
        <v>200</v>
      </c>
      <c r="I26" s="44">
        <v>200</v>
      </c>
      <c r="J26" s="44">
        <v>200</v>
      </c>
      <c r="K26" s="44">
        <v>200</v>
      </c>
      <c r="L26" s="44">
        <v>200</v>
      </c>
      <c r="M26" s="44">
        <v>200</v>
      </c>
      <c r="N26" s="44">
        <v>200</v>
      </c>
      <c r="O26" s="44">
        <f t="shared" si="3"/>
        <v>2400</v>
      </c>
    </row>
    <row r="27" spans="2:15" ht="21" customHeight="1" x14ac:dyDescent="0.35">
      <c r="B27" s="43" t="s">
        <v>34</v>
      </c>
      <c r="C27" s="44">
        <v>2000</v>
      </c>
      <c r="D27" s="44">
        <v>2000</v>
      </c>
      <c r="E27" s="44">
        <v>2000</v>
      </c>
      <c r="F27" s="44">
        <v>5000</v>
      </c>
      <c r="G27" s="44">
        <v>2000</v>
      </c>
      <c r="H27" s="44">
        <v>2000</v>
      </c>
      <c r="I27" s="44">
        <v>2000</v>
      </c>
      <c r="J27" s="44">
        <v>5000</v>
      </c>
      <c r="K27" s="44">
        <v>2000</v>
      </c>
      <c r="L27" s="44">
        <v>2000</v>
      </c>
      <c r="M27" s="44">
        <v>2000</v>
      </c>
      <c r="N27" s="44">
        <v>5000</v>
      </c>
      <c r="O27" s="44">
        <f t="shared" si="3"/>
        <v>33000</v>
      </c>
    </row>
    <row r="28" spans="2:15" ht="21" customHeight="1" x14ac:dyDescent="0.35">
      <c r="B28" s="43" t="s">
        <v>35</v>
      </c>
      <c r="C28" s="44">
        <v>200</v>
      </c>
      <c r="D28" s="44">
        <v>200</v>
      </c>
      <c r="E28" s="44">
        <v>200</v>
      </c>
      <c r="F28" s="44">
        <v>200</v>
      </c>
      <c r="G28" s="44">
        <v>200</v>
      </c>
      <c r="H28" s="44">
        <v>200</v>
      </c>
      <c r="I28" s="44">
        <v>200</v>
      </c>
      <c r="J28" s="44">
        <v>200</v>
      </c>
      <c r="K28" s="44">
        <v>200</v>
      </c>
      <c r="L28" s="44">
        <v>200</v>
      </c>
      <c r="M28" s="44">
        <v>200</v>
      </c>
      <c r="N28" s="44">
        <v>200</v>
      </c>
      <c r="O28" s="44">
        <f t="shared" si="3"/>
        <v>2400</v>
      </c>
    </row>
    <row r="29" spans="2:15" ht="21" customHeight="1" x14ac:dyDescent="0.35">
      <c r="B29" s="45" t="s">
        <v>19</v>
      </c>
      <c r="C29" s="44">
        <f>SUBTOTAL(109,tblMarkPlan[Jan])</f>
        <v>8100</v>
      </c>
      <c r="D29" s="44">
        <f>SUBTOTAL(109,tblMarkPlan[Feb])</f>
        <v>3100</v>
      </c>
      <c r="E29" s="44">
        <f>SUBTOTAL(109,tblMarkPlan[Mar])</f>
        <v>3100</v>
      </c>
      <c r="F29" s="44">
        <f>SUBTOTAL(109,tblMarkPlan[Apr])</f>
        <v>11100</v>
      </c>
      <c r="G29" s="44">
        <f>SUBTOTAL(109,tblMarkPlan[May])</f>
        <v>3100</v>
      </c>
      <c r="H29" s="44">
        <f>SUBTOTAL(109,tblMarkPlan[Jun])</f>
        <v>3900</v>
      </c>
      <c r="I29" s="44">
        <f>SUBTOTAL(109,tblMarkPlan[Jul])</f>
        <v>8100</v>
      </c>
      <c r="J29" s="44">
        <f>SUBTOTAL(109,tblMarkPlan[Aug])</f>
        <v>6100</v>
      </c>
      <c r="K29" s="44">
        <f>SUBTOTAL(109,tblMarkPlan[Sep])</f>
        <v>3100</v>
      </c>
      <c r="L29" s="44">
        <f>SUBTOTAL(109,tblMarkPlan[Oct])</f>
        <v>8100</v>
      </c>
      <c r="M29" s="44">
        <f>SUBTOTAL(109,tblMarkPlan[Nov])</f>
        <v>3100</v>
      </c>
      <c r="N29" s="44">
        <f>SUBTOTAL(109,tblMarkPlan[Dec])</f>
        <v>6900</v>
      </c>
      <c r="O29" s="44">
        <f>SUBTOTAL(109,tblMarkPlan[YEAR])</f>
        <v>67800</v>
      </c>
    </row>
    <row r="30" spans="2:15" ht="21" customHeight="1" x14ac:dyDescent="0.3">
      <c r="B30" s="56"/>
      <c r="C30" s="56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1"/>
    </row>
    <row r="31" spans="2:15" ht="21" customHeight="1" x14ac:dyDescent="0.3">
      <c r="B31" s="38" t="s">
        <v>36</v>
      </c>
      <c r="C31" s="39" t="s">
        <v>3</v>
      </c>
      <c r="D31" s="39" t="s">
        <v>4</v>
      </c>
      <c r="E31" s="40" t="s">
        <v>5</v>
      </c>
      <c r="F31" s="39" t="s">
        <v>6</v>
      </c>
      <c r="G31" s="39" t="s">
        <v>7</v>
      </c>
      <c r="H31" s="39" t="s">
        <v>8</v>
      </c>
      <c r="I31" s="39" t="s">
        <v>9</v>
      </c>
      <c r="J31" s="39" t="s">
        <v>10</v>
      </c>
      <c r="K31" s="39" t="s">
        <v>11</v>
      </c>
      <c r="L31" s="39" t="s">
        <v>12</v>
      </c>
      <c r="M31" s="39" t="s">
        <v>13</v>
      </c>
      <c r="N31" s="39" t="s">
        <v>14</v>
      </c>
      <c r="O31" s="41" t="s">
        <v>15</v>
      </c>
    </row>
    <row r="32" spans="2:15" ht="21" customHeight="1" x14ac:dyDescent="0.35">
      <c r="B32" s="23" t="s">
        <v>37</v>
      </c>
      <c r="C32" s="24">
        <v>2000</v>
      </c>
      <c r="D32" s="24">
        <v>2000</v>
      </c>
      <c r="E32" s="24">
        <v>2000</v>
      </c>
      <c r="F32" s="24">
        <v>2000</v>
      </c>
      <c r="G32" s="24">
        <v>2000</v>
      </c>
      <c r="H32" s="24">
        <v>2000</v>
      </c>
      <c r="I32" s="24">
        <v>2000</v>
      </c>
      <c r="J32" s="24">
        <v>2000</v>
      </c>
      <c r="K32" s="24">
        <v>2000</v>
      </c>
      <c r="L32" s="24">
        <v>2000</v>
      </c>
      <c r="M32" s="24">
        <v>2000</v>
      </c>
      <c r="N32" s="24">
        <v>2000</v>
      </c>
      <c r="O32" s="36">
        <f t="shared" ref="O32:O33" si="4">SUM(C32:N32)</f>
        <v>24000</v>
      </c>
    </row>
    <row r="33" spans="2:15" ht="21" customHeight="1" x14ac:dyDescent="0.35">
      <c r="B33" s="25" t="s">
        <v>38</v>
      </c>
      <c r="C33" s="26">
        <v>2000</v>
      </c>
      <c r="D33" s="26">
        <v>2000</v>
      </c>
      <c r="E33" s="26">
        <v>2000</v>
      </c>
      <c r="F33" s="26">
        <v>2000</v>
      </c>
      <c r="G33" s="26">
        <v>2000</v>
      </c>
      <c r="H33" s="26">
        <v>2000</v>
      </c>
      <c r="I33" s="26">
        <v>2000</v>
      </c>
      <c r="J33" s="26">
        <v>2000</v>
      </c>
      <c r="K33" s="26">
        <v>2000</v>
      </c>
      <c r="L33" s="26">
        <v>2000</v>
      </c>
      <c r="M33" s="26">
        <v>2000</v>
      </c>
      <c r="N33" s="26">
        <v>2000</v>
      </c>
      <c r="O33" s="34">
        <f t="shared" si="4"/>
        <v>24000</v>
      </c>
    </row>
    <row r="34" spans="2:15" ht="21" customHeight="1" x14ac:dyDescent="0.35">
      <c r="B34" s="45" t="s">
        <v>19</v>
      </c>
      <c r="C34" s="26">
        <f>SUBTOTAL(109,tblTrainPlan[Jan])</f>
        <v>4000</v>
      </c>
      <c r="D34" s="26">
        <f>SUBTOTAL(109,tblTrainPlan[Feb])</f>
        <v>4000</v>
      </c>
      <c r="E34" s="26">
        <f>SUBTOTAL(109,tblTrainPlan[Mar])</f>
        <v>4000</v>
      </c>
      <c r="F34" s="26">
        <f>SUBTOTAL(109,tblTrainPlan[Apr])</f>
        <v>4000</v>
      </c>
      <c r="G34" s="26">
        <f>SUBTOTAL(109,tblTrainPlan[May])</f>
        <v>4000</v>
      </c>
      <c r="H34" s="26">
        <f>SUBTOTAL(109,tblTrainPlan[Jun])</f>
        <v>4000</v>
      </c>
      <c r="I34" s="26">
        <f>SUBTOTAL(109,tblTrainPlan[Jul])</f>
        <v>4000</v>
      </c>
      <c r="J34" s="26">
        <f>SUBTOTAL(109,tblTrainPlan[Aug])</f>
        <v>4000</v>
      </c>
      <c r="K34" s="26">
        <f>SUBTOTAL(109,tblTrainPlan[Sep])</f>
        <v>4000</v>
      </c>
      <c r="L34" s="26">
        <f>SUBTOTAL(109,tblTrainPlan[Oct])</f>
        <v>4000</v>
      </c>
      <c r="M34" s="26">
        <f>SUBTOTAL(109,tblTrainPlan[Nov])</f>
        <v>4000</v>
      </c>
      <c r="N34" s="26">
        <f>SUBTOTAL(109,tblTrainPlan[Dec])</f>
        <v>4000</v>
      </c>
      <c r="O34" s="26">
        <f>SUBTOTAL(109,tblTrainPlan[YEAR])</f>
        <v>48000</v>
      </c>
    </row>
    <row r="35" spans="2:15" ht="21" customHeight="1" x14ac:dyDescent="0.3">
      <c r="B35" s="56"/>
      <c r="C35" s="56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2:15" ht="21" customHeight="1" x14ac:dyDescent="0.3">
      <c r="B36" s="19" t="s">
        <v>39</v>
      </c>
      <c r="C36" s="20"/>
      <c r="D36" s="20"/>
      <c r="E36" s="21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2:15" ht="21" customHeight="1" x14ac:dyDescent="0.35">
      <c r="B37" s="28" t="s">
        <v>40</v>
      </c>
      <c r="C37" s="35">
        <f>tblTrainPlan[[#Totals],[Jan]]+tblMarkPlan[[#Totals],[Jan]]+tblOffPlan[[#Totals],[Jan]]+tblEmplPlan[[#Totals],[Jan]]</f>
        <v>131420</v>
      </c>
      <c r="D37" s="35">
        <f>tblTrainPlan[[#Totals],[Feb]]+tblMarkPlan[[#Totals],[Feb]]+tblOffPlan[[#Totals],[Feb]]+tblEmplPlan[[#Totals],[Feb]]</f>
        <v>126820</v>
      </c>
      <c r="E37" s="35">
        <f>tblTrainPlan[[#Totals],[Mar]]+tblMarkPlan[[#Totals],[Mar]]+tblOffPlan[[#Totals],[Mar]]+tblEmplPlan[[#Totals],[Mar]]</f>
        <v>126820</v>
      </c>
      <c r="F37" s="35">
        <f>tblTrainPlan[[#Totals],[Apr]]+tblMarkPlan[[#Totals],[Apr]]+tblOffPlan[[#Totals],[Apr]]+tblEmplPlan[[#Totals],[Apr]]</f>
        <v>137695</v>
      </c>
      <c r="G37" s="35">
        <f>tblTrainPlan[[#Totals],[May]]+tblMarkPlan[[#Totals],[May]]+tblOffPlan[[#Totals],[May]]+tblEmplPlan[[#Totals],[May]]</f>
        <v>129695</v>
      </c>
      <c r="H37" s="35">
        <f>tblTrainPlan[[#Totals],[Jun]]+tblMarkPlan[[#Totals],[Jun]]+tblOffPlan[[#Totals],[Jun]]+tblEmplPlan[[#Totals],[Jun]]</f>
        <v>130495</v>
      </c>
      <c r="I37" s="35">
        <f>tblTrainPlan[[#Totals],[Jul]]+tblMarkPlan[[#Totals],[Jul]]+tblOffPlan[[#Totals],[Jul]]+tblEmplPlan[[#Totals],[Jul]]</f>
        <v>134695</v>
      </c>
      <c r="J37" s="35">
        <f>tblTrainPlan[[#Totals],[Aug]]+tblMarkPlan[[#Totals],[Aug]]+tblOffPlan[[#Totals],[Aug]]+tblEmplPlan[[#Totals],[Aug]]</f>
        <v>138918</v>
      </c>
      <c r="K37" s="35">
        <f>tblTrainPlan[[#Totals],[Sep]]+tblMarkPlan[[#Totals],[Sep]]+tblOffPlan[[#Totals],[Sep]]+tblEmplPlan[[#Totals],[Sep]]</f>
        <v>135918</v>
      </c>
      <c r="L37" s="35">
        <f>tblTrainPlan[[#Totals],[Oct]]+tblMarkPlan[[#Totals],[Oct]]+tblOffPlan[[#Totals],[Oct]]+tblEmplPlan[[#Totals],[Oct]]</f>
        <v>140918</v>
      </c>
      <c r="M37" s="35">
        <f>tblTrainPlan[[#Totals],[Nov]]+tblMarkPlan[[#Totals],[Nov]]+tblOffPlan[[#Totals],[Nov]]+tblEmplPlan[[#Totals],[Nov]]</f>
        <v>136218</v>
      </c>
      <c r="N37" s="35">
        <f>tblTrainPlan[[#Totals],[Dec]]+tblMarkPlan[[#Totals],[Dec]]+tblOffPlan[[#Totals],[Dec]]+tblEmplPlan[[#Totals],[Dec]]</f>
        <v>140018</v>
      </c>
      <c r="O37" s="35">
        <f>tblTrainPlan[[#Totals],[YEAR]]+tblMarkPlan[[#Totals],[YEAR]]+tblOffPlan[[#Totals],[YEAR]]+tblEmplPlan[[#Totals],[YEAR]]</f>
        <v>1609630</v>
      </c>
    </row>
    <row r="38" spans="2:15" ht="21" customHeight="1" x14ac:dyDescent="0.35">
      <c r="B38" s="28" t="s">
        <v>41</v>
      </c>
      <c r="C38" s="35">
        <f t="shared" ref="C38:N38" si="5">SUM($C$37:C37)</f>
        <v>131420</v>
      </c>
      <c r="D38" s="35">
        <f t="shared" si="5"/>
        <v>258240</v>
      </c>
      <c r="E38" s="35">
        <f t="shared" si="5"/>
        <v>385060</v>
      </c>
      <c r="F38" s="35">
        <f t="shared" si="5"/>
        <v>522755</v>
      </c>
      <c r="G38" s="35">
        <f t="shared" si="5"/>
        <v>652450</v>
      </c>
      <c r="H38" s="35">
        <f t="shared" si="5"/>
        <v>782945</v>
      </c>
      <c r="I38" s="35">
        <f t="shared" si="5"/>
        <v>917640</v>
      </c>
      <c r="J38" s="35">
        <f t="shared" si="5"/>
        <v>1056558</v>
      </c>
      <c r="K38" s="35">
        <f t="shared" si="5"/>
        <v>1192476</v>
      </c>
      <c r="L38" s="35">
        <f t="shared" si="5"/>
        <v>1333394</v>
      </c>
      <c r="M38" s="35">
        <f t="shared" si="5"/>
        <v>1469612</v>
      </c>
      <c r="N38" s="35">
        <f t="shared" si="5"/>
        <v>1609630</v>
      </c>
      <c r="O38" s="27"/>
    </row>
  </sheetData>
  <mergeCells count="4">
    <mergeCell ref="B35:C35"/>
    <mergeCell ref="B30:C30"/>
    <mergeCell ref="B21:C21"/>
    <mergeCell ref="B10:C10"/>
  </mergeCells>
  <printOptions horizontalCentered="1"/>
  <pageMargins left="0.4" right="0.4" top="0.4" bottom="0.4" header="0.3" footer="0.3"/>
  <pageSetup scale="68" fitToHeight="0" orientation="landscape" r:id="rId1"/>
  <headerFooter differentFirst="1">
    <oddFooter>Page &amp;P of &amp;N</oddFooter>
  </headerFooter>
  <ignoredErrors>
    <ignoredError sqref="C7:F7 G7:N7" calculatedColumn="1"/>
  </ignoredErrors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  <pageSetUpPr autoPageBreaks="0" fitToPage="1"/>
  </sheetPr>
  <dimension ref="B1:O42"/>
  <sheetViews>
    <sheetView showGridLines="0" zoomScaleNormal="100" workbookViewId="0"/>
  </sheetViews>
  <sheetFormatPr defaultRowHeight="21" customHeight="1" x14ac:dyDescent="0.3"/>
  <cols>
    <col min="1" max="1" width="2" style="13" customWidth="1"/>
    <col min="2" max="2" width="31.6640625" style="13" customWidth="1"/>
    <col min="3" max="9" width="13.83203125" style="13" customWidth="1"/>
    <col min="10" max="15" width="15.6640625" style="13" customWidth="1"/>
    <col min="16" max="16" width="9.33203125" style="13" customWidth="1"/>
    <col min="17" max="16384" width="9.33203125" style="13"/>
  </cols>
  <sheetData>
    <row r="1" spans="2:15" ht="9.9499999999999993" customHeight="1" x14ac:dyDescent="0.3">
      <c r="N1" s="1"/>
      <c r="O1" s="1"/>
    </row>
    <row r="2" spans="2:15" ht="27" customHeight="1" x14ac:dyDescent="0.35">
      <c r="B2" s="22" t="str">
        <f>'PLANNED EXPENSES'!B2</f>
        <v>&lt;Company Name&gt;</v>
      </c>
      <c r="C2" s="2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8.75" customHeight="1" x14ac:dyDescent="0.3">
      <c r="B3" s="15" t="s">
        <v>1</v>
      </c>
      <c r="C3" s="4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ht="15" customHeight="1" x14ac:dyDescent="0.3">
      <c r="B4" s="37" t="s">
        <v>51</v>
      </c>
      <c r="C4" s="7"/>
      <c r="D4" s="7"/>
      <c r="E4" s="8"/>
      <c r="F4" s="7"/>
      <c r="G4" s="7"/>
      <c r="H4" s="7"/>
      <c r="I4" s="7"/>
      <c r="J4" s="7"/>
      <c r="K4" s="7"/>
      <c r="L4" s="7"/>
      <c r="M4" s="7"/>
      <c r="N4" s="7"/>
      <c r="O4" s="7"/>
    </row>
    <row r="5" spans="2:15" s="1" customFormat="1" ht="21" customHeight="1" x14ac:dyDescent="0.3">
      <c r="B5" s="19" t="s">
        <v>42</v>
      </c>
      <c r="C5" s="17" t="s">
        <v>3</v>
      </c>
      <c r="D5" s="17" t="s">
        <v>4</v>
      </c>
      <c r="E5" s="18" t="s">
        <v>5</v>
      </c>
      <c r="F5" s="17" t="s">
        <v>6</v>
      </c>
      <c r="G5" s="17" t="s">
        <v>7</v>
      </c>
      <c r="H5" s="17" t="s">
        <v>8</v>
      </c>
      <c r="I5" s="18" t="s">
        <v>9</v>
      </c>
      <c r="J5" s="17" t="s">
        <v>10</v>
      </c>
      <c r="K5" s="17" t="s">
        <v>11</v>
      </c>
      <c r="L5" s="17" t="s">
        <v>12</v>
      </c>
      <c r="M5" s="17" t="s">
        <v>13</v>
      </c>
      <c r="N5" s="18" t="s">
        <v>14</v>
      </c>
      <c r="O5" s="17" t="s">
        <v>15</v>
      </c>
    </row>
    <row r="6" spans="2:15" s="14" customFormat="1" ht="21" customHeight="1" x14ac:dyDescent="0.3">
      <c r="B6" s="42" t="s">
        <v>16</v>
      </c>
      <c r="C6" s="49" t="s">
        <v>3</v>
      </c>
      <c r="D6" s="49" t="s">
        <v>4</v>
      </c>
      <c r="E6" s="50" t="s">
        <v>5</v>
      </c>
      <c r="F6" s="49" t="s">
        <v>6</v>
      </c>
      <c r="G6" s="49" t="s">
        <v>7</v>
      </c>
      <c r="H6" s="49" t="s">
        <v>8</v>
      </c>
      <c r="I6" s="49" t="s">
        <v>9</v>
      </c>
      <c r="J6" s="49" t="s">
        <v>10</v>
      </c>
      <c r="K6" s="49" t="s">
        <v>11</v>
      </c>
      <c r="L6" s="49" t="s">
        <v>12</v>
      </c>
      <c r="M6" s="49" t="s">
        <v>13</v>
      </c>
      <c r="N6" s="49" t="s">
        <v>14</v>
      </c>
      <c r="O6" s="49" t="s">
        <v>15</v>
      </c>
    </row>
    <row r="7" spans="2:15" s="14" customFormat="1" ht="21" customHeight="1" x14ac:dyDescent="0.35">
      <c r="B7" s="43" t="s">
        <v>17</v>
      </c>
      <c r="C7" s="44">
        <v>85000</v>
      </c>
      <c r="D7" s="44">
        <v>85000</v>
      </c>
      <c r="E7" s="44">
        <v>85000</v>
      </c>
      <c r="F7" s="44">
        <v>88000</v>
      </c>
      <c r="G7" s="44">
        <v>88000</v>
      </c>
      <c r="H7" s="44">
        <v>88000</v>
      </c>
      <c r="I7" s="44"/>
      <c r="J7" s="44"/>
      <c r="K7" s="44"/>
      <c r="L7" s="44"/>
      <c r="M7" s="44"/>
      <c r="N7" s="44"/>
      <c r="O7" s="44">
        <f t="shared" ref="O7:O8" si="0">SUM(C7:N7)</f>
        <v>519000</v>
      </c>
    </row>
    <row r="8" spans="2:15" s="14" customFormat="1" ht="21" customHeight="1" x14ac:dyDescent="0.35">
      <c r="B8" s="43" t="s">
        <v>18</v>
      </c>
      <c r="C8" s="55">
        <f t="shared" ref="C8:N8" si="1">C7*0.27</f>
        <v>22950</v>
      </c>
      <c r="D8" s="55">
        <f t="shared" si="1"/>
        <v>22950</v>
      </c>
      <c r="E8" s="55">
        <f t="shared" si="1"/>
        <v>22950</v>
      </c>
      <c r="F8" s="55">
        <f t="shared" si="1"/>
        <v>23760</v>
      </c>
      <c r="G8" s="55">
        <f t="shared" si="1"/>
        <v>23760</v>
      </c>
      <c r="H8" s="55">
        <f t="shared" si="1"/>
        <v>23760</v>
      </c>
      <c r="I8" s="55">
        <f t="shared" si="1"/>
        <v>0</v>
      </c>
      <c r="J8" s="55">
        <f t="shared" si="1"/>
        <v>0</v>
      </c>
      <c r="K8" s="55">
        <f t="shared" si="1"/>
        <v>0</v>
      </c>
      <c r="L8" s="55">
        <f t="shared" si="1"/>
        <v>0</v>
      </c>
      <c r="M8" s="55">
        <f t="shared" si="1"/>
        <v>0</v>
      </c>
      <c r="N8" s="55">
        <f t="shared" si="1"/>
        <v>0</v>
      </c>
      <c r="O8" s="44">
        <f t="shared" si="0"/>
        <v>140130</v>
      </c>
    </row>
    <row r="9" spans="2:15" ht="21" customHeight="1" x14ac:dyDescent="0.35">
      <c r="B9" s="54" t="s">
        <v>19</v>
      </c>
      <c r="C9" s="52">
        <f>SUBTOTAL(109,tblEmplActual[Jan])</f>
        <v>107950</v>
      </c>
      <c r="D9" s="52">
        <f>SUBTOTAL(109,tblEmplActual[Feb])</f>
        <v>107950</v>
      </c>
      <c r="E9" s="52">
        <f>SUBTOTAL(109,tblEmplActual[Mar])</f>
        <v>107950</v>
      </c>
      <c r="F9" s="52">
        <f>SUBTOTAL(109,tblEmplActual[Apr])</f>
        <v>111760</v>
      </c>
      <c r="G9" s="52">
        <f>SUBTOTAL(109,tblEmplActual[May])</f>
        <v>111760</v>
      </c>
      <c r="H9" s="52">
        <f>SUBTOTAL(109,tblEmplActual[Jun])</f>
        <v>111760</v>
      </c>
      <c r="I9" s="52">
        <f>SUBTOTAL(109,tblEmplActual[Jul])</f>
        <v>0</v>
      </c>
      <c r="J9" s="52">
        <f>SUBTOTAL(109,tblEmplActual[Aug])</f>
        <v>0</v>
      </c>
      <c r="K9" s="52">
        <f>SUBTOTAL(109,tblEmplActual[Sep])</f>
        <v>0</v>
      </c>
      <c r="L9" s="52">
        <f>SUBTOTAL(109,tblEmplActual[Oct])</f>
        <v>0</v>
      </c>
      <c r="M9" s="52">
        <f>SUBTOTAL(109,tblEmplActual[Nov])</f>
        <v>0</v>
      </c>
      <c r="N9" s="52">
        <f>SUBTOTAL(109,tblEmplActual[Dec])</f>
        <v>0</v>
      </c>
      <c r="O9" s="52">
        <f>SUBTOTAL(109,tblEmplActual[YEAR])</f>
        <v>659130</v>
      </c>
    </row>
    <row r="10" spans="2:15" ht="21" customHeight="1" x14ac:dyDescent="0.3">
      <c r="B10" s="58"/>
      <c r="C10" s="58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15" ht="21" customHeight="1" x14ac:dyDescent="0.3">
      <c r="B11" s="42" t="s">
        <v>20</v>
      </c>
      <c r="C11" s="49" t="s">
        <v>3</v>
      </c>
      <c r="D11" s="49" t="s">
        <v>4</v>
      </c>
      <c r="E11" s="50" t="s">
        <v>5</v>
      </c>
      <c r="F11" s="49" t="s">
        <v>6</v>
      </c>
      <c r="G11" s="49" t="s">
        <v>7</v>
      </c>
      <c r="H11" s="49" t="s">
        <v>8</v>
      </c>
      <c r="I11" s="49" t="s">
        <v>9</v>
      </c>
      <c r="J11" s="49" t="s">
        <v>10</v>
      </c>
      <c r="K11" s="49" t="s">
        <v>11</v>
      </c>
      <c r="L11" s="49" t="s">
        <v>12</v>
      </c>
      <c r="M11" s="49" t="s">
        <v>13</v>
      </c>
      <c r="N11" s="49" t="s">
        <v>14</v>
      </c>
      <c r="O11" s="49" t="s">
        <v>15</v>
      </c>
    </row>
    <row r="12" spans="2:15" ht="21" customHeight="1" x14ac:dyDescent="0.35">
      <c r="B12" s="43" t="s">
        <v>21</v>
      </c>
      <c r="C12" s="44">
        <v>9800</v>
      </c>
      <c r="D12" s="44">
        <v>9800</v>
      </c>
      <c r="E12" s="44">
        <v>9800</v>
      </c>
      <c r="F12" s="44">
        <v>9800</v>
      </c>
      <c r="G12" s="44">
        <v>9800</v>
      </c>
      <c r="H12" s="44">
        <v>9800</v>
      </c>
      <c r="I12" s="44"/>
      <c r="J12" s="44"/>
      <c r="K12" s="44"/>
      <c r="L12" s="44"/>
      <c r="M12" s="44"/>
      <c r="N12" s="44"/>
      <c r="O12" s="44">
        <f t="shared" ref="O12:O19" si="2">SUM(C12:N12)</f>
        <v>58800</v>
      </c>
    </row>
    <row r="13" spans="2:15" ht="21" customHeight="1" x14ac:dyDescent="0.35">
      <c r="B13" s="43" t="s">
        <v>22</v>
      </c>
      <c r="C13" s="44">
        <v>4</v>
      </c>
      <c r="D13" s="44">
        <v>430</v>
      </c>
      <c r="E13" s="44">
        <v>385</v>
      </c>
      <c r="F13" s="44">
        <v>230</v>
      </c>
      <c r="G13" s="44">
        <v>87</v>
      </c>
      <c r="H13" s="44">
        <v>88</v>
      </c>
      <c r="I13" s="44"/>
      <c r="J13" s="44"/>
      <c r="K13" s="44"/>
      <c r="L13" s="44"/>
      <c r="M13" s="44"/>
      <c r="N13" s="44"/>
      <c r="O13" s="44">
        <f t="shared" si="2"/>
        <v>1224</v>
      </c>
    </row>
    <row r="14" spans="2:15" ht="21" customHeight="1" x14ac:dyDescent="0.35">
      <c r="B14" s="43" t="s">
        <v>23</v>
      </c>
      <c r="C14" s="44">
        <v>288</v>
      </c>
      <c r="D14" s="44">
        <v>278</v>
      </c>
      <c r="E14" s="44">
        <v>268</v>
      </c>
      <c r="F14" s="44">
        <v>299</v>
      </c>
      <c r="G14" s="44">
        <v>306</v>
      </c>
      <c r="H14" s="44">
        <v>290</v>
      </c>
      <c r="I14" s="44"/>
      <c r="J14" s="44"/>
      <c r="K14" s="44"/>
      <c r="L14" s="44"/>
      <c r="M14" s="44"/>
      <c r="N14" s="44"/>
      <c r="O14" s="44">
        <f t="shared" si="2"/>
        <v>1729</v>
      </c>
    </row>
    <row r="15" spans="2:15" ht="21" customHeight="1" x14ac:dyDescent="0.35">
      <c r="B15" s="43" t="s">
        <v>24</v>
      </c>
      <c r="C15" s="44">
        <v>35</v>
      </c>
      <c r="D15" s="44">
        <v>33</v>
      </c>
      <c r="E15" s="44">
        <v>34</v>
      </c>
      <c r="F15" s="44">
        <v>36</v>
      </c>
      <c r="G15" s="44">
        <v>34</v>
      </c>
      <c r="H15" s="44">
        <v>36</v>
      </c>
      <c r="I15" s="44"/>
      <c r="J15" s="44"/>
      <c r="K15" s="44"/>
      <c r="L15" s="44"/>
      <c r="M15" s="44"/>
      <c r="N15" s="44"/>
      <c r="O15" s="44">
        <f t="shared" si="2"/>
        <v>208</v>
      </c>
    </row>
    <row r="16" spans="2:15" ht="21" customHeight="1" x14ac:dyDescent="0.35">
      <c r="B16" s="43" t="s">
        <v>25</v>
      </c>
      <c r="C16" s="44">
        <v>224</v>
      </c>
      <c r="D16" s="44">
        <v>235</v>
      </c>
      <c r="E16" s="44">
        <v>265</v>
      </c>
      <c r="F16" s="44">
        <v>245</v>
      </c>
      <c r="G16" s="44">
        <v>245</v>
      </c>
      <c r="H16" s="44">
        <v>220</v>
      </c>
      <c r="I16" s="44"/>
      <c r="J16" s="44"/>
      <c r="K16" s="44"/>
      <c r="L16" s="44"/>
      <c r="M16" s="44"/>
      <c r="N16" s="44"/>
      <c r="O16" s="44">
        <f t="shared" si="2"/>
        <v>1434</v>
      </c>
    </row>
    <row r="17" spans="2:15" ht="21" customHeight="1" x14ac:dyDescent="0.35">
      <c r="B17" s="43" t="s">
        <v>26</v>
      </c>
      <c r="C17" s="44">
        <v>180</v>
      </c>
      <c r="D17" s="44">
        <v>180</v>
      </c>
      <c r="E17" s="44">
        <v>180</v>
      </c>
      <c r="F17" s="44">
        <v>180</v>
      </c>
      <c r="G17" s="44">
        <v>180</v>
      </c>
      <c r="H17" s="44">
        <v>180</v>
      </c>
      <c r="I17" s="44"/>
      <c r="J17" s="44"/>
      <c r="K17" s="44"/>
      <c r="L17" s="44"/>
      <c r="M17" s="44"/>
      <c r="N17" s="44"/>
      <c r="O17" s="44">
        <f t="shared" si="2"/>
        <v>1080</v>
      </c>
    </row>
    <row r="18" spans="2:15" ht="21" customHeight="1" x14ac:dyDescent="0.35">
      <c r="B18" s="43" t="s">
        <v>27</v>
      </c>
      <c r="C18" s="44">
        <v>256</v>
      </c>
      <c r="D18" s="44">
        <v>142</v>
      </c>
      <c r="E18" s="44">
        <v>160</v>
      </c>
      <c r="F18" s="44">
        <v>221</v>
      </c>
      <c r="G18" s="44">
        <v>256</v>
      </c>
      <c r="H18" s="44">
        <v>240</v>
      </c>
      <c r="I18" s="44"/>
      <c r="J18" s="44"/>
      <c r="K18" s="44"/>
      <c r="L18" s="44"/>
      <c r="M18" s="44"/>
      <c r="N18" s="44"/>
      <c r="O18" s="44">
        <f t="shared" si="2"/>
        <v>1275</v>
      </c>
    </row>
    <row r="19" spans="2:15" ht="21" customHeight="1" x14ac:dyDescent="0.35">
      <c r="B19" s="43" t="s">
        <v>28</v>
      </c>
      <c r="C19" s="44">
        <v>600</v>
      </c>
      <c r="D19" s="44">
        <v>600</v>
      </c>
      <c r="E19" s="44">
        <v>600</v>
      </c>
      <c r="F19" s="44">
        <v>600</v>
      </c>
      <c r="G19" s="44">
        <v>600</v>
      </c>
      <c r="H19" s="44">
        <v>600</v>
      </c>
      <c r="I19" s="44"/>
      <c r="J19" s="44"/>
      <c r="K19" s="44"/>
      <c r="L19" s="44"/>
      <c r="M19" s="44"/>
      <c r="N19" s="44"/>
      <c r="O19" s="44">
        <f t="shared" si="2"/>
        <v>3600</v>
      </c>
    </row>
    <row r="20" spans="2:15" ht="21" customHeight="1" x14ac:dyDescent="0.35">
      <c r="B20" s="45" t="s">
        <v>19</v>
      </c>
      <c r="C20" s="44">
        <f>SUBTOTAL(109,tblOffActual[Jan])</f>
        <v>11387</v>
      </c>
      <c r="D20" s="44">
        <f>SUBTOTAL(109,tblOffActual[Feb])</f>
        <v>11698</v>
      </c>
      <c r="E20" s="44">
        <f>SUBTOTAL(109,tblOffActual[Mar])</f>
        <v>11692</v>
      </c>
      <c r="F20" s="44">
        <f>SUBTOTAL(109,tblOffActual[Apr])</f>
        <v>11611</v>
      </c>
      <c r="G20" s="44">
        <f>SUBTOTAL(109,tblOffActual[May])</f>
        <v>11508</v>
      </c>
      <c r="H20" s="44">
        <f>SUBTOTAL(109,tblOffActual[Jun])</f>
        <v>11454</v>
      </c>
      <c r="I20" s="44">
        <f>SUBTOTAL(109,tblOffActual[Jul])</f>
        <v>0</v>
      </c>
      <c r="J20" s="44">
        <f>SUBTOTAL(109,tblOffActual[Aug])</f>
        <v>0</v>
      </c>
      <c r="K20" s="44">
        <f>SUBTOTAL(109,tblOffActual[Sep])</f>
        <v>0</v>
      </c>
      <c r="L20" s="44">
        <f>SUBTOTAL(109,tblOffActual[Oct])</f>
        <v>0</v>
      </c>
      <c r="M20" s="44">
        <f>SUBTOTAL(109,tblOffActual[Nov])</f>
        <v>0</v>
      </c>
      <c r="N20" s="44">
        <f>SUBTOTAL(109,tblOffActual[Dec])</f>
        <v>0</v>
      </c>
      <c r="O20" s="44">
        <f>SUBTOTAL(109,tblOffActual[YEAR])</f>
        <v>69350</v>
      </c>
    </row>
    <row r="21" spans="2:15" ht="21" customHeight="1" x14ac:dyDescent="0.3">
      <c r="B21" s="57"/>
      <c r="C21" s="57"/>
      <c r="D21" s="10"/>
      <c r="E21" s="10"/>
      <c r="F21" s="12"/>
      <c r="G21" s="12"/>
      <c r="H21" s="12"/>
      <c r="I21" s="12"/>
      <c r="J21" s="12"/>
      <c r="K21" s="12"/>
      <c r="L21" s="12"/>
      <c r="M21" s="12"/>
      <c r="N21" s="12"/>
      <c r="O21" s="11"/>
    </row>
    <row r="22" spans="2:15" ht="21" customHeight="1" x14ac:dyDescent="0.3">
      <c r="B22" s="42" t="s">
        <v>29</v>
      </c>
      <c r="C22" s="49" t="s">
        <v>3</v>
      </c>
      <c r="D22" s="49" t="s">
        <v>4</v>
      </c>
      <c r="E22" s="50" t="s">
        <v>5</v>
      </c>
      <c r="F22" s="49" t="s">
        <v>6</v>
      </c>
      <c r="G22" s="49" t="s">
        <v>7</v>
      </c>
      <c r="H22" s="49" t="s">
        <v>8</v>
      </c>
      <c r="I22" s="49" t="s">
        <v>9</v>
      </c>
      <c r="J22" s="49" t="s">
        <v>10</v>
      </c>
      <c r="K22" s="49" t="s">
        <v>11</v>
      </c>
      <c r="L22" s="49" t="s">
        <v>12</v>
      </c>
      <c r="M22" s="49" t="s">
        <v>13</v>
      </c>
      <c r="N22" s="49" t="s">
        <v>14</v>
      </c>
      <c r="O22" s="49" t="s">
        <v>15</v>
      </c>
    </row>
    <row r="23" spans="2:15" ht="21" customHeight="1" x14ac:dyDescent="0.35">
      <c r="B23" s="43" t="s">
        <v>30</v>
      </c>
      <c r="C23" s="44">
        <v>500</v>
      </c>
      <c r="D23" s="44">
        <v>500</v>
      </c>
      <c r="E23" s="44">
        <v>500</v>
      </c>
      <c r="F23" s="44">
        <v>500</v>
      </c>
      <c r="G23" s="44">
        <v>500</v>
      </c>
      <c r="H23" s="44">
        <v>500</v>
      </c>
      <c r="I23" s="44"/>
      <c r="J23" s="44"/>
      <c r="K23" s="44"/>
      <c r="L23" s="44"/>
      <c r="M23" s="44"/>
      <c r="N23" s="44"/>
      <c r="O23" s="44">
        <f t="shared" ref="O23:O28" si="3">SUM(C23:N23)</f>
        <v>3000</v>
      </c>
    </row>
    <row r="24" spans="2:15" ht="21" customHeight="1" x14ac:dyDescent="0.35">
      <c r="B24" s="43" t="s">
        <v>31</v>
      </c>
      <c r="C24" s="44">
        <v>200</v>
      </c>
      <c r="D24" s="44">
        <v>200</v>
      </c>
      <c r="E24" s="44">
        <v>200</v>
      </c>
      <c r="F24" s="44">
        <v>200</v>
      </c>
      <c r="G24" s="44">
        <v>200</v>
      </c>
      <c r="H24" s="44">
        <v>1500</v>
      </c>
      <c r="I24" s="44"/>
      <c r="J24" s="44"/>
      <c r="K24" s="44"/>
      <c r="L24" s="44"/>
      <c r="M24" s="44"/>
      <c r="N24" s="44"/>
      <c r="O24" s="44">
        <f t="shared" si="3"/>
        <v>2500</v>
      </c>
    </row>
    <row r="25" spans="2:15" ht="21" customHeight="1" x14ac:dyDescent="0.35">
      <c r="B25" s="43" t="s">
        <v>32</v>
      </c>
      <c r="C25" s="44">
        <v>4800</v>
      </c>
      <c r="D25" s="44">
        <v>0</v>
      </c>
      <c r="E25" s="44">
        <v>0</v>
      </c>
      <c r="F25" s="44">
        <v>5500</v>
      </c>
      <c r="G25" s="44">
        <v>0</v>
      </c>
      <c r="H25" s="44">
        <v>0</v>
      </c>
      <c r="I25" s="44"/>
      <c r="J25" s="44"/>
      <c r="K25" s="44"/>
      <c r="L25" s="44"/>
      <c r="M25" s="44"/>
      <c r="N25" s="44"/>
      <c r="O25" s="44">
        <f t="shared" si="3"/>
        <v>10300</v>
      </c>
    </row>
    <row r="26" spans="2:15" ht="21" customHeight="1" x14ac:dyDescent="0.35">
      <c r="B26" s="43" t="s">
        <v>33</v>
      </c>
      <c r="C26" s="44">
        <v>100</v>
      </c>
      <c r="D26" s="44">
        <v>500</v>
      </c>
      <c r="E26" s="44">
        <v>100</v>
      </c>
      <c r="F26" s="44">
        <v>100</v>
      </c>
      <c r="G26" s="44">
        <v>600</v>
      </c>
      <c r="H26" s="44">
        <v>180</v>
      </c>
      <c r="I26" s="44"/>
      <c r="J26" s="44"/>
      <c r="K26" s="44"/>
      <c r="L26" s="44"/>
      <c r="M26" s="44"/>
      <c r="N26" s="44"/>
      <c r="O26" s="44">
        <f t="shared" si="3"/>
        <v>1580</v>
      </c>
    </row>
    <row r="27" spans="2:15" ht="21" customHeight="1" x14ac:dyDescent="0.35">
      <c r="B27" s="43" t="s">
        <v>34</v>
      </c>
      <c r="C27" s="44">
        <v>1800</v>
      </c>
      <c r="D27" s="44">
        <v>2200</v>
      </c>
      <c r="E27" s="44">
        <v>2200</v>
      </c>
      <c r="F27" s="44">
        <v>4700</v>
      </c>
      <c r="G27" s="44">
        <v>1500</v>
      </c>
      <c r="H27" s="44">
        <v>2300</v>
      </c>
      <c r="I27" s="44"/>
      <c r="J27" s="44"/>
      <c r="K27" s="44"/>
      <c r="L27" s="44"/>
      <c r="M27" s="44"/>
      <c r="N27" s="44"/>
      <c r="O27" s="44">
        <f t="shared" si="3"/>
        <v>14700</v>
      </c>
    </row>
    <row r="28" spans="2:15" ht="21" customHeight="1" x14ac:dyDescent="0.35">
      <c r="B28" s="43" t="s">
        <v>35</v>
      </c>
      <c r="C28" s="44">
        <v>145</v>
      </c>
      <c r="D28" s="44">
        <v>156</v>
      </c>
      <c r="E28" s="44">
        <v>123</v>
      </c>
      <c r="F28" s="44">
        <v>223</v>
      </c>
      <c r="G28" s="44">
        <v>187</v>
      </c>
      <c r="H28" s="44">
        <v>245</v>
      </c>
      <c r="I28" s="44"/>
      <c r="J28" s="44"/>
      <c r="K28" s="44"/>
      <c r="L28" s="44"/>
      <c r="M28" s="44"/>
      <c r="N28" s="44"/>
      <c r="O28" s="44">
        <f t="shared" si="3"/>
        <v>1079</v>
      </c>
    </row>
    <row r="29" spans="2:15" ht="21" customHeight="1" x14ac:dyDescent="0.35">
      <c r="B29" s="45" t="s">
        <v>19</v>
      </c>
      <c r="C29" s="44">
        <f>SUBTOTAL(109,tblMarkActual[Jan])</f>
        <v>7545</v>
      </c>
      <c r="D29" s="44">
        <f>SUBTOTAL(109,tblMarkActual[Feb])</f>
        <v>3556</v>
      </c>
      <c r="E29" s="44">
        <f>SUBTOTAL(109,tblMarkActual[Mar])</f>
        <v>3123</v>
      </c>
      <c r="F29" s="44">
        <f>SUBTOTAL(109,tblMarkActual[Apr])</f>
        <v>11223</v>
      </c>
      <c r="G29" s="44">
        <f>SUBTOTAL(109,tblMarkActual[May])</f>
        <v>2987</v>
      </c>
      <c r="H29" s="44">
        <f>SUBTOTAL(109,tblMarkActual[Jun])</f>
        <v>4725</v>
      </c>
      <c r="I29" s="44">
        <f>SUBTOTAL(109,tblMarkActual[Jul])</f>
        <v>0</v>
      </c>
      <c r="J29" s="44">
        <f>SUBTOTAL(109,tblMarkActual[Aug])</f>
        <v>0</v>
      </c>
      <c r="K29" s="44">
        <f>SUBTOTAL(109,tblMarkActual[Sep])</f>
        <v>0</v>
      </c>
      <c r="L29" s="44">
        <f>SUBTOTAL(109,tblMarkActual[Oct])</f>
        <v>0</v>
      </c>
      <c r="M29" s="44">
        <f>SUBTOTAL(109,tblMarkActual[Nov])</f>
        <v>0</v>
      </c>
      <c r="N29" s="44">
        <f>SUBTOTAL(109,tblMarkActual[Dec])</f>
        <v>0</v>
      </c>
      <c r="O29" s="44">
        <f>SUBTOTAL(109,tblMarkActual[YEAR])</f>
        <v>33159</v>
      </c>
    </row>
    <row r="30" spans="2:15" ht="21" customHeight="1" x14ac:dyDescent="0.3">
      <c r="B30" s="56"/>
      <c r="C30" s="56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1"/>
    </row>
    <row r="31" spans="2:15" ht="21" customHeight="1" x14ac:dyDescent="0.3">
      <c r="B31" s="42" t="s">
        <v>36</v>
      </c>
      <c r="C31" s="49" t="s">
        <v>3</v>
      </c>
      <c r="D31" s="49" t="s">
        <v>4</v>
      </c>
      <c r="E31" s="50" t="s">
        <v>5</v>
      </c>
      <c r="F31" s="49" t="s">
        <v>6</v>
      </c>
      <c r="G31" s="49" t="s">
        <v>7</v>
      </c>
      <c r="H31" s="49" t="s">
        <v>8</v>
      </c>
      <c r="I31" s="49" t="s">
        <v>9</v>
      </c>
      <c r="J31" s="49" t="s">
        <v>10</v>
      </c>
      <c r="K31" s="49" t="s">
        <v>11</v>
      </c>
      <c r="L31" s="49" t="s">
        <v>12</v>
      </c>
      <c r="M31" s="49" t="s">
        <v>13</v>
      </c>
      <c r="N31" s="49" t="s">
        <v>14</v>
      </c>
      <c r="O31" s="49" t="s">
        <v>15</v>
      </c>
    </row>
    <row r="32" spans="2:15" ht="21" customHeight="1" x14ac:dyDescent="0.35">
      <c r="B32" s="43" t="s">
        <v>37</v>
      </c>
      <c r="C32" s="44">
        <v>1600</v>
      </c>
      <c r="D32" s="44">
        <v>2400</v>
      </c>
      <c r="E32" s="44">
        <v>1400</v>
      </c>
      <c r="F32" s="44">
        <v>1600</v>
      </c>
      <c r="G32" s="44">
        <v>1200</v>
      </c>
      <c r="H32" s="44">
        <v>2800</v>
      </c>
      <c r="I32" s="44"/>
      <c r="J32" s="44"/>
      <c r="K32" s="44"/>
      <c r="L32" s="44"/>
      <c r="M32" s="44"/>
      <c r="N32" s="44"/>
      <c r="O32" s="44">
        <f t="shared" ref="O32:O33" si="4">SUM(C32:N32)</f>
        <v>11000</v>
      </c>
    </row>
    <row r="33" spans="2:15" ht="21" customHeight="1" x14ac:dyDescent="0.35">
      <c r="B33" s="43" t="s">
        <v>38</v>
      </c>
      <c r="C33" s="44">
        <v>1200</v>
      </c>
      <c r="D33" s="44">
        <v>2200</v>
      </c>
      <c r="E33" s="44">
        <v>1400</v>
      </c>
      <c r="F33" s="44">
        <v>1200</v>
      </c>
      <c r="G33" s="44">
        <v>800</v>
      </c>
      <c r="H33" s="44">
        <v>3500</v>
      </c>
      <c r="I33" s="44"/>
      <c r="J33" s="44"/>
      <c r="K33" s="44"/>
      <c r="L33" s="44"/>
      <c r="M33" s="44"/>
      <c r="N33" s="44"/>
      <c r="O33" s="44">
        <f t="shared" si="4"/>
        <v>10300</v>
      </c>
    </row>
    <row r="34" spans="2:15" ht="21" customHeight="1" x14ac:dyDescent="0.35">
      <c r="B34" s="45" t="s">
        <v>19</v>
      </c>
      <c r="C34" s="44">
        <f>SUBTOTAL(109,tblTrainActual[Jan])</f>
        <v>2800</v>
      </c>
      <c r="D34" s="44">
        <f>SUBTOTAL(109,tblTrainActual[Feb])</f>
        <v>4600</v>
      </c>
      <c r="E34" s="44">
        <f>SUBTOTAL(109,tblTrainActual[Mar])</f>
        <v>2800</v>
      </c>
      <c r="F34" s="44">
        <f>SUBTOTAL(109,tblTrainActual[Apr])</f>
        <v>2800</v>
      </c>
      <c r="G34" s="44">
        <f>SUBTOTAL(109,tblTrainActual[May])</f>
        <v>2000</v>
      </c>
      <c r="H34" s="44">
        <f>SUBTOTAL(109,tblTrainActual[Jun])</f>
        <v>6300</v>
      </c>
      <c r="I34" s="44">
        <f>SUBTOTAL(109,tblTrainActual[Jul])</f>
        <v>0</v>
      </c>
      <c r="J34" s="44">
        <f>SUBTOTAL(109,tblTrainActual[Aug])</f>
        <v>0</v>
      </c>
      <c r="K34" s="44">
        <f>SUBTOTAL(109,tblTrainActual[Sep])</f>
        <v>0</v>
      </c>
      <c r="L34" s="44">
        <f>SUBTOTAL(109,tblTrainActual[Oct])</f>
        <v>0</v>
      </c>
      <c r="M34" s="44">
        <f>SUBTOTAL(109,tblTrainActual[Nov])</f>
        <v>0</v>
      </c>
      <c r="N34" s="44">
        <f>SUBTOTAL(109,tblTrainActual[Dec])</f>
        <v>0</v>
      </c>
      <c r="O34" s="44">
        <f>SUBTOTAL(109,tblTrainActual[YEAR])</f>
        <v>21300</v>
      </c>
    </row>
    <row r="35" spans="2:15" ht="21" customHeight="1" x14ac:dyDescent="0.3">
      <c r="B35" s="56"/>
      <c r="C35" s="56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2:15" ht="21" customHeight="1" x14ac:dyDescent="0.3">
      <c r="B36" s="19" t="s">
        <v>41</v>
      </c>
      <c r="C36" s="20"/>
      <c r="D36" s="20"/>
      <c r="E36" s="21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2:15" ht="21" customHeight="1" x14ac:dyDescent="0.35">
      <c r="B37" s="33" t="s">
        <v>43</v>
      </c>
      <c r="C37" s="36">
        <f>tblTrainActual[[#Totals],[Jan]]+tblMarkActual[[#Totals],[Jan]]+tblOffActual[[#Totals],[Jan]]+tblEmplActual[[#Totals],[Jan]]</f>
        <v>129682</v>
      </c>
      <c r="D37" s="36">
        <f>tblTrainActual[[#Totals],[Feb]]+tblMarkActual[[#Totals],[Feb]]+tblOffActual[[#Totals],[Feb]]+tblEmplActual[[#Totals],[Feb]]</f>
        <v>127804</v>
      </c>
      <c r="E37" s="36">
        <f>tblTrainActual[[#Totals],[Mar]]+tblMarkActual[[#Totals],[Mar]]+tblOffActual[[#Totals],[Mar]]+tblEmplActual[[#Totals],[Mar]]</f>
        <v>125565</v>
      </c>
      <c r="F37" s="36">
        <f>tblTrainActual[[#Totals],[Apr]]+tblMarkActual[[#Totals],[Apr]]+tblOffActual[[#Totals],[Apr]]+tblEmplActual[[#Totals],[Apr]]</f>
        <v>137394</v>
      </c>
      <c r="G37" s="36">
        <f>tblTrainActual[[#Totals],[May]]+tblMarkActual[[#Totals],[May]]+tblOffActual[[#Totals],[May]]+tblEmplActual[[#Totals],[May]]</f>
        <v>128255</v>
      </c>
      <c r="H37" s="36">
        <f>tblTrainActual[[#Totals],[Jun]]+tblMarkActual[[#Totals],[Jun]]+tblOffActual[[#Totals],[Jun]]+tblEmplActual[[#Totals],[Jun]]</f>
        <v>134239</v>
      </c>
      <c r="I37" s="36">
        <f>tblTrainActual[[#Totals],[Jul]]+tblMarkActual[[#Totals],[Jul]]+tblOffActual[[#Totals],[Jul]]+tblEmplActual[[#Totals],[Jul]]</f>
        <v>0</v>
      </c>
      <c r="J37" s="36">
        <f>tblTrainActual[[#Totals],[Aug]]+tblMarkActual[[#Totals],[Aug]]+tblOffActual[[#Totals],[Aug]]+tblEmplActual[[#Totals],[Aug]]</f>
        <v>0</v>
      </c>
      <c r="K37" s="36">
        <f>tblTrainActual[[#Totals],[Sep]]+tblMarkActual[[#Totals],[Sep]]+tblOffActual[[#Totals],[Sep]]+tblEmplActual[[#Totals],[Sep]]</f>
        <v>0</v>
      </c>
      <c r="L37" s="36">
        <f>tblTrainActual[[#Totals],[Oct]]+tblMarkActual[[#Totals],[Oct]]+tblOffActual[[#Totals],[Oct]]+tblEmplActual[[#Totals],[Oct]]</f>
        <v>0</v>
      </c>
      <c r="M37" s="36">
        <f>tblTrainActual[[#Totals],[Nov]]+tblMarkActual[[#Totals],[Nov]]+tblOffActual[[#Totals],[Nov]]+tblEmplActual[[#Totals],[Nov]]</f>
        <v>0</v>
      </c>
      <c r="N37" s="36">
        <f>tblTrainActual[[#Totals],[Dec]]+tblMarkActual[[#Totals],[Dec]]+tblOffActual[[#Totals],[Dec]]+tblEmplActual[[#Totals],[Dec]]</f>
        <v>0</v>
      </c>
      <c r="O37" s="36">
        <f>tblTrainActual[[#Totals],[YEAR]]+tblMarkActual[[#Totals],[YEAR]]+tblOffActual[[#Totals],[YEAR]]+tblEmplActual[[#Totals],[YEAR]]</f>
        <v>782939</v>
      </c>
    </row>
    <row r="38" spans="2:15" ht="21" customHeight="1" x14ac:dyDescent="0.35">
      <c r="B38" s="33" t="s">
        <v>44</v>
      </c>
      <c r="C38" s="36">
        <f t="shared" ref="C38:N38" si="5">SUM($C$37:C37)</f>
        <v>129682</v>
      </c>
      <c r="D38" s="36">
        <f t="shared" si="5"/>
        <v>257486</v>
      </c>
      <c r="E38" s="36">
        <f t="shared" si="5"/>
        <v>383051</v>
      </c>
      <c r="F38" s="36">
        <f t="shared" si="5"/>
        <v>520445</v>
      </c>
      <c r="G38" s="36">
        <f t="shared" si="5"/>
        <v>648700</v>
      </c>
      <c r="H38" s="36">
        <f t="shared" si="5"/>
        <v>782939</v>
      </c>
      <c r="I38" s="36">
        <f t="shared" si="5"/>
        <v>782939</v>
      </c>
      <c r="J38" s="36">
        <f t="shared" si="5"/>
        <v>782939</v>
      </c>
      <c r="K38" s="36">
        <f t="shared" si="5"/>
        <v>782939</v>
      </c>
      <c r="L38" s="36">
        <f t="shared" si="5"/>
        <v>782939</v>
      </c>
      <c r="M38" s="36">
        <f t="shared" si="5"/>
        <v>782939</v>
      </c>
      <c r="N38" s="36">
        <f t="shared" si="5"/>
        <v>782939</v>
      </c>
      <c r="O38" s="24"/>
    </row>
    <row r="39" spans="2:15" ht="21" customHeight="1" x14ac:dyDescent="0.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2:15" ht="21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2:15" ht="21" customHeight="1" x14ac:dyDescent="0.3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2:15" ht="21" customHeight="1" x14ac:dyDescent="0.3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</sheetData>
  <mergeCells count="4">
    <mergeCell ref="B35:C35"/>
    <mergeCell ref="B30:C30"/>
    <mergeCell ref="B21:C21"/>
    <mergeCell ref="B10:C10"/>
  </mergeCell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ignoredErrors>
    <ignoredError sqref="C7 D7:H7" calculatedColumn="1"/>
  </ignoredErrors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  <pageSetUpPr autoPageBreaks="0" fitToPage="1"/>
  </sheetPr>
  <dimension ref="B1:O39"/>
  <sheetViews>
    <sheetView showGridLines="0" zoomScaleNormal="100" workbookViewId="0"/>
  </sheetViews>
  <sheetFormatPr defaultRowHeight="21" customHeight="1" x14ac:dyDescent="0.3"/>
  <cols>
    <col min="1" max="1" width="2" style="13" customWidth="1"/>
    <col min="2" max="2" width="31.6640625" style="13" customWidth="1"/>
    <col min="3" max="9" width="13.83203125" style="13" customWidth="1"/>
    <col min="10" max="15" width="15.6640625" style="13" customWidth="1"/>
    <col min="16" max="16" width="9.33203125" style="13" customWidth="1"/>
    <col min="17" max="16384" width="9.33203125" style="13"/>
  </cols>
  <sheetData>
    <row r="1" spans="2:15" ht="9.9499999999999993" customHeight="1" x14ac:dyDescent="0.3">
      <c r="N1" s="1"/>
      <c r="O1" s="1"/>
    </row>
    <row r="2" spans="2:15" ht="27" customHeight="1" x14ac:dyDescent="0.35">
      <c r="B2" s="22" t="str">
        <f>'PLANNED EXPENSES'!B2</f>
        <v>&lt;Company Name&gt;</v>
      </c>
      <c r="C2" s="2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8.75" customHeight="1" x14ac:dyDescent="0.3">
      <c r="B3" s="15" t="s">
        <v>1</v>
      </c>
      <c r="C3" s="4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ht="15" customHeight="1" x14ac:dyDescent="0.3">
      <c r="B4" s="37" t="s">
        <v>52</v>
      </c>
      <c r="C4" s="7"/>
      <c r="D4" s="7"/>
      <c r="E4" s="8"/>
      <c r="F4" s="7"/>
      <c r="G4" s="7"/>
      <c r="H4" s="7"/>
      <c r="I4" s="7"/>
      <c r="J4" s="7"/>
      <c r="K4" s="7"/>
      <c r="L4" s="7"/>
      <c r="M4" s="7"/>
      <c r="N4" s="7"/>
      <c r="O4" s="7"/>
    </row>
    <row r="5" spans="2:15" s="1" customFormat="1" ht="21" customHeight="1" x14ac:dyDescent="0.3">
      <c r="B5" s="19" t="s">
        <v>45</v>
      </c>
      <c r="C5" s="17" t="s">
        <v>3</v>
      </c>
      <c r="D5" s="17" t="s">
        <v>4</v>
      </c>
      <c r="E5" s="18" t="s">
        <v>5</v>
      </c>
      <c r="F5" s="17" t="s">
        <v>6</v>
      </c>
      <c r="G5" s="17" t="s">
        <v>7</v>
      </c>
      <c r="H5" s="17" t="s">
        <v>8</v>
      </c>
      <c r="I5" s="18" t="s">
        <v>9</v>
      </c>
      <c r="J5" s="17" t="s">
        <v>10</v>
      </c>
      <c r="K5" s="17" t="s">
        <v>11</v>
      </c>
      <c r="L5" s="17" t="s">
        <v>12</v>
      </c>
      <c r="M5" s="17" t="s">
        <v>13</v>
      </c>
      <c r="N5" s="18" t="s">
        <v>14</v>
      </c>
      <c r="O5" s="17" t="s">
        <v>15</v>
      </c>
    </row>
    <row r="6" spans="2:15" s="14" customFormat="1" ht="21" customHeight="1" x14ac:dyDescent="0.3">
      <c r="B6" s="42" t="s">
        <v>16</v>
      </c>
      <c r="C6" s="49" t="s">
        <v>3</v>
      </c>
      <c r="D6" s="49" t="s">
        <v>4</v>
      </c>
      <c r="E6" s="50" t="s">
        <v>5</v>
      </c>
      <c r="F6" s="49" t="s">
        <v>6</v>
      </c>
      <c r="G6" s="49" t="s">
        <v>7</v>
      </c>
      <c r="H6" s="49" t="s">
        <v>8</v>
      </c>
      <c r="I6" s="49" t="s">
        <v>9</v>
      </c>
      <c r="J6" s="49" t="s">
        <v>10</v>
      </c>
      <c r="K6" s="49" t="s">
        <v>11</v>
      </c>
      <c r="L6" s="49" t="s">
        <v>12</v>
      </c>
      <c r="M6" s="49" t="s">
        <v>13</v>
      </c>
      <c r="N6" s="49" t="s">
        <v>14</v>
      </c>
      <c r="O6" s="49" t="s">
        <v>15</v>
      </c>
    </row>
    <row r="7" spans="2:15" ht="21" customHeight="1" x14ac:dyDescent="0.35">
      <c r="B7" s="43" t="s">
        <v>17</v>
      </c>
      <c r="C7" s="44">
        <f>INDEX(tblEmplPlan[],MATCH(INDEX(tblEmplVar[],ROW()-ROW(tblEmplVar[[#Headers],[Jan]]),1),INDEX(tblEmplPlan[],,1),0),MATCH(tblEmplVar[[#Headers],[Jan]],tblEmplPlan[#Headers],0))-INDEX(tblEmplActual[],MATCH(INDEX(tblEmplVar[],ROW()-ROW(tblEmplVar[[#Headers],[Jan]]),1),INDEX(tblEmplPlan[],,1),0),MATCH(tblEmplVar[[#Headers],[Jan]],tblEmplActual[#Headers],0))</f>
        <v>0</v>
      </c>
      <c r="D7" s="44">
        <f>INDEX(tblEmplPlan[],MATCH(INDEX(tblEmplVar[],ROW()-ROW(tblEmplVar[[#Headers],[Feb]]),1),INDEX(tblEmplPlan[],,1),0),MATCH(tblEmplVar[[#Headers],[Feb]],tblEmplPlan[#Headers],0))-INDEX(tblEmplActual[],MATCH(INDEX(tblEmplVar[],ROW()-ROW(tblEmplVar[[#Headers],[Feb]]),1),INDEX(tblEmplPlan[],,1),0),MATCH(tblEmplVar[[#Headers],[Feb]],tblEmplActual[#Headers],0))</f>
        <v>0</v>
      </c>
      <c r="E7" s="44">
        <f>INDEX(tblEmplPlan[],MATCH(INDEX(tblEmplVar[],ROW()-ROW(tblEmplVar[[#Headers],[Mar]]),1),INDEX(tblEmplPlan[],,1),0),MATCH(tblEmplVar[[#Headers],[Mar]],tblEmplPlan[#Headers],0))-INDEX(tblEmplActual[],MATCH(INDEX(tblEmplVar[],ROW()-ROW(tblEmplVar[[#Headers],[Mar]]),1),INDEX(tblEmplPlan[],,1),0),MATCH(tblEmplVar[[#Headers],[Mar]],tblEmplActual[#Headers],0))</f>
        <v>0</v>
      </c>
      <c r="F7" s="44">
        <f>INDEX(tblEmplPlan[],MATCH(INDEX(tblEmplVar[],ROW()-ROW(tblEmplVar[[#Headers],[Apr]]),1),INDEX(tblEmplPlan[],,1),0),MATCH(tblEmplVar[[#Headers],[Apr]],tblEmplPlan[#Headers],0))-INDEX(tblEmplActual[],MATCH(INDEX(tblEmplVar[],ROW()-ROW(tblEmplVar[[#Headers],[Apr]]),1),INDEX(tblEmplPlan[],,1),0),MATCH(tblEmplVar[[#Headers],[Apr]],tblEmplActual[#Headers],0))</f>
        <v>-500</v>
      </c>
      <c r="G7" s="44">
        <f>INDEX(tblEmplPlan[],MATCH(INDEX(tblEmplVar[],ROW()-ROW(tblEmplVar[[#Headers],[May]]),1),INDEX(tblEmplPlan[],,1),0),MATCH(tblEmplVar[[#Headers],[May]],tblEmplPlan[#Headers],0))-INDEX(tblEmplActual[],MATCH(INDEX(tblEmplVar[],ROW()-ROW(tblEmplVar[[#Headers],[May]]),1),INDEX(tblEmplPlan[],,1),0),MATCH(tblEmplVar[[#Headers],[May]],tblEmplActual[#Headers],0))</f>
        <v>-500</v>
      </c>
      <c r="H7" s="44">
        <f>INDEX(tblEmplPlan[],MATCH(INDEX(tblEmplVar[],ROW()-ROW(tblEmplVar[[#Headers],[Jun]]),1),INDEX(tblEmplPlan[],,1),0),MATCH(tblEmplVar[[#Headers],[Jun]],tblEmplPlan[#Headers],0))-INDEX(tblEmplActual[],MATCH(INDEX(tblEmplVar[],ROW()-ROW(tblEmplVar[[#Headers],[Jun]]),1),INDEX(tblEmplPlan[],,1),0),MATCH(tblEmplVar[[#Headers],[Jun]],tblEmplActual[#Headers],0))</f>
        <v>-500</v>
      </c>
      <c r="I7" s="44">
        <f>INDEX(tblEmplPlan[],MATCH(INDEX(tblEmplVar[],ROW()-ROW(tblEmplVar[[#Headers],[Jul]]),1),INDEX(tblEmplPlan[],,1),0),MATCH(tblEmplVar[[#Headers],[Jul]],tblEmplPlan[#Headers],0))-INDEX(tblEmplActual[],MATCH(INDEX(tblEmplVar[],ROW()-ROW(tblEmplVar[[#Headers],[Jul]]),1),INDEX(tblEmplPlan[],,1),0),MATCH(tblEmplVar[[#Headers],[Jul]],tblEmplActual[#Headers],0))</f>
        <v>87500</v>
      </c>
      <c r="J7" s="44">
        <f>INDEX(tblEmplPlan[],MATCH(INDEX(tblEmplVar[],ROW()-ROW(tblEmplVar[[#Headers],[Aug]]),1),INDEX(tblEmplPlan[],,1),0),MATCH(tblEmplVar[[#Headers],[Aug]],tblEmplPlan[#Headers],0))-INDEX(tblEmplActual[],MATCH(INDEX(tblEmplVar[],ROW()-ROW(tblEmplVar[[#Headers],[Aug]]),1),INDEX(tblEmplPlan[],,1),0),MATCH(tblEmplVar[[#Headers],[Aug]],tblEmplActual[#Headers],0))</f>
        <v>92400</v>
      </c>
      <c r="K7" s="44">
        <f>INDEX(tblEmplPlan[],MATCH(INDEX(tblEmplVar[],ROW()-ROW(tblEmplVar[[#Headers],[Sep]]),1),INDEX(tblEmplPlan[],,1),0),MATCH(tblEmplVar[[#Headers],[Sep]],tblEmplPlan[#Headers],0))-INDEX(tblEmplActual[],MATCH(INDEX(tblEmplVar[],ROW()-ROW(tblEmplVar[[#Headers],[Sep]]),1),INDEX(tblEmplPlan[],,1),0),MATCH(tblEmplVar[[#Headers],[Sep]],tblEmplActual[#Headers],0))</f>
        <v>92400</v>
      </c>
      <c r="L7" s="44">
        <f>INDEX(tblEmplPlan[],MATCH(INDEX(tblEmplVar[],ROW()-ROW(tblEmplVar[[#Headers],[Oct]]),1),INDEX(tblEmplPlan[],,1),0),MATCH(tblEmplVar[[#Headers],[Oct]],tblEmplPlan[#Headers],0))-INDEX(tblEmplActual[],MATCH(INDEX(tblEmplVar[],ROW()-ROW(tblEmplVar[[#Headers],[Oct]]),1),INDEX(tblEmplPlan[],,1),0),MATCH(tblEmplVar[[#Headers],[Oct]],tblEmplActual[#Headers],0))</f>
        <v>92400</v>
      </c>
      <c r="M7" s="44">
        <f>INDEX(tblEmplPlan[],MATCH(INDEX(tblEmplVar[],ROW()-ROW(tblEmplVar[[#Headers],[Nov]]),1),INDEX(tblEmplPlan[],,1),0),MATCH(tblEmplVar[[#Headers],[Nov]],tblEmplPlan[#Headers],0))-INDEX(tblEmplActual[],MATCH(INDEX(tblEmplVar[],ROW()-ROW(tblEmplVar[[#Headers],[Nov]]),1),INDEX(tblEmplPlan[],,1),0),MATCH(tblEmplVar[[#Headers],[Nov]],tblEmplActual[#Headers],0))</f>
        <v>92400</v>
      </c>
      <c r="N7" s="44">
        <f>INDEX(tblEmplPlan[],MATCH(INDEX(tblEmplVar[],ROW()-ROW(tblEmplVar[[#Headers],[Dec]]),1),INDEX(tblEmplPlan[],,1),0),MATCH(tblEmplVar[[#Headers],[Dec]],tblEmplPlan[#Headers],0))-INDEX(tblEmplActual[],MATCH(INDEX(tblEmplVar[],ROW()-ROW(tblEmplVar[[#Headers],[Dec]]),1),INDEX(tblEmplPlan[],,1),0),MATCH(tblEmplVar[[#Headers],[Dec]],tblEmplActual[#Headers],0))</f>
        <v>92400</v>
      </c>
      <c r="O7" s="44">
        <f>SUM(tblEmplVar[[#This Row],[Jan]:[Dec]])</f>
        <v>548000</v>
      </c>
    </row>
    <row r="8" spans="2:15" ht="21" customHeight="1" x14ac:dyDescent="0.35">
      <c r="B8" s="43" t="s">
        <v>18</v>
      </c>
      <c r="C8" s="44">
        <f>INDEX(tblEmplPlan[],MATCH(INDEX(tblEmplVar[],ROW()-ROW(tblEmplVar[[#Headers],[Jan]]),1),INDEX(tblEmplPlan[],,1),0),MATCH(tblEmplVar[[#Headers],[Jan]],tblEmplPlan[#Headers],0))-INDEX(tblEmplActual[],MATCH(INDEX(tblEmplVar[],ROW()-ROW(tblEmplVar[[#Headers],[Jan]]),1),INDEX(tblEmplPlan[],,1),0),MATCH(tblEmplVar[[#Headers],[Jan]],tblEmplActual[#Headers],0))</f>
        <v>0</v>
      </c>
      <c r="D8" s="44">
        <f>INDEX(tblEmplPlan[],MATCH(INDEX(tblEmplVar[],ROW()-ROW(tblEmplVar[[#Headers],[Feb]]),1),INDEX(tblEmplPlan[],,1),0),MATCH(tblEmplVar[[#Headers],[Feb]],tblEmplPlan[#Headers],0))-INDEX(tblEmplActual[],MATCH(INDEX(tblEmplVar[],ROW()-ROW(tblEmplVar[[#Headers],[Feb]]),1),INDEX(tblEmplPlan[],,1),0),MATCH(tblEmplVar[[#Headers],[Feb]],tblEmplActual[#Headers],0))</f>
        <v>0</v>
      </c>
      <c r="E8" s="44">
        <f>INDEX(tblEmplPlan[],MATCH(INDEX(tblEmplVar[],ROW()-ROW(tblEmplVar[[#Headers],[Mar]]),1),INDEX(tblEmplPlan[],,1),0),MATCH(tblEmplVar[[#Headers],[Mar]],tblEmplPlan[#Headers],0))-INDEX(tblEmplActual[],MATCH(INDEX(tblEmplVar[],ROW()-ROW(tblEmplVar[[#Headers],[Mar]]),1),INDEX(tblEmplPlan[],,1),0),MATCH(tblEmplVar[[#Headers],[Mar]],tblEmplActual[#Headers],0))</f>
        <v>0</v>
      </c>
      <c r="F8" s="44">
        <f>INDEX(tblEmplPlan[],MATCH(INDEX(tblEmplVar[],ROW()-ROW(tblEmplVar[[#Headers],[Apr]]),1),INDEX(tblEmplPlan[],,1),0),MATCH(tblEmplVar[[#Headers],[Apr]],tblEmplPlan[#Headers],0))-INDEX(tblEmplActual[],MATCH(INDEX(tblEmplVar[],ROW()-ROW(tblEmplVar[[#Headers],[Apr]]),1),INDEX(tblEmplPlan[],,1),0),MATCH(tblEmplVar[[#Headers],[Apr]],tblEmplActual[#Headers],0))</f>
        <v>-135</v>
      </c>
      <c r="G8" s="44">
        <f>INDEX(tblEmplPlan[],MATCH(INDEX(tblEmplVar[],ROW()-ROW(tblEmplVar[[#Headers],[May]]),1),INDEX(tblEmplPlan[],,1),0),MATCH(tblEmplVar[[#Headers],[May]],tblEmplPlan[#Headers],0))-INDEX(tblEmplActual[],MATCH(INDEX(tblEmplVar[],ROW()-ROW(tblEmplVar[[#Headers],[May]]),1),INDEX(tblEmplPlan[],,1),0),MATCH(tblEmplVar[[#Headers],[May]],tblEmplActual[#Headers],0))</f>
        <v>-135</v>
      </c>
      <c r="H8" s="44">
        <f>INDEX(tblEmplPlan[],MATCH(INDEX(tblEmplVar[],ROW()-ROW(tblEmplVar[[#Headers],[Jun]]),1),INDEX(tblEmplPlan[],,1),0),MATCH(tblEmplVar[[#Headers],[Jun]],tblEmplPlan[#Headers],0))-INDEX(tblEmplActual[],MATCH(INDEX(tblEmplVar[],ROW()-ROW(tblEmplVar[[#Headers],[Jun]]),1),INDEX(tblEmplPlan[],,1),0),MATCH(tblEmplVar[[#Headers],[Jun]],tblEmplActual[#Headers],0))</f>
        <v>-135</v>
      </c>
      <c r="I8" s="44">
        <f>INDEX(tblEmplPlan[],MATCH(INDEX(tblEmplVar[],ROW()-ROW(tblEmplVar[[#Headers],[Jul]]),1),INDEX(tblEmplPlan[],,1),0),MATCH(tblEmplVar[[#Headers],[Jul]],tblEmplPlan[#Headers],0))-INDEX(tblEmplActual[],MATCH(INDEX(tblEmplVar[],ROW()-ROW(tblEmplVar[[#Headers],[Jul]]),1),INDEX(tblEmplPlan[],,1),0),MATCH(tblEmplVar[[#Headers],[Jul]],tblEmplActual[#Headers],0))</f>
        <v>23625</v>
      </c>
      <c r="J8" s="44">
        <f>INDEX(tblEmplPlan[],MATCH(INDEX(tblEmplVar[],ROW()-ROW(tblEmplVar[[#Headers],[Aug]]),1),INDEX(tblEmplPlan[],,1),0),MATCH(tblEmplVar[[#Headers],[Aug]],tblEmplPlan[#Headers],0))-INDEX(tblEmplActual[],MATCH(INDEX(tblEmplVar[],ROW()-ROW(tblEmplVar[[#Headers],[Aug]]),1),INDEX(tblEmplPlan[],,1),0),MATCH(tblEmplVar[[#Headers],[Aug]],tblEmplActual[#Headers],0))</f>
        <v>24948</v>
      </c>
      <c r="K8" s="44">
        <f>INDEX(tblEmplPlan[],MATCH(INDEX(tblEmplVar[],ROW()-ROW(tblEmplVar[[#Headers],[Sep]]),1),INDEX(tblEmplPlan[],,1),0),MATCH(tblEmplVar[[#Headers],[Sep]],tblEmplPlan[#Headers],0))-INDEX(tblEmplActual[],MATCH(INDEX(tblEmplVar[],ROW()-ROW(tblEmplVar[[#Headers],[Sep]]),1),INDEX(tblEmplPlan[],,1),0),MATCH(tblEmplVar[[#Headers],[Sep]],tblEmplActual[#Headers],0))</f>
        <v>24948</v>
      </c>
      <c r="L8" s="44">
        <f>INDEX(tblEmplPlan[],MATCH(INDEX(tblEmplVar[],ROW()-ROW(tblEmplVar[[#Headers],[Oct]]),1),INDEX(tblEmplPlan[],,1),0),MATCH(tblEmplVar[[#Headers],[Oct]],tblEmplPlan[#Headers],0))-INDEX(tblEmplActual[],MATCH(INDEX(tblEmplVar[],ROW()-ROW(tblEmplVar[[#Headers],[Oct]]),1),INDEX(tblEmplPlan[],,1),0),MATCH(tblEmplVar[[#Headers],[Oct]],tblEmplActual[#Headers],0))</f>
        <v>24948</v>
      </c>
      <c r="M8" s="44">
        <f>INDEX(tblEmplPlan[],MATCH(INDEX(tblEmplVar[],ROW()-ROW(tblEmplVar[[#Headers],[Nov]]),1),INDEX(tblEmplPlan[],,1),0),MATCH(tblEmplVar[[#Headers],[Nov]],tblEmplPlan[#Headers],0))-INDEX(tblEmplActual[],MATCH(INDEX(tblEmplVar[],ROW()-ROW(tblEmplVar[[#Headers],[Nov]]),1),INDEX(tblEmplPlan[],,1),0),MATCH(tblEmplVar[[#Headers],[Nov]],tblEmplActual[#Headers],0))</f>
        <v>24948</v>
      </c>
      <c r="N8" s="44">
        <f>INDEX(tblEmplPlan[],MATCH(INDEX(tblEmplVar[],ROW()-ROW(tblEmplVar[[#Headers],[Dec]]),1),INDEX(tblEmplPlan[],,1),0),MATCH(tblEmplVar[[#Headers],[Dec]],tblEmplPlan[#Headers],0))-INDEX(tblEmplActual[],MATCH(INDEX(tblEmplVar[],ROW()-ROW(tblEmplVar[[#Headers],[Dec]]),1),INDEX(tblEmplPlan[],,1),0),MATCH(tblEmplVar[[#Headers],[Dec]],tblEmplActual[#Headers],0))</f>
        <v>24948</v>
      </c>
      <c r="O8" s="44">
        <f>SUM(tblEmplVar[[#This Row],[Jan]:[Dec]])</f>
        <v>147960</v>
      </c>
    </row>
    <row r="9" spans="2:15" ht="21" customHeight="1" x14ac:dyDescent="0.35">
      <c r="B9" s="48" t="s">
        <v>19</v>
      </c>
      <c r="C9" s="52">
        <f>SUBTOTAL(109,tblEmplVar[Jan])</f>
        <v>0</v>
      </c>
      <c r="D9" s="52">
        <f>SUBTOTAL(109,tblEmplVar[Feb])</f>
        <v>0</v>
      </c>
      <c r="E9" s="52">
        <f>SUBTOTAL(109,tblEmplVar[Mar])</f>
        <v>0</v>
      </c>
      <c r="F9" s="52">
        <f>SUBTOTAL(109,tblEmplVar[Apr])</f>
        <v>-635</v>
      </c>
      <c r="G9" s="52">
        <f>SUBTOTAL(109,tblEmplVar[May])</f>
        <v>-635</v>
      </c>
      <c r="H9" s="52">
        <f>SUBTOTAL(109,tblEmplVar[Jun])</f>
        <v>-635</v>
      </c>
      <c r="I9" s="52">
        <f>SUBTOTAL(109,tblEmplVar[Jul])</f>
        <v>111125</v>
      </c>
      <c r="J9" s="52">
        <f>SUBTOTAL(109,tblEmplVar[Aug])</f>
        <v>117348</v>
      </c>
      <c r="K9" s="52">
        <f>SUBTOTAL(109,tblEmplVar[Sep])</f>
        <v>117348</v>
      </c>
      <c r="L9" s="52">
        <f>SUBTOTAL(109,tblEmplVar[Oct])</f>
        <v>117348</v>
      </c>
      <c r="M9" s="52">
        <f>SUBTOTAL(109,tblEmplVar[Nov])</f>
        <v>117348</v>
      </c>
      <c r="N9" s="52">
        <f>SUBTOTAL(109,tblEmplVar[Dec])</f>
        <v>117348</v>
      </c>
      <c r="O9" s="52">
        <f>SUBTOTAL(109,tblEmplVar[YEAR])</f>
        <v>695960</v>
      </c>
    </row>
    <row r="10" spans="2:15" ht="21" customHeight="1" x14ac:dyDescent="0.3">
      <c r="B10" s="58"/>
      <c r="C10" s="58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15" ht="21" customHeight="1" x14ac:dyDescent="0.3">
      <c r="B11" s="42" t="s">
        <v>20</v>
      </c>
      <c r="C11" s="49" t="s">
        <v>3</v>
      </c>
      <c r="D11" s="49" t="s">
        <v>4</v>
      </c>
      <c r="E11" s="50" t="s">
        <v>5</v>
      </c>
      <c r="F11" s="49" t="s">
        <v>6</v>
      </c>
      <c r="G11" s="49" t="s">
        <v>7</v>
      </c>
      <c r="H11" s="49" t="s">
        <v>8</v>
      </c>
      <c r="I11" s="49" t="s">
        <v>9</v>
      </c>
      <c r="J11" s="49" t="s">
        <v>10</v>
      </c>
      <c r="K11" s="49" t="s">
        <v>11</v>
      </c>
      <c r="L11" s="49" t="s">
        <v>12</v>
      </c>
      <c r="M11" s="49" t="s">
        <v>13</v>
      </c>
      <c r="N11" s="49" t="s">
        <v>14</v>
      </c>
      <c r="O11" s="49" t="s">
        <v>15</v>
      </c>
    </row>
    <row r="12" spans="2:15" ht="21" customHeight="1" x14ac:dyDescent="0.35">
      <c r="B12" s="43" t="s">
        <v>21</v>
      </c>
      <c r="C12" s="44">
        <f>INDEX(tblOffPlan[],MATCH(INDEX(tblOffVar[],ROW()-ROW(tblOffVar[[#Headers],[Jan]]),1),INDEX(tblOffPlan[],,1),0),MATCH(tblOffVar[[#Headers],[Jan]],tblOffPlan[#Headers],0))-INDEX(tblOffActual[],MATCH(INDEX(tblOffVar[],ROW()-ROW(tblOffVar[[#Headers],[Jan]]),1),INDEX(tblOffPlan[],,1),0),MATCH(tblOffVar[[#Headers],[Jan]],tblOffActual[#Headers],0))</f>
        <v>0</v>
      </c>
      <c r="D12" s="44">
        <f>INDEX(tblOffPlan[],MATCH(INDEX(tblOffVar[],ROW()-ROW(tblOffVar[[#Headers],[Feb]]),1),INDEX(tblOffPlan[],,1),0),MATCH(tblOffVar[[#Headers],[Feb]],tblOffPlan[#Headers],0))-INDEX(tblOffActual[],MATCH(INDEX(tblOffVar[],ROW()-ROW(tblOffVar[[#Headers],[Feb]]),1),INDEX(tblOffPlan[],,1),0),MATCH(tblOffVar[[#Headers],[Feb]],tblOffActual[#Headers],0))</f>
        <v>0</v>
      </c>
      <c r="E12" s="44">
        <f>INDEX(tblOffPlan[],MATCH(INDEX(tblOffVar[],ROW()-ROW(tblOffVar[[#Headers],[Mar]]),1),INDEX(tblOffPlan[],,1),0),MATCH(tblOffVar[[#Headers],[Mar]],tblOffPlan[#Headers],0))-INDEX(tblOffActual[],MATCH(INDEX(tblOffVar[],ROW()-ROW(tblOffVar[[#Headers],[Mar]]),1),INDEX(tblOffPlan[],,1),0),MATCH(tblOffVar[[#Headers],[Mar]],tblOffActual[#Headers],0))</f>
        <v>0</v>
      </c>
      <c r="F12" s="44">
        <f>INDEX(tblOffPlan[],MATCH(INDEX(tblOffVar[],ROW()-ROW(tblOffVar[[#Headers],[Apr]]),1),INDEX(tblOffPlan[],,1),0),MATCH(tblOffVar[[#Headers],[Apr]],tblOffPlan[#Headers],0))-INDEX(tblOffActual[],MATCH(INDEX(tblOffVar[],ROW()-ROW(tblOffVar[[#Headers],[Apr]]),1),INDEX(tblOffPlan[],,1),0),MATCH(tblOffVar[[#Headers],[Apr]],tblOffActual[#Headers],0))</f>
        <v>0</v>
      </c>
      <c r="G12" s="44">
        <f>INDEX(tblOffPlan[],MATCH(INDEX(tblOffVar[],ROW()-ROW(tblOffVar[[#Headers],[May]]),1),INDEX(tblOffPlan[],,1),0),MATCH(tblOffVar[[#Headers],[May]],tblOffPlan[#Headers],0))-INDEX(tblOffActual[],MATCH(INDEX(tblOffVar[],ROW()-ROW(tblOffVar[[#Headers],[May]]),1),INDEX(tblOffPlan[],,1),0),MATCH(tblOffVar[[#Headers],[May]],tblOffActual[#Headers],0))</f>
        <v>0</v>
      </c>
      <c r="H12" s="44">
        <f>INDEX(tblOffPlan[],MATCH(INDEX(tblOffVar[],ROW()-ROW(tblOffVar[[#Headers],[Jun]]),1),INDEX(tblOffPlan[],,1),0),MATCH(tblOffVar[[#Headers],[Jun]],tblOffPlan[#Headers],0))-INDEX(tblOffActual[],MATCH(INDEX(tblOffVar[],ROW()-ROW(tblOffVar[[#Headers],[Jun]]),1),INDEX(tblOffPlan[],,1),0),MATCH(tblOffVar[[#Headers],[Jun]],tblOffActual[#Headers],0))</f>
        <v>0</v>
      </c>
      <c r="I12" s="44">
        <f>INDEX(tblOffPlan[],MATCH(INDEX(tblOffVar[],ROW()-ROW(tblOffVar[[#Headers],[Jul]]),1),INDEX(tblOffPlan[],,1),0),MATCH(tblOffVar[[#Headers],[Jul]],tblOffPlan[#Headers],0))-INDEX(tblOffActual[],MATCH(INDEX(tblOffVar[],ROW()-ROW(tblOffVar[[#Headers],[Jul]]),1),INDEX(tblOffPlan[],,1),0),MATCH(tblOffVar[[#Headers],[Jul]],tblOffActual[#Headers],0))</f>
        <v>9800</v>
      </c>
      <c r="J12" s="44">
        <f>INDEX(tblOffPlan[],MATCH(INDEX(tblOffVar[],ROW()-ROW(tblOffVar[[#Headers],[Aug]]),1),INDEX(tblOffPlan[],,1),0),MATCH(tblOffVar[[#Headers],[Aug]],tblOffPlan[#Headers],0))-INDEX(tblOffActual[],MATCH(INDEX(tblOffVar[],ROW()-ROW(tblOffVar[[#Headers],[Aug]]),1),INDEX(tblOffPlan[],,1),0),MATCH(tblOffVar[[#Headers],[Aug]],tblOffActual[#Headers],0))</f>
        <v>9800</v>
      </c>
      <c r="K12" s="44">
        <f>INDEX(tblOffPlan[],MATCH(INDEX(tblOffVar[],ROW()-ROW(tblOffVar[[#Headers],[Sep]]),1),INDEX(tblOffPlan[],,1),0),MATCH(tblOffVar[[#Headers],[Sep]],tblOffPlan[#Headers],0))-INDEX(tblOffActual[],MATCH(INDEX(tblOffVar[],ROW()-ROW(tblOffVar[[#Headers],[Sep]]),1),INDEX(tblOffPlan[],,1),0),MATCH(tblOffVar[[#Headers],[Sep]],tblOffActual[#Headers],0))</f>
        <v>9800</v>
      </c>
      <c r="L12" s="44">
        <f>INDEX(tblOffPlan[],MATCH(INDEX(tblOffVar[],ROW()-ROW(tblOffVar[[#Headers],[Oct]]),1),INDEX(tblOffPlan[],,1),0),MATCH(tblOffVar[[#Headers],[Oct]],tblOffPlan[#Headers],0))-INDEX(tblOffActual[],MATCH(INDEX(tblOffVar[],ROW()-ROW(tblOffVar[[#Headers],[Oct]]),1),INDEX(tblOffPlan[],,1),0),MATCH(tblOffVar[[#Headers],[Oct]],tblOffActual[#Headers],0))</f>
        <v>9800</v>
      </c>
      <c r="M12" s="44">
        <f>INDEX(tblOffPlan[],MATCH(INDEX(tblOffVar[],ROW()-ROW(tblOffVar[[#Headers],[Nov]]),1),INDEX(tblOffPlan[],,1),0),MATCH(tblOffVar[[#Headers],[Nov]],tblOffPlan[#Headers],0))-INDEX(tblOffActual[],MATCH(INDEX(tblOffVar[],ROW()-ROW(tblOffVar[[#Headers],[Nov]]),1),INDEX(tblOffPlan[],,1),0),MATCH(tblOffVar[[#Headers],[Nov]],tblOffActual[#Headers],0))</f>
        <v>9800</v>
      </c>
      <c r="N12" s="44">
        <f>INDEX(tblOffPlan[],MATCH(INDEX(tblOffVar[],ROW()-ROW(tblOffVar[[#Headers],[Dec]]),1),INDEX(tblOffPlan[],,1),0),MATCH(tblOffVar[[#Headers],[Dec]],tblOffPlan[#Headers],0))-INDEX(tblOffActual[],MATCH(INDEX(tblOffVar[],ROW()-ROW(tblOffVar[[#Headers],[Dec]]),1),INDEX(tblOffPlan[],,1),0),MATCH(tblOffVar[[#Headers],[Dec]],tblOffActual[#Headers],0))</f>
        <v>9800</v>
      </c>
      <c r="O12" s="44">
        <f>SUM(tblOffVar[[#This Row],[Jan]:[Dec]])</f>
        <v>58800</v>
      </c>
    </row>
    <row r="13" spans="2:15" ht="21" customHeight="1" x14ac:dyDescent="0.35">
      <c r="B13" s="43" t="s">
        <v>22</v>
      </c>
      <c r="C13" s="44">
        <f>INDEX(tblOffPlan[],MATCH(INDEX(tblOffVar[],ROW()-ROW(tblOffVar[[#Headers],[Jan]]),1),INDEX(tblOffPlan[],,1),0),MATCH(tblOffVar[[#Headers],[Jan]],tblOffPlan[#Headers],0))-INDEX(tblOffActual[],MATCH(INDEX(tblOffVar[],ROW()-ROW(tblOffVar[[#Headers],[Jan]]),1),INDEX(tblOffPlan[],,1),0),MATCH(tblOffVar[[#Headers],[Jan]],tblOffActual[#Headers],0))</f>
        <v>-4</v>
      </c>
      <c r="D13" s="44">
        <f>INDEX(tblOffPlan[],MATCH(INDEX(tblOffVar[],ROW()-ROW(tblOffVar[[#Headers],[Feb]]),1),INDEX(tblOffPlan[],,1),0),MATCH(tblOffVar[[#Headers],[Feb]],tblOffPlan[#Headers],0))-INDEX(tblOffActual[],MATCH(INDEX(tblOffVar[],ROW()-ROW(tblOffVar[[#Headers],[Feb]]),1),INDEX(tblOffPlan[],,1),0),MATCH(tblOffVar[[#Headers],[Feb]],tblOffActual[#Headers],0))</f>
        <v>-30</v>
      </c>
      <c r="E13" s="44">
        <f>INDEX(tblOffPlan[],MATCH(INDEX(tblOffVar[],ROW()-ROW(tblOffVar[[#Headers],[Mar]]),1),INDEX(tblOffPlan[],,1),0),MATCH(tblOffVar[[#Headers],[Mar]],tblOffPlan[#Headers],0))-INDEX(tblOffActual[],MATCH(INDEX(tblOffVar[],ROW()-ROW(tblOffVar[[#Headers],[Mar]]),1),INDEX(tblOffPlan[],,1),0),MATCH(tblOffVar[[#Headers],[Mar]],tblOffActual[#Headers],0))</f>
        <v>15</v>
      </c>
      <c r="F13" s="44">
        <f>INDEX(tblOffPlan[],MATCH(INDEX(tblOffVar[],ROW()-ROW(tblOffVar[[#Headers],[Apr]]),1),INDEX(tblOffPlan[],,1),0),MATCH(tblOffVar[[#Headers],[Apr]],tblOffPlan[#Headers],0))-INDEX(tblOffActual[],MATCH(INDEX(tblOffVar[],ROW()-ROW(tblOffVar[[#Headers],[Apr]]),1),INDEX(tblOffPlan[],,1),0),MATCH(tblOffVar[[#Headers],[Apr]],tblOffActual[#Headers],0))</f>
        <v>-130</v>
      </c>
      <c r="G13" s="44">
        <f>INDEX(tblOffPlan[],MATCH(INDEX(tblOffVar[],ROW()-ROW(tblOffVar[[#Headers],[May]]),1),INDEX(tblOffPlan[],,1),0),MATCH(tblOffVar[[#Headers],[May]],tblOffPlan[#Headers],0))-INDEX(tblOffActual[],MATCH(INDEX(tblOffVar[],ROW()-ROW(tblOffVar[[#Headers],[May]]),1),INDEX(tblOffPlan[],,1),0),MATCH(tblOffVar[[#Headers],[May]],tblOffActual[#Headers],0))</f>
        <v>13</v>
      </c>
      <c r="H13" s="44">
        <f>INDEX(tblOffPlan[],MATCH(INDEX(tblOffVar[],ROW()-ROW(tblOffVar[[#Headers],[Jun]]),1),INDEX(tblOffPlan[],,1),0),MATCH(tblOffVar[[#Headers],[Jun]],tblOffPlan[#Headers],0))-INDEX(tblOffActual[],MATCH(INDEX(tblOffVar[],ROW()-ROW(tblOffVar[[#Headers],[Jun]]),1),INDEX(tblOffPlan[],,1),0),MATCH(tblOffVar[[#Headers],[Jun]],tblOffActual[#Headers],0))</f>
        <v>12</v>
      </c>
      <c r="I13" s="44">
        <f>INDEX(tblOffPlan[],MATCH(INDEX(tblOffVar[],ROW()-ROW(tblOffVar[[#Headers],[Jul]]),1),INDEX(tblOffPlan[],,1),0),MATCH(tblOffVar[[#Headers],[Jul]],tblOffPlan[#Headers],0))-INDEX(tblOffActual[],MATCH(INDEX(tblOffVar[],ROW()-ROW(tblOffVar[[#Headers],[Jul]]),1),INDEX(tblOffPlan[],,1),0),MATCH(tblOffVar[[#Headers],[Jul]],tblOffActual[#Headers],0))</f>
        <v>100</v>
      </c>
      <c r="J13" s="44">
        <f>INDEX(tblOffPlan[],MATCH(INDEX(tblOffVar[],ROW()-ROW(tblOffVar[[#Headers],[Aug]]),1),INDEX(tblOffPlan[],,1),0),MATCH(tblOffVar[[#Headers],[Aug]],tblOffPlan[#Headers],0))-INDEX(tblOffActual[],MATCH(INDEX(tblOffVar[],ROW()-ROW(tblOffVar[[#Headers],[Aug]]),1),INDEX(tblOffPlan[],,1),0),MATCH(tblOffVar[[#Headers],[Aug]],tblOffActual[#Headers],0))</f>
        <v>100</v>
      </c>
      <c r="K13" s="44">
        <f>INDEX(tblOffPlan[],MATCH(INDEX(tblOffVar[],ROW()-ROW(tblOffVar[[#Headers],[Sep]]),1),INDEX(tblOffPlan[],,1),0),MATCH(tblOffVar[[#Headers],[Sep]],tblOffPlan[#Headers],0))-INDEX(tblOffActual[],MATCH(INDEX(tblOffVar[],ROW()-ROW(tblOffVar[[#Headers],[Sep]]),1),INDEX(tblOffPlan[],,1),0),MATCH(tblOffVar[[#Headers],[Sep]],tblOffActual[#Headers],0))</f>
        <v>100</v>
      </c>
      <c r="L13" s="44">
        <f>INDEX(tblOffPlan[],MATCH(INDEX(tblOffVar[],ROW()-ROW(tblOffVar[[#Headers],[Oct]]),1),INDEX(tblOffPlan[],,1),0),MATCH(tblOffVar[[#Headers],[Oct]],tblOffPlan[#Headers],0))-INDEX(tblOffActual[],MATCH(INDEX(tblOffVar[],ROW()-ROW(tblOffVar[[#Headers],[Oct]]),1),INDEX(tblOffPlan[],,1),0),MATCH(tblOffVar[[#Headers],[Oct]],tblOffActual[#Headers],0))</f>
        <v>100</v>
      </c>
      <c r="M13" s="44">
        <f>INDEX(tblOffPlan[],MATCH(INDEX(tblOffVar[],ROW()-ROW(tblOffVar[[#Headers],[Nov]]),1),INDEX(tblOffPlan[],,1),0),MATCH(tblOffVar[[#Headers],[Nov]],tblOffPlan[#Headers],0))-INDEX(tblOffActual[],MATCH(INDEX(tblOffVar[],ROW()-ROW(tblOffVar[[#Headers],[Nov]]),1),INDEX(tblOffPlan[],,1),0),MATCH(tblOffVar[[#Headers],[Nov]],tblOffActual[#Headers],0))</f>
        <v>400</v>
      </c>
      <c r="N13" s="44">
        <f>INDEX(tblOffPlan[],MATCH(INDEX(tblOffVar[],ROW()-ROW(tblOffVar[[#Headers],[Dec]]),1),INDEX(tblOffPlan[],,1),0),MATCH(tblOffVar[[#Headers],[Dec]],tblOffPlan[#Headers],0))-INDEX(tblOffActual[],MATCH(INDEX(tblOffVar[],ROW()-ROW(tblOffVar[[#Headers],[Dec]]),1),INDEX(tblOffPlan[],,1),0),MATCH(tblOffVar[[#Headers],[Dec]],tblOffActual[#Headers],0))</f>
        <v>400</v>
      </c>
      <c r="O13" s="44">
        <f>SUM(tblOffVar[[#This Row],[Jan]:[Dec]])</f>
        <v>1076</v>
      </c>
    </row>
    <row r="14" spans="2:15" ht="21" customHeight="1" x14ac:dyDescent="0.35">
      <c r="B14" s="43" t="s">
        <v>23</v>
      </c>
      <c r="C14" s="44">
        <f>INDEX(tblOffPlan[],MATCH(INDEX(tblOffVar[],ROW()-ROW(tblOffVar[[#Headers],[Jan]]),1),INDEX(tblOffPlan[],,1),0),MATCH(tblOffVar[[#Headers],[Jan]],tblOffPlan[#Headers],0))-INDEX(tblOffActual[],MATCH(INDEX(tblOffVar[],ROW()-ROW(tblOffVar[[#Headers],[Jan]]),1),INDEX(tblOffPlan[],,1),0),MATCH(tblOffVar[[#Headers],[Jan]],tblOffActual[#Headers],0))</f>
        <v>12</v>
      </c>
      <c r="D14" s="44">
        <f>INDEX(tblOffPlan[],MATCH(INDEX(tblOffVar[],ROW()-ROW(tblOffVar[[#Headers],[Feb]]),1),INDEX(tblOffPlan[],,1),0),MATCH(tblOffVar[[#Headers],[Feb]],tblOffPlan[#Headers],0))-INDEX(tblOffActual[],MATCH(INDEX(tblOffVar[],ROW()-ROW(tblOffVar[[#Headers],[Feb]]),1),INDEX(tblOffPlan[],,1),0),MATCH(tblOffVar[[#Headers],[Feb]],tblOffActual[#Headers],0))</f>
        <v>22</v>
      </c>
      <c r="E14" s="44">
        <f>INDEX(tblOffPlan[],MATCH(INDEX(tblOffVar[],ROW()-ROW(tblOffVar[[#Headers],[Mar]]),1),INDEX(tblOffPlan[],,1),0),MATCH(tblOffVar[[#Headers],[Mar]],tblOffPlan[#Headers],0))-INDEX(tblOffActual[],MATCH(INDEX(tblOffVar[],ROW()-ROW(tblOffVar[[#Headers],[Mar]]),1),INDEX(tblOffPlan[],,1),0),MATCH(tblOffVar[[#Headers],[Mar]],tblOffActual[#Headers],0))</f>
        <v>32</v>
      </c>
      <c r="F14" s="44">
        <f>INDEX(tblOffPlan[],MATCH(INDEX(tblOffVar[],ROW()-ROW(tblOffVar[[#Headers],[Apr]]),1),INDEX(tblOffPlan[],,1),0),MATCH(tblOffVar[[#Headers],[Apr]],tblOffPlan[#Headers],0))-INDEX(tblOffActual[],MATCH(INDEX(tblOffVar[],ROW()-ROW(tblOffVar[[#Headers],[Apr]]),1),INDEX(tblOffPlan[],,1),0),MATCH(tblOffVar[[#Headers],[Apr]],tblOffActual[#Headers],0))</f>
        <v>1</v>
      </c>
      <c r="G14" s="44">
        <f>INDEX(tblOffPlan[],MATCH(INDEX(tblOffVar[],ROW()-ROW(tblOffVar[[#Headers],[May]]),1),INDEX(tblOffPlan[],,1),0),MATCH(tblOffVar[[#Headers],[May]],tblOffPlan[#Headers],0))-INDEX(tblOffActual[],MATCH(INDEX(tblOffVar[],ROW()-ROW(tblOffVar[[#Headers],[May]]),1),INDEX(tblOffPlan[],,1),0),MATCH(tblOffVar[[#Headers],[May]],tblOffActual[#Headers],0))</f>
        <v>-6</v>
      </c>
      <c r="H14" s="44">
        <f>INDEX(tblOffPlan[],MATCH(INDEX(tblOffVar[],ROW()-ROW(tblOffVar[[#Headers],[Jun]]),1),INDEX(tblOffPlan[],,1),0),MATCH(tblOffVar[[#Headers],[Jun]],tblOffPlan[#Headers],0))-INDEX(tblOffActual[],MATCH(INDEX(tblOffVar[],ROW()-ROW(tblOffVar[[#Headers],[Jun]]),1),INDEX(tblOffPlan[],,1),0),MATCH(tblOffVar[[#Headers],[Jun]],tblOffActual[#Headers],0))</f>
        <v>10</v>
      </c>
      <c r="I14" s="44">
        <f>INDEX(tblOffPlan[],MATCH(INDEX(tblOffVar[],ROW()-ROW(tblOffVar[[#Headers],[Jul]]),1),INDEX(tblOffPlan[],,1),0),MATCH(tblOffVar[[#Headers],[Jul]],tblOffPlan[#Headers],0))-INDEX(tblOffActual[],MATCH(INDEX(tblOffVar[],ROW()-ROW(tblOffVar[[#Headers],[Jul]]),1),INDEX(tblOffPlan[],,1),0),MATCH(tblOffVar[[#Headers],[Jul]],tblOffActual[#Headers],0))</f>
        <v>300</v>
      </c>
      <c r="J14" s="44">
        <f>INDEX(tblOffPlan[],MATCH(INDEX(tblOffVar[],ROW()-ROW(tblOffVar[[#Headers],[Aug]]),1),INDEX(tblOffPlan[],,1),0),MATCH(tblOffVar[[#Headers],[Aug]],tblOffPlan[#Headers],0))-INDEX(tblOffActual[],MATCH(INDEX(tblOffVar[],ROW()-ROW(tblOffVar[[#Headers],[Aug]]),1),INDEX(tblOffPlan[],,1),0),MATCH(tblOffVar[[#Headers],[Aug]],tblOffActual[#Headers],0))</f>
        <v>300</v>
      </c>
      <c r="K14" s="44">
        <f>INDEX(tblOffPlan[],MATCH(INDEX(tblOffVar[],ROW()-ROW(tblOffVar[[#Headers],[Sep]]),1),INDEX(tblOffPlan[],,1),0),MATCH(tblOffVar[[#Headers],[Sep]],tblOffPlan[#Headers],0))-INDEX(tblOffActual[],MATCH(INDEX(tblOffVar[],ROW()-ROW(tblOffVar[[#Headers],[Sep]]),1),INDEX(tblOffPlan[],,1),0),MATCH(tblOffVar[[#Headers],[Sep]],tblOffActual[#Headers],0))</f>
        <v>300</v>
      </c>
      <c r="L14" s="44">
        <f>INDEX(tblOffPlan[],MATCH(INDEX(tblOffVar[],ROW()-ROW(tblOffVar[[#Headers],[Oct]]),1),INDEX(tblOffPlan[],,1),0),MATCH(tblOffVar[[#Headers],[Oct]],tblOffPlan[#Headers],0))-INDEX(tblOffActual[],MATCH(INDEX(tblOffVar[],ROW()-ROW(tblOffVar[[#Headers],[Oct]]),1),INDEX(tblOffPlan[],,1),0),MATCH(tblOffVar[[#Headers],[Oct]],tblOffActual[#Headers],0))</f>
        <v>300</v>
      </c>
      <c r="M14" s="44">
        <f>INDEX(tblOffPlan[],MATCH(INDEX(tblOffVar[],ROW()-ROW(tblOffVar[[#Headers],[Nov]]),1),INDEX(tblOffPlan[],,1),0),MATCH(tblOffVar[[#Headers],[Nov]],tblOffPlan[#Headers],0))-INDEX(tblOffActual[],MATCH(INDEX(tblOffVar[],ROW()-ROW(tblOffVar[[#Headers],[Nov]]),1),INDEX(tblOffPlan[],,1),0),MATCH(tblOffVar[[#Headers],[Nov]],tblOffActual[#Headers],0))</f>
        <v>300</v>
      </c>
      <c r="N14" s="44">
        <f>INDEX(tblOffPlan[],MATCH(INDEX(tblOffVar[],ROW()-ROW(tblOffVar[[#Headers],[Dec]]),1),INDEX(tblOffPlan[],,1),0),MATCH(tblOffVar[[#Headers],[Dec]],tblOffPlan[#Headers],0))-INDEX(tblOffActual[],MATCH(INDEX(tblOffVar[],ROW()-ROW(tblOffVar[[#Headers],[Dec]]),1),INDEX(tblOffPlan[],,1),0),MATCH(tblOffVar[[#Headers],[Dec]],tblOffActual[#Headers],0))</f>
        <v>300</v>
      </c>
      <c r="O14" s="44">
        <f>SUM(tblOffVar[[#This Row],[Jan]:[Dec]])</f>
        <v>1871</v>
      </c>
    </row>
    <row r="15" spans="2:15" ht="21" customHeight="1" x14ac:dyDescent="0.35">
      <c r="B15" s="43" t="s">
        <v>24</v>
      </c>
      <c r="C15" s="44">
        <f>INDEX(tblOffPlan[],MATCH(INDEX(tblOffVar[],ROW()-ROW(tblOffVar[[#Headers],[Jan]]),1),INDEX(tblOffPlan[],,1),0),MATCH(tblOffVar[[#Headers],[Jan]],tblOffPlan[#Headers],0))-INDEX(tblOffActual[],MATCH(INDEX(tblOffVar[],ROW()-ROW(tblOffVar[[#Headers],[Jan]]),1),INDEX(tblOffPlan[],,1),0),MATCH(tblOffVar[[#Headers],[Jan]],tblOffActual[#Headers],0))</f>
        <v>5</v>
      </c>
      <c r="D15" s="44">
        <f>INDEX(tblOffPlan[],MATCH(INDEX(tblOffVar[],ROW()-ROW(tblOffVar[[#Headers],[Feb]]),1),INDEX(tblOffPlan[],,1),0),MATCH(tblOffVar[[#Headers],[Feb]],tblOffPlan[#Headers],0))-INDEX(tblOffActual[],MATCH(INDEX(tblOffVar[],ROW()-ROW(tblOffVar[[#Headers],[Feb]]),1),INDEX(tblOffPlan[],,1),0),MATCH(tblOffVar[[#Headers],[Feb]],tblOffActual[#Headers],0))</f>
        <v>7</v>
      </c>
      <c r="E15" s="44">
        <f>INDEX(tblOffPlan[],MATCH(INDEX(tblOffVar[],ROW()-ROW(tblOffVar[[#Headers],[Mar]]),1),INDEX(tblOffPlan[],,1),0),MATCH(tblOffVar[[#Headers],[Mar]],tblOffPlan[#Headers],0))-INDEX(tblOffActual[],MATCH(INDEX(tblOffVar[],ROW()-ROW(tblOffVar[[#Headers],[Mar]]),1),INDEX(tblOffPlan[],,1),0),MATCH(tblOffVar[[#Headers],[Mar]],tblOffActual[#Headers],0))</f>
        <v>6</v>
      </c>
      <c r="F15" s="44">
        <f>INDEX(tblOffPlan[],MATCH(INDEX(tblOffVar[],ROW()-ROW(tblOffVar[[#Headers],[Apr]]),1),INDEX(tblOffPlan[],,1),0),MATCH(tblOffVar[[#Headers],[Apr]],tblOffPlan[#Headers],0))-INDEX(tblOffActual[],MATCH(INDEX(tblOffVar[],ROW()-ROW(tblOffVar[[#Headers],[Apr]]),1),INDEX(tblOffPlan[],,1),0),MATCH(tblOffVar[[#Headers],[Apr]],tblOffActual[#Headers],0))</f>
        <v>4</v>
      </c>
      <c r="G15" s="44">
        <f>INDEX(tblOffPlan[],MATCH(INDEX(tblOffVar[],ROW()-ROW(tblOffVar[[#Headers],[May]]),1),INDEX(tblOffPlan[],,1),0),MATCH(tblOffVar[[#Headers],[May]],tblOffPlan[#Headers],0))-INDEX(tblOffActual[],MATCH(INDEX(tblOffVar[],ROW()-ROW(tblOffVar[[#Headers],[May]]),1),INDEX(tblOffPlan[],,1),0),MATCH(tblOffVar[[#Headers],[May]],tblOffActual[#Headers],0))</f>
        <v>6</v>
      </c>
      <c r="H15" s="44">
        <f>INDEX(tblOffPlan[],MATCH(INDEX(tblOffVar[],ROW()-ROW(tblOffVar[[#Headers],[Jun]]),1),INDEX(tblOffPlan[],,1),0),MATCH(tblOffVar[[#Headers],[Jun]],tblOffPlan[#Headers],0))-INDEX(tblOffActual[],MATCH(INDEX(tblOffVar[],ROW()-ROW(tblOffVar[[#Headers],[Jun]]),1),INDEX(tblOffPlan[],,1),0),MATCH(tblOffVar[[#Headers],[Jun]],tblOffActual[#Headers],0))</f>
        <v>4</v>
      </c>
      <c r="I15" s="44">
        <f>INDEX(tblOffPlan[],MATCH(INDEX(tblOffVar[],ROW()-ROW(tblOffVar[[#Headers],[Jul]]),1),INDEX(tblOffPlan[],,1),0),MATCH(tblOffVar[[#Headers],[Jul]],tblOffPlan[#Headers],0))-INDEX(tblOffActual[],MATCH(INDEX(tblOffVar[],ROW()-ROW(tblOffVar[[#Headers],[Jul]]),1),INDEX(tblOffPlan[],,1),0),MATCH(tblOffVar[[#Headers],[Jul]],tblOffActual[#Headers],0))</f>
        <v>40</v>
      </c>
      <c r="J15" s="44">
        <f>INDEX(tblOffPlan[],MATCH(INDEX(tblOffVar[],ROW()-ROW(tblOffVar[[#Headers],[Aug]]),1),INDEX(tblOffPlan[],,1),0),MATCH(tblOffVar[[#Headers],[Aug]],tblOffPlan[#Headers],0))-INDEX(tblOffActual[],MATCH(INDEX(tblOffVar[],ROW()-ROW(tblOffVar[[#Headers],[Aug]]),1),INDEX(tblOffPlan[],,1),0),MATCH(tblOffVar[[#Headers],[Aug]],tblOffActual[#Headers],0))</f>
        <v>40</v>
      </c>
      <c r="K15" s="44">
        <f>INDEX(tblOffPlan[],MATCH(INDEX(tblOffVar[],ROW()-ROW(tblOffVar[[#Headers],[Sep]]),1),INDEX(tblOffPlan[],,1),0),MATCH(tblOffVar[[#Headers],[Sep]],tblOffPlan[#Headers],0))-INDEX(tblOffActual[],MATCH(INDEX(tblOffVar[],ROW()-ROW(tblOffVar[[#Headers],[Sep]]),1),INDEX(tblOffPlan[],,1),0),MATCH(tblOffVar[[#Headers],[Sep]],tblOffActual[#Headers],0))</f>
        <v>40</v>
      </c>
      <c r="L15" s="44">
        <f>INDEX(tblOffPlan[],MATCH(INDEX(tblOffVar[],ROW()-ROW(tblOffVar[[#Headers],[Oct]]),1),INDEX(tblOffPlan[],,1),0),MATCH(tblOffVar[[#Headers],[Oct]],tblOffPlan[#Headers],0))-INDEX(tblOffActual[],MATCH(INDEX(tblOffVar[],ROW()-ROW(tblOffVar[[#Headers],[Oct]]),1),INDEX(tblOffPlan[],,1),0),MATCH(tblOffVar[[#Headers],[Oct]],tblOffActual[#Headers],0))</f>
        <v>40</v>
      </c>
      <c r="M15" s="44">
        <f>INDEX(tblOffPlan[],MATCH(INDEX(tblOffVar[],ROW()-ROW(tblOffVar[[#Headers],[Nov]]),1),INDEX(tblOffPlan[],,1),0),MATCH(tblOffVar[[#Headers],[Nov]],tblOffPlan[#Headers],0))-INDEX(tblOffActual[],MATCH(INDEX(tblOffVar[],ROW()-ROW(tblOffVar[[#Headers],[Nov]]),1),INDEX(tblOffPlan[],,1),0),MATCH(tblOffVar[[#Headers],[Nov]],tblOffActual[#Headers],0))</f>
        <v>40</v>
      </c>
      <c r="N15" s="44">
        <f>INDEX(tblOffPlan[],MATCH(INDEX(tblOffVar[],ROW()-ROW(tblOffVar[[#Headers],[Dec]]),1),INDEX(tblOffPlan[],,1),0),MATCH(tblOffVar[[#Headers],[Dec]],tblOffPlan[#Headers],0))-INDEX(tblOffActual[],MATCH(INDEX(tblOffVar[],ROW()-ROW(tblOffVar[[#Headers],[Dec]]),1),INDEX(tblOffPlan[],,1),0),MATCH(tblOffVar[[#Headers],[Dec]],tblOffActual[#Headers],0))</f>
        <v>40</v>
      </c>
      <c r="O15" s="44">
        <f>SUM(tblOffVar[[#This Row],[Jan]:[Dec]])</f>
        <v>272</v>
      </c>
    </row>
    <row r="16" spans="2:15" ht="21" customHeight="1" x14ac:dyDescent="0.35">
      <c r="B16" s="43" t="s">
        <v>25</v>
      </c>
      <c r="C16" s="44">
        <f>INDEX(tblOffPlan[],MATCH(INDEX(tblOffVar[],ROW()-ROW(tblOffVar[[#Headers],[Jan]]),1),INDEX(tblOffPlan[],,1),0),MATCH(tblOffVar[[#Headers],[Jan]],tblOffPlan[#Headers],0))-INDEX(tblOffActual[],MATCH(INDEX(tblOffVar[],ROW()-ROW(tblOffVar[[#Headers],[Jan]]),1),INDEX(tblOffPlan[],,1),0),MATCH(tblOffVar[[#Headers],[Jan]],tblOffActual[#Headers],0))</f>
        <v>26</v>
      </c>
      <c r="D16" s="44">
        <f>INDEX(tblOffPlan[],MATCH(INDEX(tblOffVar[],ROW()-ROW(tblOffVar[[#Headers],[Feb]]),1),INDEX(tblOffPlan[],,1),0),MATCH(tblOffVar[[#Headers],[Feb]],tblOffPlan[#Headers],0))-INDEX(tblOffActual[],MATCH(INDEX(tblOffVar[],ROW()-ROW(tblOffVar[[#Headers],[Feb]]),1),INDEX(tblOffPlan[],,1),0),MATCH(tblOffVar[[#Headers],[Feb]],tblOffActual[#Headers],0))</f>
        <v>15</v>
      </c>
      <c r="E16" s="44">
        <f>INDEX(tblOffPlan[],MATCH(INDEX(tblOffVar[],ROW()-ROW(tblOffVar[[#Headers],[Mar]]),1),INDEX(tblOffPlan[],,1),0),MATCH(tblOffVar[[#Headers],[Mar]],tblOffPlan[#Headers],0))-INDEX(tblOffActual[],MATCH(INDEX(tblOffVar[],ROW()-ROW(tblOffVar[[#Headers],[Mar]]),1),INDEX(tblOffPlan[],,1),0),MATCH(tblOffVar[[#Headers],[Mar]],tblOffActual[#Headers],0))</f>
        <v>-15</v>
      </c>
      <c r="F16" s="44">
        <f>INDEX(tblOffPlan[],MATCH(INDEX(tblOffVar[],ROW()-ROW(tblOffVar[[#Headers],[Apr]]),1),INDEX(tblOffPlan[],,1),0),MATCH(tblOffVar[[#Headers],[Apr]],tblOffPlan[#Headers],0))-INDEX(tblOffActual[],MATCH(INDEX(tblOffVar[],ROW()-ROW(tblOffVar[[#Headers],[Apr]]),1),INDEX(tblOffPlan[],,1),0),MATCH(tblOffVar[[#Headers],[Apr]],tblOffActual[#Headers],0))</f>
        <v>5</v>
      </c>
      <c r="G16" s="44">
        <f>INDEX(tblOffPlan[],MATCH(INDEX(tblOffVar[],ROW()-ROW(tblOffVar[[#Headers],[May]]),1),INDEX(tblOffPlan[],,1),0),MATCH(tblOffVar[[#Headers],[May]],tblOffPlan[#Headers],0))-INDEX(tblOffActual[],MATCH(INDEX(tblOffVar[],ROW()-ROW(tblOffVar[[#Headers],[May]]),1),INDEX(tblOffPlan[],,1),0),MATCH(tblOffVar[[#Headers],[May]],tblOffActual[#Headers],0))</f>
        <v>5</v>
      </c>
      <c r="H16" s="44">
        <f>INDEX(tblOffPlan[],MATCH(INDEX(tblOffVar[],ROW()-ROW(tblOffVar[[#Headers],[Jun]]),1),INDEX(tblOffPlan[],,1),0),MATCH(tblOffVar[[#Headers],[Jun]],tblOffPlan[#Headers],0))-INDEX(tblOffActual[],MATCH(INDEX(tblOffVar[],ROW()-ROW(tblOffVar[[#Headers],[Jun]]),1),INDEX(tblOffPlan[],,1),0),MATCH(tblOffVar[[#Headers],[Jun]],tblOffActual[#Headers],0))</f>
        <v>30</v>
      </c>
      <c r="I16" s="44">
        <f>INDEX(tblOffPlan[],MATCH(INDEX(tblOffVar[],ROW()-ROW(tblOffVar[[#Headers],[Jul]]),1),INDEX(tblOffPlan[],,1),0),MATCH(tblOffVar[[#Headers],[Jul]],tblOffPlan[#Headers],0))-INDEX(tblOffActual[],MATCH(INDEX(tblOffVar[],ROW()-ROW(tblOffVar[[#Headers],[Jul]]),1),INDEX(tblOffPlan[],,1),0),MATCH(tblOffVar[[#Headers],[Jul]],tblOffActual[#Headers],0))</f>
        <v>250</v>
      </c>
      <c r="J16" s="44">
        <f>INDEX(tblOffPlan[],MATCH(INDEX(tblOffVar[],ROW()-ROW(tblOffVar[[#Headers],[Aug]]),1),INDEX(tblOffPlan[],,1),0),MATCH(tblOffVar[[#Headers],[Aug]],tblOffPlan[#Headers],0))-INDEX(tblOffActual[],MATCH(INDEX(tblOffVar[],ROW()-ROW(tblOffVar[[#Headers],[Aug]]),1),INDEX(tblOffPlan[],,1),0),MATCH(tblOffVar[[#Headers],[Aug]],tblOffActual[#Headers],0))</f>
        <v>250</v>
      </c>
      <c r="K16" s="44">
        <f>INDEX(tblOffPlan[],MATCH(INDEX(tblOffVar[],ROW()-ROW(tblOffVar[[#Headers],[Sep]]),1),INDEX(tblOffPlan[],,1),0),MATCH(tblOffVar[[#Headers],[Sep]],tblOffPlan[#Headers],0))-INDEX(tblOffActual[],MATCH(INDEX(tblOffVar[],ROW()-ROW(tblOffVar[[#Headers],[Sep]]),1),INDEX(tblOffPlan[],,1),0),MATCH(tblOffVar[[#Headers],[Sep]],tblOffActual[#Headers],0))</f>
        <v>250</v>
      </c>
      <c r="L16" s="44">
        <f>INDEX(tblOffPlan[],MATCH(INDEX(tblOffVar[],ROW()-ROW(tblOffVar[[#Headers],[Oct]]),1),INDEX(tblOffPlan[],,1),0),MATCH(tblOffVar[[#Headers],[Oct]],tblOffPlan[#Headers],0))-INDEX(tblOffActual[],MATCH(INDEX(tblOffVar[],ROW()-ROW(tblOffVar[[#Headers],[Oct]]),1),INDEX(tblOffPlan[],,1),0),MATCH(tblOffVar[[#Headers],[Oct]],tblOffActual[#Headers],0))</f>
        <v>250</v>
      </c>
      <c r="M16" s="44">
        <f>INDEX(tblOffPlan[],MATCH(INDEX(tblOffVar[],ROW()-ROW(tblOffVar[[#Headers],[Nov]]),1),INDEX(tblOffPlan[],,1),0),MATCH(tblOffVar[[#Headers],[Nov]],tblOffPlan[#Headers],0))-INDEX(tblOffActual[],MATCH(INDEX(tblOffVar[],ROW()-ROW(tblOffVar[[#Headers],[Nov]]),1),INDEX(tblOffPlan[],,1),0),MATCH(tblOffVar[[#Headers],[Nov]],tblOffActual[#Headers],0))</f>
        <v>250</v>
      </c>
      <c r="N16" s="44">
        <f>INDEX(tblOffPlan[],MATCH(INDEX(tblOffVar[],ROW()-ROW(tblOffVar[[#Headers],[Dec]]),1),INDEX(tblOffPlan[],,1),0),MATCH(tblOffVar[[#Headers],[Dec]],tblOffPlan[#Headers],0))-INDEX(tblOffActual[],MATCH(INDEX(tblOffVar[],ROW()-ROW(tblOffVar[[#Headers],[Dec]]),1),INDEX(tblOffPlan[],,1),0),MATCH(tblOffVar[[#Headers],[Dec]],tblOffActual[#Headers],0))</f>
        <v>250</v>
      </c>
      <c r="O16" s="44">
        <f>SUM(tblOffVar[[#This Row],[Jan]:[Dec]])</f>
        <v>1566</v>
      </c>
    </row>
    <row r="17" spans="2:15" ht="21" customHeight="1" x14ac:dyDescent="0.35">
      <c r="B17" s="43" t="s">
        <v>26</v>
      </c>
      <c r="C17" s="44">
        <f>INDEX(tblOffPlan[],MATCH(INDEX(tblOffVar[],ROW()-ROW(tblOffVar[[#Headers],[Jan]]),1),INDEX(tblOffPlan[],,1),0),MATCH(tblOffVar[[#Headers],[Jan]],tblOffPlan[#Headers],0))-INDEX(tblOffActual[],MATCH(INDEX(tblOffVar[],ROW()-ROW(tblOffVar[[#Headers],[Jan]]),1),INDEX(tblOffPlan[],,1),0),MATCH(tblOffVar[[#Headers],[Jan]],tblOffActual[#Headers],0))</f>
        <v>0</v>
      </c>
      <c r="D17" s="44">
        <f>INDEX(tblOffPlan[],MATCH(INDEX(tblOffVar[],ROW()-ROW(tblOffVar[[#Headers],[Feb]]),1),INDEX(tblOffPlan[],,1),0),MATCH(tblOffVar[[#Headers],[Feb]],tblOffPlan[#Headers],0))-INDEX(tblOffActual[],MATCH(INDEX(tblOffVar[],ROW()-ROW(tblOffVar[[#Headers],[Feb]]),1),INDEX(tblOffPlan[],,1),0),MATCH(tblOffVar[[#Headers],[Feb]],tblOffActual[#Headers],0))</f>
        <v>0</v>
      </c>
      <c r="E17" s="44">
        <f>INDEX(tblOffPlan[],MATCH(INDEX(tblOffVar[],ROW()-ROW(tblOffVar[[#Headers],[Mar]]),1),INDEX(tblOffPlan[],,1),0),MATCH(tblOffVar[[#Headers],[Mar]],tblOffPlan[#Headers],0))-INDEX(tblOffActual[],MATCH(INDEX(tblOffVar[],ROW()-ROW(tblOffVar[[#Headers],[Mar]]),1),INDEX(tblOffPlan[],,1),0),MATCH(tblOffVar[[#Headers],[Mar]],tblOffActual[#Headers],0))</f>
        <v>0</v>
      </c>
      <c r="F17" s="44">
        <f>INDEX(tblOffPlan[],MATCH(INDEX(tblOffVar[],ROW()-ROW(tblOffVar[[#Headers],[Apr]]),1),INDEX(tblOffPlan[],,1),0),MATCH(tblOffVar[[#Headers],[Apr]],tblOffPlan[#Headers],0))-INDEX(tblOffActual[],MATCH(INDEX(tblOffVar[],ROW()-ROW(tblOffVar[[#Headers],[Apr]]),1),INDEX(tblOffPlan[],,1),0),MATCH(tblOffVar[[#Headers],[Apr]],tblOffActual[#Headers],0))</f>
        <v>0</v>
      </c>
      <c r="G17" s="44">
        <f>INDEX(tblOffPlan[],MATCH(INDEX(tblOffVar[],ROW()-ROW(tblOffVar[[#Headers],[May]]),1),INDEX(tblOffPlan[],,1),0),MATCH(tblOffVar[[#Headers],[May]],tblOffPlan[#Headers],0))-INDEX(tblOffActual[],MATCH(INDEX(tblOffVar[],ROW()-ROW(tblOffVar[[#Headers],[May]]),1),INDEX(tblOffPlan[],,1),0),MATCH(tblOffVar[[#Headers],[May]],tblOffActual[#Headers],0))</f>
        <v>0</v>
      </c>
      <c r="H17" s="44">
        <f>INDEX(tblOffPlan[],MATCH(INDEX(tblOffVar[],ROW()-ROW(tblOffVar[[#Headers],[Jun]]),1),INDEX(tblOffPlan[],,1),0),MATCH(tblOffVar[[#Headers],[Jun]],tblOffPlan[#Headers],0))-INDEX(tblOffActual[],MATCH(INDEX(tblOffVar[],ROW()-ROW(tblOffVar[[#Headers],[Jun]]),1),INDEX(tblOffPlan[],,1),0),MATCH(tblOffVar[[#Headers],[Jun]],tblOffActual[#Headers],0))</f>
        <v>0</v>
      </c>
      <c r="I17" s="44">
        <f>INDEX(tblOffPlan[],MATCH(INDEX(tblOffVar[],ROW()-ROW(tblOffVar[[#Headers],[Jul]]),1),INDEX(tblOffPlan[],,1),0),MATCH(tblOffVar[[#Headers],[Jul]],tblOffPlan[#Headers],0))-INDEX(tblOffActual[],MATCH(INDEX(tblOffVar[],ROW()-ROW(tblOffVar[[#Headers],[Jul]]),1),INDEX(tblOffPlan[],,1),0),MATCH(tblOffVar[[#Headers],[Jul]],tblOffActual[#Headers],0))</f>
        <v>180</v>
      </c>
      <c r="J17" s="44">
        <f>INDEX(tblOffPlan[],MATCH(INDEX(tblOffVar[],ROW()-ROW(tblOffVar[[#Headers],[Aug]]),1),INDEX(tblOffPlan[],,1),0),MATCH(tblOffVar[[#Headers],[Aug]],tblOffPlan[#Headers],0))-INDEX(tblOffActual[],MATCH(INDEX(tblOffVar[],ROW()-ROW(tblOffVar[[#Headers],[Aug]]),1),INDEX(tblOffPlan[],,1),0),MATCH(tblOffVar[[#Headers],[Aug]],tblOffActual[#Headers],0))</f>
        <v>180</v>
      </c>
      <c r="K17" s="44">
        <f>INDEX(tblOffPlan[],MATCH(INDEX(tblOffVar[],ROW()-ROW(tblOffVar[[#Headers],[Sep]]),1),INDEX(tblOffPlan[],,1),0),MATCH(tblOffVar[[#Headers],[Sep]],tblOffPlan[#Headers],0))-INDEX(tblOffActual[],MATCH(INDEX(tblOffVar[],ROW()-ROW(tblOffVar[[#Headers],[Sep]]),1),INDEX(tblOffPlan[],,1),0),MATCH(tblOffVar[[#Headers],[Sep]],tblOffActual[#Headers],0))</f>
        <v>180</v>
      </c>
      <c r="L17" s="44">
        <f>INDEX(tblOffPlan[],MATCH(INDEX(tblOffVar[],ROW()-ROW(tblOffVar[[#Headers],[Oct]]),1),INDEX(tblOffPlan[],,1),0),MATCH(tblOffVar[[#Headers],[Oct]],tblOffPlan[#Headers],0))-INDEX(tblOffActual[],MATCH(INDEX(tblOffVar[],ROW()-ROW(tblOffVar[[#Headers],[Oct]]),1),INDEX(tblOffPlan[],,1),0),MATCH(tblOffVar[[#Headers],[Oct]],tblOffActual[#Headers],0))</f>
        <v>180</v>
      </c>
      <c r="M17" s="44">
        <f>INDEX(tblOffPlan[],MATCH(INDEX(tblOffVar[],ROW()-ROW(tblOffVar[[#Headers],[Nov]]),1),INDEX(tblOffPlan[],,1),0),MATCH(tblOffVar[[#Headers],[Nov]],tblOffPlan[#Headers],0))-INDEX(tblOffActual[],MATCH(INDEX(tblOffVar[],ROW()-ROW(tblOffVar[[#Headers],[Nov]]),1),INDEX(tblOffPlan[],,1),0),MATCH(tblOffVar[[#Headers],[Nov]],tblOffActual[#Headers],0))</f>
        <v>180</v>
      </c>
      <c r="N17" s="44">
        <f>INDEX(tblOffPlan[],MATCH(INDEX(tblOffVar[],ROW()-ROW(tblOffVar[[#Headers],[Dec]]),1),INDEX(tblOffPlan[],,1),0),MATCH(tblOffVar[[#Headers],[Dec]],tblOffPlan[#Headers],0))-INDEX(tblOffActual[],MATCH(INDEX(tblOffVar[],ROW()-ROW(tblOffVar[[#Headers],[Dec]]),1),INDEX(tblOffPlan[],,1),0),MATCH(tblOffVar[[#Headers],[Dec]],tblOffActual[#Headers],0))</f>
        <v>180</v>
      </c>
      <c r="O17" s="44">
        <f>SUM(tblOffVar[[#This Row],[Jan]:[Dec]])</f>
        <v>1080</v>
      </c>
    </row>
    <row r="18" spans="2:15" ht="21" customHeight="1" x14ac:dyDescent="0.35">
      <c r="B18" s="43" t="s">
        <v>27</v>
      </c>
      <c r="C18" s="44">
        <f>INDEX(tblOffPlan[],MATCH(INDEX(tblOffVar[],ROW()-ROW(tblOffVar[[#Headers],[Jan]]),1),INDEX(tblOffPlan[],,1),0),MATCH(tblOffVar[[#Headers],[Jan]],tblOffPlan[#Headers],0))-INDEX(tblOffActual[],MATCH(INDEX(tblOffVar[],ROW()-ROW(tblOffVar[[#Headers],[Jan]]),1),INDEX(tblOffPlan[],,1),0),MATCH(tblOffVar[[#Headers],[Jan]],tblOffActual[#Headers],0))</f>
        <v>-56</v>
      </c>
      <c r="D18" s="44">
        <f>INDEX(tblOffPlan[],MATCH(INDEX(tblOffVar[],ROW()-ROW(tblOffVar[[#Headers],[Feb]]),1),INDEX(tblOffPlan[],,1),0),MATCH(tblOffVar[[#Headers],[Feb]],tblOffPlan[#Headers],0))-INDEX(tblOffActual[],MATCH(INDEX(tblOffVar[],ROW()-ROW(tblOffVar[[#Headers],[Feb]]),1),INDEX(tblOffPlan[],,1),0),MATCH(tblOffVar[[#Headers],[Feb]],tblOffActual[#Headers],0))</f>
        <v>58</v>
      </c>
      <c r="E18" s="44">
        <f>INDEX(tblOffPlan[],MATCH(INDEX(tblOffVar[],ROW()-ROW(tblOffVar[[#Headers],[Mar]]),1),INDEX(tblOffPlan[],,1),0),MATCH(tblOffVar[[#Headers],[Mar]],tblOffPlan[#Headers],0))-INDEX(tblOffActual[],MATCH(INDEX(tblOffVar[],ROW()-ROW(tblOffVar[[#Headers],[Mar]]),1),INDEX(tblOffPlan[],,1),0),MATCH(tblOffVar[[#Headers],[Mar]],tblOffActual[#Headers],0))</f>
        <v>40</v>
      </c>
      <c r="F18" s="44">
        <f>INDEX(tblOffPlan[],MATCH(INDEX(tblOffVar[],ROW()-ROW(tblOffVar[[#Headers],[Apr]]),1),INDEX(tblOffPlan[],,1),0),MATCH(tblOffVar[[#Headers],[Apr]],tblOffPlan[#Headers],0))-INDEX(tblOffActual[],MATCH(INDEX(tblOffVar[],ROW()-ROW(tblOffVar[[#Headers],[Apr]]),1),INDEX(tblOffPlan[],,1),0),MATCH(tblOffVar[[#Headers],[Apr]],tblOffActual[#Headers],0))</f>
        <v>-21</v>
      </c>
      <c r="G18" s="44">
        <f>INDEX(tblOffPlan[],MATCH(INDEX(tblOffVar[],ROW()-ROW(tblOffVar[[#Headers],[May]]),1),INDEX(tblOffPlan[],,1),0),MATCH(tblOffVar[[#Headers],[May]],tblOffPlan[#Headers],0))-INDEX(tblOffActual[],MATCH(INDEX(tblOffVar[],ROW()-ROW(tblOffVar[[#Headers],[May]]),1),INDEX(tblOffPlan[],,1),0),MATCH(tblOffVar[[#Headers],[May]],tblOffActual[#Headers],0))</f>
        <v>-56</v>
      </c>
      <c r="H18" s="44">
        <f>INDEX(tblOffPlan[],MATCH(INDEX(tblOffVar[],ROW()-ROW(tblOffVar[[#Headers],[Jun]]),1),INDEX(tblOffPlan[],,1),0),MATCH(tblOffVar[[#Headers],[Jun]],tblOffPlan[#Headers],0))-INDEX(tblOffActual[],MATCH(INDEX(tblOffVar[],ROW()-ROW(tblOffVar[[#Headers],[Jun]]),1),INDEX(tblOffPlan[],,1),0),MATCH(tblOffVar[[#Headers],[Jun]],tblOffActual[#Headers],0))</f>
        <v>-40</v>
      </c>
      <c r="I18" s="44">
        <f>INDEX(tblOffPlan[],MATCH(INDEX(tblOffVar[],ROW()-ROW(tblOffVar[[#Headers],[Jul]]),1),INDEX(tblOffPlan[],,1),0),MATCH(tblOffVar[[#Headers],[Jul]],tblOffPlan[#Headers],0))-INDEX(tblOffActual[],MATCH(INDEX(tblOffVar[],ROW()-ROW(tblOffVar[[#Headers],[Jul]]),1),INDEX(tblOffPlan[],,1),0),MATCH(tblOffVar[[#Headers],[Jul]],tblOffActual[#Headers],0))</f>
        <v>200</v>
      </c>
      <c r="J18" s="44">
        <f>INDEX(tblOffPlan[],MATCH(INDEX(tblOffVar[],ROW()-ROW(tblOffVar[[#Headers],[Aug]]),1),INDEX(tblOffPlan[],,1),0),MATCH(tblOffVar[[#Headers],[Aug]],tblOffPlan[#Headers],0))-INDEX(tblOffActual[],MATCH(INDEX(tblOffVar[],ROW()-ROW(tblOffVar[[#Headers],[Aug]]),1),INDEX(tblOffPlan[],,1),0),MATCH(tblOffVar[[#Headers],[Aug]],tblOffActual[#Headers],0))</f>
        <v>200</v>
      </c>
      <c r="K18" s="44">
        <f>INDEX(tblOffPlan[],MATCH(INDEX(tblOffVar[],ROW()-ROW(tblOffVar[[#Headers],[Sep]]),1),INDEX(tblOffPlan[],,1),0),MATCH(tblOffVar[[#Headers],[Sep]],tblOffPlan[#Headers],0))-INDEX(tblOffActual[],MATCH(INDEX(tblOffVar[],ROW()-ROW(tblOffVar[[#Headers],[Sep]]),1),INDEX(tblOffPlan[],,1),0),MATCH(tblOffVar[[#Headers],[Sep]],tblOffActual[#Headers],0))</f>
        <v>200</v>
      </c>
      <c r="L18" s="44">
        <f>INDEX(tblOffPlan[],MATCH(INDEX(tblOffVar[],ROW()-ROW(tblOffVar[[#Headers],[Oct]]),1),INDEX(tblOffPlan[],,1),0),MATCH(tblOffVar[[#Headers],[Oct]],tblOffPlan[#Headers],0))-INDEX(tblOffActual[],MATCH(INDEX(tblOffVar[],ROW()-ROW(tblOffVar[[#Headers],[Oct]]),1),INDEX(tblOffPlan[],,1),0),MATCH(tblOffVar[[#Headers],[Oct]],tblOffActual[#Headers],0))</f>
        <v>200</v>
      </c>
      <c r="M18" s="44">
        <f>INDEX(tblOffPlan[],MATCH(INDEX(tblOffVar[],ROW()-ROW(tblOffVar[[#Headers],[Nov]]),1),INDEX(tblOffPlan[],,1),0),MATCH(tblOffVar[[#Headers],[Nov]],tblOffPlan[#Headers],0))-INDEX(tblOffActual[],MATCH(INDEX(tblOffVar[],ROW()-ROW(tblOffVar[[#Headers],[Nov]]),1),INDEX(tblOffPlan[],,1),0),MATCH(tblOffVar[[#Headers],[Nov]],tblOffActual[#Headers],0))</f>
        <v>200</v>
      </c>
      <c r="N18" s="44">
        <f>INDEX(tblOffPlan[],MATCH(INDEX(tblOffVar[],ROW()-ROW(tblOffVar[[#Headers],[Dec]]),1),INDEX(tblOffPlan[],,1),0),MATCH(tblOffVar[[#Headers],[Dec]],tblOffPlan[#Headers],0))-INDEX(tblOffActual[],MATCH(INDEX(tblOffVar[],ROW()-ROW(tblOffVar[[#Headers],[Dec]]),1),INDEX(tblOffPlan[],,1),0),MATCH(tblOffVar[[#Headers],[Dec]],tblOffActual[#Headers],0))</f>
        <v>200</v>
      </c>
      <c r="O18" s="44">
        <f>SUM(tblOffVar[[#This Row],[Jan]:[Dec]])</f>
        <v>1125</v>
      </c>
    </row>
    <row r="19" spans="2:15" ht="21" customHeight="1" x14ac:dyDescent="0.35">
      <c r="B19" s="43" t="s">
        <v>28</v>
      </c>
      <c r="C19" s="44">
        <f>INDEX(tblOffPlan[],MATCH(INDEX(tblOffVar[],ROW()-ROW(tblOffVar[[#Headers],[Jan]]),1),INDEX(tblOffPlan[],,1),0),MATCH(tblOffVar[[#Headers],[Jan]],tblOffPlan[#Headers],0))-INDEX(tblOffActual[],MATCH(INDEX(tblOffVar[],ROW()-ROW(tblOffVar[[#Headers],[Jan]]),1),INDEX(tblOffPlan[],,1),0),MATCH(tblOffVar[[#Headers],[Jan]],tblOffActual[#Headers],0))</f>
        <v>0</v>
      </c>
      <c r="D19" s="44">
        <f>INDEX(tblOffPlan[],MATCH(INDEX(tblOffVar[],ROW()-ROW(tblOffVar[[#Headers],[Feb]]),1),INDEX(tblOffPlan[],,1),0),MATCH(tblOffVar[[#Headers],[Feb]],tblOffPlan[#Headers],0))-INDEX(tblOffActual[],MATCH(INDEX(tblOffVar[],ROW()-ROW(tblOffVar[[#Headers],[Feb]]),1),INDEX(tblOffPlan[],,1),0),MATCH(tblOffVar[[#Headers],[Feb]],tblOffActual[#Headers],0))</f>
        <v>0</v>
      </c>
      <c r="E19" s="44">
        <f>INDEX(tblOffPlan[],MATCH(INDEX(tblOffVar[],ROW()-ROW(tblOffVar[[#Headers],[Mar]]),1),INDEX(tblOffPlan[],,1),0),MATCH(tblOffVar[[#Headers],[Mar]],tblOffPlan[#Headers],0))-INDEX(tblOffActual[],MATCH(INDEX(tblOffVar[],ROW()-ROW(tblOffVar[[#Headers],[Mar]]),1),INDEX(tblOffPlan[],,1),0),MATCH(tblOffVar[[#Headers],[Mar]],tblOffActual[#Headers],0))</f>
        <v>0</v>
      </c>
      <c r="F19" s="44">
        <f>INDEX(tblOffPlan[],MATCH(INDEX(tblOffVar[],ROW()-ROW(tblOffVar[[#Headers],[Apr]]),1),INDEX(tblOffPlan[],,1),0),MATCH(tblOffVar[[#Headers],[Apr]],tblOffPlan[#Headers],0))-INDEX(tblOffActual[],MATCH(INDEX(tblOffVar[],ROW()-ROW(tblOffVar[[#Headers],[Apr]]),1),INDEX(tblOffPlan[],,1),0),MATCH(tblOffVar[[#Headers],[Apr]],tblOffActual[#Headers],0))</f>
        <v>0</v>
      </c>
      <c r="G19" s="44">
        <f>INDEX(tblOffPlan[],MATCH(INDEX(tblOffVar[],ROW()-ROW(tblOffVar[[#Headers],[May]]),1),INDEX(tblOffPlan[],,1),0),MATCH(tblOffVar[[#Headers],[May]],tblOffPlan[#Headers],0))-INDEX(tblOffActual[],MATCH(INDEX(tblOffVar[],ROW()-ROW(tblOffVar[[#Headers],[May]]),1),INDEX(tblOffPlan[],,1),0),MATCH(tblOffVar[[#Headers],[May]],tblOffActual[#Headers],0))</f>
        <v>0</v>
      </c>
      <c r="H19" s="44">
        <f>INDEX(tblOffPlan[],MATCH(INDEX(tblOffVar[],ROW()-ROW(tblOffVar[[#Headers],[Jun]]),1),INDEX(tblOffPlan[],,1),0),MATCH(tblOffVar[[#Headers],[Jun]],tblOffPlan[#Headers],0))-INDEX(tblOffActual[],MATCH(INDEX(tblOffVar[],ROW()-ROW(tblOffVar[[#Headers],[Jun]]),1),INDEX(tblOffPlan[],,1),0),MATCH(tblOffVar[[#Headers],[Jun]],tblOffActual[#Headers],0))</f>
        <v>0</v>
      </c>
      <c r="I19" s="44">
        <f>INDEX(tblOffPlan[],MATCH(INDEX(tblOffVar[],ROW()-ROW(tblOffVar[[#Headers],[Jul]]),1),INDEX(tblOffPlan[],,1),0),MATCH(tblOffVar[[#Headers],[Jul]],tblOffPlan[#Headers],0))-INDEX(tblOffActual[],MATCH(INDEX(tblOffVar[],ROW()-ROW(tblOffVar[[#Headers],[Jul]]),1),INDEX(tblOffPlan[],,1),0),MATCH(tblOffVar[[#Headers],[Jul]],tblOffActual[#Headers],0))</f>
        <v>600</v>
      </c>
      <c r="J19" s="44">
        <f>INDEX(tblOffPlan[],MATCH(INDEX(tblOffVar[],ROW()-ROW(tblOffVar[[#Headers],[Aug]]),1),INDEX(tblOffPlan[],,1),0),MATCH(tblOffVar[[#Headers],[Aug]],tblOffPlan[#Headers],0))-INDEX(tblOffActual[],MATCH(INDEX(tblOffVar[],ROW()-ROW(tblOffVar[[#Headers],[Aug]]),1),INDEX(tblOffPlan[],,1),0),MATCH(tblOffVar[[#Headers],[Aug]],tblOffActual[#Headers],0))</f>
        <v>600</v>
      </c>
      <c r="K19" s="44">
        <f>INDEX(tblOffPlan[],MATCH(INDEX(tblOffVar[],ROW()-ROW(tblOffVar[[#Headers],[Sep]]),1),INDEX(tblOffPlan[],,1),0),MATCH(tblOffVar[[#Headers],[Sep]],tblOffPlan[#Headers],0))-INDEX(tblOffActual[],MATCH(INDEX(tblOffVar[],ROW()-ROW(tblOffVar[[#Headers],[Sep]]),1),INDEX(tblOffPlan[],,1),0),MATCH(tblOffVar[[#Headers],[Sep]],tblOffActual[#Headers],0))</f>
        <v>600</v>
      </c>
      <c r="L19" s="44">
        <f>INDEX(tblOffPlan[],MATCH(INDEX(tblOffVar[],ROW()-ROW(tblOffVar[[#Headers],[Oct]]),1),INDEX(tblOffPlan[],,1),0),MATCH(tblOffVar[[#Headers],[Oct]],tblOffPlan[#Headers],0))-INDEX(tblOffActual[],MATCH(INDEX(tblOffVar[],ROW()-ROW(tblOffVar[[#Headers],[Oct]]),1),INDEX(tblOffPlan[],,1),0),MATCH(tblOffVar[[#Headers],[Oct]],tblOffActual[#Headers],0))</f>
        <v>600</v>
      </c>
      <c r="M19" s="44">
        <f>INDEX(tblOffPlan[],MATCH(INDEX(tblOffVar[],ROW()-ROW(tblOffVar[[#Headers],[Nov]]),1),INDEX(tblOffPlan[],,1),0),MATCH(tblOffVar[[#Headers],[Nov]],tblOffPlan[#Headers],0))-INDEX(tblOffActual[],MATCH(INDEX(tblOffVar[],ROW()-ROW(tblOffVar[[#Headers],[Nov]]),1),INDEX(tblOffPlan[],,1),0),MATCH(tblOffVar[[#Headers],[Nov]],tblOffActual[#Headers],0))</f>
        <v>600</v>
      </c>
      <c r="N19" s="44">
        <f>INDEX(tblOffPlan[],MATCH(INDEX(tblOffVar[],ROW()-ROW(tblOffVar[[#Headers],[Dec]]),1),INDEX(tblOffPlan[],,1),0),MATCH(tblOffVar[[#Headers],[Dec]],tblOffPlan[#Headers],0))-INDEX(tblOffActual[],MATCH(INDEX(tblOffVar[],ROW()-ROW(tblOffVar[[#Headers],[Dec]]),1),INDEX(tblOffPlan[],,1),0),MATCH(tblOffVar[[#Headers],[Dec]],tblOffActual[#Headers],0))</f>
        <v>600</v>
      </c>
      <c r="O19" s="44">
        <f>SUM(tblOffVar[[#This Row],[Jan]:[Dec]])</f>
        <v>3600</v>
      </c>
    </row>
    <row r="20" spans="2:15" ht="21" customHeight="1" x14ac:dyDescent="0.35">
      <c r="B20" s="48" t="s">
        <v>19</v>
      </c>
      <c r="C20" s="52">
        <f>SUBTOTAL(109,tblOffVar[Jan])</f>
        <v>-17</v>
      </c>
      <c r="D20" s="52">
        <f>SUBTOTAL(109,tblOffVar[Feb])</f>
        <v>72</v>
      </c>
      <c r="E20" s="52">
        <f>SUBTOTAL(109,tblOffVar[Mar])</f>
        <v>78</v>
      </c>
      <c r="F20" s="52">
        <f>SUBTOTAL(109,tblOffVar[Apr])</f>
        <v>-141</v>
      </c>
      <c r="G20" s="52">
        <f>SUBTOTAL(109,tblOffVar[May])</f>
        <v>-38</v>
      </c>
      <c r="H20" s="52">
        <f>SUBTOTAL(109,tblOffVar[Jun])</f>
        <v>16</v>
      </c>
      <c r="I20" s="52">
        <f>SUBTOTAL(109,tblOffVar[Jul])</f>
        <v>11470</v>
      </c>
      <c r="J20" s="52">
        <f>SUBTOTAL(109,tblOffVar[Aug])</f>
        <v>11470</v>
      </c>
      <c r="K20" s="52">
        <f>SUBTOTAL(109,tblOffVar[Sep])</f>
        <v>11470</v>
      </c>
      <c r="L20" s="52">
        <f>SUBTOTAL(109,tblOffVar[Oct])</f>
        <v>11470</v>
      </c>
      <c r="M20" s="52">
        <f>SUBTOTAL(109,tblOffVar[Nov])</f>
        <v>11770</v>
      </c>
      <c r="N20" s="52">
        <f>SUBTOTAL(109,tblOffVar[Dec])</f>
        <v>11770</v>
      </c>
      <c r="O20" s="52">
        <f>SUBTOTAL(109,tblOffVar[YEAR])</f>
        <v>69390</v>
      </c>
    </row>
    <row r="21" spans="2:15" ht="21" customHeight="1" x14ac:dyDescent="0.3">
      <c r="B21" s="59"/>
      <c r="C21" s="59"/>
      <c r="D21" s="10"/>
      <c r="E21" s="10"/>
      <c r="F21" s="12"/>
      <c r="G21" s="12"/>
      <c r="H21" s="12"/>
      <c r="I21" s="12"/>
      <c r="J21" s="12"/>
      <c r="K21" s="12"/>
      <c r="L21" s="12"/>
      <c r="M21" s="12"/>
      <c r="N21" s="12"/>
      <c r="O21" s="11"/>
    </row>
    <row r="22" spans="2:15" ht="21" customHeight="1" x14ac:dyDescent="0.3">
      <c r="B22" s="42" t="s">
        <v>29</v>
      </c>
      <c r="C22" s="49" t="s">
        <v>3</v>
      </c>
      <c r="D22" s="49" t="s">
        <v>4</v>
      </c>
      <c r="E22" s="50" t="s">
        <v>5</v>
      </c>
      <c r="F22" s="49" t="s">
        <v>6</v>
      </c>
      <c r="G22" s="49" t="s">
        <v>7</v>
      </c>
      <c r="H22" s="49" t="s">
        <v>8</v>
      </c>
      <c r="I22" s="49" t="s">
        <v>9</v>
      </c>
      <c r="J22" s="49" t="s">
        <v>10</v>
      </c>
      <c r="K22" s="49" t="s">
        <v>11</v>
      </c>
      <c r="L22" s="49" t="s">
        <v>12</v>
      </c>
      <c r="M22" s="49" t="s">
        <v>13</v>
      </c>
      <c r="N22" s="49" t="s">
        <v>14</v>
      </c>
      <c r="O22" s="49" t="s">
        <v>15</v>
      </c>
    </row>
    <row r="23" spans="2:15" ht="21" customHeight="1" x14ac:dyDescent="0.35">
      <c r="B23" s="43" t="s">
        <v>30</v>
      </c>
      <c r="C23" s="44">
        <f>INDEX(tblMarkPlan[],MATCH(INDEX(tblMarkVar[],ROW()-ROW(tblMarkVar[[#Headers],[Jan]]),1),INDEX(tblMarkPlan[],,1),0),MATCH(tblMarkVar[[#Headers],[Jan]],tblMarkPlan[#Headers],0))-INDEX(tblMarkActual[],MATCH(INDEX(tblMarkVar[],ROW()-ROW(tblMarkVar[[#Headers],[Jan]]),1),INDEX(tblMarkPlan[],,1),0),MATCH(tblMarkVar[[#Headers],[Jan]],tblMarkActual[#Headers],0))</f>
        <v>0</v>
      </c>
      <c r="D23" s="44">
        <f>INDEX(tblMarkPlan[],MATCH(INDEX(tblMarkVar[],ROW()-ROW(tblMarkVar[[#Headers],[Feb]]),1),INDEX(tblMarkPlan[],,1),0),MATCH(tblMarkVar[[#Headers],[Feb]],tblMarkPlan[#Headers],0))-INDEX(tblMarkActual[],MATCH(INDEX(tblMarkVar[],ROW()-ROW(tblMarkVar[[#Headers],[Feb]]),1),INDEX(tblMarkPlan[],,1),0),MATCH(tblMarkVar[[#Headers],[Feb]],tblMarkActual[#Headers],0))</f>
        <v>0</v>
      </c>
      <c r="E23" s="44">
        <f>INDEX(tblMarkPlan[],MATCH(INDEX(tblMarkVar[],ROW()-ROW(tblMarkVar[[#Headers],[Mar]]),1),INDEX(tblMarkPlan[],,1),0),MATCH(tblMarkVar[[#Headers],[Mar]],tblMarkPlan[#Headers],0))-INDEX(tblMarkActual[],MATCH(INDEX(tblMarkVar[],ROW()-ROW(tblMarkVar[[#Headers],[Mar]]),1),INDEX(tblMarkPlan[],,1),0),MATCH(tblMarkVar[[#Headers],[Mar]],tblMarkActual[#Headers],0))</f>
        <v>0</v>
      </c>
      <c r="F23" s="44">
        <f>INDEX(tblMarkPlan[],MATCH(INDEX(tblMarkVar[],ROW()-ROW(tblMarkVar[[#Headers],[Apr]]),1),INDEX(tblMarkPlan[],,1),0),MATCH(tblMarkVar[[#Headers],[Apr]],tblMarkPlan[#Headers],0))-INDEX(tblMarkActual[],MATCH(INDEX(tblMarkVar[],ROW()-ROW(tblMarkVar[[#Headers],[Apr]]),1),INDEX(tblMarkPlan[],,1),0),MATCH(tblMarkVar[[#Headers],[Apr]],tblMarkActual[#Headers],0))</f>
        <v>0</v>
      </c>
      <c r="G23" s="44">
        <f>INDEX(tblMarkPlan[],MATCH(INDEX(tblMarkVar[],ROW()-ROW(tblMarkVar[[#Headers],[May]]),1),INDEX(tblMarkPlan[],,1),0),MATCH(tblMarkVar[[#Headers],[May]],tblMarkPlan[#Headers],0))-INDEX(tblMarkActual[],MATCH(INDEX(tblMarkVar[],ROW()-ROW(tblMarkVar[[#Headers],[May]]),1),INDEX(tblMarkPlan[],,1),0),MATCH(tblMarkVar[[#Headers],[May]],tblMarkActual[#Headers],0))</f>
        <v>0</v>
      </c>
      <c r="H23" s="44">
        <f>INDEX(tblMarkPlan[],MATCH(INDEX(tblMarkVar[],ROW()-ROW(tblMarkVar[[#Headers],[Jun]]),1),INDEX(tblMarkPlan[],,1),0),MATCH(tblMarkVar[[#Headers],[Jun]],tblMarkPlan[#Headers],0))-INDEX(tblMarkActual[],MATCH(INDEX(tblMarkVar[],ROW()-ROW(tblMarkVar[[#Headers],[Jun]]),1),INDEX(tblMarkPlan[],,1),0),MATCH(tblMarkVar[[#Headers],[Jun]],tblMarkActual[#Headers],0))</f>
        <v>0</v>
      </c>
      <c r="I23" s="44">
        <f>INDEX(tblMarkPlan[],MATCH(INDEX(tblMarkVar[],ROW()-ROW(tblMarkVar[[#Headers],[Jul]]),1),INDEX(tblMarkPlan[],,1),0),MATCH(tblMarkVar[[#Headers],[Jul]],tblMarkPlan[#Headers],0))-INDEX(tblMarkActual[],MATCH(INDEX(tblMarkVar[],ROW()-ROW(tblMarkVar[[#Headers],[Jul]]),1),INDEX(tblMarkPlan[],,1),0),MATCH(tblMarkVar[[#Headers],[Jul]],tblMarkActual[#Headers],0))</f>
        <v>500</v>
      </c>
      <c r="J23" s="44">
        <f>INDEX(tblMarkPlan[],MATCH(INDEX(tblMarkVar[],ROW()-ROW(tblMarkVar[[#Headers],[Aug]]),1),INDEX(tblMarkPlan[],,1),0),MATCH(tblMarkVar[[#Headers],[Aug]],tblMarkPlan[#Headers],0))-INDEX(tblMarkActual[],MATCH(INDEX(tblMarkVar[],ROW()-ROW(tblMarkVar[[#Headers],[Aug]]),1),INDEX(tblMarkPlan[],,1),0),MATCH(tblMarkVar[[#Headers],[Aug]],tblMarkActual[#Headers],0))</f>
        <v>500</v>
      </c>
      <c r="K23" s="44">
        <f>INDEX(tblMarkPlan[],MATCH(INDEX(tblMarkVar[],ROW()-ROW(tblMarkVar[[#Headers],[Sep]]),1),INDEX(tblMarkPlan[],,1),0),MATCH(tblMarkVar[[#Headers],[Sep]],tblMarkPlan[#Headers],0))-INDEX(tblMarkActual[],MATCH(INDEX(tblMarkVar[],ROW()-ROW(tblMarkVar[[#Headers],[Sep]]),1),INDEX(tblMarkPlan[],,1),0),MATCH(tblMarkVar[[#Headers],[Sep]],tblMarkActual[#Headers],0))</f>
        <v>500</v>
      </c>
      <c r="L23" s="44">
        <f>INDEX(tblMarkPlan[],MATCH(INDEX(tblMarkVar[],ROW()-ROW(tblMarkVar[[#Headers],[Oct]]),1),INDEX(tblMarkPlan[],,1),0),MATCH(tblMarkVar[[#Headers],[Oct]],tblMarkPlan[#Headers],0))-INDEX(tblMarkActual[],MATCH(INDEX(tblMarkVar[],ROW()-ROW(tblMarkVar[[#Headers],[Oct]]),1),INDEX(tblMarkPlan[],,1),0),MATCH(tblMarkVar[[#Headers],[Oct]],tblMarkActual[#Headers],0))</f>
        <v>500</v>
      </c>
      <c r="M23" s="44">
        <f>INDEX(tblMarkPlan[],MATCH(INDEX(tblMarkVar[],ROW()-ROW(tblMarkVar[[#Headers],[Nov]]),1),INDEX(tblMarkPlan[],,1),0),MATCH(tblMarkVar[[#Headers],[Nov]],tblMarkPlan[#Headers],0))-INDEX(tblMarkActual[],MATCH(INDEX(tblMarkVar[],ROW()-ROW(tblMarkVar[[#Headers],[Nov]]),1),INDEX(tblMarkPlan[],,1),0),MATCH(tblMarkVar[[#Headers],[Nov]],tblMarkActual[#Headers],0))</f>
        <v>500</v>
      </c>
      <c r="N23" s="44">
        <f>INDEX(tblMarkPlan[],MATCH(INDEX(tblMarkVar[],ROW()-ROW(tblMarkVar[[#Headers],[Dec]]),1),INDEX(tblMarkPlan[],,1),0),MATCH(tblMarkVar[[#Headers],[Dec]],tblMarkPlan[#Headers],0))-INDEX(tblMarkActual[],MATCH(INDEX(tblMarkVar[],ROW()-ROW(tblMarkVar[[#Headers],[Dec]]),1),INDEX(tblMarkPlan[],,1),0),MATCH(tblMarkVar[[#Headers],[Dec]],tblMarkActual[#Headers],0))</f>
        <v>500</v>
      </c>
      <c r="O23" s="44">
        <f>SUM(tblMarkVar[[#This Row],[Jan]:[Dec]])</f>
        <v>3000</v>
      </c>
    </row>
    <row r="24" spans="2:15" ht="21" customHeight="1" x14ac:dyDescent="0.35">
      <c r="B24" s="43" t="s">
        <v>31</v>
      </c>
      <c r="C24" s="44">
        <f>INDEX(tblMarkPlan[],MATCH(INDEX(tblMarkVar[],ROW()-ROW(tblMarkVar[[#Headers],[Jan]]),1),INDEX(tblMarkPlan[],,1),0),MATCH(tblMarkVar[[#Headers],[Jan]],tblMarkPlan[#Headers],0))-INDEX(tblMarkActual[],MATCH(INDEX(tblMarkVar[],ROW()-ROW(tblMarkVar[[#Headers],[Jan]]),1),INDEX(tblMarkPlan[],,1),0),MATCH(tblMarkVar[[#Headers],[Jan]],tblMarkActual[#Headers],0))</f>
        <v>0</v>
      </c>
      <c r="D24" s="44">
        <f>INDEX(tblMarkPlan[],MATCH(INDEX(tblMarkVar[],ROW()-ROW(tblMarkVar[[#Headers],[Feb]]),1),INDEX(tblMarkPlan[],,1),0),MATCH(tblMarkVar[[#Headers],[Feb]],tblMarkPlan[#Headers],0))-INDEX(tblMarkActual[],MATCH(INDEX(tblMarkVar[],ROW()-ROW(tblMarkVar[[#Headers],[Feb]]),1),INDEX(tblMarkPlan[],,1),0),MATCH(tblMarkVar[[#Headers],[Feb]],tblMarkActual[#Headers],0))</f>
        <v>0</v>
      </c>
      <c r="E24" s="44">
        <f>INDEX(tblMarkPlan[],MATCH(INDEX(tblMarkVar[],ROW()-ROW(tblMarkVar[[#Headers],[Mar]]),1),INDEX(tblMarkPlan[],,1),0),MATCH(tblMarkVar[[#Headers],[Mar]],tblMarkPlan[#Headers],0))-INDEX(tblMarkActual[],MATCH(INDEX(tblMarkVar[],ROW()-ROW(tblMarkVar[[#Headers],[Mar]]),1),INDEX(tblMarkPlan[],,1),0),MATCH(tblMarkVar[[#Headers],[Mar]],tblMarkActual[#Headers],0))</f>
        <v>0</v>
      </c>
      <c r="F24" s="44">
        <f>INDEX(tblMarkPlan[],MATCH(INDEX(tblMarkVar[],ROW()-ROW(tblMarkVar[[#Headers],[Apr]]),1),INDEX(tblMarkPlan[],,1),0),MATCH(tblMarkVar[[#Headers],[Apr]],tblMarkPlan[#Headers],0))-INDEX(tblMarkActual[],MATCH(INDEX(tblMarkVar[],ROW()-ROW(tblMarkVar[[#Headers],[Apr]]),1),INDEX(tblMarkPlan[],,1),0),MATCH(tblMarkVar[[#Headers],[Apr]],tblMarkActual[#Headers],0))</f>
        <v>0</v>
      </c>
      <c r="G24" s="44">
        <f>INDEX(tblMarkPlan[],MATCH(INDEX(tblMarkVar[],ROW()-ROW(tblMarkVar[[#Headers],[May]]),1),INDEX(tblMarkPlan[],,1),0),MATCH(tblMarkVar[[#Headers],[May]],tblMarkPlan[#Headers],0))-INDEX(tblMarkActual[],MATCH(INDEX(tblMarkVar[],ROW()-ROW(tblMarkVar[[#Headers],[May]]),1),INDEX(tblMarkPlan[],,1),0),MATCH(tblMarkVar[[#Headers],[May]],tblMarkActual[#Headers],0))</f>
        <v>0</v>
      </c>
      <c r="H24" s="44">
        <f>INDEX(tblMarkPlan[],MATCH(INDEX(tblMarkVar[],ROW()-ROW(tblMarkVar[[#Headers],[Jun]]),1),INDEX(tblMarkPlan[],,1),0),MATCH(tblMarkVar[[#Headers],[Jun]],tblMarkPlan[#Headers],0))-INDEX(tblMarkActual[],MATCH(INDEX(tblMarkVar[],ROW()-ROW(tblMarkVar[[#Headers],[Jun]]),1),INDEX(tblMarkPlan[],,1),0),MATCH(tblMarkVar[[#Headers],[Jun]],tblMarkActual[#Headers],0))</f>
        <v>-500</v>
      </c>
      <c r="I24" s="44">
        <f>INDEX(tblMarkPlan[],MATCH(INDEX(tblMarkVar[],ROW()-ROW(tblMarkVar[[#Headers],[Jul]]),1),INDEX(tblMarkPlan[],,1),0),MATCH(tblMarkVar[[#Headers],[Jul]],tblMarkPlan[#Headers],0))-INDEX(tblMarkActual[],MATCH(INDEX(tblMarkVar[],ROW()-ROW(tblMarkVar[[#Headers],[Jul]]),1),INDEX(tblMarkPlan[],,1),0),MATCH(tblMarkVar[[#Headers],[Jul]],tblMarkActual[#Headers],0))</f>
        <v>200</v>
      </c>
      <c r="J24" s="44">
        <f>INDEX(tblMarkPlan[],MATCH(INDEX(tblMarkVar[],ROW()-ROW(tblMarkVar[[#Headers],[Aug]]),1),INDEX(tblMarkPlan[],,1),0),MATCH(tblMarkVar[[#Headers],[Aug]],tblMarkPlan[#Headers],0))-INDEX(tblMarkActual[],MATCH(INDEX(tblMarkVar[],ROW()-ROW(tblMarkVar[[#Headers],[Aug]]),1),INDEX(tblMarkPlan[],,1),0),MATCH(tblMarkVar[[#Headers],[Aug]],tblMarkActual[#Headers],0))</f>
        <v>200</v>
      </c>
      <c r="K24" s="44">
        <f>INDEX(tblMarkPlan[],MATCH(INDEX(tblMarkVar[],ROW()-ROW(tblMarkVar[[#Headers],[Sep]]),1),INDEX(tblMarkPlan[],,1),0),MATCH(tblMarkVar[[#Headers],[Sep]],tblMarkPlan[#Headers],0))-INDEX(tblMarkActual[],MATCH(INDEX(tblMarkVar[],ROW()-ROW(tblMarkVar[[#Headers],[Sep]]),1),INDEX(tblMarkPlan[],,1),0),MATCH(tblMarkVar[[#Headers],[Sep]],tblMarkActual[#Headers],0))</f>
        <v>200</v>
      </c>
      <c r="L24" s="44">
        <f>INDEX(tblMarkPlan[],MATCH(INDEX(tblMarkVar[],ROW()-ROW(tblMarkVar[[#Headers],[Oct]]),1),INDEX(tblMarkPlan[],,1),0),MATCH(tblMarkVar[[#Headers],[Oct]],tblMarkPlan[#Headers],0))-INDEX(tblMarkActual[],MATCH(INDEX(tblMarkVar[],ROW()-ROW(tblMarkVar[[#Headers],[Oct]]),1),INDEX(tblMarkPlan[],,1),0),MATCH(tblMarkVar[[#Headers],[Oct]],tblMarkActual[#Headers],0))</f>
        <v>200</v>
      </c>
      <c r="M24" s="44">
        <f>INDEX(tblMarkPlan[],MATCH(INDEX(tblMarkVar[],ROW()-ROW(tblMarkVar[[#Headers],[Nov]]),1),INDEX(tblMarkPlan[],,1),0),MATCH(tblMarkVar[[#Headers],[Nov]],tblMarkPlan[#Headers],0))-INDEX(tblMarkActual[],MATCH(INDEX(tblMarkVar[],ROW()-ROW(tblMarkVar[[#Headers],[Nov]]),1),INDEX(tblMarkPlan[],,1),0),MATCH(tblMarkVar[[#Headers],[Nov]],tblMarkActual[#Headers],0))</f>
        <v>200</v>
      </c>
      <c r="N24" s="44">
        <f>INDEX(tblMarkPlan[],MATCH(INDEX(tblMarkVar[],ROW()-ROW(tblMarkVar[[#Headers],[Dec]]),1),INDEX(tblMarkPlan[],,1),0),MATCH(tblMarkVar[[#Headers],[Dec]],tblMarkPlan[#Headers],0))-INDEX(tblMarkActual[],MATCH(INDEX(tblMarkVar[],ROW()-ROW(tblMarkVar[[#Headers],[Dec]]),1),INDEX(tblMarkPlan[],,1),0),MATCH(tblMarkVar[[#Headers],[Dec]],tblMarkActual[#Headers],0))</f>
        <v>1000</v>
      </c>
      <c r="O24" s="44">
        <f>SUM(tblMarkVar[[#This Row],[Jan]:[Dec]])</f>
        <v>1500</v>
      </c>
    </row>
    <row r="25" spans="2:15" ht="21" customHeight="1" x14ac:dyDescent="0.35">
      <c r="B25" s="43" t="s">
        <v>32</v>
      </c>
      <c r="C25" s="44">
        <f>INDEX(tblMarkPlan[],MATCH(INDEX(tblMarkVar[],ROW()-ROW(tblMarkVar[[#Headers],[Jan]]),1),INDEX(tblMarkPlan[],,1),0),MATCH(tblMarkVar[[#Headers],[Jan]],tblMarkPlan[#Headers],0))-INDEX(tblMarkActual[],MATCH(INDEX(tblMarkVar[],ROW()-ROW(tblMarkVar[[#Headers],[Jan]]),1),INDEX(tblMarkPlan[],,1),0),MATCH(tblMarkVar[[#Headers],[Jan]],tblMarkActual[#Headers],0))</f>
        <v>200</v>
      </c>
      <c r="D25" s="44">
        <f>INDEX(tblMarkPlan[],MATCH(INDEX(tblMarkVar[],ROW()-ROW(tblMarkVar[[#Headers],[Feb]]),1),INDEX(tblMarkPlan[],,1),0),MATCH(tblMarkVar[[#Headers],[Feb]],tblMarkPlan[#Headers],0))-INDEX(tblMarkActual[],MATCH(INDEX(tblMarkVar[],ROW()-ROW(tblMarkVar[[#Headers],[Feb]]),1),INDEX(tblMarkPlan[],,1),0),MATCH(tblMarkVar[[#Headers],[Feb]],tblMarkActual[#Headers],0))</f>
        <v>0</v>
      </c>
      <c r="E25" s="44">
        <f>INDEX(tblMarkPlan[],MATCH(INDEX(tblMarkVar[],ROW()-ROW(tblMarkVar[[#Headers],[Mar]]),1),INDEX(tblMarkPlan[],,1),0),MATCH(tblMarkVar[[#Headers],[Mar]],tblMarkPlan[#Headers],0))-INDEX(tblMarkActual[],MATCH(INDEX(tblMarkVar[],ROW()-ROW(tblMarkVar[[#Headers],[Mar]]),1),INDEX(tblMarkPlan[],,1),0),MATCH(tblMarkVar[[#Headers],[Mar]],tblMarkActual[#Headers],0))</f>
        <v>0</v>
      </c>
      <c r="F25" s="44">
        <f>INDEX(tblMarkPlan[],MATCH(INDEX(tblMarkVar[],ROW()-ROW(tblMarkVar[[#Headers],[Apr]]),1),INDEX(tblMarkPlan[],,1),0),MATCH(tblMarkVar[[#Headers],[Apr]],tblMarkPlan[#Headers],0))-INDEX(tblMarkActual[],MATCH(INDEX(tblMarkVar[],ROW()-ROW(tblMarkVar[[#Headers],[Apr]]),1),INDEX(tblMarkPlan[],,1),0),MATCH(tblMarkVar[[#Headers],[Apr]],tblMarkActual[#Headers],0))</f>
        <v>-500</v>
      </c>
      <c r="G25" s="44">
        <f>INDEX(tblMarkPlan[],MATCH(INDEX(tblMarkVar[],ROW()-ROW(tblMarkVar[[#Headers],[May]]),1),INDEX(tblMarkPlan[],,1),0),MATCH(tblMarkVar[[#Headers],[May]],tblMarkPlan[#Headers],0))-INDEX(tblMarkActual[],MATCH(INDEX(tblMarkVar[],ROW()-ROW(tblMarkVar[[#Headers],[May]]),1),INDEX(tblMarkPlan[],,1),0),MATCH(tblMarkVar[[#Headers],[May]],tblMarkActual[#Headers],0))</f>
        <v>0</v>
      </c>
      <c r="H25" s="44">
        <f>INDEX(tblMarkPlan[],MATCH(INDEX(tblMarkVar[],ROW()-ROW(tblMarkVar[[#Headers],[Jun]]),1),INDEX(tblMarkPlan[],,1),0),MATCH(tblMarkVar[[#Headers],[Jun]],tblMarkPlan[#Headers],0))-INDEX(tblMarkActual[],MATCH(INDEX(tblMarkVar[],ROW()-ROW(tblMarkVar[[#Headers],[Jun]]),1),INDEX(tblMarkPlan[],,1),0),MATCH(tblMarkVar[[#Headers],[Jun]],tblMarkActual[#Headers],0))</f>
        <v>0</v>
      </c>
      <c r="I25" s="44">
        <f>INDEX(tblMarkPlan[],MATCH(INDEX(tblMarkVar[],ROW()-ROW(tblMarkVar[[#Headers],[Jul]]),1),INDEX(tblMarkPlan[],,1),0),MATCH(tblMarkVar[[#Headers],[Jul]],tblMarkPlan[#Headers],0))-INDEX(tblMarkActual[],MATCH(INDEX(tblMarkVar[],ROW()-ROW(tblMarkVar[[#Headers],[Jul]]),1),INDEX(tblMarkPlan[],,1),0),MATCH(tblMarkVar[[#Headers],[Jul]],tblMarkActual[#Headers],0))</f>
        <v>5000</v>
      </c>
      <c r="J25" s="44">
        <f>INDEX(tblMarkPlan[],MATCH(INDEX(tblMarkVar[],ROW()-ROW(tblMarkVar[[#Headers],[Aug]]),1),INDEX(tblMarkPlan[],,1),0),MATCH(tblMarkVar[[#Headers],[Aug]],tblMarkPlan[#Headers],0))-INDEX(tblMarkActual[],MATCH(INDEX(tblMarkVar[],ROW()-ROW(tblMarkVar[[#Headers],[Aug]]),1),INDEX(tblMarkPlan[],,1),0),MATCH(tblMarkVar[[#Headers],[Aug]],tblMarkActual[#Headers],0))</f>
        <v>0</v>
      </c>
      <c r="K25" s="44">
        <f>INDEX(tblMarkPlan[],MATCH(INDEX(tblMarkVar[],ROW()-ROW(tblMarkVar[[#Headers],[Sep]]),1),INDEX(tblMarkPlan[],,1),0),MATCH(tblMarkVar[[#Headers],[Sep]],tblMarkPlan[#Headers],0))-INDEX(tblMarkActual[],MATCH(INDEX(tblMarkVar[],ROW()-ROW(tblMarkVar[[#Headers],[Sep]]),1),INDEX(tblMarkPlan[],,1),0),MATCH(tblMarkVar[[#Headers],[Sep]],tblMarkActual[#Headers],0))</f>
        <v>0</v>
      </c>
      <c r="L25" s="44">
        <f>INDEX(tblMarkPlan[],MATCH(INDEX(tblMarkVar[],ROW()-ROW(tblMarkVar[[#Headers],[Oct]]),1),INDEX(tblMarkPlan[],,1),0),MATCH(tblMarkVar[[#Headers],[Oct]],tblMarkPlan[#Headers],0))-INDEX(tblMarkActual[],MATCH(INDEX(tblMarkVar[],ROW()-ROW(tblMarkVar[[#Headers],[Oct]]),1),INDEX(tblMarkPlan[],,1),0),MATCH(tblMarkVar[[#Headers],[Oct]],tblMarkActual[#Headers],0))</f>
        <v>5000</v>
      </c>
      <c r="M25" s="44">
        <f>INDEX(tblMarkPlan[],MATCH(INDEX(tblMarkVar[],ROW()-ROW(tblMarkVar[[#Headers],[Nov]]),1),INDEX(tblMarkPlan[],,1),0),MATCH(tblMarkVar[[#Headers],[Nov]],tblMarkPlan[#Headers],0))-INDEX(tblMarkActual[],MATCH(INDEX(tblMarkVar[],ROW()-ROW(tblMarkVar[[#Headers],[Nov]]),1),INDEX(tblMarkPlan[],,1),0),MATCH(tblMarkVar[[#Headers],[Nov]],tblMarkActual[#Headers],0))</f>
        <v>0</v>
      </c>
      <c r="N25" s="44">
        <f>INDEX(tblMarkPlan[],MATCH(INDEX(tblMarkVar[],ROW()-ROW(tblMarkVar[[#Headers],[Dec]]),1),INDEX(tblMarkPlan[],,1),0),MATCH(tblMarkVar[[#Headers],[Dec]],tblMarkPlan[#Headers],0))-INDEX(tblMarkActual[],MATCH(INDEX(tblMarkVar[],ROW()-ROW(tblMarkVar[[#Headers],[Dec]]),1),INDEX(tblMarkPlan[],,1),0),MATCH(tblMarkVar[[#Headers],[Dec]],tblMarkActual[#Headers],0))</f>
        <v>0</v>
      </c>
      <c r="O25" s="44">
        <f>SUM(tblMarkVar[[#This Row],[Jan]:[Dec]])</f>
        <v>9700</v>
      </c>
    </row>
    <row r="26" spans="2:15" ht="21" customHeight="1" x14ac:dyDescent="0.35">
      <c r="B26" s="43" t="s">
        <v>33</v>
      </c>
      <c r="C26" s="44">
        <f>INDEX(tblMarkPlan[],MATCH(INDEX(tblMarkVar[],ROW()-ROW(tblMarkVar[[#Headers],[Jan]]),1),INDEX(tblMarkPlan[],,1),0),MATCH(tblMarkVar[[#Headers],[Jan]],tblMarkPlan[#Headers],0))-INDEX(tblMarkActual[],MATCH(INDEX(tblMarkVar[],ROW()-ROW(tblMarkVar[[#Headers],[Jan]]),1),INDEX(tblMarkPlan[],,1),0),MATCH(tblMarkVar[[#Headers],[Jan]],tblMarkActual[#Headers],0))</f>
        <v>100</v>
      </c>
      <c r="D26" s="44">
        <f>INDEX(tblMarkPlan[],MATCH(INDEX(tblMarkVar[],ROW()-ROW(tblMarkVar[[#Headers],[Feb]]),1),INDEX(tblMarkPlan[],,1),0),MATCH(tblMarkVar[[#Headers],[Feb]],tblMarkPlan[#Headers],0))-INDEX(tblMarkActual[],MATCH(INDEX(tblMarkVar[],ROW()-ROW(tblMarkVar[[#Headers],[Feb]]),1),INDEX(tblMarkPlan[],,1),0),MATCH(tblMarkVar[[#Headers],[Feb]],tblMarkActual[#Headers],0))</f>
        <v>-300</v>
      </c>
      <c r="E26" s="44">
        <f>INDEX(tblMarkPlan[],MATCH(INDEX(tblMarkVar[],ROW()-ROW(tblMarkVar[[#Headers],[Mar]]),1),INDEX(tblMarkPlan[],,1),0),MATCH(tblMarkVar[[#Headers],[Mar]],tblMarkPlan[#Headers],0))-INDEX(tblMarkActual[],MATCH(INDEX(tblMarkVar[],ROW()-ROW(tblMarkVar[[#Headers],[Mar]]),1),INDEX(tblMarkPlan[],,1),0),MATCH(tblMarkVar[[#Headers],[Mar]],tblMarkActual[#Headers],0))</f>
        <v>100</v>
      </c>
      <c r="F26" s="44">
        <f>INDEX(tblMarkPlan[],MATCH(INDEX(tblMarkVar[],ROW()-ROW(tblMarkVar[[#Headers],[Apr]]),1),INDEX(tblMarkPlan[],,1),0),MATCH(tblMarkVar[[#Headers],[Apr]],tblMarkPlan[#Headers],0))-INDEX(tblMarkActual[],MATCH(INDEX(tblMarkVar[],ROW()-ROW(tblMarkVar[[#Headers],[Apr]]),1),INDEX(tblMarkPlan[],,1),0),MATCH(tblMarkVar[[#Headers],[Apr]],tblMarkActual[#Headers],0))</f>
        <v>100</v>
      </c>
      <c r="G26" s="44">
        <f>INDEX(tblMarkPlan[],MATCH(INDEX(tblMarkVar[],ROW()-ROW(tblMarkVar[[#Headers],[May]]),1),INDEX(tblMarkPlan[],,1),0),MATCH(tblMarkVar[[#Headers],[May]],tblMarkPlan[#Headers],0))-INDEX(tblMarkActual[],MATCH(INDEX(tblMarkVar[],ROW()-ROW(tblMarkVar[[#Headers],[May]]),1),INDEX(tblMarkPlan[],,1),0),MATCH(tblMarkVar[[#Headers],[May]],tblMarkActual[#Headers],0))</f>
        <v>-400</v>
      </c>
      <c r="H26" s="44">
        <f>INDEX(tblMarkPlan[],MATCH(INDEX(tblMarkVar[],ROW()-ROW(tblMarkVar[[#Headers],[Jun]]),1),INDEX(tblMarkPlan[],,1),0),MATCH(tblMarkVar[[#Headers],[Jun]],tblMarkPlan[#Headers],0))-INDEX(tblMarkActual[],MATCH(INDEX(tblMarkVar[],ROW()-ROW(tblMarkVar[[#Headers],[Jun]]),1),INDEX(tblMarkPlan[],,1),0),MATCH(tblMarkVar[[#Headers],[Jun]],tblMarkActual[#Headers],0))</f>
        <v>20</v>
      </c>
      <c r="I26" s="44">
        <f>INDEX(tblMarkPlan[],MATCH(INDEX(tblMarkVar[],ROW()-ROW(tblMarkVar[[#Headers],[Jul]]),1),INDEX(tblMarkPlan[],,1),0),MATCH(tblMarkVar[[#Headers],[Jul]],tblMarkPlan[#Headers],0))-INDEX(tblMarkActual[],MATCH(INDEX(tblMarkVar[],ROW()-ROW(tblMarkVar[[#Headers],[Jul]]),1),INDEX(tblMarkPlan[],,1),0),MATCH(tblMarkVar[[#Headers],[Jul]],tblMarkActual[#Headers],0))</f>
        <v>200</v>
      </c>
      <c r="J26" s="44">
        <f>INDEX(tblMarkPlan[],MATCH(INDEX(tblMarkVar[],ROW()-ROW(tblMarkVar[[#Headers],[Aug]]),1),INDEX(tblMarkPlan[],,1),0),MATCH(tblMarkVar[[#Headers],[Aug]],tblMarkPlan[#Headers],0))-INDEX(tblMarkActual[],MATCH(INDEX(tblMarkVar[],ROW()-ROW(tblMarkVar[[#Headers],[Aug]]),1),INDEX(tblMarkPlan[],,1),0),MATCH(tblMarkVar[[#Headers],[Aug]],tblMarkActual[#Headers],0))</f>
        <v>200</v>
      </c>
      <c r="K26" s="44">
        <f>INDEX(tblMarkPlan[],MATCH(INDEX(tblMarkVar[],ROW()-ROW(tblMarkVar[[#Headers],[Sep]]),1),INDEX(tblMarkPlan[],,1),0),MATCH(tblMarkVar[[#Headers],[Sep]],tblMarkPlan[#Headers],0))-INDEX(tblMarkActual[],MATCH(INDEX(tblMarkVar[],ROW()-ROW(tblMarkVar[[#Headers],[Sep]]),1),INDEX(tblMarkPlan[],,1),0),MATCH(tblMarkVar[[#Headers],[Sep]],tblMarkActual[#Headers],0))</f>
        <v>200</v>
      </c>
      <c r="L26" s="44">
        <f>INDEX(tblMarkPlan[],MATCH(INDEX(tblMarkVar[],ROW()-ROW(tblMarkVar[[#Headers],[Oct]]),1),INDEX(tblMarkPlan[],,1),0),MATCH(tblMarkVar[[#Headers],[Oct]],tblMarkPlan[#Headers],0))-INDEX(tblMarkActual[],MATCH(INDEX(tblMarkVar[],ROW()-ROW(tblMarkVar[[#Headers],[Oct]]),1),INDEX(tblMarkPlan[],,1),0),MATCH(tblMarkVar[[#Headers],[Oct]],tblMarkActual[#Headers],0))</f>
        <v>200</v>
      </c>
      <c r="M26" s="44">
        <f>INDEX(tblMarkPlan[],MATCH(INDEX(tblMarkVar[],ROW()-ROW(tblMarkVar[[#Headers],[Nov]]),1),INDEX(tblMarkPlan[],,1),0),MATCH(tblMarkVar[[#Headers],[Nov]],tblMarkPlan[#Headers],0))-INDEX(tblMarkActual[],MATCH(INDEX(tblMarkVar[],ROW()-ROW(tblMarkVar[[#Headers],[Nov]]),1),INDEX(tblMarkPlan[],,1),0),MATCH(tblMarkVar[[#Headers],[Nov]],tblMarkActual[#Headers],0))</f>
        <v>200</v>
      </c>
      <c r="N26" s="44">
        <f>INDEX(tblMarkPlan[],MATCH(INDEX(tblMarkVar[],ROW()-ROW(tblMarkVar[[#Headers],[Dec]]),1),INDEX(tblMarkPlan[],,1),0),MATCH(tblMarkVar[[#Headers],[Dec]],tblMarkPlan[#Headers],0))-INDEX(tblMarkActual[],MATCH(INDEX(tblMarkVar[],ROW()-ROW(tblMarkVar[[#Headers],[Dec]]),1),INDEX(tblMarkPlan[],,1),0),MATCH(tblMarkVar[[#Headers],[Dec]],tblMarkActual[#Headers],0))</f>
        <v>200</v>
      </c>
      <c r="O26" s="44">
        <f>SUM(tblMarkVar[[#This Row],[Jan]:[Dec]])</f>
        <v>820</v>
      </c>
    </row>
    <row r="27" spans="2:15" ht="21" customHeight="1" x14ac:dyDescent="0.35">
      <c r="B27" s="43" t="s">
        <v>34</v>
      </c>
      <c r="C27" s="44">
        <f>INDEX(tblMarkPlan[],MATCH(INDEX(tblMarkVar[],ROW()-ROW(tblMarkVar[[#Headers],[Jan]]),1),INDEX(tblMarkPlan[],,1),0),MATCH(tblMarkVar[[#Headers],[Jan]],tblMarkPlan[#Headers],0))-INDEX(tblMarkActual[],MATCH(INDEX(tblMarkVar[],ROW()-ROW(tblMarkVar[[#Headers],[Jan]]),1),INDEX(tblMarkPlan[],,1),0),MATCH(tblMarkVar[[#Headers],[Jan]],tblMarkActual[#Headers],0))</f>
        <v>200</v>
      </c>
      <c r="D27" s="44">
        <f>INDEX(tblMarkPlan[],MATCH(INDEX(tblMarkVar[],ROW()-ROW(tblMarkVar[[#Headers],[Feb]]),1),INDEX(tblMarkPlan[],,1),0),MATCH(tblMarkVar[[#Headers],[Feb]],tblMarkPlan[#Headers],0))-INDEX(tblMarkActual[],MATCH(INDEX(tblMarkVar[],ROW()-ROW(tblMarkVar[[#Headers],[Feb]]),1),INDEX(tblMarkPlan[],,1),0),MATCH(tblMarkVar[[#Headers],[Feb]],tblMarkActual[#Headers],0))</f>
        <v>-200</v>
      </c>
      <c r="E27" s="44">
        <f>INDEX(tblMarkPlan[],MATCH(INDEX(tblMarkVar[],ROW()-ROW(tblMarkVar[[#Headers],[Mar]]),1),INDEX(tblMarkPlan[],,1),0),MATCH(tblMarkVar[[#Headers],[Mar]],tblMarkPlan[#Headers],0))-INDEX(tblMarkActual[],MATCH(INDEX(tblMarkVar[],ROW()-ROW(tblMarkVar[[#Headers],[Mar]]),1),INDEX(tblMarkPlan[],,1),0),MATCH(tblMarkVar[[#Headers],[Mar]],tblMarkActual[#Headers],0))</f>
        <v>-200</v>
      </c>
      <c r="F27" s="44">
        <f>INDEX(tblMarkPlan[],MATCH(INDEX(tblMarkVar[],ROW()-ROW(tblMarkVar[[#Headers],[Apr]]),1),INDEX(tblMarkPlan[],,1),0),MATCH(tblMarkVar[[#Headers],[Apr]],tblMarkPlan[#Headers],0))-INDEX(tblMarkActual[],MATCH(INDEX(tblMarkVar[],ROW()-ROW(tblMarkVar[[#Headers],[Apr]]),1),INDEX(tblMarkPlan[],,1),0),MATCH(tblMarkVar[[#Headers],[Apr]],tblMarkActual[#Headers],0))</f>
        <v>300</v>
      </c>
      <c r="G27" s="44">
        <f>INDEX(tblMarkPlan[],MATCH(INDEX(tblMarkVar[],ROW()-ROW(tblMarkVar[[#Headers],[May]]),1),INDEX(tblMarkPlan[],,1),0),MATCH(tblMarkVar[[#Headers],[May]],tblMarkPlan[#Headers],0))-INDEX(tblMarkActual[],MATCH(INDEX(tblMarkVar[],ROW()-ROW(tblMarkVar[[#Headers],[May]]),1),INDEX(tblMarkPlan[],,1),0),MATCH(tblMarkVar[[#Headers],[May]],tblMarkActual[#Headers],0))</f>
        <v>500</v>
      </c>
      <c r="H27" s="44">
        <f>INDEX(tblMarkPlan[],MATCH(INDEX(tblMarkVar[],ROW()-ROW(tblMarkVar[[#Headers],[Jun]]),1),INDEX(tblMarkPlan[],,1),0),MATCH(tblMarkVar[[#Headers],[Jun]],tblMarkPlan[#Headers],0))-INDEX(tblMarkActual[],MATCH(INDEX(tblMarkVar[],ROW()-ROW(tblMarkVar[[#Headers],[Jun]]),1),INDEX(tblMarkPlan[],,1),0),MATCH(tblMarkVar[[#Headers],[Jun]],tblMarkActual[#Headers],0))</f>
        <v>-300</v>
      </c>
      <c r="I27" s="44">
        <f>INDEX(tblMarkPlan[],MATCH(INDEX(tblMarkVar[],ROW()-ROW(tblMarkVar[[#Headers],[Jul]]),1),INDEX(tblMarkPlan[],,1),0),MATCH(tblMarkVar[[#Headers],[Jul]],tblMarkPlan[#Headers],0))-INDEX(tblMarkActual[],MATCH(INDEX(tblMarkVar[],ROW()-ROW(tblMarkVar[[#Headers],[Jul]]),1),INDEX(tblMarkPlan[],,1),0),MATCH(tblMarkVar[[#Headers],[Jul]],tblMarkActual[#Headers],0))</f>
        <v>2000</v>
      </c>
      <c r="J27" s="44">
        <f>INDEX(tblMarkPlan[],MATCH(INDEX(tblMarkVar[],ROW()-ROW(tblMarkVar[[#Headers],[Aug]]),1),INDEX(tblMarkPlan[],,1),0),MATCH(tblMarkVar[[#Headers],[Aug]],tblMarkPlan[#Headers],0))-INDEX(tblMarkActual[],MATCH(INDEX(tblMarkVar[],ROW()-ROW(tblMarkVar[[#Headers],[Aug]]),1),INDEX(tblMarkPlan[],,1),0),MATCH(tblMarkVar[[#Headers],[Aug]],tblMarkActual[#Headers],0))</f>
        <v>5000</v>
      </c>
      <c r="K27" s="44">
        <f>INDEX(tblMarkPlan[],MATCH(INDEX(tblMarkVar[],ROW()-ROW(tblMarkVar[[#Headers],[Sep]]),1),INDEX(tblMarkPlan[],,1),0),MATCH(tblMarkVar[[#Headers],[Sep]],tblMarkPlan[#Headers],0))-INDEX(tblMarkActual[],MATCH(INDEX(tblMarkVar[],ROW()-ROW(tblMarkVar[[#Headers],[Sep]]),1),INDEX(tblMarkPlan[],,1),0),MATCH(tblMarkVar[[#Headers],[Sep]],tblMarkActual[#Headers],0))</f>
        <v>2000</v>
      </c>
      <c r="L27" s="44">
        <f>INDEX(tblMarkPlan[],MATCH(INDEX(tblMarkVar[],ROW()-ROW(tblMarkVar[[#Headers],[Oct]]),1),INDEX(tblMarkPlan[],,1),0),MATCH(tblMarkVar[[#Headers],[Oct]],tblMarkPlan[#Headers],0))-INDEX(tblMarkActual[],MATCH(INDEX(tblMarkVar[],ROW()-ROW(tblMarkVar[[#Headers],[Oct]]),1),INDEX(tblMarkPlan[],,1),0),MATCH(tblMarkVar[[#Headers],[Oct]],tblMarkActual[#Headers],0))</f>
        <v>2000</v>
      </c>
      <c r="M27" s="44">
        <f>INDEX(tblMarkPlan[],MATCH(INDEX(tblMarkVar[],ROW()-ROW(tblMarkVar[[#Headers],[Nov]]),1),INDEX(tblMarkPlan[],,1),0),MATCH(tblMarkVar[[#Headers],[Nov]],tblMarkPlan[#Headers],0))-INDEX(tblMarkActual[],MATCH(INDEX(tblMarkVar[],ROW()-ROW(tblMarkVar[[#Headers],[Nov]]),1),INDEX(tblMarkPlan[],,1),0),MATCH(tblMarkVar[[#Headers],[Nov]],tblMarkActual[#Headers],0))</f>
        <v>2000</v>
      </c>
      <c r="N27" s="44">
        <f>INDEX(tblMarkPlan[],MATCH(INDEX(tblMarkVar[],ROW()-ROW(tblMarkVar[[#Headers],[Dec]]),1),INDEX(tblMarkPlan[],,1),0),MATCH(tblMarkVar[[#Headers],[Dec]],tblMarkPlan[#Headers],0))-INDEX(tblMarkActual[],MATCH(INDEX(tblMarkVar[],ROW()-ROW(tblMarkVar[[#Headers],[Dec]]),1),INDEX(tblMarkPlan[],,1),0),MATCH(tblMarkVar[[#Headers],[Dec]],tblMarkActual[#Headers],0))</f>
        <v>5000</v>
      </c>
      <c r="O27" s="44">
        <f>SUM(tblMarkVar[[#This Row],[Jan]:[Dec]])</f>
        <v>18300</v>
      </c>
    </row>
    <row r="28" spans="2:15" ht="21" customHeight="1" x14ac:dyDescent="0.35">
      <c r="B28" s="43" t="s">
        <v>35</v>
      </c>
      <c r="C28" s="44">
        <f>INDEX(tblMarkPlan[],MATCH(INDEX(tblMarkVar[],ROW()-ROW(tblMarkVar[[#Headers],[Jan]]),1),INDEX(tblMarkPlan[],,1),0),MATCH(tblMarkVar[[#Headers],[Jan]],tblMarkPlan[#Headers],0))-INDEX(tblMarkActual[],MATCH(INDEX(tblMarkVar[],ROW()-ROW(tblMarkVar[[#Headers],[Jan]]),1),INDEX(tblMarkPlan[],,1),0),MATCH(tblMarkVar[[#Headers],[Jan]],tblMarkActual[#Headers],0))</f>
        <v>55</v>
      </c>
      <c r="D28" s="44">
        <f>INDEX(tblMarkPlan[],MATCH(INDEX(tblMarkVar[],ROW()-ROW(tblMarkVar[[#Headers],[Feb]]),1),INDEX(tblMarkPlan[],,1),0),MATCH(tblMarkVar[[#Headers],[Feb]],tblMarkPlan[#Headers],0))-INDEX(tblMarkActual[],MATCH(INDEX(tblMarkVar[],ROW()-ROW(tblMarkVar[[#Headers],[Feb]]),1),INDEX(tblMarkPlan[],,1),0),MATCH(tblMarkVar[[#Headers],[Feb]],tblMarkActual[#Headers],0))</f>
        <v>44</v>
      </c>
      <c r="E28" s="44">
        <f>INDEX(tblMarkPlan[],MATCH(INDEX(tblMarkVar[],ROW()-ROW(tblMarkVar[[#Headers],[Mar]]),1),INDEX(tblMarkPlan[],,1),0),MATCH(tblMarkVar[[#Headers],[Mar]],tblMarkPlan[#Headers],0))-INDEX(tblMarkActual[],MATCH(INDEX(tblMarkVar[],ROW()-ROW(tblMarkVar[[#Headers],[Mar]]),1),INDEX(tblMarkPlan[],,1),0),MATCH(tblMarkVar[[#Headers],[Mar]],tblMarkActual[#Headers],0))</f>
        <v>77</v>
      </c>
      <c r="F28" s="44">
        <f>INDEX(tblMarkPlan[],MATCH(INDEX(tblMarkVar[],ROW()-ROW(tblMarkVar[[#Headers],[Apr]]),1),INDEX(tblMarkPlan[],,1),0),MATCH(tblMarkVar[[#Headers],[Apr]],tblMarkPlan[#Headers],0))-INDEX(tblMarkActual[],MATCH(INDEX(tblMarkVar[],ROW()-ROW(tblMarkVar[[#Headers],[Apr]]),1),INDEX(tblMarkPlan[],,1),0),MATCH(tblMarkVar[[#Headers],[Apr]],tblMarkActual[#Headers],0))</f>
        <v>-23</v>
      </c>
      <c r="G28" s="44">
        <f>INDEX(tblMarkPlan[],MATCH(INDEX(tblMarkVar[],ROW()-ROW(tblMarkVar[[#Headers],[May]]),1),INDEX(tblMarkPlan[],,1),0),MATCH(tblMarkVar[[#Headers],[May]],tblMarkPlan[#Headers],0))-INDEX(tblMarkActual[],MATCH(INDEX(tblMarkVar[],ROW()-ROW(tblMarkVar[[#Headers],[May]]),1),INDEX(tblMarkPlan[],,1),0),MATCH(tblMarkVar[[#Headers],[May]],tblMarkActual[#Headers],0))</f>
        <v>13</v>
      </c>
      <c r="H28" s="44">
        <f>INDEX(tblMarkPlan[],MATCH(INDEX(tblMarkVar[],ROW()-ROW(tblMarkVar[[#Headers],[Jun]]),1),INDEX(tblMarkPlan[],,1),0),MATCH(tblMarkVar[[#Headers],[Jun]],tblMarkPlan[#Headers],0))-INDEX(tblMarkActual[],MATCH(INDEX(tblMarkVar[],ROW()-ROW(tblMarkVar[[#Headers],[Jun]]),1),INDEX(tblMarkPlan[],,1),0),MATCH(tblMarkVar[[#Headers],[Jun]],tblMarkActual[#Headers],0))</f>
        <v>-45</v>
      </c>
      <c r="I28" s="44">
        <f>INDEX(tblMarkPlan[],MATCH(INDEX(tblMarkVar[],ROW()-ROW(tblMarkVar[[#Headers],[Jul]]),1),INDEX(tblMarkPlan[],,1),0),MATCH(tblMarkVar[[#Headers],[Jul]],tblMarkPlan[#Headers],0))-INDEX(tblMarkActual[],MATCH(INDEX(tblMarkVar[],ROW()-ROW(tblMarkVar[[#Headers],[Jul]]),1),INDEX(tblMarkPlan[],,1),0),MATCH(tblMarkVar[[#Headers],[Jul]],tblMarkActual[#Headers],0))</f>
        <v>200</v>
      </c>
      <c r="J28" s="44">
        <f>INDEX(tblMarkPlan[],MATCH(INDEX(tblMarkVar[],ROW()-ROW(tblMarkVar[[#Headers],[Aug]]),1),INDEX(tblMarkPlan[],,1),0),MATCH(tblMarkVar[[#Headers],[Aug]],tblMarkPlan[#Headers],0))-INDEX(tblMarkActual[],MATCH(INDEX(tblMarkVar[],ROW()-ROW(tblMarkVar[[#Headers],[Aug]]),1),INDEX(tblMarkPlan[],,1),0),MATCH(tblMarkVar[[#Headers],[Aug]],tblMarkActual[#Headers],0))</f>
        <v>200</v>
      </c>
      <c r="K28" s="44">
        <f>INDEX(tblMarkPlan[],MATCH(INDEX(tblMarkVar[],ROW()-ROW(tblMarkVar[[#Headers],[Sep]]),1),INDEX(tblMarkPlan[],,1),0),MATCH(tblMarkVar[[#Headers],[Sep]],tblMarkPlan[#Headers],0))-INDEX(tblMarkActual[],MATCH(INDEX(tblMarkVar[],ROW()-ROW(tblMarkVar[[#Headers],[Sep]]),1),INDEX(tblMarkPlan[],,1),0),MATCH(tblMarkVar[[#Headers],[Sep]],tblMarkActual[#Headers],0))</f>
        <v>200</v>
      </c>
      <c r="L28" s="44">
        <f>INDEX(tblMarkPlan[],MATCH(INDEX(tblMarkVar[],ROW()-ROW(tblMarkVar[[#Headers],[Oct]]),1),INDEX(tblMarkPlan[],,1),0),MATCH(tblMarkVar[[#Headers],[Oct]],tblMarkPlan[#Headers],0))-INDEX(tblMarkActual[],MATCH(INDEX(tblMarkVar[],ROW()-ROW(tblMarkVar[[#Headers],[Oct]]),1),INDEX(tblMarkPlan[],,1),0),MATCH(tblMarkVar[[#Headers],[Oct]],tblMarkActual[#Headers],0))</f>
        <v>200</v>
      </c>
      <c r="M28" s="44">
        <f>INDEX(tblMarkPlan[],MATCH(INDEX(tblMarkVar[],ROW()-ROW(tblMarkVar[[#Headers],[Nov]]),1),INDEX(tblMarkPlan[],,1),0),MATCH(tblMarkVar[[#Headers],[Nov]],tblMarkPlan[#Headers],0))-INDEX(tblMarkActual[],MATCH(INDEX(tblMarkVar[],ROW()-ROW(tblMarkVar[[#Headers],[Nov]]),1),INDEX(tblMarkPlan[],,1),0),MATCH(tblMarkVar[[#Headers],[Nov]],tblMarkActual[#Headers],0))</f>
        <v>200</v>
      </c>
      <c r="N28" s="44">
        <f>INDEX(tblMarkPlan[],MATCH(INDEX(tblMarkVar[],ROW()-ROW(tblMarkVar[[#Headers],[Dec]]),1),INDEX(tblMarkPlan[],,1),0),MATCH(tblMarkVar[[#Headers],[Dec]],tblMarkPlan[#Headers],0))-INDEX(tblMarkActual[],MATCH(INDEX(tblMarkVar[],ROW()-ROW(tblMarkVar[[#Headers],[Dec]]),1),INDEX(tblMarkPlan[],,1),0),MATCH(tblMarkVar[[#Headers],[Dec]],tblMarkActual[#Headers],0))</f>
        <v>200</v>
      </c>
      <c r="O28" s="44">
        <f>SUM(tblMarkVar[[#This Row],[Jan]:[Dec]])</f>
        <v>1321</v>
      </c>
    </row>
    <row r="29" spans="2:15" ht="21" customHeight="1" x14ac:dyDescent="0.35">
      <c r="B29" s="48" t="s">
        <v>19</v>
      </c>
      <c r="C29" s="52">
        <f>SUBTOTAL(109,tblMarkVar[Jan])</f>
        <v>555</v>
      </c>
      <c r="D29" s="52">
        <f>SUBTOTAL(109,tblMarkVar[Feb])</f>
        <v>-456</v>
      </c>
      <c r="E29" s="52">
        <f>SUBTOTAL(109,tblMarkVar[Mar])</f>
        <v>-23</v>
      </c>
      <c r="F29" s="52">
        <f>SUBTOTAL(109,tblMarkVar[Apr])</f>
        <v>-123</v>
      </c>
      <c r="G29" s="52">
        <f>SUBTOTAL(109,tblMarkVar[May])</f>
        <v>113</v>
      </c>
      <c r="H29" s="52">
        <f>SUBTOTAL(109,tblMarkVar[Jun])</f>
        <v>-825</v>
      </c>
      <c r="I29" s="52">
        <f>SUBTOTAL(109,tblMarkVar[Jul])</f>
        <v>8100</v>
      </c>
      <c r="J29" s="52">
        <f>SUBTOTAL(109,tblMarkVar[Aug])</f>
        <v>6100</v>
      </c>
      <c r="K29" s="52">
        <f>SUBTOTAL(109,tblMarkVar[Sep])</f>
        <v>3100</v>
      </c>
      <c r="L29" s="52">
        <f>SUBTOTAL(109,tblMarkVar[Oct])</f>
        <v>8100</v>
      </c>
      <c r="M29" s="52">
        <f>SUBTOTAL(109,tblMarkVar[Nov])</f>
        <v>3100</v>
      </c>
      <c r="N29" s="52">
        <f>SUBTOTAL(109,tblMarkVar[Dec])</f>
        <v>6900</v>
      </c>
      <c r="O29" s="52">
        <f>SUBTOTAL(109,tblMarkVar[YEAR])</f>
        <v>34641</v>
      </c>
    </row>
    <row r="30" spans="2:15" ht="21" customHeight="1" x14ac:dyDescent="0.3">
      <c r="B30" s="58"/>
      <c r="C30" s="58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1"/>
    </row>
    <row r="31" spans="2:15" ht="21" customHeight="1" x14ac:dyDescent="0.3">
      <c r="B31" s="42" t="s">
        <v>36</v>
      </c>
      <c r="C31" s="49" t="s">
        <v>3</v>
      </c>
      <c r="D31" s="49" t="s">
        <v>4</v>
      </c>
      <c r="E31" s="50" t="s">
        <v>5</v>
      </c>
      <c r="F31" s="49" t="s">
        <v>6</v>
      </c>
      <c r="G31" s="49" t="s">
        <v>7</v>
      </c>
      <c r="H31" s="49" t="s">
        <v>8</v>
      </c>
      <c r="I31" s="49" t="s">
        <v>9</v>
      </c>
      <c r="J31" s="49" t="s">
        <v>10</v>
      </c>
      <c r="K31" s="49" t="s">
        <v>11</v>
      </c>
      <c r="L31" s="49" t="s">
        <v>12</v>
      </c>
      <c r="M31" s="49" t="s">
        <v>13</v>
      </c>
      <c r="N31" s="49" t="s">
        <v>14</v>
      </c>
      <c r="O31" s="49" t="s">
        <v>15</v>
      </c>
    </row>
    <row r="32" spans="2:15" ht="21" customHeight="1" x14ac:dyDescent="0.35">
      <c r="B32" s="43" t="s">
        <v>37</v>
      </c>
      <c r="C32" s="44">
        <f>INDEX(tblTrainPlan[],MATCH(INDEX(tblTrainVar[],ROW()-ROW(tblTrainVar[[#Headers],[Jan]]),1),INDEX(tblTrainPlan[],,1),0),MATCH(tblTrainVar[[#Headers],[Jan]],tblTrainPlan[#Headers],0))-INDEX(tblTrainActual[],MATCH(INDEX(tblTrainVar[],ROW()-ROW(tblTrainVar[[#Headers],[Jan]]),1),INDEX(tblTrainPlan[],,1),0),MATCH(tblTrainVar[[#Headers],[Jan]],tblTrainActual[#Headers],0))</f>
        <v>400</v>
      </c>
      <c r="D32" s="44">
        <f>INDEX(tblTrainPlan[],MATCH(INDEX(tblTrainVar[],ROW()-ROW(tblTrainVar[[#Headers],[Feb]]),1),INDEX(tblTrainPlan[],,1),0),MATCH(tblTrainVar[[#Headers],[Feb]],tblTrainPlan[#Headers],0))-INDEX(tblTrainActual[],MATCH(INDEX(tblTrainVar[],ROW()-ROW(tblTrainVar[[#Headers],[Feb]]),1),INDEX(tblTrainPlan[],,1),0),MATCH(tblTrainVar[[#Headers],[Feb]],tblTrainActual[#Headers],0))</f>
        <v>-400</v>
      </c>
      <c r="E32" s="44">
        <f>INDEX(tblTrainPlan[],MATCH(INDEX(tblTrainVar[],ROW()-ROW(tblTrainVar[[#Headers],[Mar]]),1),INDEX(tblTrainPlan[],,1),0),MATCH(tblTrainVar[[#Headers],[Mar]],tblTrainPlan[#Headers],0))-INDEX(tblTrainActual[],MATCH(INDEX(tblTrainVar[],ROW()-ROW(tblTrainVar[[#Headers],[Mar]]),1),INDEX(tblTrainPlan[],,1),0),MATCH(tblTrainVar[[#Headers],[Mar]],tblTrainActual[#Headers],0))</f>
        <v>600</v>
      </c>
      <c r="F32" s="44">
        <f>INDEX(tblTrainPlan[],MATCH(INDEX(tblTrainVar[],ROW()-ROW(tblTrainVar[[#Headers],[Apr]]),1),INDEX(tblTrainPlan[],,1),0),MATCH(tblTrainVar[[#Headers],[Apr]],tblTrainPlan[#Headers],0))-INDEX(tblTrainActual[],MATCH(INDEX(tblTrainVar[],ROW()-ROW(tblTrainVar[[#Headers],[Apr]]),1),INDEX(tblTrainPlan[],,1),0),MATCH(tblTrainVar[[#Headers],[Apr]],tblTrainActual[#Headers],0))</f>
        <v>400</v>
      </c>
      <c r="G32" s="44">
        <f>INDEX(tblTrainPlan[],MATCH(INDEX(tblTrainVar[],ROW()-ROW(tblTrainVar[[#Headers],[May]]),1),INDEX(tblTrainPlan[],,1),0),MATCH(tblTrainVar[[#Headers],[May]],tblTrainPlan[#Headers],0))-INDEX(tblTrainActual[],MATCH(INDEX(tblTrainVar[],ROW()-ROW(tblTrainVar[[#Headers],[May]]),1),INDEX(tblTrainPlan[],,1),0),MATCH(tblTrainVar[[#Headers],[May]],tblTrainActual[#Headers],0))</f>
        <v>800</v>
      </c>
      <c r="H32" s="44">
        <f>INDEX(tblTrainPlan[],MATCH(INDEX(tblTrainVar[],ROW()-ROW(tblTrainVar[[#Headers],[Jun]]),1),INDEX(tblTrainPlan[],,1),0),MATCH(tblTrainVar[[#Headers],[Jun]],tblTrainPlan[#Headers],0))-INDEX(tblTrainActual[],MATCH(INDEX(tblTrainVar[],ROW()-ROW(tblTrainVar[[#Headers],[Jun]]),1),INDEX(tblTrainPlan[],,1),0),MATCH(tblTrainVar[[#Headers],[Jun]],tblTrainActual[#Headers],0))</f>
        <v>-800</v>
      </c>
      <c r="I32" s="44">
        <f>INDEX(tblTrainPlan[],MATCH(INDEX(tblTrainVar[],ROW()-ROW(tblTrainVar[[#Headers],[Jul]]),1),INDEX(tblTrainPlan[],,1),0),MATCH(tblTrainVar[[#Headers],[Jul]],tblTrainPlan[#Headers],0))-INDEX(tblTrainActual[],MATCH(INDEX(tblTrainVar[],ROW()-ROW(tblTrainVar[[#Headers],[Jul]]),1),INDEX(tblTrainPlan[],,1),0),MATCH(tblTrainVar[[#Headers],[Jul]],tblTrainActual[#Headers],0))</f>
        <v>2000</v>
      </c>
      <c r="J32" s="44">
        <f>INDEX(tblTrainPlan[],MATCH(INDEX(tblTrainVar[],ROW()-ROW(tblTrainVar[[#Headers],[Aug]]),1),INDEX(tblTrainPlan[],,1),0),MATCH(tblTrainVar[[#Headers],[Aug]],tblTrainPlan[#Headers],0))-INDEX(tblTrainActual[],MATCH(INDEX(tblTrainVar[],ROW()-ROW(tblTrainVar[[#Headers],[Aug]]),1),INDEX(tblTrainPlan[],,1),0),MATCH(tblTrainVar[[#Headers],[Aug]],tblTrainActual[#Headers],0))</f>
        <v>2000</v>
      </c>
      <c r="K32" s="44">
        <f>INDEX(tblTrainPlan[],MATCH(INDEX(tblTrainVar[],ROW()-ROW(tblTrainVar[[#Headers],[Sep]]),1),INDEX(tblTrainPlan[],,1),0),MATCH(tblTrainVar[[#Headers],[Sep]],tblTrainPlan[#Headers],0))-INDEX(tblTrainActual[],MATCH(INDEX(tblTrainVar[],ROW()-ROW(tblTrainVar[[#Headers],[Sep]]),1),INDEX(tblTrainPlan[],,1),0),MATCH(tblTrainVar[[#Headers],[Sep]],tblTrainActual[#Headers],0))</f>
        <v>2000</v>
      </c>
      <c r="L32" s="44">
        <f>INDEX(tblTrainPlan[],MATCH(INDEX(tblTrainVar[],ROW()-ROW(tblTrainVar[[#Headers],[Oct]]),1),INDEX(tblTrainPlan[],,1),0),MATCH(tblTrainVar[[#Headers],[Oct]],tblTrainPlan[#Headers],0))-INDEX(tblTrainActual[],MATCH(INDEX(tblTrainVar[],ROW()-ROW(tblTrainVar[[#Headers],[Oct]]),1),INDEX(tblTrainPlan[],,1),0),MATCH(tblTrainVar[[#Headers],[Oct]],tblTrainActual[#Headers],0))</f>
        <v>2000</v>
      </c>
      <c r="M32" s="44">
        <f>INDEX(tblTrainPlan[],MATCH(INDEX(tblTrainVar[],ROW()-ROW(tblTrainVar[[#Headers],[Nov]]),1),INDEX(tblTrainPlan[],,1),0),MATCH(tblTrainVar[[#Headers],[Nov]],tblTrainPlan[#Headers],0))-INDEX(tblTrainActual[],MATCH(INDEX(tblTrainVar[],ROW()-ROW(tblTrainVar[[#Headers],[Nov]]),1),INDEX(tblTrainPlan[],,1),0),MATCH(tblTrainVar[[#Headers],[Nov]],tblTrainActual[#Headers],0))</f>
        <v>2000</v>
      </c>
      <c r="N32" s="44">
        <f>INDEX(tblTrainPlan[],MATCH(INDEX(tblTrainVar[],ROW()-ROW(tblTrainVar[[#Headers],[Dec]]),1),INDEX(tblTrainPlan[],,1),0),MATCH(tblTrainVar[[#Headers],[Dec]],tblTrainPlan[#Headers],0))-INDEX(tblTrainActual[],MATCH(INDEX(tblTrainVar[],ROW()-ROW(tblTrainVar[[#Headers],[Dec]]),1),INDEX(tblTrainPlan[],,1),0),MATCH(tblTrainVar[[#Headers],[Dec]],tblTrainActual[#Headers],0))</f>
        <v>2000</v>
      </c>
      <c r="O32" s="44">
        <f>SUM(tblTrainVar[[#This Row],[Jan]:[Dec]])</f>
        <v>13000</v>
      </c>
    </row>
    <row r="33" spans="2:15" ht="21" customHeight="1" x14ac:dyDescent="0.35">
      <c r="B33" s="43" t="s">
        <v>38</v>
      </c>
      <c r="C33" s="44">
        <f>INDEX(tblTrainPlan[],MATCH(INDEX(tblTrainVar[],ROW()-ROW(tblTrainVar[[#Headers],[Jan]]),1),INDEX(tblTrainPlan[],,1),0),MATCH(tblTrainVar[[#Headers],[Jan]],tblTrainPlan[#Headers],0))-INDEX(tblTrainActual[],MATCH(INDEX(tblTrainVar[],ROW()-ROW(tblTrainVar[[#Headers],[Jan]]),1),INDEX(tblTrainPlan[],,1),0),MATCH(tblTrainVar[[#Headers],[Jan]],tblTrainActual[#Headers],0))</f>
        <v>800</v>
      </c>
      <c r="D33" s="44">
        <f>INDEX(tblTrainPlan[],MATCH(INDEX(tblTrainVar[],ROW()-ROW(tblTrainVar[[#Headers],[Feb]]),1),INDEX(tblTrainPlan[],,1),0),MATCH(tblTrainVar[[#Headers],[Feb]],tblTrainPlan[#Headers],0))-INDEX(tblTrainActual[],MATCH(INDEX(tblTrainVar[],ROW()-ROW(tblTrainVar[[#Headers],[Feb]]),1),INDEX(tblTrainPlan[],,1),0),MATCH(tblTrainVar[[#Headers],[Feb]],tblTrainActual[#Headers],0))</f>
        <v>-200</v>
      </c>
      <c r="E33" s="44">
        <f>INDEX(tblTrainPlan[],MATCH(INDEX(tblTrainVar[],ROW()-ROW(tblTrainVar[[#Headers],[Mar]]),1),INDEX(tblTrainPlan[],,1),0),MATCH(tblTrainVar[[#Headers],[Mar]],tblTrainPlan[#Headers],0))-INDEX(tblTrainActual[],MATCH(INDEX(tblTrainVar[],ROW()-ROW(tblTrainVar[[#Headers],[Mar]]),1),INDEX(tblTrainPlan[],,1),0),MATCH(tblTrainVar[[#Headers],[Mar]],tblTrainActual[#Headers],0))</f>
        <v>600</v>
      </c>
      <c r="F33" s="44">
        <f>INDEX(tblTrainPlan[],MATCH(INDEX(tblTrainVar[],ROW()-ROW(tblTrainVar[[#Headers],[Apr]]),1),INDEX(tblTrainPlan[],,1),0),MATCH(tblTrainVar[[#Headers],[Apr]],tblTrainPlan[#Headers],0))-INDEX(tblTrainActual[],MATCH(INDEX(tblTrainVar[],ROW()-ROW(tblTrainVar[[#Headers],[Apr]]),1),INDEX(tblTrainPlan[],,1),0),MATCH(tblTrainVar[[#Headers],[Apr]],tblTrainActual[#Headers],0))</f>
        <v>800</v>
      </c>
      <c r="G33" s="44">
        <f>INDEX(tblTrainPlan[],MATCH(INDEX(tblTrainVar[],ROW()-ROW(tblTrainVar[[#Headers],[May]]),1),INDEX(tblTrainPlan[],,1),0),MATCH(tblTrainVar[[#Headers],[May]],tblTrainPlan[#Headers],0))-INDEX(tblTrainActual[],MATCH(INDEX(tblTrainVar[],ROW()-ROW(tblTrainVar[[#Headers],[May]]),1),INDEX(tblTrainPlan[],,1),0),MATCH(tblTrainVar[[#Headers],[May]],tblTrainActual[#Headers],0))</f>
        <v>1200</v>
      </c>
      <c r="H33" s="44">
        <f>INDEX(tblTrainPlan[],MATCH(INDEX(tblTrainVar[],ROW()-ROW(tblTrainVar[[#Headers],[Jun]]),1),INDEX(tblTrainPlan[],,1),0),MATCH(tblTrainVar[[#Headers],[Jun]],tblTrainPlan[#Headers],0))-INDEX(tblTrainActual[],MATCH(INDEX(tblTrainVar[],ROW()-ROW(tblTrainVar[[#Headers],[Jun]]),1),INDEX(tblTrainPlan[],,1),0),MATCH(tblTrainVar[[#Headers],[Jun]],tblTrainActual[#Headers],0))</f>
        <v>-1500</v>
      </c>
      <c r="I33" s="44">
        <f>INDEX(tblTrainPlan[],MATCH(INDEX(tblTrainVar[],ROW()-ROW(tblTrainVar[[#Headers],[Jul]]),1),INDEX(tblTrainPlan[],,1),0),MATCH(tblTrainVar[[#Headers],[Jul]],tblTrainPlan[#Headers],0))-INDEX(tblTrainActual[],MATCH(INDEX(tblTrainVar[],ROW()-ROW(tblTrainVar[[#Headers],[Jul]]),1),INDEX(tblTrainPlan[],,1),0),MATCH(tblTrainVar[[#Headers],[Jul]],tblTrainActual[#Headers],0))</f>
        <v>2000</v>
      </c>
      <c r="J33" s="44">
        <f>INDEX(tblTrainPlan[],MATCH(INDEX(tblTrainVar[],ROW()-ROW(tblTrainVar[[#Headers],[Aug]]),1),INDEX(tblTrainPlan[],,1),0),MATCH(tblTrainVar[[#Headers],[Aug]],tblTrainPlan[#Headers],0))-INDEX(tblTrainActual[],MATCH(INDEX(tblTrainVar[],ROW()-ROW(tblTrainVar[[#Headers],[Aug]]),1),INDEX(tblTrainPlan[],,1),0),MATCH(tblTrainVar[[#Headers],[Aug]],tblTrainActual[#Headers],0))</f>
        <v>2000</v>
      </c>
      <c r="K33" s="44">
        <f>INDEX(tblTrainPlan[],MATCH(INDEX(tblTrainVar[],ROW()-ROW(tblTrainVar[[#Headers],[Sep]]),1),INDEX(tblTrainPlan[],,1),0),MATCH(tblTrainVar[[#Headers],[Sep]],tblTrainPlan[#Headers],0))-INDEX(tblTrainActual[],MATCH(INDEX(tblTrainVar[],ROW()-ROW(tblTrainVar[[#Headers],[Sep]]),1),INDEX(tblTrainPlan[],,1),0),MATCH(tblTrainVar[[#Headers],[Sep]],tblTrainActual[#Headers],0))</f>
        <v>2000</v>
      </c>
      <c r="L33" s="44">
        <f>INDEX(tblTrainPlan[],MATCH(INDEX(tblTrainVar[],ROW()-ROW(tblTrainVar[[#Headers],[Oct]]),1),INDEX(tblTrainPlan[],,1),0),MATCH(tblTrainVar[[#Headers],[Oct]],tblTrainPlan[#Headers],0))-INDEX(tblTrainActual[],MATCH(INDEX(tblTrainVar[],ROW()-ROW(tblTrainVar[[#Headers],[Oct]]),1),INDEX(tblTrainPlan[],,1),0),MATCH(tblTrainVar[[#Headers],[Oct]],tblTrainActual[#Headers],0))</f>
        <v>2000</v>
      </c>
      <c r="M33" s="44">
        <f>INDEX(tblTrainPlan[],MATCH(INDEX(tblTrainVar[],ROW()-ROW(tblTrainVar[[#Headers],[Nov]]),1),INDEX(tblTrainPlan[],,1),0),MATCH(tblTrainVar[[#Headers],[Nov]],tblTrainPlan[#Headers],0))-INDEX(tblTrainActual[],MATCH(INDEX(tblTrainVar[],ROW()-ROW(tblTrainVar[[#Headers],[Nov]]),1),INDEX(tblTrainPlan[],,1),0),MATCH(tblTrainVar[[#Headers],[Nov]],tblTrainActual[#Headers],0))</f>
        <v>2000</v>
      </c>
      <c r="N33" s="44">
        <f>INDEX(tblTrainPlan[],MATCH(INDEX(tblTrainVar[],ROW()-ROW(tblTrainVar[[#Headers],[Dec]]),1),INDEX(tblTrainPlan[],,1),0),MATCH(tblTrainVar[[#Headers],[Dec]],tblTrainPlan[#Headers],0))-INDEX(tblTrainActual[],MATCH(INDEX(tblTrainVar[],ROW()-ROW(tblTrainVar[[#Headers],[Dec]]),1),INDEX(tblTrainPlan[],,1),0),MATCH(tblTrainVar[[#Headers],[Dec]],tblTrainActual[#Headers],0))</f>
        <v>2000</v>
      </c>
      <c r="O33" s="44">
        <f>SUM(tblTrainVar[[#This Row],[Jan]:[Dec]])</f>
        <v>13700</v>
      </c>
    </row>
    <row r="34" spans="2:15" ht="21" customHeight="1" x14ac:dyDescent="0.35">
      <c r="B34" s="48" t="s">
        <v>19</v>
      </c>
      <c r="C34" s="52">
        <f>SUBTOTAL(109,tblTrainVar[Jan])</f>
        <v>1200</v>
      </c>
      <c r="D34" s="52">
        <f>SUBTOTAL(109,tblTrainVar[Feb])</f>
        <v>-600</v>
      </c>
      <c r="E34" s="52">
        <f>SUBTOTAL(109,tblTrainVar[Mar])</f>
        <v>1200</v>
      </c>
      <c r="F34" s="52">
        <f>SUBTOTAL(109,tblTrainVar[Apr])</f>
        <v>1200</v>
      </c>
      <c r="G34" s="52">
        <f>SUBTOTAL(109,tblTrainVar[May])</f>
        <v>2000</v>
      </c>
      <c r="H34" s="52">
        <f>SUBTOTAL(109,tblTrainVar[Jun])</f>
        <v>-2300</v>
      </c>
      <c r="I34" s="52">
        <f>SUBTOTAL(109,tblTrainVar[Jul])</f>
        <v>4000</v>
      </c>
      <c r="J34" s="52">
        <f>SUBTOTAL(109,tblTrainVar[Aug])</f>
        <v>4000</v>
      </c>
      <c r="K34" s="52">
        <f>SUBTOTAL(109,tblTrainVar[Sep])</f>
        <v>4000</v>
      </c>
      <c r="L34" s="52">
        <f>SUBTOTAL(109,tblTrainVar[Oct])</f>
        <v>4000</v>
      </c>
      <c r="M34" s="52">
        <f>SUBTOTAL(109,tblTrainVar[Nov])</f>
        <v>4000</v>
      </c>
      <c r="N34" s="52">
        <f>SUBTOTAL(109,tblTrainVar[Dec])</f>
        <v>4000</v>
      </c>
      <c r="O34" s="52">
        <f>SUBTOTAL(109,tblTrainVar[YEAR])</f>
        <v>26700</v>
      </c>
    </row>
    <row r="35" spans="2:15" ht="21" customHeight="1" x14ac:dyDescent="0.3">
      <c r="B35" s="58"/>
      <c r="C35" s="58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2:15" ht="21" customHeight="1" x14ac:dyDescent="0.3">
      <c r="B36" s="19" t="s">
        <v>39</v>
      </c>
      <c r="C36" s="20"/>
      <c r="D36" s="20"/>
      <c r="E36" s="21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2:15" ht="21" customHeight="1" x14ac:dyDescent="0.35">
      <c r="B37" s="28" t="s">
        <v>46</v>
      </c>
      <c r="C37" s="53">
        <f>tblTrainVar[[#Totals],[Jan]]+tblMarkVar[[#Totals],[Jan]]+tblOffVar[[#Totals],[Jan]]+tblEmplVar[[#Totals],[Jan]]</f>
        <v>1738</v>
      </c>
      <c r="D37" s="53">
        <f>tblTrainVar[[#Totals],[Feb]]+tblMarkVar[[#Totals],[Feb]]+tblOffVar[[#Totals],[Feb]]+tblEmplVar[[#Totals],[Feb]]</f>
        <v>-984</v>
      </c>
      <c r="E37" s="53">
        <f>tblTrainVar[[#Totals],[Mar]]+tblMarkVar[[#Totals],[Mar]]+tblOffVar[[#Totals],[Mar]]+tblEmplVar[[#Totals],[Mar]]</f>
        <v>1255</v>
      </c>
      <c r="F37" s="53">
        <f>tblTrainVar[[#Totals],[Apr]]+tblMarkVar[[#Totals],[Apr]]+tblOffVar[[#Totals],[Apr]]+tblEmplVar[[#Totals],[Apr]]</f>
        <v>301</v>
      </c>
      <c r="G37" s="53">
        <f>tblTrainVar[[#Totals],[May]]+tblMarkVar[[#Totals],[May]]+tblOffVar[[#Totals],[May]]+tblEmplVar[[#Totals],[May]]</f>
        <v>1440</v>
      </c>
      <c r="H37" s="53">
        <f>tblTrainVar[[#Totals],[Jun]]+tblMarkVar[[#Totals],[Jun]]+tblOffVar[[#Totals],[Jun]]+tblEmplVar[[#Totals],[Jun]]</f>
        <v>-3744</v>
      </c>
      <c r="I37" s="53">
        <f>tblTrainVar[[#Totals],[Jul]]+tblMarkVar[[#Totals],[Jul]]+tblOffVar[[#Totals],[Jul]]+tblEmplVar[[#Totals],[Jul]]</f>
        <v>134695</v>
      </c>
      <c r="J37" s="53">
        <f>tblTrainVar[[#Totals],[Aug]]+tblMarkVar[[#Totals],[Aug]]+tblOffVar[[#Totals],[Aug]]+tblEmplVar[[#Totals],[Aug]]</f>
        <v>138918</v>
      </c>
      <c r="K37" s="53">
        <f>tblTrainVar[[#Totals],[Sep]]+tblMarkVar[[#Totals],[Sep]]+tblOffVar[[#Totals],[Sep]]+tblEmplVar[[#Totals],[Sep]]</f>
        <v>135918</v>
      </c>
      <c r="L37" s="53">
        <f>tblTrainVar[[#Totals],[Oct]]+tblMarkVar[[#Totals],[Oct]]+tblOffVar[[#Totals],[Oct]]+tblEmplVar[[#Totals],[Oct]]</f>
        <v>140918</v>
      </c>
      <c r="M37" s="53">
        <f>tblTrainVar[[#Totals],[Nov]]+tblMarkVar[[#Totals],[Nov]]+tblOffVar[[#Totals],[Nov]]+tblEmplVar[[#Totals],[Nov]]</f>
        <v>136218</v>
      </c>
      <c r="N37" s="53">
        <f>tblTrainVar[[#Totals],[Dec]]+tblMarkVar[[#Totals],[Dec]]+tblOffVar[[#Totals],[Dec]]+tblEmplVar[[#Totals],[Dec]]</f>
        <v>140018</v>
      </c>
      <c r="O37" s="53">
        <f>tblTrainVar[[#Totals],[YEAR]]+tblMarkVar[[#Totals],[YEAR]]+tblOffVar[[#Totals],[YEAR]]+tblEmplVar[[#Totals],[YEAR]]</f>
        <v>826691</v>
      </c>
    </row>
    <row r="38" spans="2:15" ht="21" customHeight="1" x14ac:dyDescent="0.35">
      <c r="B38" s="28" t="s">
        <v>47</v>
      </c>
      <c r="C38" s="53">
        <f t="shared" ref="C38:N38" si="0">SUM($C$37:C37)</f>
        <v>1738</v>
      </c>
      <c r="D38" s="53">
        <f t="shared" si="0"/>
        <v>754</v>
      </c>
      <c r="E38" s="53">
        <f t="shared" si="0"/>
        <v>2009</v>
      </c>
      <c r="F38" s="53">
        <f t="shared" si="0"/>
        <v>2310</v>
      </c>
      <c r="G38" s="53">
        <f t="shared" si="0"/>
        <v>3750</v>
      </c>
      <c r="H38" s="53">
        <f t="shared" si="0"/>
        <v>6</v>
      </c>
      <c r="I38" s="53">
        <f t="shared" si="0"/>
        <v>134701</v>
      </c>
      <c r="J38" s="53">
        <f t="shared" si="0"/>
        <v>273619</v>
      </c>
      <c r="K38" s="53">
        <f t="shared" si="0"/>
        <v>409537</v>
      </c>
      <c r="L38" s="53">
        <f t="shared" si="0"/>
        <v>550455</v>
      </c>
      <c r="M38" s="53">
        <f t="shared" si="0"/>
        <v>686673</v>
      </c>
      <c r="N38" s="53">
        <f t="shared" si="0"/>
        <v>826691</v>
      </c>
      <c r="O38" s="27"/>
    </row>
    <row r="39" spans="2:15" ht="21" customHeight="1" x14ac:dyDescent="0.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</sheetData>
  <mergeCells count="4">
    <mergeCell ref="B35:C35"/>
    <mergeCell ref="B30:C30"/>
    <mergeCell ref="B21:C21"/>
    <mergeCell ref="B10:C10"/>
  </mergeCell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/>
    <pageSetUpPr autoPageBreaks="0" fitToPage="1"/>
  </sheetPr>
  <dimension ref="B1:F11"/>
  <sheetViews>
    <sheetView showGridLines="0" workbookViewId="0"/>
  </sheetViews>
  <sheetFormatPr defaultRowHeight="15" x14ac:dyDescent="0.3"/>
  <cols>
    <col min="1" max="1" width="2" style="13" customWidth="1"/>
    <col min="2" max="2" width="25.33203125" style="13" customWidth="1"/>
    <col min="3" max="3" width="23.33203125" style="13" customWidth="1"/>
    <col min="4" max="4" width="24.33203125" style="13" customWidth="1"/>
    <col min="5" max="5" width="22.83203125" style="13" customWidth="1"/>
    <col min="6" max="6" width="24.6640625" style="13" customWidth="1"/>
    <col min="7" max="7" width="9.33203125" style="13" customWidth="1"/>
    <col min="8" max="16384" width="9.33203125" style="13"/>
  </cols>
  <sheetData>
    <row r="1" spans="2:6" ht="9.9499999999999993" customHeight="1" x14ac:dyDescent="0.3"/>
    <row r="2" spans="2:6" ht="27" customHeight="1" x14ac:dyDescent="0.35">
      <c r="B2" s="22" t="str">
        <f>'PLANNED EXPENSES'!B2</f>
        <v>&lt;Company Name&gt;</v>
      </c>
      <c r="C2" s="22"/>
      <c r="D2" s="2"/>
      <c r="E2" s="3"/>
      <c r="F2" s="2"/>
    </row>
    <row r="3" spans="2:6" ht="18.75" customHeight="1" x14ac:dyDescent="0.3">
      <c r="B3" s="15" t="s">
        <v>1</v>
      </c>
      <c r="C3" s="4"/>
      <c r="D3" s="4"/>
      <c r="E3" s="5"/>
      <c r="F3" s="4"/>
    </row>
    <row r="4" spans="2:6" x14ac:dyDescent="0.3">
      <c r="B4" s="6"/>
      <c r="C4" s="6"/>
      <c r="D4" s="6"/>
      <c r="E4" s="6"/>
      <c r="F4" s="6"/>
    </row>
    <row r="5" spans="2:6" x14ac:dyDescent="0.3">
      <c r="B5" s="19" t="s">
        <v>48</v>
      </c>
      <c r="C5" s="16" t="s">
        <v>2</v>
      </c>
      <c r="D5" s="16" t="s">
        <v>42</v>
      </c>
      <c r="E5" s="16" t="s">
        <v>45</v>
      </c>
      <c r="F5" s="16" t="s">
        <v>49</v>
      </c>
    </row>
    <row r="6" spans="2:6" ht="15.75" customHeight="1" x14ac:dyDescent="0.35">
      <c r="B6" s="23" t="s">
        <v>16</v>
      </c>
      <c r="C6" s="24">
        <f>tblEmplPlan[[#Totals],[YEAR]]</f>
        <v>1355090</v>
      </c>
      <c r="D6" s="24">
        <f>tblEmplActual[[#Totals],[YEAR]]</f>
        <v>659130</v>
      </c>
      <c r="E6" s="24">
        <f t="shared" ref="E6:E10" si="0">C6-D6</f>
        <v>695960</v>
      </c>
      <c r="F6" s="29">
        <f t="shared" ref="F6:F10" si="1">E6/C6</f>
        <v>0.5135895032802249</v>
      </c>
    </row>
    <row r="7" spans="2:6" ht="15.75" customHeight="1" x14ac:dyDescent="0.35">
      <c r="B7" s="23" t="str">
        <f>'PLANNED EXPENSES'!B11</f>
        <v>Office Costs</v>
      </c>
      <c r="C7" s="24">
        <f>tblOffPlan[[#Totals],[YEAR]]</f>
        <v>138740</v>
      </c>
      <c r="D7" s="24">
        <f>tblOffActual[[#Totals],[YEAR]]</f>
        <v>69350</v>
      </c>
      <c r="E7" s="24">
        <f t="shared" si="0"/>
        <v>69390</v>
      </c>
      <c r="F7" s="29">
        <f t="shared" si="1"/>
        <v>0.50014415453366012</v>
      </c>
    </row>
    <row r="8" spans="2:6" ht="15.75" customHeight="1" x14ac:dyDescent="0.35">
      <c r="B8" s="23" t="str">
        <f>'PLANNED EXPENSES'!B22</f>
        <v>Marketing Costs</v>
      </c>
      <c r="C8" s="24">
        <f>tblMarkPlan[[#Totals],[YEAR]]</f>
        <v>67800</v>
      </c>
      <c r="D8" s="24">
        <f>tblMarkActual[[#Totals],[YEAR]]</f>
        <v>33159</v>
      </c>
      <c r="E8" s="24">
        <f t="shared" si="0"/>
        <v>34641</v>
      </c>
      <c r="F8" s="29">
        <f t="shared" si="1"/>
        <v>0.51092920353982296</v>
      </c>
    </row>
    <row r="9" spans="2:6" ht="15.75" customHeight="1" x14ac:dyDescent="0.35">
      <c r="B9" s="23" t="str">
        <f>'PLANNED EXPENSES'!B31</f>
        <v>Training/Travel</v>
      </c>
      <c r="C9" s="24">
        <f>tblTrainPlan[[#Totals],[YEAR]]</f>
        <v>48000</v>
      </c>
      <c r="D9" s="24">
        <f>tblTrainActual[[#Totals],[YEAR]]</f>
        <v>21300</v>
      </c>
      <c r="E9" s="24">
        <f t="shared" si="0"/>
        <v>26700</v>
      </c>
      <c r="F9" s="29">
        <f t="shared" si="1"/>
        <v>0.55625000000000002</v>
      </c>
    </row>
    <row r="10" spans="2:6" ht="15.75" customHeight="1" x14ac:dyDescent="0.35">
      <c r="B10" s="23" t="str">
        <f>'PLANNED EXPENSES'!B36</f>
        <v>TOTALS</v>
      </c>
      <c r="C10" s="24">
        <f>'PLANNED EXPENSES'!O37</f>
        <v>1609630</v>
      </c>
      <c r="D10" s="24">
        <f>'ACTUAL EXPENSES'!O37</f>
        <v>782939</v>
      </c>
      <c r="E10" s="24">
        <f t="shared" si="0"/>
        <v>826691</v>
      </c>
      <c r="F10" s="29">
        <f t="shared" si="1"/>
        <v>0.51359070096854553</v>
      </c>
    </row>
    <row r="11" spans="2:6" ht="15.75" customHeight="1" x14ac:dyDescent="0.35">
      <c r="B11" s="30"/>
      <c r="C11" s="31"/>
      <c r="D11" s="31"/>
      <c r="E11" s="31"/>
      <c r="F11" s="32"/>
    </row>
  </sheetData>
  <printOptions horizontalCentered="1"/>
  <pageMargins left="0.4" right="0.4" top="0.4" bottom="0.4" header="0.3" footer="0.3"/>
  <pageSetup scale="8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77AB5A-9534-47E8-8B32-90E670A627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PLANNED EXPENSES</vt:lpstr>
      <vt:lpstr>ACTUAL EXPENSES</vt:lpstr>
      <vt:lpstr>EXPENSE VARIANCES</vt:lpstr>
      <vt:lpstr>EXPENSE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Bai Yuan</dc:creator>
  <cp:keywords/>
  <cp:lastModifiedBy>Shang PeiXu</cp:lastModifiedBy>
  <dcterms:created xsi:type="dcterms:W3CDTF">2016-09-08T10:50:26Z</dcterms:created>
  <dcterms:modified xsi:type="dcterms:W3CDTF">2018-03-09T04:11:36Z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TC040354899991</vt:lpwstr>
  </property>
</Properties>
</file>