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demos\jsonio with sheets\final\"/>
    </mc:Choice>
  </mc:AlternateContent>
  <bookViews>
    <workbookView xWindow="0" yWindow="0" windowWidth="19200" windowHeight="7260"/>
  </bookViews>
  <sheets>
    <sheet name="Monthly Budget Summary" sheetId="1" r:id="rId1"/>
    <sheet name="Monthly Budget Details" sheetId="3" r:id="rId2"/>
  </sheets>
  <definedNames>
    <definedName name="_xlnm._FilterDatabase" localSheetId="1" hidden="1">'Monthly Budget Details'!#REF!</definedName>
    <definedName name="_xlnm._FilterDatabase" localSheetId="0" hidden="1">'Monthly Budget Details'!$D$18:$D$37</definedName>
    <definedName name="COMPANY_NAME">'Monthly Budget Summary'!$B$2</definedName>
  </definedNames>
  <calcPr calcId="171027"/>
</workbook>
</file>

<file path=xl/calcChain.xml><?xml version="1.0" encoding="utf-8"?>
<calcChain xmlns="http://schemas.openxmlformats.org/spreadsheetml/2006/main">
  <c r="D38" i="3" l="1"/>
  <c r="C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D15" i="3"/>
  <c r="C15" i="3"/>
  <c r="F14" i="3"/>
  <c r="E14" i="3"/>
  <c r="F13" i="3"/>
  <c r="E13" i="3"/>
  <c r="F12" i="3"/>
  <c r="E12" i="3"/>
  <c r="D9" i="3"/>
  <c r="C9" i="3"/>
  <c r="F8" i="3"/>
  <c r="E8" i="3"/>
  <c r="F7" i="3"/>
  <c r="E7" i="3"/>
  <c r="F6" i="3"/>
  <c r="E6" i="3"/>
  <c r="F9" i="3" l="1"/>
  <c r="F15" i="3"/>
  <c r="F38" i="3"/>
  <c r="B2" i="3"/>
  <c r="C33" i="1" l="1"/>
  <c r="C34" i="1"/>
  <c r="E34" i="1" s="1"/>
  <c r="E33" i="1" l="1"/>
  <c r="C37" i="1" l="1"/>
  <c r="E37" i="1" s="1"/>
  <c r="C35" i="1"/>
  <c r="C36" i="1"/>
  <c r="E36" i="1" s="1"/>
  <c r="E35" i="1" l="1"/>
  <c r="E38" i="1" s="1"/>
  <c r="C38" i="1"/>
  <c r="B34" i="1"/>
  <c r="B33" i="1"/>
  <c r="B36" i="1"/>
  <c r="B35" i="1"/>
  <c r="B37" i="1"/>
  <c r="C6" i="1"/>
  <c r="D6" i="1"/>
  <c r="C7" i="1"/>
  <c r="E6" i="1" l="1"/>
  <c r="D7" i="1"/>
  <c r="D35" i="1" l="1"/>
  <c r="E7" i="1"/>
  <c r="D8" i="1"/>
  <c r="D36" i="1"/>
  <c r="D34" i="1"/>
  <c r="D37" i="1"/>
  <c r="D33" i="1"/>
  <c r="D38" i="1" l="1"/>
  <c r="C8" i="1"/>
  <c r="E8" i="1" s="1"/>
</calcChain>
</file>

<file path=xl/sharedStrings.xml><?xml version="1.0" encoding="utf-8"?>
<sst xmlns="http://schemas.openxmlformats.org/spreadsheetml/2006/main" count="60" uniqueCount="48">
  <si>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</si>
  <si>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</si>
  <si>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</si>
  <si>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</si>
  <si>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</si>
  <si>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</si>
  <si>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</si>
  <si>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</si>
  <si>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</si>
  <si>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</si>
  <si>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</si>
  <si>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</si>
  <si>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</si>
  <si>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</si>
  <si>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</si>
  <si>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</si>
  <si>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</si>
  <si>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</si>
  <si>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</si>
  <si>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</si>
  <si>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</si>
  <si>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</si>
  <si>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</si>
  <si>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</si>
  <si>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</si>
  <si>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</si>
  <si>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</si>
  <si>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</si>
  <si>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</si>
  <si>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</si>
  <si>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</si>
  <si>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</si>
  <si>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15% REDUCTION</t>
  </si>
  <si>
    <t>Balance (Income minus Expenses)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</si>
  <si>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</si>
  <si>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</si>
  <si>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</si>
  <si>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</si>
  <si>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</si>
  <si>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</si>
  <si>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</si>
  <si>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</si>
  <si>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</si>
  <si>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COMPANY NAME</t>
  </si>
  <si>
    <t>Delivery costs</t>
  </si>
  <si>
    <t>Total Income</t>
  </si>
  <si>
    <t>Total Personnel Expenses</t>
  </si>
  <si>
    <t>Total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</si>
</sst>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5" formatCode="0.0%"/>
  </numFmts>
  <fonts count="14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11"/>
      <color rgb="FFDA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12"/>
      <color theme="3" tint="-0.24994659260841701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1"/>
      <name val="Gill Sans M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0" applyNumberFormat="0" applyFill="0" applyAlignment="0" applyProtection="0"/>
    <xf numFmtId="0" fontId="11" fillId="0" borderId="0" applyNumberFormat="0" applyFill="0" applyAlignment="0" applyProtection="0"/>
    <xf numFmtId="0" fontId="13" fillId="0" borderId="0" applyNumberFormat="0" applyFill="0" applyBorder="0" applyProtection="0">
      <alignment horizontal="left" vertical="center"/>
    </xf>
    <xf numFmtId="0" fontId="1" fillId="0" borderId="0" applyNumberFormat="0" applyFill="0" applyAlignment="0" applyProtection="0"/>
    <xf numFmtId="0" fontId="7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53">
    <xf numFmtId="0" fontId="0" fillId="0" borderId="0" xfId="0"/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5" borderId="0" xfId="0" applyFill="1" applyProtection="1">
      <protection locked="0"/>
    </xf>
    <xf numFmtId="0" fontId="3" fillId="5" borderId="0" xfId="0" applyFont="1" applyFill="1" applyAlignment="1" applyProtection="1"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0" fillId="0" borderId="0" xfId="3" applyFont="1" applyFill="1" applyBorder="1" applyAlignment="1" applyProtection="1">
      <alignment horizontal="left" vertical="center" indent="1"/>
      <protection locked="0"/>
    </xf>
    <xf numFmtId="0" fontId="0" fillId="0" borderId="0" xfId="3" applyFont="1" applyFill="1" applyBorder="1" applyAlignment="1" applyProtection="1">
      <alignment vertical="center"/>
      <protection locked="0"/>
    </xf>
    <xf numFmtId="40" fontId="0" fillId="0" borderId="0" xfId="4" applyNumberFormat="1" applyFont="1" applyFill="1" applyBorder="1" applyProtection="1"/>
    <xf numFmtId="0" fontId="0" fillId="0" borderId="0" xfId="8" applyFont="1" applyFill="1" applyBorder="1" applyAlignment="1" applyProtection="1">
      <alignment horizontal="left" indent="1"/>
      <protection locked="0"/>
    </xf>
    <xf numFmtId="40" fontId="0" fillId="0" borderId="0" xfId="8" applyNumberFormat="1" applyFont="1" applyFill="1" applyBorder="1" applyProtection="1"/>
    <xf numFmtId="40" fontId="0" fillId="0" borderId="0" xfId="8" applyNumberFormat="1" applyFont="1" applyFill="1" applyBorder="1" applyProtection="1">
      <protection locked="0"/>
    </xf>
    <xf numFmtId="0" fontId="0" fillId="0" borderId="0" xfId="3" applyFont="1" applyFill="1" applyBorder="1" applyAlignment="1" applyProtection="1">
      <alignment horizontal="left" indent="1"/>
      <protection locked="0"/>
    </xf>
    <xf numFmtId="0" fontId="0" fillId="0" borderId="0" xfId="3" applyNumberFormat="1" applyFont="1" applyFill="1" applyBorder="1" applyProtection="1">
      <protection locked="0"/>
    </xf>
    <xf numFmtId="0" fontId="0" fillId="0" borderId="0" xfId="3" applyFont="1" applyFill="1" applyBorder="1" applyProtection="1">
      <protection locked="0"/>
    </xf>
    <xf numFmtId="43" fontId="0" fillId="0" borderId="0" xfId="3" applyNumberFormat="1" applyFont="1" applyFill="1" applyBorder="1" applyProtection="1">
      <protection locked="0"/>
    </xf>
    <xf numFmtId="0" fontId="0" fillId="0" borderId="0" xfId="0" applyFont="1" applyFill="1" applyBorder="1" applyAlignment="1" applyProtection="1">
      <alignment horizontal="left" indent="1"/>
      <protection locked="0"/>
    </xf>
    <xf numFmtId="4" fontId="0" fillId="0" borderId="0" xfId="0" applyNumberFormat="1" applyFont="1" applyFill="1" applyBorder="1" applyProtection="1"/>
    <xf numFmtId="165" fontId="0" fillId="0" borderId="0" xfId="0" applyNumberFormat="1" applyFont="1" applyFill="1" applyBorder="1" applyProtection="1"/>
    <xf numFmtId="40" fontId="0" fillId="0" borderId="0" xfId="0" applyNumberFormat="1" applyFont="1" applyFill="1" applyBorder="1" applyProtection="1"/>
    <xf numFmtId="40" fontId="1" fillId="0" borderId="0" xfId="8" applyNumberFormat="1" applyFill="1" applyProtection="1"/>
    <xf numFmtId="0" fontId="0" fillId="6" borderId="0" xfId="0" applyFill="1" applyProtection="1">
      <protection locked="0"/>
    </xf>
    <xf numFmtId="0" fontId="6" fillId="6" borderId="0" xfId="0" applyFont="1" applyFill="1" applyProtection="1">
      <protection locked="0"/>
    </xf>
    <xf numFmtId="0" fontId="0" fillId="6" borderId="0" xfId="0" applyFill="1" applyAlignment="1" applyProtection="1">
      <alignment vertical="center"/>
      <protection locked="0"/>
    </xf>
    <xf numFmtId="0" fontId="6" fillId="6" borderId="0" xfId="3" applyFont="1" applyFill="1" applyBorder="1" applyAlignment="1" applyProtection="1">
      <alignment vertical="center"/>
      <protection locked="0"/>
    </xf>
    <xf numFmtId="40" fontId="6" fillId="6" borderId="0" xfId="4" applyNumberFormat="1" applyFont="1" applyFill="1" applyBorder="1" applyProtection="1"/>
    <xf numFmtId="40" fontId="6" fillId="6" borderId="0" xfId="8" applyNumberFormat="1" applyFont="1" applyFill="1" applyBorder="1" applyProtection="1"/>
    <xf numFmtId="0" fontId="0" fillId="6" borderId="0" xfId="0" applyFill="1" applyAlignment="1" applyProtection="1">
      <alignment horizontal="center"/>
      <protection locked="0"/>
    </xf>
    <xf numFmtId="0" fontId="6" fillId="6" borderId="0" xfId="0" applyFont="1" applyFill="1" applyAlignment="1" applyProtection="1">
      <alignment horizontal="center"/>
      <protection locked="0"/>
    </xf>
    <xf numFmtId="43" fontId="6" fillId="6" borderId="0" xfId="3" applyNumberFormat="1" applyFont="1" applyFill="1" applyBorder="1" applyProtection="1">
      <protection locked="0"/>
    </xf>
    <xf numFmtId="0" fontId="6" fillId="6" borderId="0" xfId="3" applyFont="1" applyFill="1" applyBorder="1" applyProtection="1">
      <protection locked="0"/>
    </xf>
    <xf numFmtId="0" fontId="9" fillId="5" borderId="0" xfId="1" applyFill="1" applyAlignment="1" applyProtection="1">
      <alignment horizontal="left" indent="1"/>
      <protection locked="0"/>
    </xf>
    <xf numFmtId="0" fontId="11" fillId="2" borderId="0" xfId="6" applyFill="1" applyAlignment="1" applyProtection="1">
      <alignment vertical="center"/>
      <protection locked="0"/>
    </xf>
    <xf numFmtId="0" fontId="10" fillId="5" borderId="0" xfId="5" applyFill="1" applyAlignment="1" applyProtection="1">
      <alignment horizontal="left" indent="1"/>
    </xf>
    <xf numFmtId="0" fontId="10" fillId="5" borderId="0" xfId="5" applyFont="1" applyFill="1" applyAlignment="1" applyProtection="1">
      <alignment horizontal="left" indent="1"/>
      <protection locked="0"/>
    </xf>
    <xf numFmtId="40" fontId="0" fillId="0" borderId="0" xfId="0" applyNumberFormat="1" applyFont="1" applyFill="1" applyBorder="1" applyProtection="1">
      <protection locked="0"/>
    </xf>
    <xf numFmtId="40" fontId="8" fillId="0" borderId="0" xfId="8" applyNumberFormat="1" applyFont="1" applyFill="1" applyAlignment="1" applyProtection="1"/>
    <xf numFmtId="40" fontId="0" fillId="0" borderId="0" xfId="8" applyNumberFormat="1" applyFont="1" applyFill="1" applyBorder="1" applyAlignment="1" applyProtection="1"/>
    <xf numFmtId="0" fontId="1" fillId="7" borderId="0" xfId="10" applyBorder="1" applyAlignment="1" applyProtection="1">
      <alignment horizontal="left" indent="1"/>
    </xf>
    <xf numFmtId="4" fontId="1" fillId="7" borderId="0" xfId="10" applyNumberFormat="1" applyBorder="1" applyProtection="1"/>
    <xf numFmtId="165" fontId="1" fillId="7" borderId="0" xfId="10" applyNumberFormat="1" applyBorder="1" applyProtection="1"/>
    <xf numFmtId="40" fontId="1" fillId="7" borderId="0" xfId="10" applyNumberFormat="1" applyBorder="1" applyProtection="1"/>
    <xf numFmtId="0" fontId="1" fillId="7" borderId="0" xfId="10" applyNumberFormat="1" applyBorder="1" applyAlignment="1" applyProtection="1">
      <alignment horizontal="left" indent="1"/>
      <protection locked="0"/>
    </xf>
    <xf numFmtId="40" fontId="1" fillId="7" borderId="0" xfId="10" applyNumberFormat="1" applyBorder="1" applyAlignment="1" applyProtection="1"/>
    <xf numFmtId="0" fontId="1" fillId="7" borderId="0" xfId="10" applyAlignment="1">
      <alignment horizontal="left" indent="1"/>
    </xf>
    <xf numFmtId="0" fontId="1" fillId="7" borderId="0" xfId="10" applyAlignment="1" applyProtection="1">
      <alignment horizontal="left" indent="1"/>
      <protection locked="0"/>
    </xf>
    <xf numFmtId="40" fontId="1" fillId="7" borderId="0" xfId="10" applyNumberFormat="1" applyAlignment="1" applyProtection="1">
      <protection locked="0"/>
    </xf>
    <xf numFmtId="40" fontId="1" fillId="0" borderId="0" xfId="8" applyNumberFormat="1" applyAlignment="1" applyProtection="1"/>
    <xf numFmtId="164" fontId="12" fillId="5" borderId="0" xfId="2" applyNumberFormat="1" applyFill="1" applyAlignment="1" applyProtection="1">
      <alignment horizontal="right"/>
      <protection locked="0"/>
    </xf>
  </cellXfs>
  <cellStyles count="11">
    <cellStyle name="20% - Accent3" xfId="10" builtinId="38"/>
    <cellStyle name="20% - Accent5" xfId="4" builtinId="46"/>
    <cellStyle name="60% - Accent4" xfId="3" builtinId="44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Title" xfId="1" builtinId="15" customBuiltin="1"/>
    <cellStyle name="Total" xfId="8" builtinId="25" customBuiltin="1"/>
    <cellStyle name="Warning Text" xfId="9" builtinId="11" customBuiltin="1"/>
  </cellStyles>
  <dxfs count="33">
    <dxf>
      <numFmt numFmtId="8" formatCode="#,##0.00_);[Red]\(#,##0.00\)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alignment horizontal="left" vertical="bottom" textRotation="0" wrapText="0" indent="1" justifyLastLine="0" shrinkToFit="0" readingOrder="0"/>
    </dxf>
    <dxf>
      <numFmt numFmtId="8" formatCode="#,##0.00_);[Red]\(#,##0.00\)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alignment horizontal="left" vertical="bottom" textRotation="0" wrapText="0" indent="1" justifyLastLine="0" shrinkToFit="0" readingOrder="0"/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alignment horizontal="left" vertical="bottom" textRotation="0" wrapText="0" indent="1" justifyLastLine="0" shrinkToFit="0" readingOrder="0"/>
      <protection locked="0" hidden="0"/>
    </dxf>
    <dxf>
      <font>
        <color rgb="FFDA0000"/>
      </font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8" formatCode="#,##0.00_);[Red]\(#,##0.0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8" formatCode="#,##0.00_);[Red]\(#,##0.0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0" formatCode="General"/>
      <alignment horizontal="left" vertical="bottom" textRotation="0" wrapText="0" indent="1" justifyLastLine="0" shrinkToFit="0" readingOrder="0"/>
    </dxf>
    <dxf>
      <font>
        <color rgb="FFDA0000"/>
      </font>
    </dxf>
    <dxf>
      <font>
        <color rgb="FFDA0000"/>
      </font>
    </dxf>
    <dxf>
      <fill>
        <patternFill>
          <bgColor theme="5" tint="0.79998168889431442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8168889431442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4">
      <tableStyleElement type="wholeTable" dxfId="32"/>
      <tableStyleElement type="headerRow" dxfId="31"/>
      <tableStyleElement type="totalRow" dxfId="30"/>
      <tableStyleElement type="lastColumn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 sz="1500" b="0">
                <a:solidFill>
                  <a:schemeClr val="tx2">
                    <a:lumMod val="75000"/>
                  </a:schemeClr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11267172051275741"/>
          <c:y val="0.104733248767000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 Summary'!$B$6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 Summary'!$C$5:$D$5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Summary'!$C$6:$D$6</c:f>
              <c:numCache>
                <c:formatCode>#,##0.00_);[Red]\(#,##0.00\)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3-4391-9D05-35745A8A1A7D}"/>
            </c:ext>
          </c:extLst>
        </c:ser>
        <c:ser>
          <c:idx val="1"/>
          <c:order val="1"/>
          <c:tx>
            <c:strRef>
              <c:f>'Monthly Budget Summary'!$B$7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5">
                  <a:lumMod val="90000"/>
                </a:schemeClr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 Summary'!$C$5:$D$5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Summary'!$C$7:$D$7</c:f>
              <c:numCache>
                <c:formatCode>#,##0.00_);[Red]\(#,##0.00\)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3-4391-9D05-35745A8A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742567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80087049104772"/>
          <c:y val="0.11413918438569598"/>
          <c:w val="0.22490337474143743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443592</xdr:colOff>
      <xdr:row>9</xdr:row>
      <xdr:rowOff>19051</xdr:rowOff>
    </xdr:from>
    <xdr:to>
      <xdr:col>5</xdr:col>
      <xdr:colOff>0</xdr:colOff>
      <xdr:row>28</xdr:row>
      <xdr:rowOff>152401</xdr:rowOff>
    </xdr:to>
    <xdr:graphicFrame macro="">
      <xdr:nvGraphicFramePr>
        <xdr:cNvPr id="3" name="BudgetOverview" descr="Bar chart showing estimated versus actual income and expenses" title="Budget Overvie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otalsTable" displayName="TotalsTable" ref="B5:E8" totalsRowCount="1">
  <autoFilter ref="B5:E7"/>
  <tableColumns count="4">
    <tableColumn id="1" name="BUDGET TOTALS" totalsRowLabel="Balance (Income minus Expenses)" dataDxfId="26" totalsRowDxfId="25" dataCellStyle="20% - Accent3"/>
    <tableColumn id="2" name="ESTIMATED" totalsRowFunction="custom" dataDxfId="24" totalsRowDxfId="23" dataCellStyle="20% - Accent3">
      <totalsRowFormula>C6-C7</totalsRowFormula>
    </tableColumn>
    <tableColumn id="3" name="ACTUAL" totalsRowFunction="custom" dataDxfId="22" totalsRowDxfId="21" dataCellStyle="20% - Accent3">
      <totalsRowFormula>D6-D7</totalsRowFormula>
    </tableColumn>
    <tableColumn id="4" name="DIFFERENCE" totalsRowFunction="custom" dataDxfId="20" totalsRowDxfId="19" dataCellStyle="Total">
      <calculatedColumnFormula>TotalsTable[[#This Row],[ACTUAL]]-TotalsTable[[#This Row],[ESTIMATED]]</calculatedColumnFormula>
      <totalsRowFormula>TotalsTable[[#Totals],[ACTUAL]]-TotalsTable[[#Totals],[ESTIMATED]]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Budget Totals table" altTextSummary="Table that sums total estimated and actual income and expenses from other tables in the worksheet, calculates difference, and provides balance (income minus expenses)"/>
    </ext>
  </extLst>
</table>
</file>

<file path=xl/tables/table2.xml><?xml version="1.0" encoding="utf-8"?>
<table xmlns="http://schemas.openxmlformats.org/spreadsheetml/2006/main" id="1" name="Top5Expenses" displayName="Top5Expenses" ref="B32:E38" totalsRowCount="1" totalsRowDxfId="18">
  <tableColumns count="4">
    <tableColumn id="1" name="EXPENSE" totalsRowLabel="Total" totalsRowDxfId="17" dataCellStyle="20% - Accent3">
      <calculatedColumnFormula>INDEX(OperatingExpensesTable[],MATCH(Top5Expenses[[#This Row],[AMOUNT]],OperatingExpensesTable[TOP 5 AMOUNT],0),1)</calculatedColumnFormula>
    </tableColumn>
    <tableColumn id="2" name="AMOUNT" totalsRowFunction="sum" totalsRowDxfId="16" dataCellStyle="20% - Accent3"/>
    <tableColumn id="3" name="% OF EXPENSES" totalsRowFunction="sum" dataCellStyle="20% - Accent3">
      <calculatedColumnFormula>Top5Expenses[[#This Row],[AMOUNT]]/$D$7</calculatedColumnFormula>
    </tableColumn>
    <tableColumn id="4" name="15% REDUCTION" totalsRowFunction="sum" dataCellStyle="20% - Accent3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Top 5 highest operating expenses" altTextSummary="Table that provides the top 5 highest operating expenses, percentage of expenses, and 15% reduction for potential savings analysis "/>
    </ext>
  </extLst>
</table>
</file>

<file path=xl/tables/table3.xml><?xml version="1.0" encoding="utf-8"?>
<table xmlns="http://schemas.openxmlformats.org/spreadsheetml/2006/main" id="2" name="OperatingExpensesTable" displayName="OperatingExpensesTable" ref="B17:F38" totalsRowCount="1">
  <autoFilter ref="B17:F37"/>
  <sortState ref="B17:F37">
    <sortCondition ref="B16:B37"/>
  </sortState>
  <tableColumns count="5">
    <tableColumn id="1" name="OPERATING EXPENSES" totalsRowLabel="Total Operating Expenses" dataDxfId="14" dataCellStyle="20% - Accent3"/>
    <tableColumn id="2" name="ESTIMATED" totalsRowFunction="sum" dataDxfId="13" dataCellStyle="20% - Accent3"/>
    <tableColumn id="3" name="ACTUAL" totalsRowFunction="sum" dataDxfId="12" dataCellStyle="20% - Accent3"/>
    <tableColumn id="5" name="TOP 5 AMOUNT" totalsRowDxfId="11">
      <calculatedColumnFormula>OperatingExpensesTable[[#This Row],[ACTUAL]]+(10^-6)*ROW(OperatingExpensesTable[[#This Row],[ACTUAL]])</calculatedColumnFormula>
    </tableColumn>
    <tableColumn id="4" name="DIFFERENCE" totalsRowFunction="sum" dataDxfId="10" dataCellStyle="Total">
      <calculatedColumnFormula>OperatingExpensesTable[[#This Row],[ESTIMATED]]-OperatingExpensesTable[[#This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Operating Expenses table" altTextSummary="List of operating expenses for estimated and actual values along with a calculated difference"/>
    </ext>
  </extLst>
</table>
</file>

<file path=xl/tables/table4.xml><?xml version="1.0" encoding="utf-8"?>
<table xmlns="http://schemas.openxmlformats.org/spreadsheetml/2006/main" id="5" name="PersonnelExpensesTable" displayName="PersonnelExpensesTable" ref="B11:F15" totalsRowCount="1">
  <autoFilter ref="B11:F14"/>
  <tableColumns count="5">
    <tableColumn id="1" name="PERSONNEL EXPENSES" totalsRowLabel="Total Personnel Expenses" dataDxfId="9" dataCellStyle="20% - Accent3"/>
    <tableColumn id="2" name="ESTIMATED" totalsRowFunction="sum" dataDxfId="8" dataCellStyle="20% - Accent3"/>
    <tableColumn id="3" name="ACTUAL" totalsRowFunction="sum" dataDxfId="7" dataCellStyle="20% - Accent3"/>
    <tableColumn id="4" name="TOP 5 AMOUNT" totalsRowDxfId="6">
      <calculatedColumnFormula>PersonnelExpensesTable[[#This Row],[ACTUAL]]+(10^-6)*ROW(PersonnelExpensesTable[[#This Row],[ACTUAL]])</calculatedColumnFormula>
    </tableColumn>
    <tableColumn id="5" name="DIFFERENCE" totalsRowFunction="sum" dataDxfId="5" dataCellStyle="Total">
      <calculatedColumnFormula>PersonnelExpensesTable[[#This Row],[ESTIMATED]]-PersonnelExpensesTable[[#This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Personnel Expenses table" altTextSummary="List of personnel expenses for estimated and actual values along with a calculated difference"/>
    </ext>
  </extLst>
</table>
</file>

<file path=xl/tables/table5.xml><?xml version="1.0" encoding="utf-8"?>
<table xmlns="http://schemas.openxmlformats.org/spreadsheetml/2006/main" id="3" name="IncomeTable" displayName="IncomeTable" ref="B5:F9" totalsRowCount="1">
  <autoFilter ref="B5:F8"/>
  <tableColumns count="5">
    <tableColumn id="1" name="INCOME" totalsRowLabel="Total Income" dataDxfId="4" dataCellStyle="20% - Accent3"/>
    <tableColumn id="2" name="ESTIMATED" totalsRowFunction="sum" dataDxfId="3" dataCellStyle="20% - Accent3"/>
    <tableColumn id="3" name="ACTUAL" totalsRowFunction="sum" dataDxfId="2" dataCellStyle="20% - Accent3"/>
    <tableColumn id="5" name="TOP 5 AMOUNT" totalsRowDxfId="1" dataCellStyle="Total">
      <calculatedColumnFormula>IncomeTable[[#This Row],[ACTUAL]]+(10^-6)*ROW(IncomeTable[[#This Row],[ACTUAL]])</calculatedColumnFormula>
    </tableColumn>
    <tableColumn id="4" name="DIFFERENCE" totalsRowFunction="sum" dataDxfId="0" dataCellStyle="Total">
      <calculatedColumnFormula>IncomeTable[[#This Row],[ACTUAL]]-IncomeTable[[#This Row],[ESTIMATED]]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Income table" altTextSummary="List of income sources for estimated and actual values along with a calculated difference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79998168889431442"/>
    <pageSetUpPr autoPageBreaks="0" fitToPage="1"/>
  </sheetPr>
  <dimension ref="A1:F38"/>
  <sheetViews>
    <sheetView showGridLines="0" tabSelected="1" zoomScaleNormal="100" workbookViewId="0">
      <selection activeCell="H20" sqref="H20"/>
    </sheetView>
  </sheetViews>
  <sheetFormatPr defaultColWidth="9" defaultRowHeight="16.5" customHeight="1" x14ac:dyDescent="0.35"/>
  <cols>
    <col min="1" max="1" width="4.125" style="2" customWidth="1"/>
    <col min="2" max="2" width="29.25" style="2" customWidth="1"/>
    <col min="3" max="5" width="19" style="2" customWidth="1"/>
    <col min="6" max="6" width="4.125" style="2" customWidth="1"/>
    <col min="7" max="7" width="4.125" style="5" customWidth="1"/>
    <col min="8" max="16384" width="9" style="5"/>
  </cols>
  <sheetData>
    <row r="1" spans="1:6" s="1" customFormat="1" ht="24.75" customHeight="1" x14ac:dyDescent="0.35">
      <c r="A1" s="7"/>
      <c r="B1" s="7"/>
      <c r="C1" s="7"/>
      <c r="D1" s="7"/>
      <c r="E1" s="7"/>
      <c r="F1" s="7"/>
    </row>
    <row r="2" spans="1:6" s="1" customFormat="1" ht="31.5" customHeight="1" x14ac:dyDescent="0.5">
      <c r="A2" s="7"/>
      <c r="B2" s="38" t="s">
        <v>43</v>
      </c>
      <c r="C2"/>
      <c r="D2"/>
      <c r="E2"/>
      <c r="F2"/>
    </row>
    <row r="3" spans="1:6" s="1" customFormat="1" ht="42" customHeight="1" x14ac:dyDescent="1">
      <c r="A3" s="7"/>
      <c r="B3" s="35" t="s">
        <v>31</v>
      </c>
      <c r="C3" s="9"/>
      <c r="D3" s="9"/>
      <c r="E3" s="52">
        <v>42430</v>
      </c>
      <c r="F3" s="52"/>
    </row>
    <row r="5" spans="1:6" s="6" customFormat="1" ht="21.75" customHeight="1" x14ac:dyDescent="0.35">
      <c r="A5" s="3"/>
      <c r="B5" s="10" t="s">
        <v>30</v>
      </c>
      <c r="C5" s="11" t="s">
        <v>19</v>
      </c>
      <c r="D5" s="11" t="s">
        <v>20</v>
      </c>
      <c r="E5" s="11" t="s">
        <v>21</v>
      </c>
      <c r="F5" s="3"/>
    </row>
    <row r="6" spans="1:6" ht="16.5" customHeight="1" x14ac:dyDescent="0.35">
      <c r="B6" s="46" t="s">
        <v>15</v>
      </c>
      <c r="C6" s="47">
        <f>IncomeTable[[#Totals],[ESTIMATED]]</f>
        <v>63300</v>
      </c>
      <c r="D6" s="47">
        <f>IncomeTable[[#Totals],[ACTUAL]]</f>
        <v>57450</v>
      </c>
      <c r="E6" s="40">
        <f>TotalsTable[[#This Row],[ACTUAL]]-TotalsTable[[#This Row],[ESTIMATED]]</f>
        <v>-5850</v>
      </c>
    </row>
    <row r="7" spans="1:6" ht="16.5" customHeight="1" x14ac:dyDescent="0.35">
      <c r="B7" s="46" t="s">
        <v>18</v>
      </c>
      <c r="C7" s="47">
        <f>OperatingExpensesTable[[#Totals],[ESTIMATED]]+PersonnelExpensesTable[[#Totals],[ESTIMATED]]</f>
        <v>54500</v>
      </c>
      <c r="D7" s="47">
        <f>OperatingExpensesTable[[#Totals],[ACTUAL]]+PersonnelExpensesTable[[#Totals],[ACTUAL]]</f>
        <v>49630</v>
      </c>
      <c r="E7" s="41">
        <f>TotalsTable[[#This Row],[ESTIMATED]]-TotalsTable[[#This Row],[ACTUAL]]</f>
        <v>4870</v>
      </c>
    </row>
    <row r="8" spans="1:6" ht="16.5" customHeight="1" x14ac:dyDescent="0.35">
      <c r="B8" s="13" t="s">
        <v>33</v>
      </c>
      <c r="C8" s="14">
        <f>C6-C7</f>
        <v>8800</v>
      </c>
      <c r="D8" s="14">
        <f>D6-D7</f>
        <v>7820</v>
      </c>
      <c r="E8" s="24">
        <f>TotalsTable[[#Totals],[ACTUAL]]-TotalsTable[[#Totals],[ESTIMATED]]</f>
        <v>-980</v>
      </c>
    </row>
    <row r="31" spans="2:5" ht="16.5" customHeight="1" x14ac:dyDescent="0.35">
      <c r="B31" s="36" t="s">
        <v>26</v>
      </c>
      <c r="C31" s="4"/>
      <c r="D31" s="4"/>
      <c r="E31" s="4"/>
    </row>
    <row r="32" spans="2:5" ht="21.75" customHeight="1" x14ac:dyDescent="0.35">
      <c r="B32" s="10" t="s">
        <v>27</v>
      </c>
      <c r="C32" s="11" t="s">
        <v>28</v>
      </c>
      <c r="D32" s="11" t="s">
        <v>29</v>
      </c>
      <c r="E32" s="11" t="s">
        <v>32</v>
      </c>
    </row>
    <row r="33" spans="2:5" ht="16.5" customHeight="1" x14ac:dyDescent="0.35">
      <c r="B33" s="42" t="str">
        <f>INDEX(OperatingExpensesTable[],MATCH(Top5Expenses[[#This Row],[AMOUNT]],OperatingExpensesTable[TOP 5 AMOUNT],0),1)</f>
        <v>Maintenance and repairs</v>
      </c>
      <c r="C33" s="43">
        <f>LARGE(OperatingExpensesTable[TOP 5 AMOUNT],1)</f>
        <v>4600.000027</v>
      </c>
      <c r="D33" s="44">
        <f>Top5Expenses[[#This Row],[AMOUNT]]/$D$7</f>
        <v>9.268587602256699E-2</v>
      </c>
      <c r="E33" s="45">
        <f>Top5Expenses[[#This Row],[AMOUNT]]*0.15</f>
        <v>690.00000405000003</v>
      </c>
    </row>
    <row r="34" spans="2:5" ht="16.5" customHeight="1" x14ac:dyDescent="0.35">
      <c r="B34" s="42" t="str">
        <f>INDEX(OperatingExpensesTable[],MATCH(Top5Expenses[[#This Row],[AMOUNT]],OperatingExpensesTable[TOP 5 AMOUNT],0),1)</f>
        <v>Supplies</v>
      </c>
      <c r="C34" s="43">
        <f>LARGE(OperatingExpensesTable[TOP 5 AMOUNT],2)</f>
        <v>4500.0000330000003</v>
      </c>
      <c r="D34" s="44">
        <f>Top5Expenses[[#This Row],[AMOUNT]]/$D$7</f>
        <v>9.0670965806971593E-2</v>
      </c>
      <c r="E34" s="45">
        <f>Top5Expenses[[#This Row],[AMOUNT]]*0.15</f>
        <v>675.00000495000006</v>
      </c>
    </row>
    <row r="35" spans="2:5" ht="16.5" customHeight="1" x14ac:dyDescent="0.35">
      <c r="B35" s="42" t="str">
        <f>INDEX(OperatingExpensesTable[],MATCH(Top5Expenses[[#This Row],[AMOUNT]],OperatingExpensesTable[TOP 5 AMOUNT],0),1)</f>
        <v>Rent or mortgage</v>
      </c>
      <c r="C35" s="43">
        <f>LARGE(OperatingExpensesTable[TOP 5 AMOUNT],3)</f>
        <v>4500.0000300000002</v>
      </c>
      <c r="D35" s="44">
        <f>Top5Expenses[[#This Row],[AMOUNT]]/$D$7</f>
        <v>9.0670965746524279E-2</v>
      </c>
      <c r="E35" s="45">
        <f>Top5Expenses[[#This Row],[AMOUNT]]*0.15</f>
        <v>675.00000450000005</v>
      </c>
    </row>
    <row r="36" spans="2:5" ht="16.5" customHeight="1" x14ac:dyDescent="0.35">
      <c r="B36" s="42" t="str">
        <f>INDEX(OperatingExpensesTable[],MATCH(Top5Expenses[[#This Row],[AMOUNT]],OperatingExpensesTable[TOP 5 AMOUNT],0),1)</f>
        <v>Taxes</v>
      </c>
      <c r="C36" s="43">
        <f>LARGE(OperatingExpensesTable[TOP 5 AMOUNT],4)</f>
        <v>3200.0000340000001</v>
      </c>
      <c r="D36" s="44">
        <f>Top5Expenses[[#This Row],[AMOUNT]]/$D$7</f>
        <v>6.4477131452750358E-2</v>
      </c>
      <c r="E36" s="45">
        <f>Top5Expenses[[#This Row],[AMOUNT]]*0.15</f>
        <v>480.00000510000001</v>
      </c>
    </row>
    <row r="37" spans="2:5" ht="16.5" customHeight="1" x14ac:dyDescent="0.35">
      <c r="B37" s="42" t="str">
        <f>INDEX(OperatingExpensesTable[],MATCH(Top5Expenses[[#This Row],[AMOUNT]],OperatingExpensesTable[TOP 5 AMOUNT],0),1)</f>
        <v>Advertising</v>
      </c>
      <c r="C37" s="43">
        <f>LARGE(OperatingExpensesTable[TOP 5 AMOUNT],5)</f>
        <v>2500.0000180000002</v>
      </c>
      <c r="D37" s="44">
        <f>Top5Expenses[[#This Row],[AMOUNT]]/$D$7</f>
        <v>5.0372758774934516E-2</v>
      </c>
      <c r="E37" s="45">
        <f>Top5Expenses[[#This Row],[AMOUNT]]*0.15</f>
        <v>375.00000270000004</v>
      </c>
    </row>
    <row r="38" spans="2:5" ht="16.5" customHeight="1" x14ac:dyDescent="0.35">
      <c r="B38" s="20" t="s">
        <v>14</v>
      </c>
      <c r="C38" s="21">
        <f>SUBTOTAL(109,Top5Expenses[AMOUNT])</f>
        <v>19300.000142000001</v>
      </c>
      <c r="D38" s="22">
        <f>SUBTOTAL(109,Top5Expenses[% OF EXPENSES])</f>
        <v>0.38887769780374776</v>
      </c>
      <c r="E38" s="23">
        <f>SUBTOTAL(109,Top5Expenses[15% REDUCTION])</f>
        <v>2895.0000213000003</v>
      </c>
    </row>
  </sheetData>
  <sheetProtection insertColumns="0" insertRows="0" deleteColumns="0" deleteRows="0" selectLockedCells="1" autoFilter="0"/>
  <mergeCells count="1">
    <mergeCell ref="E3:F3"/>
  </mergeCells>
  <conditionalFormatting sqref="C6:E86">
    <cfRule type="cellIs" dxfId="28" priority="2" operator="lessThan">
      <formula>0</formula>
    </cfRule>
  </conditionalFormatting>
  <conditionalFormatting sqref="D33:E38">
    <cfRule type="cellIs" dxfId="27" priority="1" operator="lessThan">
      <formula>0</formula>
    </cfRule>
  </conditionalFormatting>
  <dataValidations count="6">
    <dataValidation type="custom" allowBlank="1" showInputMessage="1" showErrorMessage="1" errorTitle="ALERT" error="This cell is automatically populated and should not be overwitten. Overwriting this cell would break calculations in this worksheet." sqref="D34 C34:C37 D36:D37 C6:E7">
      <formula1>LEN(C6)=""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35:E37">
      <formula1>LEN(#REF!)=""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33">
      <formula1>LEN(E33:E38)=""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C33:D33">
      <formula1>LEN(C33:C38)=""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D35">
      <formula1>LEN(D34:D38)=""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34">
      <formula1>LEN(E34:E38)=""</formula1>
    </dataValidation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C6:E6 C33:E37 C7:D7" listDataValidation="1"/>
    <ignoredError sqref="E7" listDataValidation="1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autoPageBreaks="0" fitToPage="1"/>
  </sheetPr>
  <dimension ref="A1:G38"/>
  <sheetViews>
    <sheetView showGridLines="0" zoomScaleNormal="100" workbookViewId="0"/>
  </sheetViews>
  <sheetFormatPr defaultColWidth="9" defaultRowHeight="16.5" customHeight="1" x14ac:dyDescent="0.35"/>
  <cols>
    <col min="1" max="1" width="4.125" style="25" customWidth="1"/>
    <col min="2" max="2" width="29.25" style="25" customWidth="1"/>
    <col min="3" max="3" width="19" style="25" customWidth="1"/>
    <col min="4" max="4" width="18.875" style="25" customWidth="1"/>
    <col min="5" max="5" width="0.375" style="25" hidden="1" customWidth="1"/>
    <col min="6" max="6" width="19" style="25" customWidth="1"/>
    <col min="7" max="7" width="4.125" style="25" customWidth="1"/>
    <col min="8" max="8" width="4.125" style="5" customWidth="1"/>
    <col min="9" max="16384" width="9" style="5"/>
  </cols>
  <sheetData>
    <row r="1" spans="1:7" s="1" customFormat="1" ht="24.75" customHeight="1" x14ac:dyDescent="0.35">
      <c r="A1" s="7"/>
      <c r="B1" s="7"/>
      <c r="C1" s="7"/>
      <c r="D1" s="7"/>
      <c r="E1" s="7"/>
      <c r="F1" s="7"/>
      <c r="G1" s="7"/>
    </row>
    <row r="2" spans="1:7" s="1" customFormat="1" ht="30.75" customHeight="1" x14ac:dyDescent="0.5">
      <c r="A2" s="7"/>
      <c r="B2" s="37" t="str">
        <f>COMPANY_NAME</f>
        <v>COMPANY NAME</v>
      </c>
      <c r="C2" s="8"/>
      <c r="D2" s="8"/>
      <c r="E2" s="8"/>
      <c r="F2" s="8"/>
      <c r="G2" s="8"/>
    </row>
    <row r="3" spans="1:7" s="1" customFormat="1" ht="42" customHeight="1" x14ac:dyDescent="1">
      <c r="A3" s="7"/>
      <c r="B3" s="35" t="s">
        <v>31</v>
      </c>
      <c r="C3" s="9"/>
      <c r="D3" s="9"/>
      <c r="E3" s="9"/>
      <c r="F3" s="9"/>
      <c r="G3" s="9"/>
    </row>
    <row r="4" spans="1:7" ht="16.5" customHeight="1" x14ac:dyDescent="0.35">
      <c r="G4" s="26"/>
    </row>
    <row r="5" spans="1:7" s="6" customFormat="1" ht="16.5" customHeight="1" x14ac:dyDescent="0.35">
      <c r="A5" s="27"/>
      <c r="B5" s="10" t="s">
        <v>22</v>
      </c>
      <c r="C5" s="11" t="s">
        <v>19</v>
      </c>
      <c r="D5" s="11" t="s">
        <v>20</v>
      </c>
      <c r="E5" s="11" t="s">
        <v>23</v>
      </c>
      <c r="F5" s="11" t="s">
        <v>21</v>
      </c>
      <c r="G5" s="28"/>
    </row>
    <row r="6" spans="1:7" ht="16.5" customHeight="1" x14ac:dyDescent="0.35">
      <c r="B6" s="48" t="s">
        <v>40</v>
      </c>
      <c r="C6" s="50">
        <v>60000</v>
      </c>
      <c r="D6" s="50">
        <v>54000</v>
      </c>
      <c r="E6" s="12">
        <f>IncomeTable[[#This Row],[ACTUAL]]+(10^-6)*ROW(IncomeTable[[#This Row],[ACTUAL]])</f>
        <v>54000.000006000002</v>
      </c>
      <c r="F6" s="51">
        <f>IncomeTable[[#This Row],[ACTUAL]]-IncomeTable[[#This Row],[ESTIMATED]]</f>
        <v>-6000</v>
      </c>
      <c r="G6" s="29"/>
    </row>
    <row r="7" spans="1:7" ht="16.5" customHeight="1" x14ac:dyDescent="0.35">
      <c r="B7" s="48" t="s">
        <v>41</v>
      </c>
      <c r="C7" s="50">
        <v>3000</v>
      </c>
      <c r="D7" s="50">
        <v>3000</v>
      </c>
      <c r="E7" s="12">
        <f>IncomeTable[[#This Row],[ACTUAL]]+(10^-6)*ROW(IncomeTable[[#This Row],[ACTUAL]])</f>
        <v>3000.0000070000001</v>
      </c>
      <c r="F7" s="51">
        <f>IncomeTable[[#This Row],[ACTUAL]]-IncomeTable[[#This Row],[ESTIMATED]]</f>
        <v>0</v>
      </c>
      <c r="G7" s="29"/>
    </row>
    <row r="8" spans="1:7" ht="16.5" customHeight="1" x14ac:dyDescent="0.35">
      <c r="B8" s="48" t="s">
        <v>42</v>
      </c>
      <c r="C8" s="50">
        <v>300</v>
      </c>
      <c r="D8" s="50">
        <v>450</v>
      </c>
      <c r="E8" s="12">
        <f>IncomeTable[[#This Row],[ACTUAL]]+(10^-6)*ROW(IncomeTable[[#This Row],[ACTUAL]])</f>
        <v>450.00000799999998</v>
      </c>
      <c r="F8" s="51">
        <f>IncomeTable[[#This Row],[ACTUAL]]-IncomeTable[[#This Row],[ESTIMATED]]</f>
        <v>150</v>
      </c>
      <c r="G8" s="29"/>
    </row>
    <row r="9" spans="1:7" ht="16.5" customHeight="1" x14ac:dyDescent="0.35">
      <c r="B9" s="13" t="s">
        <v>45</v>
      </c>
      <c r="C9" s="14">
        <f>SUBTOTAL(109,IncomeTable[ESTIMATED])</f>
        <v>63300</v>
      </c>
      <c r="D9" s="14">
        <f>SUBTOTAL(109,IncomeTable[ACTUAL])</f>
        <v>57450</v>
      </c>
      <c r="E9" s="15"/>
      <c r="F9" s="14">
        <f>SUBTOTAL(109,IncomeTable[DIFFERENCE])</f>
        <v>-5850</v>
      </c>
      <c r="G9" s="30"/>
    </row>
    <row r="10" spans="1:7" ht="16.5" customHeight="1" x14ac:dyDescent="0.35">
      <c r="B10" s="31"/>
      <c r="C10" s="31"/>
      <c r="D10" s="31"/>
      <c r="E10" s="31"/>
      <c r="F10" s="31"/>
      <c r="G10" s="32"/>
    </row>
    <row r="11" spans="1:7" ht="16.5" customHeight="1" x14ac:dyDescent="0.35">
      <c r="A11" s="27"/>
      <c r="B11" s="16" t="s">
        <v>24</v>
      </c>
      <c r="C11" s="17" t="s">
        <v>19</v>
      </c>
      <c r="D11" s="17" t="s">
        <v>20</v>
      </c>
      <c r="E11" s="11" t="s">
        <v>23</v>
      </c>
      <c r="F11" s="19" t="s">
        <v>21</v>
      </c>
      <c r="G11" s="33"/>
    </row>
    <row r="12" spans="1:7" ht="16.5" customHeight="1" x14ac:dyDescent="0.35">
      <c r="B12" s="49" t="s">
        <v>16</v>
      </c>
      <c r="C12" s="50">
        <v>9500</v>
      </c>
      <c r="D12" s="50">
        <v>9600</v>
      </c>
      <c r="E12" s="12">
        <f>PersonnelExpensesTable[[#This Row],[ACTUAL]]+(10^-6)*ROW(PersonnelExpensesTable[[#This Row],[ACTUAL]])</f>
        <v>9600.0000120000004</v>
      </c>
      <c r="F12" s="51">
        <f>PersonnelExpensesTable[[#This Row],[ESTIMATED]]-PersonnelExpensesTable[[#This Row],[ACTUAL]]</f>
        <v>-100</v>
      </c>
      <c r="G12" s="29"/>
    </row>
    <row r="13" spans="1:7" ht="16.5" customHeight="1" x14ac:dyDescent="0.35">
      <c r="B13" s="49" t="s">
        <v>34</v>
      </c>
      <c r="C13" s="50">
        <v>4000</v>
      </c>
      <c r="D13" s="50">
        <v>0</v>
      </c>
      <c r="E13" s="12">
        <f>PersonnelExpensesTable[[#This Row],[ACTUAL]]+(10^-6)*ROW(PersonnelExpensesTable[[#This Row],[ACTUAL]])</f>
        <v>1.2999999999999999E-5</v>
      </c>
      <c r="F13" s="51">
        <f>PersonnelExpensesTable[[#This Row],[ESTIMATED]]-PersonnelExpensesTable[[#This Row],[ACTUAL]]</f>
        <v>4000</v>
      </c>
      <c r="G13" s="29"/>
    </row>
    <row r="14" spans="1:7" ht="16.5" customHeight="1" x14ac:dyDescent="0.35">
      <c r="B14" s="49" t="s">
        <v>17</v>
      </c>
      <c r="C14" s="50">
        <v>5000</v>
      </c>
      <c r="D14" s="50">
        <v>4500</v>
      </c>
      <c r="E14" s="12">
        <f>PersonnelExpensesTable[[#This Row],[ACTUAL]]+(10^-6)*ROW(PersonnelExpensesTable[[#This Row],[ACTUAL]])</f>
        <v>4500.0000140000002</v>
      </c>
      <c r="F14" s="51">
        <f>PersonnelExpensesTable[[#This Row],[ESTIMATED]]-PersonnelExpensesTable[[#This Row],[ACTUAL]]</f>
        <v>500</v>
      </c>
      <c r="G14" s="29"/>
    </row>
    <row r="15" spans="1:7" ht="16.5" customHeight="1" x14ac:dyDescent="0.35">
      <c r="B15" s="20" t="s">
        <v>46</v>
      </c>
      <c r="C15" s="23">
        <f>SUBTOTAL(109,PersonnelExpensesTable[ESTIMATED])</f>
        <v>18500</v>
      </c>
      <c r="D15" s="23">
        <f>SUBTOTAL(109,PersonnelExpensesTable[ACTUAL])</f>
        <v>14100</v>
      </c>
      <c r="E15" s="39"/>
      <c r="F15" s="23">
        <f>SUBTOTAL(109,PersonnelExpensesTable[DIFFERENCE])</f>
        <v>4400</v>
      </c>
      <c r="G15" s="30"/>
    </row>
    <row r="16" spans="1:7" ht="16.5" customHeight="1" x14ac:dyDescent="0.35">
      <c r="B16" s="31"/>
      <c r="C16" s="31"/>
      <c r="D16" s="31"/>
      <c r="E16" s="31"/>
      <c r="F16" s="31"/>
      <c r="G16" s="32"/>
    </row>
    <row r="17" spans="2:7" ht="16.5" customHeight="1" x14ac:dyDescent="0.35">
      <c r="B17" s="16" t="s">
        <v>25</v>
      </c>
      <c r="C17" s="18" t="s">
        <v>19</v>
      </c>
      <c r="D17" s="18" t="s">
        <v>20</v>
      </c>
      <c r="E17" s="11" t="s">
        <v>23</v>
      </c>
      <c r="F17" s="18" t="s">
        <v>21</v>
      </c>
      <c r="G17" s="34"/>
    </row>
    <row r="18" spans="2:7" ht="16.5" customHeight="1" x14ac:dyDescent="0.35">
      <c r="B18" s="49" t="s">
        <v>1</v>
      </c>
      <c r="C18" s="50">
        <v>3000</v>
      </c>
      <c r="D18" s="50">
        <v>2500</v>
      </c>
      <c r="E18" s="12">
        <f>OperatingExpensesTable[[#This Row],[ACTUAL]]+(10^-6)*ROW(OperatingExpensesTable[[#This Row],[ACTUAL]])</f>
        <v>2500.0000180000002</v>
      </c>
      <c r="F18" s="51">
        <f>OperatingExpensesTable[[#This Row],[ESTIMATED]]-OperatingExpensesTable[[#This Row],[ACTUAL]]</f>
        <v>500</v>
      </c>
      <c r="G18" s="29"/>
    </row>
    <row r="19" spans="2:7" ht="16.5" customHeight="1" x14ac:dyDescent="0.35">
      <c r="B19" s="49" t="s">
        <v>35</v>
      </c>
      <c r="C19" s="50">
        <v>2000</v>
      </c>
      <c r="D19" s="50">
        <v>2000</v>
      </c>
      <c r="E19" s="12">
        <f>OperatingExpensesTable[[#This Row],[ACTUAL]]+(10^-6)*ROW(OperatingExpensesTable[[#This Row],[ACTUAL]])</f>
        <v>2000.0000190000001</v>
      </c>
      <c r="F19" s="51">
        <f>OperatingExpensesTable[[#This Row],[ESTIMATED]]-OperatingExpensesTable[[#This Row],[ACTUAL]]</f>
        <v>0</v>
      </c>
      <c r="G19" s="29"/>
    </row>
    <row r="20" spans="2:7" ht="16.5" customHeight="1" x14ac:dyDescent="0.35">
      <c r="B20" s="49" t="s">
        <v>36</v>
      </c>
      <c r="C20" s="50">
        <v>1500</v>
      </c>
      <c r="D20" s="50">
        <v>2175</v>
      </c>
      <c r="E20" s="12">
        <f>OperatingExpensesTable[[#This Row],[ACTUAL]]+(10^-6)*ROW(OperatingExpensesTable[[#This Row],[ACTUAL]])</f>
        <v>2175.0000199999999</v>
      </c>
      <c r="F20" s="51">
        <f>OperatingExpensesTable[[#This Row],[ESTIMATED]]-OperatingExpensesTable[[#This Row],[ACTUAL]]</f>
        <v>-675</v>
      </c>
      <c r="G20" s="29"/>
    </row>
    <row r="21" spans="2:7" ht="16.5" customHeight="1" x14ac:dyDescent="0.35">
      <c r="B21" s="49" t="s">
        <v>44</v>
      </c>
      <c r="C21" s="50">
        <v>2000</v>
      </c>
      <c r="D21" s="50">
        <v>1500</v>
      </c>
      <c r="E21" s="12">
        <f>OperatingExpensesTable[[#This Row],[ACTUAL]]+(10^-6)*ROW(OperatingExpensesTable[[#This Row],[ACTUAL]])</f>
        <v>1500.0000210000001</v>
      </c>
      <c r="F21" s="51">
        <f>OperatingExpensesTable[[#This Row],[ESTIMATED]]-OperatingExpensesTable[[#This Row],[ACTUAL]]</f>
        <v>500</v>
      </c>
      <c r="G21" s="29"/>
    </row>
    <row r="22" spans="2:7" ht="16.5" customHeight="1" x14ac:dyDescent="0.35">
      <c r="B22" s="49" t="s">
        <v>2</v>
      </c>
      <c r="C22" s="50">
        <v>1000</v>
      </c>
      <c r="D22" s="50">
        <v>1000</v>
      </c>
      <c r="E22" s="12">
        <f>OperatingExpensesTable[[#This Row],[ACTUAL]]+(10^-6)*ROW(OperatingExpensesTable[[#This Row],[ACTUAL]])</f>
        <v>1000.0000219999999</v>
      </c>
      <c r="F22" s="51">
        <f>OperatingExpensesTable[[#This Row],[ESTIMATED]]-OperatingExpensesTable[[#This Row],[ACTUAL]]</f>
        <v>0</v>
      </c>
      <c r="G22" s="29"/>
    </row>
    <row r="23" spans="2:7" ht="16.5" customHeight="1" x14ac:dyDescent="0.35">
      <c r="B23" s="49" t="s">
        <v>37</v>
      </c>
      <c r="C23" s="50">
        <v>500</v>
      </c>
      <c r="D23" s="50">
        <v>525</v>
      </c>
      <c r="E23" s="12">
        <f>OperatingExpensesTable[[#This Row],[ACTUAL]]+(10^-6)*ROW(OperatingExpensesTable[[#This Row],[ACTUAL]])</f>
        <v>525.00002300000006</v>
      </c>
      <c r="F23" s="51">
        <f>OperatingExpensesTable[[#This Row],[ESTIMATED]]-OperatingExpensesTable[[#This Row],[ACTUAL]]</f>
        <v>-25</v>
      </c>
      <c r="G23" s="29"/>
    </row>
    <row r="24" spans="2:7" ht="16.5" customHeight="1" x14ac:dyDescent="0.35">
      <c r="B24" s="49" t="s">
        <v>3</v>
      </c>
      <c r="C24" s="50">
        <v>1300</v>
      </c>
      <c r="D24" s="50">
        <v>1275</v>
      </c>
      <c r="E24" s="12">
        <f>OperatingExpensesTable[[#This Row],[ACTUAL]]+(10^-6)*ROW(OperatingExpensesTable[[#This Row],[ACTUAL]])</f>
        <v>1275.0000239999999</v>
      </c>
      <c r="F24" s="51">
        <f>OperatingExpensesTable[[#This Row],[ESTIMATED]]-OperatingExpensesTable[[#This Row],[ACTUAL]]</f>
        <v>25</v>
      </c>
      <c r="G24" s="29"/>
    </row>
    <row r="25" spans="2:7" ht="16.5" customHeight="1" x14ac:dyDescent="0.35">
      <c r="B25" s="49" t="s">
        <v>4</v>
      </c>
      <c r="C25" s="50">
        <v>2000</v>
      </c>
      <c r="D25" s="50">
        <v>2200</v>
      </c>
      <c r="E25" s="12">
        <f>OperatingExpensesTable[[#This Row],[ACTUAL]]+(10^-6)*ROW(OperatingExpensesTable[[#This Row],[ACTUAL]])</f>
        <v>2200.0000249999998</v>
      </c>
      <c r="F25" s="51">
        <f>OperatingExpensesTable[[#This Row],[ESTIMATED]]-OperatingExpensesTable[[#This Row],[ACTUAL]]</f>
        <v>-200</v>
      </c>
      <c r="G25" s="29"/>
    </row>
    <row r="26" spans="2:7" ht="16.5" customHeight="1" x14ac:dyDescent="0.35">
      <c r="B26" s="49" t="s">
        <v>38</v>
      </c>
      <c r="C26" s="50">
        <v>1000</v>
      </c>
      <c r="D26" s="50">
        <v>800</v>
      </c>
      <c r="E26" s="12">
        <f>OperatingExpensesTable[[#This Row],[ACTUAL]]+(10^-6)*ROW(OperatingExpensesTable[[#This Row],[ACTUAL]])</f>
        <v>800.00002600000005</v>
      </c>
      <c r="F26" s="51">
        <f>OperatingExpensesTable[[#This Row],[ESTIMATED]]-OperatingExpensesTable[[#This Row],[ACTUAL]]</f>
        <v>200</v>
      </c>
      <c r="G26" s="29"/>
    </row>
    <row r="27" spans="2:7" ht="16.5" customHeight="1" x14ac:dyDescent="0.35">
      <c r="B27" s="49" t="s">
        <v>39</v>
      </c>
      <c r="C27" s="50">
        <v>4500</v>
      </c>
      <c r="D27" s="50">
        <v>4600</v>
      </c>
      <c r="E27" s="12">
        <f>OperatingExpensesTable[[#This Row],[ACTUAL]]+(10^-6)*ROW(OperatingExpensesTable[[#This Row],[ACTUAL]])</f>
        <v>4600.000027</v>
      </c>
      <c r="F27" s="51">
        <f>OperatingExpensesTable[[#This Row],[ESTIMATED]]-OperatingExpensesTable[[#This Row],[ACTUAL]]</f>
        <v>-100</v>
      </c>
      <c r="G27" s="29"/>
    </row>
    <row r="28" spans="2:7" ht="16.5" customHeight="1" x14ac:dyDescent="0.35">
      <c r="B28" s="49" t="s">
        <v>5</v>
      </c>
      <c r="C28" s="50">
        <v>800</v>
      </c>
      <c r="D28" s="50">
        <v>750</v>
      </c>
      <c r="E28" s="12">
        <f>OperatingExpensesTable[[#This Row],[ACTUAL]]+(10^-6)*ROW(OperatingExpensesTable[[#This Row],[ACTUAL]])</f>
        <v>750.00002800000004</v>
      </c>
      <c r="F28" s="51">
        <f>OperatingExpensesTable[[#This Row],[ESTIMATED]]-OperatingExpensesTable[[#This Row],[ACTUAL]]</f>
        <v>50</v>
      </c>
      <c r="G28" s="29"/>
    </row>
    <row r="29" spans="2:7" ht="16.5" customHeight="1" x14ac:dyDescent="0.35">
      <c r="B29" s="49" t="s">
        <v>6</v>
      </c>
      <c r="C29" s="50">
        <v>400</v>
      </c>
      <c r="D29" s="50">
        <v>350</v>
      </c>
      <c r="E29" s="12">
        <f>OperatingExpensesTable[[#This Row],[ACTUAL]]+(10^-6)*ROW(OperatingExpensesTable[[#This Row],[ACTUAL]])</f>
        <v>350.00002899999998</v>
      </c>
      <c r="F29" s="51">
        <f>OperatingExpensesTable[[#This Row],[ESTIMATED]]-OperatingExpensesTable[[#This Row],[ACTUAL]]</f>
        <v>50</v>
      </c>
      <c r="G29" s="29"/>
    </row>
    <row r="30" spans="2:7" ht="16.5" customHeight="1" x14ac:dyDescent="0.35">
      <c r="B30" s="49" t="s">
        <v>7</v>
      </c>
      <c r="C30" s="50">
        <v>4100</v>
      </c>
      <c r="D30" s="50">
        <v>4500</v>
      </c>
      <c r="E30" s="12">
        <f>OperatingExpensesTable[[#This Row],[ACTUAL]]+(10^-6)*ROW(OperatingExpensesTable[[#This Row],[ACTUAL]])</f>
        <v>4500.0000300000002</v>
      </c>
      <c r="F30" s="51">
        <f>OperatingExpensesTable[[#This Row],[ESTIMATED]]-OperatingExpensesTable[[#This Row],[ACTUAL]]</f>
        <v>-400</v>
      </c>
      <c r="G30" s="29"/>
    </row>
    <row r="31" spans="2:7" ht="16.5" customHeight="1" x14ac:dyDescent="0.35">
      <c r="B31" s="49" t="s">
        <v>8</v>
      </c>
      <c r="C31" s="50">
        <v>350</v>
      </c>
      <c r="D31" s="50">
        <v>400</v>
      </c>
      <c r="E31" s="12">
        <f>OperatingExpensesTable[[#This Row],[ACTUAL]]+(10^-6)*ROW(OperatingExpensesTable[[#This Row],[ACTUAL]])</f>
        <v>400.00003099999998</v>
      </c>
      <c r="F31" s="51">
        <f>OperatingExpensesTable[[#This Row],[ESTIMATED]]-OperatingExpensesTable[[#This Row],[ACTUAL]]</f>
        <v>-50</v>
      </c>
      <c r="G31" s="29"/>
    </row>
    <row r="32" spans="2:7" ht="16.5" customHeight="1" x14ac:dyDescent="0.35">
      <c r="B32" s="49" t="s">
        <v>9</v>
      </c>
      <c r="C32" s="50">
        <v>900</v>
      </c>
      <c r="D32" s="50">
        <v>840</v>
      </c>
      <c r="E32" s="12">
        <f>OperatingExpensesTable[[#This Row],[ACTUAL]]+(10^-6)*ROW(OperatingExpensesTable[[#This Row],[ACTUAL]])</f>
        <v>840.00003200000003</v>
      </c>
      <c r="F32" s="51">
        <f>OperatingExpensesTable[[#This Row],[ESTIMATED]]-OperatingExpensesTable[[#This Row],[ACTUAL]]</f>
        <v>60</v>
      </c>
      <c r="G32" s="29"/>
    </row>
    <row r="33" spans="2:7" ht="16.5" customHeight="1" x14ac:dyDescent="0.35">
      <c r="B33" s="49" t="s">
        <v>10</v>
      </c>
      <c r="C33" s="50">
        <v>5000</v>
      </c>
      <c r="D33" s="50">
        <v>4500</v>
      </c>
      <c r="E33" s="12">
        <f>OperatingExpensesTable[[#This Row],[ACTUAL]]+(10^-6)*ROW(OperatingExpensesTable[[#This Row],[ACTUAL]])</f>
        <v>4500.0000330000003</v>
      </c>
      <c r="F33" s="51">
        <f>OperatingExpensesTable[[#This Row],[ESTIMATED]]-OperatingExpensesTable[[#This Row],[ACTUAL]]</f>
        <v>500</v>
      </c>
      <c r="G33" s="29"/>
    </row>
    <row r="34" spans="2:7" ht="16.5" customHeight="1" x14ac:dyDescent="0.35">
      <c r="B34" s="49" t="s">
        <v>11</v>
      </c>
      <c r="C34" s="50">
        <v>3000</v>
      </c>
      <c r="D34" s="50">
        <v>3200</v>
      </c>
      <c r="E34" s="12">
        <f>OperatingExpensesTable[[#This Row],[ACTUAL]]+(10^-6)*ROW(OperatingExpensesTable[[#This Row],[ACTUAL]])</f>
        <v>3200.0000340000001</v>
      </c>
      <c r="F34" s="51">
        <f>OperatingExpensesTable[[#This Row],[ESTIMATED]]-OperatingExpensesTable[[#This Row],[ACTUAL]]</f>
        <v>-200</v>
      </c>
      <c r="G34" s="29"/>
    </row>
    <row r="35" spans="2:7" ht="16.5" customHeight="1" x14ac:dyDescent="0.35">
      <c r="B35" s="49" t="s">
        <v>12</v>
      </c>
      <c r="C35" s="50">
        <v>250</v>
      </c>
      <c r="D35" s="50">
        <v>280</v>
      </c>
      <c r="E35" s="12">
        <f>OperatingExpensesTable[[#This Row],[ACTUAL]]+(10^-6)*ROW(OperatingExpensesTable[[#This Row],[ACTUAL]])</f>
        <v>280.00003500000003</v>
      </c>
      <c r="F35" s="51">
        <f>OperatingExpensesTable[[#This Row],[ESTIMATED]]-OperatingExpensesTable[[#This Row],[ACTUAL]]</f>
        <v>-30</v>
      </c>
      <c r="G35" s="29"/>
    </row>
    <row r="36" spans="2:7" ht="16.5" customHeight="1" x14ac:dyDescent="0.35">
      <c r="B36" s="49" t="s">
        <v>13</v>
      </c>
      <c r="C36" s="50">
        <v>1400</v>
      </c>
      <c r="D36" s="50">
        <v>1385</v>
      </c>
      <c r="E36" s="12">
        <f>OperatingExpensesTable[[#This Row],[ACTUAL]]+(10^-6)*ROW(OperatingExpensesTable[[#This Row],[ACTUAL]])</f>
        <v>1385.0000359999999</v>
      </c>
      <c r="F36" s="51">
        <f>OperatingExpensesTable[[#This Row],[ESTIMATED]]-OperatingExpensesTable[[#This Row],[ACTUAL]]</f>
        <v>15</v>
      </c>
      <c r="G36" s="29"/>
    </row>
    <row r="37" spans="2:7" ht="16.5" customHeight="1" x14ac:dyDescent="0.35">
      <c r="B37" s="49" t="s">
        <v>0</v>
      </c>
      <c r="C37" s="50">
        <v>1000</v>
      </c>
      <c r="D37" s="50">
        <v>750</v>
      </c>
      <c r="E37" s="12">
        <f>OperatingExpensesTable[[#This Row],[ACTUAL]]+(10^-6)*ROW(OperatingExpensesTable[[#This Row],[ACTUAL]])</f>
        <v>750.00003700000002</v>
      </c>
      <c r="F37" s="51">
        <f>OperatingExpensesTable[[#This Row],[ESTIMATED]]-OperatingExpensesTable[[#This Row],[ACTUAL]]</f>
        <v>250</v>
      </c>
      <c r="G37" s="29"/>
    </row>
    <row r="38" spans="2:7" ht="16.5" customHeight="1" x14ac:dyDescent="0.35">
      <c r="B38" s="20" t="s">
        <v>47</v>
      </c>
      <c r="C38" s="23">
        <f>SUBTOTAL(109,OperatingExpensesTable[ESTIMATED])</f>
        <v>36000</v>
      </c>
      <c r="D38" s="23">
        <f>SUBTOTAL(109,OperatingExpensesTable[ACTUAL])</f>
        <v>35530</v>
      </c>
      <c r="E38" s="39"/>
      <c r="F38" s="23">
        <f>SUBTOTAL(109,OperatingExpensesTable[DIFFERENCE])</f>
        <v>470</v>
      </c>
      <c r="G38" s="30"/>
    </row>
  </sheetData>
  <sheetProtection insertColumns="0" insertRows="0" deleteColumns="0" deleteRows="0" selectLockedCells="1" autoFilter="0"/>
  <dataConsolidate/>
  <conditionalFormatting sqref="F9 F15 F38">
    <cfRule type="cellIs" dxfId="15" priority="3" operator="lessThan">
      <formula>0</formula>
    </cfRule>
  </conditionalFormatting>
  <dataValidations count="2">
    <dataValidation type="custom" allowBlank="1" showInputMessage="1" showErrorMessage="1" errorTitle="ALERT" error="This cell is automatically populated and should not be overwitten. Overwriting this cell would break calculations in this worksheet." sqref="G6:G8 G12:G14 G18:G37">
      <formula1>LEN(G6)=""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6:F8 F12:F14 F18:F37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G18:G37 G6:G8 G12:G14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Budget Summary</vt:lpstr>
      <vt:lpstr>Monthly Budget Details</vt:lpstr>
      <vt:lpstr>COMPANY_NAME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Shang PeiXu</dc:creator>
  <cp:lastModifiedBy>Shang PeiXu</cp:lastModifiedBy>
  <cp:lastPrinted>2015-08-27T21:45:22Z</cp:lastPrinted>
  <dcterms:created xsi:type="dcterms:W3CDTF">2015-08-26T21:44:53Z</dcterms:created>
  <dcterms:modified xsi:type="dcterms:W3CDTF">2017-07-25T03:52:46Z</dcterms:modified>
</cp:coreProperties>
</file>