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Work\demos\jsonio with sheets\final\"/>
    </mc:Choice>
  </mc:AlternateContent>
  <bookViews>
    <workbookView xWindow="0" yWindow="0" windowWidth="24000" windowHeight="13635"/>
  </bookViews>
  <sheets>
    <sheet name="PERSONAL BUDGET" sheetId="1" r:id="rId1"/>
  </sheets>
  <definedNames>
    <definedName name="LastCol">COUNTA('PERSONAL BUDGET'!$3:$3)+1</definedName>
    <definedName name="PrintArea_SET">OFFSET('PERSONAL BUDGET'!$A$1,,,MATCH(REPT("z",255),'PERSONAL BUDGET'!$A:$A),LastCol)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2" i="1"/>
  <c r="N14" i="1"/>
  <c r="N13" i="1"/>
  <c r="C102" i="1" l="1"/>
  <c r="D102" i="1"/>
  <c r="E102" i="1"/>
  <c r="F102" i="1"/>
  <c r="G102" i="1"/>
  <c r="H102" i="1"/>
  <c r="I102" i="1"/>
  <c r="J102" i="1"/>
  <c r="K102" i="1"/>
  <c r="L102" i="1"/>
  <c r="M102" i="1"/>
  <c r="B102" i="1"/>
  <c r="C94" i="1"/>
  <c r="D94" i="1"/>
  <c r="E94" i="1"/>
  <c r="F94" i="1"/>
  <c r="G94" i="1"/>
  <c r="H94" i="1"/>
  <c r="I94" i="1"/>
  <c r="J94" i="1"/>
  <c r="K94" i="1"/>
  <c r="L94" i="1"/>
  <c r="M94" i="1"/>
  <c r="B94" i="1"/>
  <c r="C86" i="1"/>
  <c r="D86" i="1"/>
  <c r="E86" i="1"/>
  <c r="F86" i="1"/>
  <c r="G86" i="1"/>
  <c r="H86" i="1"/>
  <c r="I86" i="1"/>
  <c r="J86" i="1"/>
  <c r="K86" i="1"/>
  <c r="L86" i="1"/>
  <c r="M86" i="1"/>
  <c r="B86" i="1"/>
  <c r="C78" i="1"/>
  <c r="D78" i="1"/>
  <c r="E78" i="1"/>
  <c r="F78" i="1"/>
  <c r="G78" i="1"/>
  <c r="H78" i="1"/>
  <c r="I78" i="1"/>
  <c r="J78" i="1"/>
  <c r="K78" i="1"/>
  <c r="L78" i="1"/>
  <c r="M78" i="1"/>
  <c r="B78" i="1"/>
  <c r="C68" i="1"/>
  <c r="D68" i="1"/>
  <c r="E68" i="1"/>
  <c r="F68" i="1"/>
  <c r="G68" i="1"/>
  <c r="H68" i="1"/>
  <c r="I68" i="1"/>
  <c r="J68" i="1"/>
  <c r="K68" i="1"/>
  <c r="L68" i="1"/>
  <c r="M68" i="1"/>
  <c r="B68" i="1"/>
  <c r="C61" i="1"/>
  <c r="D61" i="1"/>
  <c r="E61" i="1"/>
  <c r="F61" i="1"/>
  <c r="G61" i="1"/>
  <c r="H61" i="1"/>
  <c r="I61" i="1"/>
  <c r="J61" i="1"/>
  <c r="K61" i="1"/>
  <c r="L61" i="1"/>
  <c r="M61" i="1"/>
  <c r="B61" i="1"/>
  <c r="C52" i="1"/>
  <c r="D52" i="1"/>
  <c r="E52" i="1"/>
  <c r="F52" i="1"/>
  <c r="G52" i="1"/>
  <c r="H52" i="1"/>
  <c r="I52" i="1"/>
  <c r="J52" i="1"/>
  <c r="K52" i="1"/>
  <c r="L52" i="1"/>
  <c r="M52" i="1"/>
  <c r="B52" i="1"/>
  <c r="N98" i="1"/>
  <c r="N99" i="1"/>
  <c r="N100" i="1"/>
  <c r="N101" i="1"/>
  <c r="N97" i="1"/>
  <c r="N90" i="1"/>
  <c r="N91" i="1"/>
  <c r="N92" i="1"/>
  <c r="N93" i="1"/>
  <c r="N89" i="1"/>
  <c r="N82" i="1"/>
  <c r="N83" i="1"/>
  <c r="N84" i="1"/>
  <c r="N85" i="1"/>
  <c r="N81" i="1"/>
  <c r="N72" i="1"/>
  <c r="N73" i="1"/>
  <c r="N74" i="1"/>
  <c r="N75" i="1"/>
  <c r="N76" i="1"/>
  <c r="N77" i="1"/>
  <c r="N71" i="1"/>
  <c r="N65" i="1"/>
  <c r="N66" i="1"/>
  <c r="N67" i="1"/>
  <c r="N64" i="1"/>
  <c r="N56" i="1"/>
  <c r="N57" i="1"/>
  <c r="N58" i="1"/>
  <c r="N59" i="1"/>
  <c r="N60" i="1"/>
  <c r="N55" i="1"/>
  <c r="N46" i="1"/>
  <c r="N47" i="1"/>
  <c r="N48" i="1"/>
  <c r="N49" i="1"/>
  <c r="N50" i="1"/>
  <c r="N51" i="1"/>
  <c r="N45" i="1"/>
  <c r="C42" i="1"/>
  <c r="D42" i="1"/>
  <c r="E42" i="1"/>
  <c r="F42" i="1"/>
  <c r="G42" i="1"/>
  <c r="H42" i="1"/>
  <c r="I42" i="1"/>
  <c r="J42" i="1"/>
  <c r="K42" i="1"/>
  <c r="L42" i="1"/>
  <c r="M42" i="1"/>
  <c r="B42" i="1"/>
  <c r="N39" i="1"/>
  <c r="N40" i="1"/>
  <c r="N41" i="1"/>
  <c r="N38" i="1"/>
  <c r="C35" i="1"/>
  <c r="D35" i="1"/>
  <c r="E35" i="1"/>
  <c r="F35" i="1"/>
  <c r="G35" i="1"/>
  <c r="H35" i="1"/>
  <c r="I35" i="1"/>
  <c r="J35" i="1"/>
  <c r="K35" i="1"/>
  <c r="L35" i="1"/>
  <c r="M35" i="1"/>
  <c r="B35" i="1"/>
  <c r="N30" i="1"/>
  <c r="N31" i="1"/>
  <c r="N32" i="1"/>
  <c r="N33" i="1"/>
  <c r="N34" i="1"/>
  <c r="N29" i="1"/>
  <c r="C26" i="1"/>
  <c r="D26" i="1"/>
  <c r="E26" i="1"/>
  <c r="F26" i="1"/>
  <c r="G26" i="1"/>
  <c r="H26" i="1"/>
  <c r="I26" i="1"/>
  <c r="J26" i="1"/>
  <c r="K26" i="1"/>
  <c r="L26" i="1"/>
  <c r="M26" i="1"/>
  <c r="B26" i="1"/>
  <c r="N21" i="1"/>
  <c r="N22" i="1"/>
  <c r="N23" i="1"/>
  <c r="N24" i="1"/>
  <c r="N25" i="1"/>
  <c r="N20" i="1"/>
  <c r="C17" i="1"/>
  <c r="D17" i="1"/>
  <c r="E17" i="1"/>
  <c r="F17" i="1"/>
  <c r="G17" i="1"/>
  <c r="H17" i="1"/>
  <c r="I17" i="1"/>
  <c r="J17" i="1"/>
  <c r="K17" i="1"/>
  <c r="L17" i="1"/>
  <c r="M17" i="1"/>
  <c r="B17" i="1"/>
  <c r="N42" i="1" l="1"/>
  <c r="N94" i="1"/>
  <c r="N86" i="1"/>
  <c r="N78" i="1"/>
  <c r="N68" i="1"/>
  <c r="N61" i="1"/>
  <c r="N52" i="1"/>
  <c r="J105" i="1"/>
  <c r="N35" i="1"/>
  <c r="N26" i="1"/>
  <c r="N17" i="1"/>
  <c r="I105" i="1"/>
  <c r="H105" i="1"/>
  <c r="G105" i="1"/>
  <c r="B105" i="1"/>
  <c r="F105" i="1"/>
  <c r="M105" i="1"/>
  <c r="L105" i="1"/>
  <c r="K105" i="1"/>
  <c r="C105" i="1"/>
  <c r="E105" i="1"/>
  <c r="D105" i="1"/>
  <c r="N102" i="1"/>
  <c r="M8" i="1"/>
  <c r="E8" i="1"/>
  <c r="J8" i="1"/>
  <c r="L8" i="1"/>
  <c r="D8" i="1"/>
  <c r="C8" i="1"/>
  <c r="G8" i="1"/>
  <c r="F8" i="1"/>
  <c r="B8" i="1"/>
  <c r="K8" i="1"/>
  <c r="I8" i="1"/>
  <c r="N7" i="1"/>
  <c r="N6" i="1"/>
  <c r="H8" i="1"/>
  <c r="N5" i="1"/>
  <c r="B106" i="1" l="1"/>
  <c r="J106" i="1"/>
  <c r="H106" i="1"/>
  <c r="G106" i="1"/>
  <c r="D106" i="1"/>
  <c r="L106" i="1"/>
  <c r="F106" i="1"/>
  <c r="N105" i="1"/>
  <c r="I106" i="1"/>
  <c r="K106" i="1"/>
  <c r="E106" i="1"/>
  <c r="M106" i="1"/>
  <c r="C106" i="1"/>
  <c r="N8" i="1"/>
  <c r="N106" i="1" l="1"/>
</calcChain>
</file>

<file path=xl/sharedStrings.xml><?xml version="1.0" encoding="utf-8"?>
<sst xmlns="http://schemas.openxmlformats.org/spreadsheetml/2006/main" count="134" uniqueCount="89">
  <si>
    <t>Wages</t>
  </si>
  <si>
    <t>Interest/dividends</t>
  </si>
  <si>
    <t>Miscellaneous</t>
  </si>
  <si>
    <t>Utilities</t>
  </si>
  <si>
    <t xml:space="preserve">Groceries </t>
  </si>
  <si>
    <t>Child care</t>
  </si>
  <si>
    <t>Dry cleaning</t>
  </si>
  <si>
    <t>Dining out</t>
  </si>
  <si>
    <t>Housecleaning service</t>
  </si>
  <si>
    <t>Dog walker</t>
  </si>
  <si>
    <t>Gas/fuel</t>
  </si>
  <si>
    <t>Insurance</t>
  </si>
  <si>
    <t>Repairs</t>
  </si>
  <si>
    <t>Car wash/detailing services</t>
  </si>
  <si>
    <t>Parking</t>
  </si>
  <si>
    <t>Public transportation</t>
  </si>
  <si>
    <t>Cable TV</t>
  </si>
  <si>
    <t>Video/DVD rentals</t>
  </si>
  <si>
    <t>Movies/plays</t>
  </si>
  <si>
    <t>Concerts/clubs</t>
  </si>
  <si>
    <t>Health club dues</t>
  </si>
  <si>
    <t>Prescriptions</t>
  </si>
  <si>
    <t>Over-the-counter drugs</t>
  </si>
  <si>
    <t>Co-payments/out-of-pocket</t>
  </si>
  <si>
    <t>Veterinarians/pet medicines</t>
  </si>
  <si>
    <t>Life insurance</t>
  </si>
  <si>
    <t>Plane fare</t>
  </si>
  <si>
    <t>Accommodations</t>
  </si>
  <si>
    <t>Food</t>
  </si>
  <si>
    <t>Souvenirs</t>
  </si>
  <si>
    <t>Pet boarding</t>
  </si>
  <si>
    <t>Rental car</t>
  </si>
  <si>
    <t>Gym fees</t>
  </si>
  <si>
    <t>Sports equipment</t>
  </si>
  <si>
    <t>Team dues</t>
  </si>
  <si>
    <t>Toys/child gear</t>
  </si>
  <si>
    <t>Magazines</t>
  </si>
  <si>
    <t>Newspapers</t>
  </si>
  <si>
    <t>Internet connection</t>
  </si>
  <si>
    <t>Public radio</t>
  </si>
  <si>
    <t>Public television</t>
  </si>
  <si>
    <t>Religious organizations</t>
  </si>
  <si>
    <t>Charity</t>
  </si>
  <si>
    <t>Clothing</t>
  </si>
  <si>
    <t>Gifts</t>
  </si>
  <si>
    <t>Salon/barber</t>
  </si>
  <si>
    <t>Books</t>
  </si>
  <si>
    <t>Music (CDs, etc.)</t>
  </si>
  <si>
    <t>Long-term savings</t>
  </si>
  <si>
    <t>Retirement (401k, Roth IRA)</t>
  </si>
  <si>
    <t>Credit card payments</t>
  </si>
  <si>
    <t>Income tax (additional)</t>
  </si>
  <si>
    <t>Other obligations</t>
  </si>
  <si>
    <t xml:space="preserve">   Other</t>
  </si>
  <si>
    <t>Total expenses</t>
  </si>
  <si>
    <t>Cash short/extra</t>
  </si>
  <si>
    <t>Total</t>
  </si>
  <si>
    <t>INCOME</t>
  </si>
  <si>
    <t>EXPENSES</t>
  </si>
  <si>
    <t>HOME</t>
  </si>
  <si>
    <t>TRANSPORTATION</t>
  </si>
  <si>
    <t>DAILY LIVING</t>
  </si>
  <si>
    <t>ENTERTAINMENT</t>
  </si>
  <si>
    <t>HEALTH</t>
  </si>
  <si>
    <t>VACATIONS</t>
  </si>
  <si>
    <t>RECREATION</t>
  </si>
  <si>
    <t>DUES/SUBSCRIPTION</t>
  </si>
  <si>
    <t>PERSONAL</t>
  </si>
  <si>
    <t>FINANCIAL OBLIGATIONS</t>
  </si>
  <si>
    <t>MISC PAYMENTS</t>
  </si>
  <si>
    <t>TOTALS</t>
  </si>
  <si>
    <t>PERSONAL BUDGET</t>
  </si>
  <si>
    <t>JAN</t>
  </si>
  <si>
    <t>FEB</t>
  </si>
  <si>
    <t>MAY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</si>
  <si>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</si>
  <si>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</si>
  <si>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</si>
  <si>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</si>
  <si>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</si>
  <si>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</si>
  <si>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</si>
  <si>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</si>
  <si>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</si>
  <si>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</t>
  </si>
  <si>
    <t>REVENUE</t>
  </si>
  <si>
    <t>Mortgage</t>
  </si>
  <si>
    <t>Services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</si>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</sst>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color theme="1" tint="0.14993743705557422"/>
      <name val="Tahoma"/>
      <family val="2"/>
      <scheme val="minor"/>
    </font>
    <font>
      <b/>
      <sz val="10"/>
      <color theme="1" tint="0.14990691854609822"/>
      <name val="Trebuchet MS"/>
      <family val="2"/>
      <scheme val="major"/>
    </font>
    <font>
      <sz val="11"/>
      <color theme="1" tint="0.14993743705557422"/>
      <name val="Trebuchet MS"/>
      <family val="2"/>
      <scheme val="major"/>
    </font>
    <font>
      <sz val="22"/>
      <color theme="1" tint="0.14993743705557422"/>
      <name val="Trebuchet MS"/>
      <family val="2"/>
      <scheme val="maj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80001220740379042"/>
        </stop>
      </gradientFill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4" tint="0.59996337778862885"/>
        <bgColor auto="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5" tint="-0.2499465926084170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Protection="0">
      <alignment vertical="center"/>
    </xf>
    <xf numFmtId="0" fontId="2" fillId="0" borderId="1" applyNumberFormat="0" applyFill="0" applyProtection="0">
      <alignment vertical="center"/>
    </xf>
    <xf numFmtId="0" fontId="1" fillId="2" borderId="0" applyNumberFormat="0" applyProtection="0">
      <alignment vertical="center"/>
    </xf>
    <xf numFmtId="0" fontId="1" fillId="3" borderId="0" applyNumberForma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1" xfId="2">
      <alignment vertical="center"/>
    </xf>
    <xf numFmtId="0" fontId="1" fillId="2" borderId="0" xfId="3">
      <alignment vertical="center"/>
    </xf>
    <xf numFmtId="0" fontId="2" fillId="0" borderId="2" xfId="2" applyBorder="1">
      <alignment vertical="center"/>
    </xf>
    <xf numFmtId="0" fontId="0" fillId="0" borderId="0" xfId="0" applyAlignment="1">
      <alignment horizontal="right" vertical="center"/>
    </xf>
    <xf numFmtId="0" fontId="2" fillId="0" borderId="1" xfId="2" applyAlignment="1">
      <alignment horizontal="right" vertical="center"/>
    </xf>
    <xf numFmtId="0" fontId="1" fillId="2" borderId="0" xfId="3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2" fillId="0" borderId="2" xfId="2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4" applyFill="1">
      <alignment vertical="center"/>
    </xf>
    <xf numFmtId="0" fontId="1" fillId="0" borderId="0" xfId="4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4" borderId="0" xfId="3" applyFill="1">
      <alignment vertical="center"/>
    </xf>
    <xf numFmtId="0" fontId="1" fillId="4" borderId="0" xfId="3" applyFill="1" applyAlignment="1">
      <alignment horizontal="righ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379">
    <dxf>
      <fill>
        <patternFill patternType="solid">
          <fgColor auto="1"/>
          <bgColor theme="4" tint="0.59996337778862885"/>
        </patternFill>
      </fill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numFmt numFmtId="164" formatCode="&quot;$&quot;#,##0.00"/>
      <alignment horizontal="right" vertical="center" textRotation="0" wrapText="0" indent="0" justifyLastLine="0" shrinkToFit="0" readingOrder="0"/>
    </dxf>
    <dxf>
      <numFmt numFmtId="164" formatCode="&quot;$&quot;#,##0.00"/>
      <alignment horizontal="right" textRotation="0" wrapText="0" indent="0" justifyLastLine="0" shrinkToFit="0" readingOrder="0"/>
    </dxf>
    <dxf>
      <font>
        <color rgb="FF9C0006"/>
      </font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3" defaultTableStyle="Personal Budget - Expense" defaultPivotStyle="PivotStyleLight16">
    <tableStyle name="Persona Budget - Revenue" pivot="0" count="9">
      <tableStyleElement type="wholeTable" dxfId="378"/>
      <tableStyleElement type="headerRow" dxfId="377"/>
      <tableStyleElement type="totalRow" dxfId="376"/>
      <tableStyleElement type="firstColumn" dxfId="375"/>
      <tableStyleElement type="lastColumn" dxfId="374"/>
      <tableStyleElement type="firstRowStripe" dxfId="373"/>
      <tableStyleElement type="firstColumnStripe" dxfId="372"/>
      <tableStyleElement type="firstTotalCell" dxfId="371"/>
      <tableStyleElement type="lastTotalCell" dxfId="370"/>
    </tableStyle>
    <tableStyle name="Personal Budget - Expense" pivot="0" count="9">
      <tableStyleElement type="wholeTable" dxfId="369"/>
      <tableStyleElement type="headerRow" dxfId="368"/>
      <tableStyleElement type="totalRow" dxfId="367"/>
      <tableStyleElement type="firstColumn" dxfId="366"/>
      <tableStyleElement type="lastColumn" dxfId="365"/>
      <tableStyleElement type="firstRowStripe" dxfId="364"/>
      <tableStyleElement type="firstColumnStripe" dxfId="363"/>
      <tableStyleElement type="firstTotalCell" dxfId="362"/>
      <tableStyleElement type="lastTotalCell" dxfId="361"/>
    </tableStyle>
    <tableStyle name="Personal Budget - Total" pivot="0" count="9">
      <tableStyleElement type="wholeTable" dxfId="360"/>
      <tableStyleElement type="headerRow" dxfId="359"/>
      <tableStyleElement type="totalRow" dxfId="358"/>
      <tableStyleElement type="firstColumn" dxfId="357"/>
      <tableStyleElement type="lastColumn" dxfId="356"/>
      <tableStyleElement type="firstRowStripe" dxfId="355"/>
      <tableStyleElement type="firstColumnStripe" dxfId="354"/>
      <tableStyleElement type="firstTotalCell" dxfId="353"/>
      <tableStyleElement type="lastTotalCell" dxfId="3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come" displayName="tblIncome" ref="A5:O8" headerRowCount="0" totalsRowCount="1">
  <tableColumns count="15">
    <tableColumn id="1" name="INCOME" totalsRowLabel="Total"/>
    <tableColumn id="2" name="Jan" totalsRowFunction="sum" dataDxfId="350" totalsRowDxfId="349"/>
    <tableColumn id="3" name="Feb" totalsRowFunction="sum" dataDxfId="348" totalsRowDxfId="347"/>
    <tableColumn id="4" name="March" totalsRowFunction="sum" dataDxfId="346" totalsRowDxfId="345"/>
    <tableColumn id="5" name="April" totalsRowFunction="sum" dataDxfId="344" totalsRowDxfId="343"/>
    <tableColumn id="6" name="May" totalsRowFunction="sum" dataDxfId="342" totalsRowDxfId="341"/>
    <tableColumn id="7" name="June" totalsRowFunction="sum" dataDxfId="340" totalsRowDxfId="339"/>
    <tableColumn id="8" name="July" totalsRowFunction="sum" dataDxfId="338" totalsRowDxfId="337"/>
    <tableColumn id="9" name="Aug" totalsRowFunction="sum" dataDxfId="336" totalsRowDxfId="335"/>
    <tableColumn id="10" name="Sept" totalsRowFunction="sum" dataDxfId="334" totalsRowDxfId="333"/>
    <tableColumn id="11" name="Oct" totalsRowFunction="sum" dataDxfId="332" totalsRowDxfId="331"/>
    <tableColumn id="12" name="Nov" totalsRowFunction="sum" dataDxfId="330" totalsRowDxfId="329"/>
    <tableColumn id="13" name="Dec" totalsRowFunction="sum" dataDxfId="328" totalsRowDxfId="327"/>
    <tableColumn id="14" name="Year" totalsRowFunction="sum" dataDxfId="326" totalsRowDxfId="325">
      <calculatedColumnFormula>SUM(tblIncome[[#This Row],[Jan]:[Dec]])</calculatedColumnFormula>
    </tableColumn>
    <tableColumn id="15" name="Column1" dataDxfId="324" totalsRowDxfId="323"/>
  </tableColumns>
  <tableStyleInfo name="Persona Budget - Revenue" showFirstColumn="0" showLastColumn="0" showRowStripes="0" showColumnStripes="1"/>
  <extLst>
    <ext xmlns:x14="http://schemas.microsoft.com/office/spreadsheetml/2009/9/main" uri="{504A1905-F514-4f6f-8877-14C23A59335A}">
      <x14:table altText="Income" altTextSummary="Enter your income for the year."/>
    </ext>
  </extLst>
</table>
</file>

<file path=xl/tables/table10.xml><?xml version="1.0" encoding="utf-8"?>
<table xmlns="http://schemas.openxmlformats.org/spreadsheetml/2006/main" id="10" name="tblPersonal" displayName="tblPersonal" ref="A81:O86" headerRowCount="0" totalsRowCount="1">
  <tableColumns count="15">
    <tableColumn id="1" name="Personal" totalsRowLabel="Total"/>
    <tableColumn id="2" name="Jan" totalsRowFunction="sum" dataDxfId="98" totalsRowDxfId="97"/>
    <tableColumn id="3" name="Feb" totalsRowFunction="sum" dataDxfId="96" totalsRowDxfId="95"/>
    <tableColumn id="4" name="March" totalsRowFunction="sum" dataDxfId="94" totalsRowDxfId="93"/>
    <tableColumn id="5" name="April" totalsRowFunction="sum" dataDxfId="92" totalsRowDxfId="91"/>
    <tableColumn id="6" name="May" totalsRowFunction="sum" dataDxfId="90" totalsRowDxfId="89"/>
    <tableColumn id="7" name="June" totalsRowFunction="sum" dataDxfId="88" totalsRowDxfId="87"/>
    <tableColumn id="8" name="July" totalsRowFunction="sum" dataDxfId="86" totalsRowDxfId="85"/>
    <tableColumn id="9" name="Aug" totalsRowFunction="sum" dataDxfId="84" totalsRowDxfId="83"/>
    <tableColumn id="10" name="Sept" totalsRowFunction="sum" dataDxfId="82" totalsRowDxfId="81"/>
    <tableColumn id="11" name="Oct" totalsRowFunction="sum" dataDxfId="80" totalsRowDxfId="79"/>
    <tableColumn id="12" name="Nov" totalsRowFunction="sum" dataDxfId="78" totalsRowDxfId="77"/>
    <tableColumn id="13" name="Dec" totalsRowFunction="sum" dataDxfId="76" totalsRowDxfId="75"/>
    <tableColumn id="14" name="Year" totalsRowFunction="sum" dataDxfId="74" totalsRowDxfId="73">
      <calculatedColumnFormula>SUM(tblPersonal[[#This Row],[Jan]:[Dec]])</calculatedColumnFormula>
    </tableColumn>
    <tableColumn id="15" name="Column1" dataDxfId="72" totalsRowDxfId="71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Personal Expenses" altTextSummary="Enter your personal expenses for the year, separated by month."/>
    </ext>
  </extLst>
</table>
</file>

<file path=xl/tables/table11.xml><?xml version="1.0" encoding="utf-8"?>
<table xmlns="http://schemas.openxmlformats.org/spreadsheetml/2006/main" id="11" name="tblFinancial" displayName="tblFinancial" ref="A89:O94" headerRowCount="0" totalsRowCount="1">
  <tableColumns count="15">
    <tableColumn id="1" name="Financial obligations" totalsRowLabel="Total"/>
    <tableColumn id="2" name="Jan" totalsRowFunction="sum" dataDxfId="70" totalsRowDxfId="69"/>
    <tableColumn id="3" name="Feb" totalsRowFunction="sum" dataDxfId="68" totalsRowDxfId="67"/>
    <tableColumn id="4" name="March" totalsRowFunction="sum" dataDxfId="66" totalsRowDxfId="65"/>
    <tableColumn id="5" name="April" totalsRowFunction="sum" dataDxfId="64" totalsRowDxfId="63"/>
    <tableColumn id="6" name="May" totalsRowFunction="sum" dataDxfId="62" totalsRowDxfId="61"/>
    <tableColumn id="7" name="June" totalsRowFunction="sum" dataDxfId="60" totalsRowDxfId="59"/>
    <tableColumn id="8" name="July" totalsRowFunction="sum" dataDxfId="58" totalsRowDxfId="57"/>
    <tableColumn id="9" name="Aug" totalsRowFunction="sum" dataDxfId="56" totalsRowDxfId="55"/>
    <tableColumn id="10" name="Sept" totalsRowFunction="sum" dataDxfId="54" totalsRowDxfId="53"/>
    <tableColumn id="11" name="Oct" totalsRowFunction="sum" dataDxfId="52" totalsRowDxfId="51"/>
    <tableColumn id="12" name="Nov" totalsRowFunction="sum" dataDxfId="50" totalsRowDxfId="49"/>
    <tableColumn id="13" name="Dec" totalsRowFunction="sum" dataDxfId="48" totalsRowDxfId="47"/>
    <tableColumn id="14" name="Year" totalsRowFunction="sum" dataDxfId="46" totalsRowDxfId="45">
      <calculatedColumnFormula>SUM(tblFinancial[[#This Row],[Jan]:[Dec]])</calculatedColumnFormula>
    </tableColumn>
    <tableColumn id="15" name="Column1" dataDxfId="44" totalsRowDxfId="43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Financial Expenses" altTextSummary="Enter your financial expenses for the year, separated by month."/>
    </ext>
  </extLst>
</table>
</file>

<file path=xl/tables/table12.xml><?xml version="1.0" encoding="utf-8"?>
<table xmlns="http://schemas.openxmlformats.org/spreadsheetml/2006/main" id="12" name="tblMisc" displayName="tblMisc" ref="A97:O102" headerRowCount="0" totalsRowCount="1">
  <tableColumns count="15">
    <tableColumn id="1" name="Misc. payments" totalsRowLabel="Total"/>
    <tableColumn id="2" name="Jan" totalsRowFunction="sum" dataDxfId="42" totalsRowDxfId="41"/>
    <tableColumn id="3" name="Feb" totalsRowFunction="sum" dataDxfId="40" totalsRowDxfId="39"/>
    <tableColumn id="4" name="March" totalsRowFunction="sum" dataDxfId="38" totalsRowDxfId="37"/>
    <tableColumn id="5" name="April" totalsRowFunction="sum" dataDxfId="36" totalsRowDxfId="35"/>
    <tableColumn id="6" name="May" totalsRowFunction="sum" dataDxfId="34" totalsRowDxfId="33"/>
    <tableColumn id="7" name="June" totalsRowFunction="sum" dataDxfId="32" totalsRowDxfId="31"/>
    <tableColumn id="8" name="July" totalsRowFunction="sum" dataDxfId="30" totalsRowDxfId="29"/>
    <tableColumn id="9" name="Aug" totalsRowFunction="sum" dataDxfId="28" totalsRowDxfId="27"/>
    <tableColumn id="10" name="Sept" totalsRowFunction="sum" dataDxfId="26" totalsRowDxfId="25"/>
    <tableColumn id="11" name="Oct" totalsRowFunction="sum" dataDxfId="24" totalsRowDxfId="23"/>
    <tableColumn id="12" name="Nov" totalsRowFunction="sum" dataDxfId="22" totalsRowDxfId="21"/>
    <tableColumn id="13" name="Dec" totalsRowFunction="sum" dataDxfId="20" totalsRowDxfId="19"/>
    <tableColumn id="14" name="Year" totalsRowFunction="sum" dataDxfId="18" totalsRowDxfId="17">
      <calculatedColumnFormula>SUM(tblMisc[[#This Row],[Jan]:[Dec]])</calculatedColumnFormula>
    </tableColumn>
    <tableColumn id="15" name="Column1" dataDxfId="16" totalsRowDxfId="15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Misc Expenses" altTextSummary="Enter your miscellaneous expenses for the year, separated by month."/>
    </ext>
  </extLst>
</table>
</file>

<file path=xl/tables/table13.xml><?xml version="1.0" encoding="utf-8"?>
<table xmlns="http://schemas.openxmlformats.org/spreadsheetml/2006/main" id="13" name="tblTotals" displayName="tblTotals" ref="A104:O106" totalsRowShown="0" headerRowDxfId="0" headerRowCellStyle="Heading 3">
  <tableColumns count="15">
    <tableColumn id="1" name="TOTALS"/>
    <tableColumn id="2" name="JAN" dataDxfId="14">
      <calculatedColumnFormula>tblIncome[[#Totals],[Jan]]-B104</calculatedColumnFormula>
    </tableColumn>
    <tableColumn id="3" name="FEB" dataDxfId="13">
      <calculatedColumnFormula>tblIncome[[#Totals],[Feb]]-C104</calculatedColumnFormula>
    </tableColumn>
    <tableColumn id="4" name="MAR" dataDxfId="12">
      <calculatedColumnFormula>tblIncome[[#Totals],[March]]-D104</calculatedColumnFormula>
    </tableColumn>
    <tableColumn id="5" name="APR" dataDxfId="11">
      <calculatedColumnFormula>tblIncome[[#Totals],[April]]-E104</calculatedColumnFormula>
    </tableColumn>
    <tableColumn id="6" name="MAY" dataDxfId="10">
      <calculatedColumnFormula>tblIncome[[#Totals],[May]]-F104</calculatedColumnFormula>
    </tableColumn>
    <tableColumn id="7" name="JUN" dataDxfId="9">
      <calculatedColumnFormula>tblIncome[[#Totals],[June]]-G104</calculatedColumnFormula>
    </tableColumn>
    <tableColumn id="8" name="JUL" dataDxfId="8">
      <calculatedColumnFormula>tblIncome[[#Totals],[July]]-H104</calculatedColumnFormula>
    </tableColumn>
    <tableColumn id="9" name="AUG" dataDxfId="7">
      <calculatedColumnFormula>tblIncome[[#Totals],[Aug]]-I104</calculatedColumnFormula>
    </tableColumn>
    <tableColumn id="10" name="SEP" dataDxfId="6">
      <calculatedColumnFormula>tblIncome[[#Totals],[Sept]]-J104</calculatedColumnFormula>
    </tableColumn>
    <tableColumn id="11" name="OCT" dataDxfId="5">
      <calculatedColumnFormula>tblIncome[[#Totals],[Oct]]-K104</calculatedColumnFormula>
    </tableColumn>
    <tableColumn id="12" name="NOV" dataDxfId="4">
      <calculatedColumnFormula>tblIncome[[#Totals],[Nov]]-L104</calculatedColumnFormula>
    </tableColumn>
    <tableColumn id="13" name="DEC" dataDxfId="3">
      <calculatedColumnFormula>tblIncome[[#Totals],[Dec]]-M104</calculatedColumnFormula>
    </tableColumn>
    <tableColumn id="14" name="YEAR" dataDxfId="2">
      <calculatedColumnFormula>tblIncome[[#Totals],[Year]]-N104</calculatedColumnFormula>
    </tableColumn>
    <tableColumn id="15" name=" " dataDxfId="1"/>
  </tableColumns>
  <tableStyleInfo name="Personal Budget - Total" showFirstColumn="1" showLastColumn="0" showRowStripes="0" showColumnStripes="1"/>
  <extLst>
    <ext xmlns:x14="http://schemas.microsoft.com/office/spreadsheetml/2009/9/main" uri="{504A1905-F514-4f6f-8877-14C23A59335A}">
      <x14:table altText="Totals" altTextSummary="View your totals for the year, separated by month."/>
    </ext>
  </extLst>
</table>
</file>

<file path=xl/tables/table2.xml><?xml version="1.0" encoding="utf-8"?>
<table xmlns="http://schemas.openxmlformats.org/spreadsheetml/2006/main" id="2" name="tblHome" displayName="tblHome" ref="A12:O17" headerRowCount="0" totalsRowCount="1">
  <tableColumns count="15">
    <tableColumn id="1" name="Home" totalsRowLabel="Total"/>
    <tableColumn id="2" name="Jan" totalsRowFunction="sum" dataDxfId="322" totalsRowDxfId="321"/>
    <tableColumn id="3" name="Feb" totalsRowFunction="sum" dataDxfId="320" totalsRowDxfId="319"/>
    <tableColumn id="4" name="March" totalsRowFunction="sum" dataDxfId="318" totalsRowDxfId="317"/>
    <tableColumn id="5" name="April" totalsRowFunction="sum" dataDxfId="316" totalsRowDxfId="315"/>
    <tableColumn id="6" name="May" totalsRowFunction="sum" dataDxfId="314" totalsRowDxfId="313"/>
    <tableColumn id="7" name="June" totalsRowFunction="sum" dataDxfId="312" totalsRowDxfId="311"/>
    <tableColumn id="8" name="July" totalsRowFunction="sum" dataDxfId="310" totalsRowDxfId="309"/>
    <tableColumn id="9" name="Aug" totalsRowFunction="sum" dataDxfId="308" totalsRowDxfId="307"/>
    <tableColumn id="10" name="Sept" totalsRowFunction="sum" dataDxfId="306" totalsRowDxfId="305"/>
    <tableColumn id="11" name="Oct" totalsRowFunction="sum" dataDxfId="304" totalsRowDxfId="303"/>
    <tableColumn id="12" name="Nov" totalsRowFunction="sum" dataDxfId="302" totalsRowDxfId="301"/>
    <tableColumn id="13" name="Dec" totalsRowFunction="sum" dataDxfId="300" totalsRowDxfId="299"/>
    <tableColumn id="14" name="Year" totalsRowFunction="sum" dataDxfId="298" totalsRowDxfId="297">
      <calculatedColumnFormula>SUM(tblHome[[#This Row],[Jan]:[Dec]])</calculatedColumnFormula>
    </tableColumn>
    <tableColumn id="15" name="Column1" dataDxfId="296" totalsRowDxfId="295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Home Expenses" altTextSummary="Enter your home expenses for the year, separated by month."/>
    </ext>
  </extLst>
</table>
</file>

<file path=xl/tables/table3.xml><?xml version="1.0" encoding="utf-8"?>
<table xmlns="http://schemas.openxmlformats.org/spreadsheetml/2006/main" id="3" name="tblDaily" displayName="tblDaily" ref="A20:O26" headerRowCount="0" totalsRowCount="1">
  <tableColumns count="15">
    <tableColumn id="1" name="Daily living" totalsRowLabel="Total"/>
    <tableColumn id="2" name="Jan" totalsRowFunction="sum" dataDxfId="294" totalsRowDxfId="293"/>
    <tableColumn id="3" name="Feb" totalsRowFunction="sum" dataDxfId="292" totalsRowDxfId="291"/>
    <tableColumn id="4" name="March" totalsRowFunction="sum" dataDxfId="290" totalsRowDxfId="289"/>
    <tableColumn id="5" name="April" totalsRowFunction="sum" dataDxfId="288" totalsRowDxfId="287"/>
    <tableColumn id="6" name="May" totalsRowFunction="sum" dataDxfId="286" totalsRowDxfId="285"/>
    <tableColumn id="7" name="June" totalsRowFunction="sum" dataDxfId="284" totalsRowDxfId="283"/>
    <tableColumn id="8" name="July" totalsRowFunction="sum" dataDxfId="282" totalsRowDxfId="281"/>
    <tableColumn id="9" name="Aug" totalsRowFunction="sum" dataDxfId="280" totalsRowDxfId="279"/>
    <tableColumn id="10" name="Sept" totalsRowFunction="sum" dataDxfId="278" totalsRowDxfId="277"/>
    <tableColumn id="11" name="Oct" totalsRowFunction="sum" dataDxfId="276" totalsRowDxfId="275"/>
    <tableColumn id="12" name="Nov" totalsRowFunction="sum" dataDxfId="274" totalsRowDxfId="273"/>
    <tableColumn id="13" name="Dec" totalsRowFunction="sum" dataDxfId="272" totalsRowDxfId="271"/>
    <tableColumn id="14" name="Year" totalsRowFunction="sum" dataDxfId="270" totalsRowDxfId="269">
      <calculatedColumnFormula>SUM(tblDaily[[#This Row],[Jan]:[Dec]])</calculatedColumnFormula>
    </tableColumn>
    <tableColumn id="15" name="Column1" dataDxfId="268" totalsRowDxfId="267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Daily Living Expenses" altTextSummary="Enter your daily living expenses for the year, separated by month."/>
    </ext>
  </extLst>
</table>
</file>

<file path=xl/tables/table4.xml><?xml version="1.0" encoding="utf-8"?>
<table xmlns="http://schemas.openxmlformats.org/spreadsheetml/2006/main" id="4" name="tblTransportation" displayName="tblTransportation" ref="A29:O35" headerRowCount="0" totalsRowCount="1">
  <tableColumns count="15">
    <tableColumn id="1" name="Transportation" totalsRowLabel="Total"/>
    <tableColumn id="2" name="Jan" totalsRowFunction="sum" dataDxfId="266" totalsRowDxfId="265"/>
    <tableColumn id="3" name="Feb" totalsRowFunction="sum" dataDxfId="264" totalsRowDxfId="263"/>
    <tableColumn id="4" name="March" totalsRowFunction="sum" dataDxfId="262" totalsRowDxfId="261"/>
    <tableColumn id="5" name="April" totalsRowFunction="sum" dataDxfId="260" totalsRowDxfId="259"/>
    <tableColumn id="6" name="May" totalsRowFunction="sum" dataDxfId="258" totalsRowDxfId="257"/>
    <tableColumn id="7" name="June" totalsRowFunction="sum" dataDxfId="256" totalsRowDxfId="255"/>
    <tableColumn id="8" name="July" totalsRowFunction="sum" dataDxfId="254" totalsRowDxfId="253"/>
    <tableColumn id="9" name="Aug" totalsRowFunction="sum" dataDxfId="252" totalsRowDxfId="251"/>
    <tableColumn id="10" name="Sept" totalsRowFunction="sum" dataDxfId="250" totalsRowDxfId="249"/>
    <tableColumn id="11" name="Oct" totalsRowFunction="sum" dataDxfId="248" totalsRowDxfId="247"/>
    <tableColumn id="12" name="Nov" totalsRowFunction="sum" dataDxfId="246" totalsRowDxfId="245"/>
    <tableColumn id="13" name="Dec" totalsRowFunction="sum" dataDxfId="244" totalsRowDxfId="243"/>
    <tableColumn id="14" name="Year" totalsRowFunction="sum" dataDxfId="242" totalsRowDxfId="241">
      <calculatedColumnFormula>SUM(tblTransportation[[#This Row],[Jan]:[Dec]])</calculatedColumnFormula>
    </tableColumn>
    <tableColumn id="15" name="Column1" dataDxfId="240" totalsRowDxfId="239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Transportation expenses" altTextSummary="Enter your transportation expenses for the year, separated by month."/>
    </ext>
  </extLst>
</table>
</file>

<file path=xl/tables/table5.xml><?xml version="1.0" encoding="utf-8"?>
<table xmlns="http://schemas.openxmlformats.org/spreadsheetml/2006/main" id="5" name="tblEntertainment" displayName="tblEntertainment" ref="A38:O42" headerRowCount="0" totalsRowCount="1">
  <tableColumns count="15">
    <tableColumn id="1" name="Entertainment" totalsRowLabel="Total"/>
    <tableColumn id="2" name="Jan" totalsRowFunction="sum" dataDxfId="238" totalsRowDxfId="237"/>
    <tableColumn id="3" name="Feb" totalsRowFunction="sum" dataDxfId="236" totalsRowDxfId="235"/>
    <tableColumn id="4" name="March" totalsRowFunction="sum" dataDxfId="234" totalsRowDxfId="233"/>
    <tableColumn id="5" name="April" totalsRowFunction="sum" dataDxfId="232" totalsRowDxfId="231"/>
    <tableColumn id="6" name="May" totalsRowFunction="sum" dataDxfId="230" totalsRowDxfId="229"/>
    <tableColumn id="7" name="June" totalsRowFunction="sum" dataDxfId="228" totalsRowDxfId="227"/>
    <tableColumn id="8" name="July" totalsRowFunction="sum" dataDxfId="226" totalsRowDxfId="225"/>
    <tableColumn id="9" name="Aug" totalsRowFunction="sum" dataDxfId="224" totalsRowDxfId="223"/>
    <tableColumn id="10" name="Sept" totalsRowFunction="sum" dataDxfId="222" totalsRowDxfId="221"/>
    <tableColumn id="11" name="Oct" totalsRowFunction="sum" dataDxfId="220" totalsRowDxfId="219"/>
    <tableColumn id="12" name="Nov" totalsRowFunction="sum" dataDxfId="218" totalsRowDxfId="217"/>
    <tableColumn id="13" name="Dec" totalsRowFunction="sum" dataDxfId="216" totalsRowDxfId="215"/>
    <tableColumn id="14" name="Year" totalsRowFunction="sum" dataDxfId="214" totalsRowDxfId="213">
      <calculatedColumnFormula>SUM(tblEntertainment[[#This Row],[Jan]:[Dec]])</calculatedColumnFormula>
    </tableColumn>
    <tableColumn id="15" name="Column1" dataDxfId="212" totalsRowDxfId="211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Entertainment Expenses" altTextSummary="Enter your entertainment expenses for the year, separated by month."/>
    </ext>
  </extLst>
</table>
</file>

<file path=xl/tables/table6.xml><?xml version="1.0" encoding="utf-8"?>
<table xmlns="http://schemas.openxmlformats.org/spreadsheetml/2006/main" id="6" name="tblHealth" displayName="tblHealth" ref="A45:O52" headerRowCount="0" totalsRowCount="1">
  <tableColumns count="15">
    <tableColumn id="1" name="Health" totalsRowLabel="Total"/>
    <tableColumn id="2" name="Jan" totalsRowFunction="sum" dataDxfId="210" totalsRowDxfId="209"/>
    <tableColumn id="3" name="Feb" totalsRowFunction="sum" dataDxfId="208" totalsRowDxfId="207"/>
    <tableColumn id="4" name="March" totalsRowFunction="sum" dataDxfId="206" totalsRowDxfId="205"/>
    <tableColumn id="5" name="April" totalsRowFunction="sum" dataDxfId="204" totalsRowDxfId="203"/>
    <tableColumn id="6" name="May" totalsRowFunction="sum" dataDxfId="202" totalsRowDxfId="201"/>
    <tableColumn id="7" name="June" totalsRowFunction="sum" dataDxfId="200" totalsRowDxfId="199"/>
    <tableColumn id="8" name="July" totalsRowFunction="sum" dataDxfId="198" totalsRowDxfId="197"/>
    <tableColumn id="9" name="Aug" totalsRowFunction="sum" dataDxfId="196" totalsRowDxfId="195"/>
    <tableColumn id="10" name="Sept" totalsRowFunction="sum" dataDxfId="194" totalsRowDxfId="193"/>
    <tableColumn id="11" name="Oct" totalsRowFunction="sum" dataDxfId="192" totalsRowDxfId="191"/>
    <tableColumn id="12" name="Nov" totalsRowFunction="sum" dataDxfId="190" totalsRowDxfId="189"/>
    <tableColumn id="13" name="Dec" totalsRowFunction="sum" dataDxfId="188" totalsRowDxfId="187"/>
    <tableColumn id="14" name="Year" totalsRowFunction="sum" dataDxfId="186" totalsRowDxfId="185">
      <calculatedColumnFormula>SUM(tblHealth[[#This Row],[Jan]:[Dec]])</calculatedColumnFormula>
    </tableColumn>
    <tableColumn id="15" name="Column1" dataDxfId="184" totalsRowDxfId="183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Health Expenses" altTextSummary="Enter your health expenses for the year, separated by month."/>
    </ext>
  </extLst>
</table>
</file>

<file path=xl/tables/table7.xml><?xml version="1.0" encoding="utf-8"?>
<table xmlns="http://schemas.openxmlformats.org/spreadsheetml/2006/main" id="7" name="tblVacations" displayName="tblVacations" ref="A55:O61" headerRowCount="0" totalsRowCount="1">
  <tableColumns count="15">
    <tableColumn id="1" name="Vacations" totalsRowLabel="Total"/>
    <tableColumn id="2" name="Jan" totalsRowFunction="sum" dataDxfId="182" totalsRowDxfId="181"/>
    <tableColumn id="3" name="Feb" totalsRowFunction="sum" dataDxfId="180" totalsRowDxfId="179"/>
    <tableColumn id="4" name="March" totalsRowFunction="sum" dataDxfId="178" totalsRowDxfId="177"/>
    <tableColumn id="5" name="April" totalsRowFunction="sum" dataDxfId="176" totalsRowDxfId="175"/>
    <tableColumn id="6" name="May" totalsRowFunction="sum" dataDxfId="174" totalsRowDxfId="173"/>
    <tableColumn id="7" name="June" totalsRowFunction="sum" dataDxfId="172" totalsRowDxfId="171"/>
    <tableColumn id="8" name="July" totalsRowFunction="sum" dataDxfId="170" totalsRowDxfId="169"/>
    <tableColumn id="9" name="Aug" totalsRowFunction="sum" dataDxfId="168" totalsRowDxfId="167"/>
    <tableColumn id="10" name="Sept" totalsRowFunction="sum" dataDxfId="166" totalsRowDxfId="165"/>
    <tableColumn id="11" name="Oct" totalsRowFunction="sum" dataDxfId="164" totalsRowDxfId="163"/>
    <tableColumn id="12" name="Nov" totalsRowFunction="sum" dataDxfId="162" totalsRowDxfId="161"/>
    <tableColumn id="13" name="Dec" totalsRowFunction="sum" dataDxfId="160" totalsRowDxfId="159"/>
    <tableColumn id="14" name="Year" totalsRowFunction="sum" dataDxfId="158" totalsRowDxfId="157">
      <calculatedColumnFormula>SUM(tblVacations[[#This Row],[Jan]:[Dec]])</calculatedColumnFormula>
    </tableColumn>
    <tableColumn id="15" name="Column1" dataDxfId="156" totalsRowDxfId="155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Vacation Expenses" altTextSummary="Enter your vacation expenses for the year, separated by month."/>
    </ext>
  </extLst>
</table>
</file>

<file path=xl/tables/table8.xml><?xml version="1.0" encoding="utf-8"?>
<table xmlns="http://schemas.openxmlformats.org/spreadsheetml/2006/main" id="8" name="tblRecreation" displayName="tblRecreation" ref="A64:O68" headerRowCount="0" totalsRowCount="1">
  <tableColumns count="15">
    <tableColumn id="1" name="Recreation" totalsRowLabel="Total"/>
    <tableColumn id="2" name="Jan" totalsRowFunction="sum" dataDxfId="154" totalsRowDxfId="153"/>
    <tableColumn id="3" name="Feb" totalsRowFunction="sum" dataDxfId="152" totalsRowDxfId="151"/>
    <tableColumn id="4" name="March" totalsRowFunction="sum" dataDxfId="150" totalsRowDxfId="149"/>
    <tableColumn id="5" name="April" totalsRowFunction="sum" dataDxfId="148" totalsRowDxfId="147"/>
    <tableColumn id="6" name="May" totalsRowFunction="sum" dataDxfId="146" totalsRowDxfId="145"/>
    <tableColumn id="7" name="June" totalsRowFunction="sum" dataDxfId="144" totalsRowDxfId="143"/>
    <tableColumn id="8" name="July" totalsRowFunction="sum" dataDxfId="142" totalsRowDxfId="141"/>
    <tableColumn id="9" name="Aug" totalsRowFunction="sum" dataDxfId="140" totalsRowDxfId="139"/>
    <tableColumn id="10" name="Sept" totalsRowFunction="sum" dataDxfId="138" totalsRowDxfId="137"/>
    <tableColumn id="11" name="Oct" totalsRowFunction="sum" dataDxfId="136" totalsRowDxfId="135"/>
    <tableColumn id="12" name="Nov" totalsRowFunction="sum" dataDxfId="134" totalsRowDxfId="133"/>
    <tableColumn id="13" name="Dec" totalsRowFunction="sum" dataDxfId="132" totalsRowDxfId="131"/>
    <tableColumn id="14" name="Year" totalsRowFunction="sum" dataDxfId="130" totalsRowDxfId="129">
      <calculatedColumnFormula>SUM(tblRecreation[[#This Row],[Jan]:[Dec]])</calculatedColumnFormula>
    </tableColumn>
    <tableColumn id="15" name="Column1" dataDxfId="128" totalsRowDxfId="127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Recreation Expenses" altTextSummary="Enter your recreation expenses for the year, separated by month."/>
    </ext>
  </extLst>
</table>
</file>

<file path=xl/tables/table9.xml><?xml version="1.0" encoding="utf-8"?>
<table xmlns="http://schemas.openxmlformats.org/spreadsheetml/2006/main" id="9" name="tblDues" displayName="tblDues" ref="A71:O78" headerRowCount="0" totalsRowCount="1">
  <tableColumns count="15">
    <tableColumn id="1" name="Dues/subscriptions" totalsRowLabel="Total"/>
    <tableColumn id="2" name="Jan" totalsRowFunction="sum" dataDxfId="126" totalsRowDxfId="125"/>
    <tableColumn id="3" name="Feb" totalsRowFunction="sum" dataDxfId="124" totalsRowDxfId="123"/>
    <tableColumn id="4" name="March" totalsRowFunction="sum" dataDxfId="122" totalsRowDxfId="121"/>
    <tableColumn id="5" name="April" totalsRowFunction="sum" dataDxfId="120" totalsRowDxfId="119"/>
    <tableColumn id="6" name="May" totalsRowFunction="sum" dataDxfId="118" totalsRowDxfId="117"/>
    <tableColumn id="7" name="June" totalsRowFunction="sum" dataDxfId="116" totalsRowDxfId="115"/>
    <tableColumn id="8" name="July" totalsRowFunction="sum" dataDxfId="114" totalsRowDxfId="113"/>
    <tableColumn id="9" name="Aug" totalsRowFunction="sum" dataDxfId="112" totalsRowDxfId="111"/>
    <tableColumn id="10" name="Sept" totalsRowFunction="sum" dataDxfId="110" totalsRowDxfId="109"/>
    <tableColumn id="11" name="Oct" totalsRowFunction="sum" dataDxfId="108" totalsRowDxfId="107"/>
    <tableColumn id="12" name="Nov" totalsRowFunction="sum" dataDxfId="106" totalsRowDxfId="105"/>
    <tableColumn id="13" name="Dec" totalsRowFunction="sum" dataDxfId="104" totalsRowDxfId="103"/>
    <tableColumn id="14" name="Year" totalsRowFunction="sum" dataDxfId="102" totalsRowDxfId="101">
      <calculatedColumnFormula>SUM(tblDues[[#This Row],[Jan]:[Dec]])</calculatedColumnFormula>
    </tableColumn>
    <tableColumn id="15" name="Column1" dataDxfId="100" totalsRowDxfId="99"/>
  </tableColumns>
  <tableStyleInfo name="Personal Budget - Expense" showFirstColumn="0" showLastColumn="0" showRowStripes="0" showColumnStripes="1"/>
  <extLst>
    <ext xmlns:x14="http://schemas.microsoft.com/office/spreadsheetml/2009/9/main" uri="{504A1905-F514-4f6f-8877-14C23A59335A}">
      <x14:table altText="Dues &amp; Subscription Expenses" altTextSummary="Enter your dues &amp; subscription expenses for the year, separated by month.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EA74A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Personal Budget">
      <a:majorFont>
        <a:latin typeface="Trebuchet MS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O106"/>
  <sheetViews>
    <sheetView showGridLines="0" tabSelected="1" topLeftCell="A58" workbookViewId="0">
      <selection activeCell="C106" sqref="C106"/>
    </sheetView>
  </sheetViews>
  <sheetFormatPr defaultRowHeight="12.75" x14ac:dyDescent="0.2"/>
  <cols>
    <col min="1" max="1" width="25.7109375" customWidth="1"/>
    <col min="2" max="13" width="11.28515625" style="5" customWidth="1"/>
    <col min="14" max="14" width="12.42578125" style="5" customWidth="1"/>
    <col min="15" max="15" width="9.140625" customWidth="1"/>
  </cols>
  <sheetData>
    <row r="1" spans="1:15" ht="28.5" x14ac:dyDescent="0.2">
      <c r="A1" s="1" t="s">
        <v>71</v>
      </c>
    </row>
    <row r="3" spans="1:15" ht="17.25" thickBot="1" x14ac:dyDescent="0.25">
      <c r="A3" s="2" t="s">
        <v>85</v>
      </c>
      <c r="B3" s="6" t="s">
        <v>72</v>
      </c>
      <c r="C3" s="6" t="s">
        <v>73</v>
      </c>
      <c r="D3" s="6" t="s">
        <v>75</v>
      </c>
      <c r="E3" s="6" t="s">
        <v>76</v>
      </c>
      <c r="F3" s="6" t="s">
        <v>74</v>
      </c>
      <c r="G3" s="6" t="s">
        <v>77</v>
      </c>
      <c r="H3" s="6" t="s">
        <v>78</v>
      </c>
      <c r="I3" s="6" t="s">
        <v>79</v>
      </c>
      <c r="J3" s="6" t="s">
        <v>80</v>
      </c>
      <c r="K3" s="6" t="s">
        <v>81</v>
      </c>
      <c r="L3" s="6" t="s">
        <v>82</v>
      </c>
      <c r="M3" s="6" t="s">
        <v>83</v>
      </c>
      <c r="N3" s="6" t="s">
        <v>84</v>
      </c>
      <c r="O3" s="6"/>
    </row>
    <row r="4" spans="1:15" ht="15" x14ac:dyDescent="0.2">
      <c r="A4" s="3" t="s">
        <v>57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88</v>
      </c>
    </row>
    <row r="5" spans="1:15" x14ac:dyDescent="0.2">
      <c r="A5" t="s">
        <v>0</v>
      </c>
      <c r="B5" s="8">
        <v>2600</v>
      </c>
      <c r="C5" s="8">
        <v>2600</v>
      </c>
      <c r="D5" s="8">
        <v>2600</v>
      </c>
      <c r="E5" s="8"/>
      <c r="F5" s="8"/>
      <c r="G5" s="8"/>
      <c r="H5" s="8"/>
      <c r="I5" s="8"/>
      <c r="J5" s="8"/>
      <c r="K5" s="8"/>
      <c r="L5" s="8"/>
      <c r="M5" s="8"/>
      <c r="N5" s="8">
        <f>SUM(tblIncome[[#This Row],[Jan]:[Dec]])</f>
        <v>7800</v>
      </c>
      <c r="O5" s="8"/>
    </row>
    <row r="6" spans="1:15" x14ac:dyDescent="0.2">
      <c r="A6" t="s">
        <v>1</v>
      </c>
      <c r="B6" s="8">
        <v>649</v>
      </c>
      <c r="C6" s="8">
        <v>313</v>
      </c>
      <c r="D6" s="8">
        <v>664</v>
      </c>
      <c r="E6" s="8"/>
      <c r="F6" s="8"/>
      <c r="G6" s="8"/>
      <c r="H6" s="8"/>
      <c r="I6" s="8"/>
      <c r="J6" s="8"/>
      <c r="K6" s="8"/>
      <c r="L6" s="8"/>
      <c r="M6" s="8"/>
      <c r="N6" s="8">
        <f>SUM(tblIncome[[#This Row],[Jan]:[Dec]])</f>
        <v>1626</v>
      </c>
      <c r="O6" s="8"/>
    </row>
    <row r="7" spans="1:15" x14ac:dyDescent="0.2">
      <c r="A7" t="s">
        <v>2</v>
      </c>
      <c r="B7" s="8">
        <v>474</v>
      </c>
      <c r="C7" s="8">
        <v>643</v>
      </c>
      <c r="D7" s="8">
        <v>380</v>
      </c>
      <c r="E7" s="8"/>
      <c r="F7" s="8"/>
      <c r="G7" s="8"/>
      <c r="H7" s="8"/>
      <c r="I7" s="8"/>
      <c r="J7" s="8"/>
      <c r="K7" s="8"/>
      <c r="L7" s="8"/>
      <c r="M7" s="8"/>
      <c r="N7" s="8">
        <f>SUM(tblIncome[[#This Row],[Jan]:[Dec]])</f>
        <v>1497</v>
      </c>
      <c r="O7" s="8"/>
    </row>
    <row r="8" spans="1:15" x14ac:dyDescent="0.2">
      <c r="A8" t="s">
        <v>56</v>
      </c>
      <c r="B8" s="8">
        <f>SUBTOTAL(109,tblIncome[Jan])</f>
        <v>3723</v>
      </c>
      <c r="C8" s="8">
        <f>SUBTOTAL(109,tblIncome[Feb])</f>
        <v>3556</v>
      </c>
      <c r="D8" s="8">
        <f>SUBTOTAL(109,tblIncome[March])</f>
        <v>3644</v>
      </c>
      <c r="E8" s="8">
        <f>SUBTOTAL(109,tblIncome[April])</f>
        <v>0</v>
      </c>
      <c r="F8" s="8">
        <f>SUBTOTAL(109,tblIncome[May])</f>
        <v>0</v>
      </c>
      <c r="G8" s="8">
        <f>SUBTOTAL(109,tblIncome[June])</f>
        <v>0</v>
      </c>
      <c r="H8" s="8">
        <f>SUBTOTAL(109,tblIncome[July])</f>
        <v>0</v>
      </c>
      <c r="I8" s="8">
        <f>SUBTOTAL(109,tblIncome[Aug])</f>
        <v>0</v>
      </c>
      <c r="J8" s="8">
        <f>SUBTOTAL(109,tblIncome[Sept])</f>
        <v>0</v>
      </c>
      <c r="K8" s="8">
        <f>SUBTOTAL(109,tblIncome[Oct])</f>
        <v>0</v>
      </c>
      <c r="L8" s="8">
        <f>SUBTOTAL(109,tblIncome[Nov])</f>
        <v>0</v>
      </c>
      <c r="M8" s="8">
        <f>SUBTOTAL(109,tblIncome[Dec])</f>
        <v>0</v>
      </c>
      <c r="N8" s="8">
        <f>SUBTOTAL(109,tblIncome[Year])</f>
        <v>10923</v>
      </c>
      <c r="O8" s="5"/>
    </row>
    <row r="9" spans="1:1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7.25" thickBot="1" x14ac:dyDescent="0.25">
      <c r="A10" s="4" t="s">
        <v>58</v>
      </c>
      <c r="B10" s="9" t="s">
        <v>72</v>
      </c>
      <c r="C10" s="9" t="s">
        <v>73</v>
      </c>
      <c r="D10" s="9" t="s">
        <v>75</v>
      </c>
      <c r="E10" s="9" t="s">
        <v>76</v>
      </c>
      <c r="F10" s="9" t="s">
        <v>74</v>
      </c>
      <c r="G10" s="9" t="s">
        <v>77</v>
      </c>
      <c r="H10" s="9" t="s">
        <v>78</v>
      </c>
      <c r="I10" s="9" t="s">
        <v>79</v>
      </c>
      <c r="J10" s="9" t="s">
        <v>80</v>
      </c>
      <c r="K10" s="9" t="s">
        <v>81</v>
      </c>
      <c r="L10" s="9" t="s">
        <v>82</v>
      </c>
      <c r="M10" s="9" t="s">
        <v>83</v>
      </c>
      <c r="N10" s="9" t="s">
        <v>84</v>
      </c>
      <c r="O10" s="9"/>
    </row>
    <row r="11" spans="1:15" ht="15" x14ac:dyDescent="0.2">
      <c r="A11" s="12" t="s">
        <v>59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">
      <c r="A12" t="s">
        <v>86</v>
      </c>
      <c r="B12" s="8">
        <v>750</v>
      </c>
      <c r="C12" s="8">
        <v>750</v>
      </c>
      <c r="D12" s="8">
        <v>750</v>
      </c>
      <c r="E12" s="8"/>
      <c r="F12" s="8"/>
      <c r="G12" s="8"/>
      <c r="H12" s="8"/>
      <c r="I12" s="8"/>
      <c r="J12" s="8"/>
      <c r="K12" s="8"/>
      <c r="L12" s="8"/>
      <c r="M12" s="8"/>
      <c r="N12" s="8">
        <f>SUM(tblHome[[#This Row],[Jan]:[Dec]])</f>
        <v>2250</v>
      </c>
      <c r="O12" s="8"/>
    </row>
    <row r="13" spans="1:15" x14ac:dyDescent="0.2">
      <c r="A13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f>SUM(tblHome[[#This Row],[Jan]:[Dec]])</f>
        <v>0</v>
      </c>
      <c r="O13" s="8"/>
    </row>
    <row r="14" spans="1:15" x14ac:dyDescent="0.2">
      <c r="A14" t="s">
        <v>12</v>
      </c>
      <c r="B14" s="8"/>
      <c r="C14" s="8"/>
      <c r="D14" s="8">
        <v>75</v>
      </c>
      <c r="E14" s="8"/>
      <c r="F14" s="8"/>
      <c r="G14" s="8"/>
      <c r="H14" s="8"/>
      <c r="I14" s="8"/>
      <c r="J14" s="8"/>
      <c r="K14" s="8"/>
      <c r="L14" s="8"/>
      <c r="M14" s="8"/>
      <c r="N14" s="8">
        <f>SUM(tblHome[[#This Row],[Jan]:[Dec]])</f>
        <v>75</v>
      </c>
      <c r="O14" s="8"/>
    </row>
    <row r="15" spans="1:15" x14ac:dyDescent="0.2">
      <c r="A15" t="s">
        <v>87</v>
      </c>
      <c r="B15" s="8">
        <v>35</v>
      </c>
      <c r="C15" s="8">
        <v>35</v>
      </c>
      <c r="D15" s="8">
        <v>35</v>
      </c>
      <c r="E15" s="8"/>
      <c r="F15" s="8"/>
      <c r="G15" s="8"/>
      <c r="H15" s="8"/>
      <c r="I15" s="8"/>
      <c r="J15" s="8"/>
      <c r="K15" s="8"/>
      <c r="L15" s="8"/>
      <c r="M15" s="8"/>
      <c r="N15" s="8">
        <f>SUM(tblHome[[#This Row],[Jan]:[Dec]])</f>
        <v>105</v>
      </c>
      <c r="O15" s="8"/>
    </row>
    <row r="16" spans="1:15" x14ac:dyDescent="0.2">
      <c r="A16" t="s">
        <v>3</v>
      </c>
      <c r="B16" s="8">
        <v>165</v>
      </c>
      <c r="C16" s="8">
        <v>165</v>
      </c>
      <c r="D16" s="8">
        <v>165</v>
      </c>
      <c r="E16" s="8"/>
      <c r="F16" s="8"/>
      <c r="G16" s="8"/>
      <c r="H16" s="8"/>
      <c r="I16" s="8"/>
      <c r="J16" s="8"/>
      <c r="K16" s="8"/>
      <c r="L16" s="8"/>
      <c r="M16" s="8"/>
      <c r="N16" s="8">
        <f>SUM(tblHome[[#This Row],[Jan]:[Dec]])</f>
        <v>495</v>
      </c>
      <c r="O16" s="8"/>
    </row>
    <row r="17" spans="1:15" x14ac:dyDescent="0.2">
      <c r="A17" t="s">
        <v>56</v>
      </c>
      <c r="B17" s="8">
        <f>SUBTOTAL(109,tblHome[Jan])</f>
        <v>950</v>
      </c>
      <c r="C17" s="8">
        <f>SUBTOTAL(109,tblHome[Feb])</f>
        <v>950</v>
      </c>
      <c r="D17" s="8">
        <f>SUBTOTAL(109,tblHome[March])</f>
        <v>1025</v>
      </c>
      <c r="E17" s="8">
        <f>SUBTOTAL(109,tblHome[April])</f>
        <v>0</v>
      </c>
      <c r="F17" s="8">
        <f>SUBTOTAL(109,tblHome[May])</f>
        <v>0</v>
      </c>
      <c r="G17" s="8">
        <f>SUBTOTAL(109,tblHome[June])</f>
        <v>0</v>
      </c>
      <c r="H17" s="8">
        <f>SUBTOTAL(109,tblHome[July])</f>
        <v>0</v>
      </c>
      <c r="I17" s="8">
        <f>SUBTOTAL(109,tblHome[Aug])</f>
        <v>0</v>
      </c>
      <c r="J17" s="8">
        <f>SUBTOTAL(109,tblHome[Sept])</f>
        <v>0</v>
      </c>
      <c r="K17" s="8">
        <f>SUBTOTAL(109,tblHome[Oct])</f>
        <v>0</v>
      </c>
      <c r="L17" s="8">
        <f>SUBTOTAL(109,tblHome[Nov])</f>
        <v>0</v>
      </c>
      <c r="M17" s="8">
        <f>SUBTOTAL(109,tblHome[Dec])</f>
        <v>0</v>
      </c>
      <c r="N17" s="8">
        <f>SUBTOTAL(109,tblHome[Year])</f>
        <v>2925</v>
      </c>
      <c r="O17" s="5"/>
    </row>
    <row r="18" spans="1:1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5" x14ac:dyDescent="0.2">
      <c r="A19" s="12" t="s">
        <v>61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2">
      <c r="A20" t="s">
        <v>4</v>
      </c>
      <c r="B20" s="8">
        <v>191</v>
      </c>
      <c r="C20" s="8">
        <v>152</v>
      </c>
      <c r="D20" s="8">
        <v>145</v>
      </c>
      <c r="E20" s="8"/>
      <c r="F20" s="8"/>
      <c r="G20" s="8"/>
      <c r="H20" s="8"/>
      <c r="I20" s="8"/>
      <c r="J20" s="8"/>
      <c r="K20" s="8"/>
      <c r="L20" s="8"/>
      <c r="M20" s="8"/>
      <c r="N20" s="8">
        <f>SUM(tblDaily[[#This Row],[Jan]:[Dec]])</f>
        <v>488</v>
      </c>
      <c r="O20" s="8"/>
    </row>
    <row r="21" spans="1:15" x14ac:dyDescent="0.2">
      <c r="A21" t="s">
        <v>5</v>
      </c>
      <c r="B21" s="8">
        <v>200</v>
      </c>
      <c r="C21" s="8">
        <v>200</v>
      </c>
      <c r="D21" s="8">
        <v>200</v>
      </c>
      <c r="E21" s="8"/>
      <c r="F21" s="8"/>
      <c r="G21" s="8"/>
      <c r="H21" s="8"/>
      <c r="I21" s="8"/>
      <c r="J21" s="8"/>
      <c r="K21" s="8"/>
      <c r="L21" s="8"/>
      <c r="M21" s="8"/>
      <c r="N21" s="8">
        <f>SUM(tblDaily[[#This Row],[Jan]:[Dec]])</f>
        <v>600</v>
      </c>
      <c r="O21" s="8"/>
    </row>
    <row r="22" spans="1:15" x14ac:dyDescent="0.2">
      <c r="A22" t="s">
        <v>6</v>
      </c>
      <c r="B22" s="8">
        <v>20</v>
      </c>
      <c r="C22" s="8"/>
      <c r="D22" s="8">
        <v>20</v>
      </c>
      <c r="E22" s="8"/>
      <c r="F22" s="8"/>
      <c r="G22" s="8"/>
      <c r="H22" s="8"/>
      <c r="I22" s="8"/>
      <c r="J22" s="8"/>
      <c r="K22" s="8"/>
      <c r="L22" s="8"/>
      <c r="M22" s="8"/>
      <c r="N22" s="8">
        <f>SUM(tblDaily[[#This Row],[Jan]:[Dec]])</f>
        <v>40</v>
      </c>
      <c r="O22" s="8"/>
    </row>
    <row r="23" spans="1:15" x14ac:dyDescent="0.2">
      <c r="A23" t="s">
        <v>7</v>
      </c>
      <c r="B23" s="8">
        <v>55</v>
      </c>
      <c r="C23" s="8"/>
      <c r="D23" s="8">
        <v>56</v>
      </c>
      <c r="E23" s="8"/>
      <c r="F23" s="8"/>
      <c r="G23" s="8"/>
      <c r="H23" s="8"/>
      <c r="I23" s="8"/>
      <c r="J23" s="8"/>
      <c r="K23" s="8"/>
      <c r="L23" s="8"/>
      <c r="M23" s="8"/>
      <c r="N23" s="8">
        <f>SUM(tblDaily[[#This Row],[Jan]:[Dec]])</f>
        <v>111</v>
      </c>
      <c r="O23" s="8"/>
    </row>
    <row r="24" spans="1:15" x14ac:dyDescent="0.2">
      <c r="A24" t="s">
        <v>8</v>
      </c>
      <c r="B24" s="8">
        <v>25</v>
      </c>
      <c r="C24" s="8">
        <v>17</v>
      </c>
      <c r="D24" s="8">
        <v>7</v>
      </c>
      <c r="E24" s="8"/>
      <c r="F24" s="8"/>
      <c r="G24" s="8"/>
      <c r="H24" s="8"/>
      <c r="I24" s="8"/>
      <c r="J24" s="8"/>
      <c r="K24" s="8"/>
      <c r="L24" s="8"/>
      <c r="M24" s="8"/>
      <c r="N24" s="8">
        <f>SUM(tblDaily[[#This Row],[Jan]:[Dec]])</f>
        <v>49</v>
      </c>
      <c r="O24" s="8"/>
    </row>
    <row r="25" spans="1:15" x14ac:dyDescent="0.2">
      <c r="A25" t="s">
        <v>9</v>
      </c>
      <c r="B25" s="8">
        <v>10</v>
      </c>
      <c r="C25" s="8">
        <v>5</v>
      </c>
      <c r="D25" s="8">
        <v>7</v>
      </c>
      <c r="E25" s="8"/>
      <c r="F25" s="8"/>
      <c r="G25" s="8"/>
      <c r="H25" s="8"/>
      <c r="I25" s="8"/>
      <c r="J25" s="8"/>
      <c r="K25" s="8"/>
      <c r="L25" s="8"/>
      <c r="M25" s="8"/>
      <c r="N25" s="8">
        <f>SUM(tblDaily[[#This Row],[Jan]:[Dec]])</f>
        <v>22</v>
      </c>
      <c r="O25" s="8"/>
    </row>
    <row r="26" spans="1:15" x14ac:dyDescent="0.2">
      <c r="A26" t="s">
        <v>56</v>
      </c>
      <c r="B26" s="8">
        <f>SUBTOTAL(109,tblDaily[Jan])</f>
        <v>501</v>
      </c>
      <c r="C26" s="8">
        <f>SUBTOTAL(109,tblDaily[Feb])</f>
        <v>374</v>
      </c>
      <c r="D26" s="8">
        <f>SUBTOTAL(109,tblDaily[March])</f>
        <v>435</v>
      </c>
      <c r="E26" s="8">
        <f>SUBTOTAL(109,tblDaily[April])</f>
        <v>0</v>
      </c>
      <c r="F26" s="8">
        <f>SUBTOTAL(109,tblDaily[May])</f>
        <v>0</v>
      </c>
      <c r="G26" s="8">
        <f>SUBTOTAL(109,tblDaily[June])</f>
        <v>0</v>
      </c>
      <c r="H26" s="8">
        <f>SUBTOTAL(109,tblDaily[July])</f>
        <v>0</v>
      </c>
      <c r="I26" s="8">
        <f>SUBTOTAL(109,tblDaily[Aug])</f>
        <v>0</v>
      </c>
      <c r="J26" s="8">
        <f>SUBTOTAL(109,tblDaily[Sept])</f>
        <v>0</v>
      </c>
      <c r="K26" s="8">
        <f>SUBTOTAL(109,tblDaily[Oct])</f>
        <v>0</v>
      </c>
      <c r="L26" s="8">
        <f>SUBTOTAL(109,tblDaily[Nov])</f>
        <v>0</v>
      </c>
      <c r="M26" s="8">
        <f>SUBTOTAL(109,tblDaily[Dec])</f>
        <v>0</v>
      </c>
      <c r="N26" s="8">
        <f>SUBTOTAL(109,tblDaily[Year])</f>
        <v>1310</v>
      </c>
      <c r="O26" s="5"/>
    </row>
    <row r="27" spans="1:1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5" x14ac:dyDescent="0.2">
      <c r="A28" s="12" t="s">
        <v>60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">
      <c r="A29" t="s">
        <v>10</v>
      </c>
      <c r="B29" s="8">
        <v>195</v>
      </c>
      <c r="C29" s="8">
        <v>125</v>
      </c>
      <c r="D29" s="8">
        <v>171</v>
      </c>
      <c r="E29" s="8"/>
      <c r="F29" s="8"/>
      <c r="G29" s="8"/>
      <c r="H29" s="8"/>
      <c r="I29" s="8"/>
      <c r="J29" s="8"/>
      <c r="K29" s="8"/>
      <c r="L29" s="8"/>
      <c r="M29" s="8"/>
      <c r="N29" s="8">
        <f>SUM(tblTransportation[[#This Row],[Jan]:[Dec]])</f>
        <v>491</v>
      </c>
      <c r="O29" s="8"/>
    </row>
    <row r="30" spans="1:15" x14ac:dyDescent="0.2">
      <c r="A30" t="s">
        <v>11</v>
      </c>
      <c r="B30" s="8">
        <v>165</v>
      </c>
      <c r="C30" s="8">
        <v>165</v>
      </c>
      <c r="D30" s="8">
        <v>165</v>
      </c>
      <c r="E30" s="8"/>
      <c r="F30" s="8"/>
      <c r="G30" s="8"/>
      <c r="H30" s="8"/>
      <c r="I30" s="8"/>
      <c r="J30" s="8"/>
      <c r="K30" s="8"/>
      <c r="L30" s="8"/>
      <c r="M30" s="8"/>
      <c r="N30" s="8">
        <f>SUM(tblTransportation[[#This Row],[Jan]:[Dec]])</f>
        <v>495</v>
      </c>
      <c r="O30" s="8"/>
    </row>
    <row r="31" spans="1:15" x14ac:dyDescent="0.2">
      <c r="A31" t="s">
        <v>12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f>SUM(tblTransportation[[#This Row],[Jan]:[Dec]])</f>
        <v>0</v>
      </c>
      <c r="O31" s="8"/>
    </row>
    <row r="32" spans="1:15" x14ac:dyDescent="0.2">
      <c r="A32" t="s">
        <v>13</v>
      </c>
      <c r="B32" s="8">
        <v>10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f>SUM(tblTransportation[[#This Row],[Jan]:[Dec]])</f>
        <v>10</v>
      </c>
      <c r="O32" s="8"/>
    </row>
    <row r="33" spans="1:15" x14ac:dyDescent="0.2">
      <c r="A33" t="s">
        <v>14</v>
      </c>
      <c r="B33" s="8">
        <v>10</v>
      </c>
      <c r="C33" s="8">
        <v>40</v>
      </c>
      <c r="D33" s="8">
        <v>20</v>
      </c>
      <c r="E33" s="8"/>
      <c r="F33" s="8"/>
      <c r="G33" s="8"/>
      <c r="H33" s="8"/>
      <c r="I33" s="8"/>
      <c r="J33" s="8"/>
      <c r="K33" s="8"/>
      <c r="L33" s="8"/>
      <c r="M33" s="8"/>
      <c r="N33" s="8">
        <f>SUM(tblTransportation[[#This Row],[Jan]:[Dec]])</f>
        <v>70</v>
      </c>
      <c r="O33" s="8"/>
    </row>
    <row r="34" spans="1:15" x14ac:dyDescent="0.2">
      <c r="A34" t="s">
        <v>15</v>
      </c>
      <c r="B34" s="8">
        <v>20</v>
      </c>
      <c r="C34" s="8">
        <v>40</v>
      </c>
      <c r="D34" s="8">
        <v>30</v>
      </c>
      <c r="E34" s="8"/>
      <c r="F34" s="8"/>
      <c r="G34" s="8"/>
      <c r="H34" s="8"/>
      <c r="I34" s="8"/>
      <c r="J34" s="8"/>
      <c r="K34" s="8"/>
      <c r="L34" s="8"/>
      <c r="M34" s="8"/>
      <c r="N34" s="8">
        <f>SUM(tblTransportation[[#This Row],[Jan]:[Dec]])</f>
        <v>90</v>
      </c>
      <c r="O34" s="8"/>
    </row>
    <row r="35" spans="1:15" x14ac:dyDescent="0.2">
      <c r="A35" t="s">
        <v>56</v>
      </c>
      <c r="B35" s="8">
        <f>SUBTOTAL(109,tblTransportation[Jan])</f>
        <v>400</v>
      </c>
      <c r="C35" s="8">
        <f>SUBTOTAL(109,tblTransportation[Feb])</f>
        <v>370</v>
      </c>
      <c r="D35" s="8">
        <f>SUBTOTAL(109,tblTransportation[March])</f>
        <v>386</v>
      </c>
      <c r="E35" s="8">
        <f>SUBTOTAL(109,tblTransportation[April])</f>
        <v>0</v>
      </c>
      <c r="F35" s="8">
        <f>SUBTOTAL(109,tblTransportation[May])</f>
        <v>0</v>
      </c>
      <c r="G35" s="8">
        <f>SUBTOTAL(109,tblTransportation[June])</f>
        <v>0</v>
      </c>
      <c r="H35" s="8">
        <f>SUBTOTAL(109,tblTransportation[July])</f>
        <v>0</v>
      </c>
      <c r="I35" s="8">
        <f>SUBTOTAL(109,tblTransportation[Aug])</f>
        <v>0</v>
      </c>
      <c r="J35" s="8">
        <f>SUBTOTAL(109,tblTransportation[Sept])</f>
        <v>0</v>
      </c>
      <c r="K35" s="8">
        <f>SUBTOTAL(109,tblTransportation[Oct])</f>
        <v>0</v>
      </c>
      <c r="L35" s="8">
        <f>SUBTOTAL(109,tblTransportation[Nov])</f>
        <v>0</v>
      </c>
      <c r="M35" s="8">
        <f>SUBTOTAL(109,tblTransportation[Dec])</f>
        <v>0</v>
      </c>
      <c r="N35" s="8">
        <f>SUBTOTAL(109,tblTransportation[Year])</f>
        <v>1156</v>
      </c>
      <c r="O35" s="5"/>
    </row>
    <row r="36" spans="1:1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" x14ac:dyDescent="0.2">
      <c r="A37" s="12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t="s">
        <v>16</v>
      </c>
      <c r="B38" s="8">
        <v>85</v>
      </c>
      <c r="C38" s="8">
        <v>85</v>
      </c>
      <c r="D38" s="8">
        <v>85</v>
      </c>
      <c r="E38" s="8"/>
      <c r="F38" s="8"/>
      <c r="G38" s="8"/>
      <c r="H38" s="8"/>
      <c r="I38" s="8"/>
      <c r="J38" s="8"/>
      <c r="K38" s="8"/>
      <c r="L38" s="8"/>
      <c r="M38" s="8"/>
      <c r="N38" s="8">
        <f>SUM(tblEntertainment[[#This Row],[Jan]:[Dec]])</f>
        <v>255</v>
      </c>
      <c r="O38" s="8"/>
    </row>
    <row r="39" spans="1:15" x14ac:dyDescent="0.2">
      <c r="A39" t="s">
        <v>17</v>
      </c>
      <c r="B39" s="8">
        <v>7</v>
      </c>
      <c r="C39" s="8">
        <v>8</v>
      </c>
      <c r="D39" s="8">
        <v>9</v>
      </c>
      <c r="E39" s="8"/>
      <c r="F39" s="8"/>
      <c r="G39" s="8"/>
      <c r="H39" s="8"/>
      <c r="I39" s="8"/>
      <c r="J39" s="8"/>
      <c r="K39" s="8"/>
      <c r="L39" s="8"/>
      <c r="M39" s="8"/>
      <c r="N39" s="8">
        <f>SUM(tblEntertainment[[#This Row],[Jan]:[Dec]])</f>
        <v>24</v>
      </c>
      <c r="O39" s="8"/>
    </row>
    <row r="40" spans="1:15" x14ac:dyDescent="0.2">
      <c r="A40" t="s">
        <v>18</v>
      </c>
      <c r="B40" s="8">
        <v>9</v>
      </c>
      <c r="C40" s="8">
        <v>5</v>
      </c>
      <c r="D40" s="8">
        <v>9</v>
      </c>
      <c r="E40" s="8"/>
      <c r="F40" s="8"/>
      <c r="G40" s="8"/>
      <c r="H40" s="8"/>
      <c r="I40" s="8"/>
      <c r="J40" s="8"/>
      <c r="K40" s="8"/>
      <c r="L40" s="8"/>
      <c r="M40" s="8"/>
      <c r="N40" s="8">
        <f>SUM(tblEntertainment[[#This Row],[Jan]:[Dec]])</f>
        <v>23</v>
      </c>
      <c r="O40" s="8"/>
    </row>
    <row r="41" spans="1:15" x14ac:dyDescent="0.2">
      <c r="A41" t="s">
        <v>19</v>
      </c>
      <c r="B41" s="8">
        <v>5</v>
      </c>
      <c r="C41" s="8">
        <v>5</v>
      </c>
      <c r="D41" s="8">
        <v>7</v>
      </c>
      <c r="E41" s="8"/>
      <c r="F41" s="8"/>
      <c r="G41" s="8"/>
      <c r="H41" s="8"/>
      <c r="I41" s="8"/>
      <c r="J41" s="8"/>
      <c r="K41" s="8"/>
      <c r="L41" s="8"/>
      <c r="M41" s="8"/>
      <c r="N41" s="8">
        <f>SUM(tblEntertainment[[#This Row],[Jan]:[Dec]])</f>
        <v>17</v>
      </c>
      <c r="O41" s="8"/>
    </row>
    <row r="42" spans="1:15" x14ac:dyDescent="0.2">
      <c r="A42" t="s">
        <v>56</v>
      </c>
      <c r="B42" s="8">
        <f>SUBTOTAL(109,tblEntertainment[Jan])</f>
        <v>106</v>
      </c>
      <c r="C42" s="8">
        <f>SUBTOTAL(109,tblEntertainment[Feb])</f>
        <v>103</v>
      </c>
      <c r="D42" s="8">
        <f>SUBTOTAL(109,tblEntertainment[March])</f>
        <v>110</v>
      </c>
      <c r="E42" s="8">
        <f>SUBTOTAL(109,tblEntertainment[April])</f>
        <v>0</v>
      </c>
      <c r="F42" s="8">
        <f>SUBTOTAL(109,tblEntertainment[May])</f>
        <v>0</v>
      </c>
      <c r="G42" s="8">
        <f>SUBTOTAL(109,tblEntertainment[June])</f>
        <v>0</v>
      </c>
      <c r="H42" s="8">
        <f>SUBTOTAL(109,tblEntertainment[July])</f>
        <v>0</v>
      </c>
      <c r="I42" s="8">
        <f>SUBTOTAL(109,tblEntertainment[Aug])</f>
        <v>0</v>
      </c>
      <c r="J42" s="8">
        <f>SUBTOTAL(109,tblEntertainment[Sept])</f>
        <v>0</v>
      </c>
      <c r="K42" s="8">
        <f>SUBTOTAL(109,tblEntertainment[Oct])</f>
        <v>0</v>
      </c>
      <c r="L42" s="8">
        <f>SUBTOTAL(109,tblEntertainment[Nov])</f>
        <v>0</v>
      </c>
      <c r="M42" s="8">
        <f>SUBTOTAL(109,tblEntertainment[Dec])</f>
        <v>0</v>
      </c>
      <c r="N42" s="8">
        <f>SUBTOTAL(109,tblEntertainment[Year])</f>
        <v>319</v>
      </c>
      <c r="O42" s="5"/>
    </row>
    <row r="43" spans="1:1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" x14ac:dyDescent="0.2">
      <c r="A44" s="12" t="s">
        <v>63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A45" t="s">
        <v>20</v>
      </c>
      <c r="B45" s="8">
        <v>50</v>
      </c>
      <c r="C45" s="8">
        <v>50</v>
      </c>
      <c r="D45" s="8">
        <v>50</v>
      </c>
      <c r="E45" s="8"/>
      <c r="F45" s="8"/>
      <c r="G45" s="8"/>
      <c r="H45" s="8"/>
      <c r="I45" s="8"/>
      <c r="J45" s="8"/>
      <c r="K45" s="8"/>
      <c r="L45" s="8"/>
      <c r="M45" s="8"/>
      <c r="N45" s="8">
        <f>SUM(tblHealth[[#This Row],[Jan]:[Dec]])</f>
        <v>150</v>
      </c>
      <c r="O45" s="8"/>
    </row>
    <row r="46" spans="1:15" x14ac:dyDescent="0.2">
      <c r="A46" t="s">
        <v>11</v>
      </c>
      <c r="B46" s="8">
        <v>225</v>
      </c>
      <c r="C46" s="8">
        <v>225</v>
      </c>
      <c r="D46" s="8">
        <v>225</v>
      </c>
      <c r="E46" s="8"/>
      <c r="F46" s="8"/>
      <c r="G46" s="8"/>
      <c r="H46" s="8"/>
      <c r="I46" s="8"/>
      <c r="J46" s="8"/>
      <c r="K46" s="8"/>
      <c r="L46" s="8"/>
      <c r="M46" s="8"/>
      <c r="N46" s="8">
        <f>SUM(tblHealth[[#This Row],[Jan]:[Dec]])</f>
        <v>675</v>
      </c>
      <c r="O46" s="8"/>
    </row>
    <row r="47" spans="1:15" x14ac:dyDescent="0.2">
      <c r="A47" t="s">
        <v>21</v>
      </c>
      <c r="B47" s="8">
        <v>100</v>
      </c>
      <c r="C47" s="8">
        <v>100</v>
      </c>
      <c r="D47" s="8">
        <v>100</v>
      </c>
      <c r="E47" s="8"/>
      <c r="F47" s="8"/>
      <c r="G47" s="8"/>
      <c r="H47" s="8"/>
      <c r="I47" s="8"/>
      <c r="J47" s="8"/>
      <c r="K47" s="8"/>
      <c r="L47" s="8"/>
      <c r="M47" s="8"/>
      <c r="N47" s="8">
        <f>SUM(tblHealth[[#This Row],[Jan]:[Dec]])</f>
        <v>300</v>
      </c>
      <c r="O47" s="8"/>
    </row>
    <row r="48" spans="1:15" x14ac:dyDescent="0.2">
      <c r="A48" t="s">
        <v>22</v>
      </c>
      <c r="B48" s="8">
        <v>6</v>
      </c>
      <c r="C48" s="8">
        <v>2</v>
      </c>
      <c r="D48" s="8">
        <v>9</v>
      </c>
      <c r="E48" s="8"/>
      <c r="F48" s="8"/>
      <c r="G48" s="8"/>
      <c r="H48" s="8"/>
      <c r="I48" s="8"/>
      <c r="J48" s="8"/>
      <c r="K48" s="8"/>
      <c r="L48" s="8"/>
      <c r="M48" s="8"/>
      <c r="N48" s="8">
        <f>SUM(tblHealth[[#This Row],[Jan]:[Dec]])</f>
        <v>17</v>
      </c>
      <c r="O48" s="8"/>
    </row>
    <row r="49" spans="1:15" x14ac:dyDescent="0.2">
      <c r="A49" t="s">
        <v>23</v>
      </c>
      <c r="B49" s="8">
        <v>20</v>
      </c>
      <c r="C49" s="8"/>
      <c r="D49" s="8">
        <v>41</v>
      </c>
      <c r="E49" s="8"/>
      <c r="F49" s="8"/>
      <c r="G49" s="8"/>
      <c r="H49" s="8"/>
      <c r="I49" s="8"/>
      <c r="J49" s="8"/>
      <c r="K49" s="8"/>
      <c r="L49" s="8"/>
      <c r="M49" s="8"/>
      <c r="N49" s="8">
        <f>SUM(tblHealth[[#This Row],[Jan]:[Dec]])</f>
        <v>61</v>
      </c>
      <c r="O49" s="8"/>
    </row>
    <row r="50" spans="1:15" x14ac:dyDescent="0.2">
      <c r="A50" t="s">
        <v>24</v>
      </c>
      <c r="B50" s="8">
        <v>4</v>
      </c>
      <c r="C50" s="8"/>
      <c r="D50" s="8">
        <v>25</v>
      </c>
      <c r="E50" s="8"/>
      <c r="F50" s="8"/>
      <c r="G50" s="8"/>
      <c r="H50" s="8"/>
      <c r="I50" s="8"/>
      <c r="J50" s="8"/>
      <c r="K50" s="8"/>
      <c r="L50" s="8"/>
      <c r="M50" s="8"/>
      <c r="N50" s="8">
        <f>SUM(tblHealth[[#This Row],[Jan]:[Dec]])</f>
        <v>29</v>
      </c>
      <c r="O50" s="8"/>
    </row>
    <row r="51" spans="1:15" x14ac:dyDescent="0.2">
      <c r="A51" t="s">
        <v>25</v>
      </c>
      <c r="B51" s="8">
        <v>55</v>
      </c>
      <c r="C51" s="8">
        <v>55</v>
      </c>
      <c r="D51" s="8">
        <v>55</v>
      </c>
      <c r="E51" s="8"/>
      <c r="F51" s="8"/>
      <c r="G51" s="8"/>
      <c r="H51" s="8"/>
      <c r="I51" s="8"/>
      <c r="J51" s="8"/>
      <c r="K51" s="8"/>
      <c r="L51" s="8"/>
      <c r="M51" s="8"/>
      <c r="N51" s="8">
        <f>SUM(tblHealth[[#This Row],[Jan]:[Dec]])</f>
        <v>165</v>
      </c>
      <c r="O51" s="8"/>
    </row>
    <row r="52" spans="1:15" x14ac:dyDescent="0.2">
      <c r="A52" t="s">
        <v>56</v>
      </c>
      <c r="B52" s="8">
        <f>SUBTOTAL(109,tblHealth[Jan])</f>
        <v>460</v>
      </c>
      <c r="C52" s="8">
        <f>SUBTOTAL(109,tblHealth[Feb])</f>
        <v>432</v>
      </c>
      <c r="D52" s="8">
        <f>SUBTOTAL(109,tblHealth[March])</f>
        <v>505</v>
      </c>
      <c r="E52" s="8">
        <f>SUBTOTAL(109,tblHealth[April])</f>
        <v>0</v>
      </c>
      <c r="F52" s="8">
        <f>SUBTOTAL(109,tblHealth[May])</f>
        <v>0</v>
      </c>
      <c r="G52" s="8">
        <f>SUBTOTAL(109,tblHealth[June])</f>
        <v>0</v>
      </c>
      <c r="H52" s="8">
        <f>SUBTOTAL(109,tblHealth[July])</f>
        <v>0</v>
      </c>
      <c r="I52" s="8">
        <f>SUBTOTAL(109,tblHealth[Aug])</f>
        <v>0</v>
      </c>
      <c r="J52" s="8">
        <f>SUBTOTAL(109,tblHealth[Sept])</f>
        <v>0</v>
      </c>
      <c r="K52" s="8">
        <f>SUBTOTAL(109,tblHealth[Oct])</f>
        <v>0</v>
      </c>
      <c r="L52" s="8">
        <f>SUBTOTAL(109,tblHealth[Nov])</f>
        <v>0</v>
      </c>
      <c r="M52" s="8">
        <f>SUBTOTAL(109,tblHealth[Dec])</f>
        <v>0</v>
      </c>
      <c r="N52" s="8">
        <f>SUBTOTAL(109,tblHealth[Year])</f>
        <v>1397</v>
      </c>
      <c r="O52" s="5"/>
    </row>
    <row r="53" spans="1: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" x14ac:dyDescent="0.2">
      <c r="A54" s="12" t="s">
        <v>64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 x14ac:dyDescent="0.2">
      <c r="A55" t="s">
        <v>26</v>
      </c>
      <c r="B55" s="8"/>
      <c r="C55" s="8">
        <v>485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f>SUM(tblVacations[[#This Row],[Jan]:[Dec]])</f>
        <v>485</v>
      </c>
      <c r="O55" s="8"/>
    </row>
    <row r="56" spans="1:15" x14ac:dyDescent="0.2">
      <c r="A56" t="s">
        <v>27</v>
      </c>
      <c r="B56" s="8"/>
      <c r="C56" s="8">
        <v>245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f>SUM(tblVacations[[#This Row],[Jan]:[Dec]])</f>
        <v>245</v>
      </c>
      <c r="O56" s="8"/>
    </row>
    <row r="57" spans="1:15" x14ac:dyDescent="0.2">
      <c r="A57" t="s">
        <v>28</v>
      </c>
      <c r="B57" s="8"/>
      <c r="C57" s="8">
        <v>95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f>SUM(tblVacations[[#This Row],[Jan]:[Dec]])</f>
        <v>95</v>
      </c>
      <c r="O57" s="8"/>
    </row>
    <row r="58" spans="1:15" x14ac:dyDescent="0.2">
      <c r="A58" t="s">
        <v>29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f>SUM(tblVacations[[#This Row],[Jan]:[Dec]])</f>
        <v>0</v>
      </c>
      <c r="O58" s="8"/>
    </row>
    <row r="59" spans="1:15" x14ac:dyDescent="0.2">
      <c r="A59" t="s">
        <v>30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>
        <f>SUM(tblVacations[[#This Row],[Jan]:[Dec]])</f>
        <v>0</v>
      </c>
      <c r="O59" s="8"/>
    </row>
    <row r="60" spans="1:15" x14ac:dyDescent="0.2">
      <c r="A60" t="s">
        <v>31</v>
      </c>
      <c r="B60" s="8"/>
      <c r="C60" s="8">
        <v>85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f>SUM(tblVacations[[#This Row],[Jan]:[Dec]])</f>
        <v>85</v>
      </c>
      <c r="O60" s="8"/>
    </row>
    <row r="61" spans="1:15" x14ac:dyDescent="0.2">
      <c r="A61" t="s">
        <v>56</v>
      </c>
      <c r="B61" s="8">
        <f>SUBTOTAL(109,tblVacations[Jan])</f>
        <v>0</v>
      </c>
      <c r="C61" s="8">
        <f>SUBTOTAL(109,tblVacations[Feb])</f>
        <v>910</v>
      </c>
      <c r="D61" s="8">
        <f>SUBTOTAL(109,tblVacations[March])</f>
        <v>0</v>
      </c>
      <c r="E61" s="8">
        <f>SUBTOTAL(109,tblVacations[April])</f>
        <v>0</v>
      </c>
      <c r="F61" s="8">
        <f>SUBTOTAL(109,tblVacations[May])</f>
        <v>0</v>
      </c>
      <c r="G61" s="8">
        <f>SUBTOTAL(109,tblVacations[June])</f>
        <v>0</v>
      </c>
      <c r="H61" s="8">
        <f>SUBTOTAL(109,tblVacations[July])</f>
        <v>0</v>
      </c>
      <c r="I61" s="8">
        <f>SUBTOTAL(109,tblVacations[Aug])</f>
        <v>0</v>
      </c>
      <c r="J61" s="8">
        <f>SUBTOTAL(109,tblVacations[Sept])</f>
        <v>0</v>
      </c>
      <c r="K61" s="8">
        <f>SUBTOTAL(109,tblVacations[Oct])</f>
        <v>0</v>
      </c>
      <c r="L61" s="8">
        <f>SUBTOTAL(109,tblVacations[Nov])</f>
        <v>0</v>
      </c>
      <c r="M61" s="8">
        <f>SUBTOTAL(109,tblVacations[Dec])</f>
        <v>0</v>
      </c>
      <c r="N61" s="8">
        <f>SUBTOTAL(109,tblVacations[Year])</f>
        <v>910</v>
      </c>
      <c r="O61" s="5"/>
    </row>
    <row r="62" spans="1:1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" x14ac:dyDescent="0.2">
      <c r="A63" s="12" t="s">
        <v>65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 x14ac:dyDescent="0.2">
      <c r="A64" t="s">
        <v>32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>
        <f>SUM(tblRecreation[[#This Row],[Jan]:[Dec]])</f>
        <v>0</v>
      </c>
      <c r="O64" s="8"/>
    </row>
    <row r="65" spans="1:15" x14ac:dyDescent="0.2">
      <c r="A65" t="s">
        <v>33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>
        <f>SUM(tblRecreation[[#This Row],[Jan]:[Dec]])</f>
        <v>0</v>
      </c>
      <c r="O65" s="8"/>
    </row>
    <row r="66" spans="1:15" x14ac:dyDescent="0.2">
      <c r="A66" t="s">
        <v>34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>
        <f>SUM(tblRecreation[[#This Row],[Jan]:[Dec]])</f>
        <v>0</v>
      </c>
      <c r="O66" s="8"/>
    </row>
    <row r="67" spans="1:15" x14ac:dyDescent="0.2">
      <c r="A67" t="s">
        <v>35</v>
      </c>
      <c r="B67" s="8">
        <v>39</v>
      </c>
      <c r="C67" s="8">
        <v>33</v>
      </c>
      <c r="D67" s="8">
        <v>40</v>
      </c>
      <c r="E67" s="8"/>
      <c r="F67" s="8"/>
      <c r="G67" s="8"/>
      <c r="H67" s="8"/>
      <c r="I67" s="8"/>
      <c r="J67" s="8"/>
      <c r="K67" s="8"/>
      <c r="L67" s="8"/>
      <c r="M67" s="8"/>
      <c r="N67" s="8">
        <f>SUM(tblRecreation[[#This Row],[Jan]:[Dec]])</f>
        <v>112</v>
      </c>
      <c r="O67" s="8"/>
    </row>
    <row r="68" spans="1:15" x14ac:dyDescent="0.2">
      <c r="A68" t="s">
        <v>56</v>
      </c>
      <c r="B68" s="8">
        <f>SUBTOTAL(109,tblRecreation[Jan])</f>
        <v>39</v>
      </c>
      <c r="C68" s="8">
        <f>SUBTOTAL(109,tblRecreation[Feb])</f>
        <v>33</v>
      </c>
      <c r="D68" s="8">
        <f>SUBTOTAL(109,tblRecreation[March])</f>
        <v>40</v>
      </c>
      <c r="E68" s="8">
        <f>SUBTOTAL(109,tblRecreation[April])</f>
        <v>0</v>
      </c>
      <c r="F68" s="8">
        <f>SUBTOTAL(109,tblRecreation[May])</f>
        <v>0</v>
      </c>
      <c r="G68" s="8">
        <f>SUBTOTAL(109,tblRecreation[June])</f>
        <v>0</v>
      </c>
      <c r="H68" s="8">
        <f>SUBTOTAL(109,tblRecreation[July])</f>
        <v>0</v>
      </c>
      <c r="I68" s="8">
        <f>SUBTOTAL(109,tblRecreation[Aug])</f>
        <v>0</v>
      </c>
      <c r="J68" s="8">
        <f>SUBTOTAL(109,tblRecreation[Sept])</f>
        <v>0</v>
      </c>
      <c r="K68" s="8">
        <f>SUBTOTAL(109,tblRecreation[Oct])</f>
        <v>0</v>
      </c>
      <c r="L68" s="8">
        <f>SUBTOTAL(109,tblRecreation[Nov])</f>
        <v>0</v>
      </c>
      <c r="M68" s="8">
        <f>SUBTOTAL(109,tblRecreation[Dec])</f>
        <v>0</v>
      </c>
      <c r="N68" s="8">
        <f>SUBTOTAL(109,tblRecreation[Year])</f>
        <v>112</v>
      </c>
      <c r="O68" s="5"/>
    </row>
    <row r="69" spans="1:1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" x14ac:dyDescent="0.2">
      <c r="A70" s="12" t="s">
        <v>66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 x14ac:dyDescent="0.2">
      <c r="A71" t="s">
        <v>36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>
        <f>SUM(tblDues[[#This Row],[Jan]:[Dec]])</f>
        <v>0</v>
      </c>
      <c r="O71" s="8"/>
    </row>
    <row r="72" spans="1:15" x14ac:dyDescent="0.2">
      <c r="A72" t="s">
        <v>37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>
        <f>SUM(tblDues[[#This Row],[Jan]:[Dec]])</f>
        <v>0</v>
      </c>
      <c r="O72" s="8"/>
    </row>
    <row r="73" spans="1:15" x14ac:dyDescent="0.2">
      <c r="A73" t="s">
        <v>38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f>SUM(tblDues[[#This Row],[Jan]:[Dec]])</f>
        <v>0</v>
      </c>
      <c r="O73" s="8"/>
    </row>
    <row r="74" spans="1:15" x14ac:dyDescent="0.2">
      <c r="A74" t="s">
        <v>39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f>SUM(tblDues[[#This Row],[Jan]:[Dec]])</f>
        <v>0</v>
      </c>
      <c r="O74" s="8"/>
    </row>
    <row r="75" spans="1:15" x14ac:dyDescent="0.2">
      <c r="A75" t="s">
        <v>40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f>SUM(tblDues[[#This Row],[Jan]:[Dec]])</f>
        <v>0</v>
      </c>
      <c r="O75" s="8"/>
    </row>
    <row r="76" spans="1:15" x14ac:dyDescent="0.2">
      <c r="A76" t="s">
        <v>41</v>
      </c>
      <c r="B76" s="8">
        <v>29</v>
      </c>
      <c r="C76" s="8">
        <v>18</v>
      </c>
      <c r="D76" s="8">
        <v>17</v>
      </c>
      <c r="E76" s="8"/>
      <c r="F76" s="8"/>
      <c r="G76" s="8"/>
      <c r="H76" s="8"/>
      <c r="I76" s="8"/>
      <c r="J76" s="8"/>
      <c r="K76" s="8"/>
      <c r="L76" s="8"/>
      <c r="M76" s="8"/>
      <c r="N76" s="8">
        <f>SUM(tblDues[[#This Row],[Jan]:[Dec]])</f>
        <v>64</v>
      </c>
      <c r="O76" s="8"/>
    </row>
    <row r="77" spans="1:15" x14ac:dyDescent="0.2">
      <c r="A77" t="s">
        <v>42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f>SUM(tblDues[[#This Row],[Jan]:[Dec]])</f>
        <v>0</v>
      </c>
      <c r="O77" s="8"/>
    </row>
    <row r="78" spans="1:15" x14ac:dyDescent="0.2">
      <c r="A78" t="s">
        <v>56</v>
      </c>
      <c r="B78" s="8">
        <f>SUBTOTAL(109,tblDues[Jan])</f>
        <v>29</v>
      </c>
      <c r="C78" s="8">
        <f>SUBTOTAL(109,tblDues[Feb])</f>
        <v>18</v>
      </c>
      <c r="D78" s="8">
        <f>SUBTOTAL(109,tblDues[March])</f>
        <v>17</v>
      </c>
      <c r="E78" s="8">
        <f>SUBTOTAL(109,tblDues[April])</f>
        <v>0</v>
      </c>
      <c r="F78" s="8">
        <f>SUBTOTAL(109,tblDues[May])</f>
        <v>0</v>
      </c>
      <c r="G78" s="8">
        <f>SUBTOTAL(109,tblDues[June])</f>
        <v>0</v>
      </c>
      <c r="H78" s="8">
        <f>SUBTOTAL(109,tblDues[July])</f>
        <v>0</v>
      </c>
      <c r="I78" s="8">
        <f>SUBTOTAL(109,tblDues[Aug])</f>
        <v>0</v>
      </c>
      <c r="J78" s="8">
        <f>SUBTOTAL(109,tblDues[Sept])</f>
        <v>0</v>
      </c>
      <c r="K78" s="8">
        <f>SUBTOTAL(109,tblDues[Oct])</f>
        <v>0</v>
      </c>
      <c r="L78" s="8">
        <f>SUBTOTAL(109,tblDues[Nov])</f>
        <v>0</v>
      </c>
      <c r="M78" s="8">
        <f>SUBTOTAL(109,tblDues[Dec])</f>
        <v>0</v>
      </c>
      <c r="N78" s="8">
        <f>SUBTOTAL(109,tblDues[Year])</f>
        <v>64</v>
      </c>
      <c r="O78" s="5"/>
    </row>
    <row r="79" spans="1:1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" x14ac:dyDescent="0.2">
      <c r="A80" s="12" t="s">
        <v>67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 x14ac:dyDescent="0.2">
      <c r="A81" t="s">
        <v>43</v>
      </c>
      <c r="B81" s="8"/>
      <c r="C81" s="8"/>
      <c r="D81" s="8">
        <v>29</v>
      </c>
      <c r="E81" s="8"/>
      <c r="F81" s="8"/>
      <c r="G81" s="8"/>
      <c r="H81" s="8"/>
      <c r="I81" s="8"/>
      <c r="J81" s="8"/>
      <c r="K81" s="8"/>
      <c r="L81" s="8"/>
      <c r="M81" s="8"/>
      <c r="N81" s="8">
        <f>SUM(tblPersonal[[#This Row],[Jan]:[Dec]])</f>
        <v>29</v>
      </c>
      <c r="O81" s="8"/>
    </row>
    <row r="82" spans="1:15" x14ac:dyDescent="0.2">
      <c r="A82" t="s">
        <v>44</v>
      </c>
      <c r="B82" s="8"/>
      <c r="C82" s="8">
        <v>35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f>SUM(tblPersonal[[#This Row],[Jan]:[Dec]])</f>
        <v>35</v>
      </c>
      <c r="O82" s="8"/>
    </row>
    <row r="83" spans="1:15" x14ac:dyDescent="0.2">
      <c r="A83" t="s">
        <v>45</v>
      </c>
      <c r="B83" s="8">
        <v>25</v>
      </c>
      <c r="C83" s="8">
        <v>25</v>
      </c>
      <c r="D83" s="8">
        <v>25</v>
      </c>
      <c r="E83" s="8"/>
      <c r="F83" s="8"/>
      <c r="G83" s="8"/>
      <c r="H83" s="8"/>
      <c r="I83" s="8"/>
      <c r="J83" s="8"/>
      <c r="K83" s="8"/>
      <c r="L83" s="8"/>
      <c r="M83" s="8"/>
      <c r="N83" s="8">
        <f>SUM(tblPersonal[[#This Row],[Jan]:[Dec]])</f>
        <v>75</v>
      </c>
      <c r="O83" s="8"/>
    </row>
    <row r="84" spans="1:15" x14ac:dyDescent="0.2">
      <c r="A84" t="s">
        <v>46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f>SUM(tblPersonal[[#This Row],[Jan]:[Dec]])</f>
        <v>0</v>
      </c>
      <c r="O84" s="8"/>
    </row>
    <row r="85" spans="1:15" x14ac:dyDescent="0.2">
      <c r="A85" t="s">
        <v>47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f>SUM(tblPersonal[[#This Row],[Jan]:[Dec]])</f>
        <v>0</v>
      </c>
      <c r="O85" s="8"/>
    </row>
    <row r="86" spans="1:15" x14ac:dyDescent="0.2">
      <c r="A86" t="s">
        <v>56</v>
      </c>
      <c r="B86" s="8">
        <f>SUBTOTAL(109,tblPersonal[Jan])</f>
        <v>25</v>
      </c>
      <c r="C86" s="8">
        <f>SUBTOTAL(109,tblPersonal[Feb])</f>
        <v>60</v>
      </c>
      <c r="D86" s="8">
        <f>SUBTOTAL(109,tblPersonal[March])</f>
        <v>54</v>
      </c>
      <c r="E86" s="8">
        <f>SUBTOTAL(109,tblPersonal[April])</f>
        <v>0</v>
      </c>
      <c r="F86" s="8">
        <f>SUBTOTAL(109,tblPersonal[May])</f>
        <v>0</v>
      </c>
      <c r="G86" s="8">
        <f>SUBTOTAL(109,tblPersonal[June])</f>
        <v>0</v>
      </c>
      <c r="H86" s="8">
        <f>SUBTOTAL(109,tblPersonal[July])</f>
        <v>0</v>
      </c>
      <c r="I86" s="8">
        <f>SUBTOTAL(109,tblPersonal[Aug])</f>
        <v>0</v>
      </c>
      <c r="J86" s="8">
        <f>SUBTOTAL(109,tblPersonal[Sept])</f>
        <v>0</v>
      </c>
      <c r="K86" s="8">
        <f>SUBTOTAL(109,tblPersonal[Oct])</f>
        <v>0</v>
      </c>
      <c r="L86" s="8">
        <f>SUBTOTAL(109,tblPersonal[Nov])</f>
        <v>0</v>
      </c>
      <c r="M86" s="8">
        <f>SUBTOTAL(109,tblPersonal[Dec])</f>
        <v>0</v>
      </c>
      <c r="N86" s="8">
        <f>SUBTOTAL(109,tblPersonal[Year])</f>
        <v>139</v>
      </c>
      <c r="O86" s="5"/>
    </row>
    <row r="87" spans="1:1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5" ht="15" x14ac:dyDescent="0.2">
      <c r="A88" s="12" t="s">
        <v>68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 x14ac:dyDescent="0.2">
      <c r="A89" t="s">
        <v>48</v>
      </c>
      <c r="B89" s="8">
        <v>25</v>
      </c>
      <c r="C89" s="8">
        <v>25</v>
      </c>
      <c r="D89" s="8">
        <v>25</v>
      </c>
      <c r="E89" s="8"/>
      <c r="F89" s="8"/>
      <c r="G89" s="8"/>
      <c r="H89" s="8"/>
      <c r="I89" s="8"/>
      <c r="J89" s="8"/>
      <c r="K89" s="8"/>
      <c r="L89" s="8"/>
      <c r="M89" s="8"/>
      <c r="N89" s="8">
        <f>SUM(tblFinancial[[#This Row],[Jan]:[Dec]])</f>
        <v>75</v>
      </c>
      <c r="O89" s="8"/>
    </row>
    <row r="90" spans="1:15" x14ac:dyDescent="0.2">
      <c r="A90" t="s">
        <v>49</v>
      </c>
      <c r="B90" s="8">
        <v>45</v>
      </c>
      <c r="C90" s="8">
        <v>45</v>
      </c>
      <c r="D90" s="8">
        <v>45</v>
      </c>
      <c r="E90" s="8"/>
      <c r="F90" s="8"/>
      <c r="G90" s="8"/>
      <c r="H90" s="8"/>
      <c r="I90" s="8"/>
      <c r="J90" s="8"/>
      <c r="K90" s="8"/>
      <c r="L90" s="8"/>
      <c r="M90" s="8"/>
      <c r="N90" s="8">
        <f>SUM(tblFinancial[[#This Row],[Jan]:[Dec]])</f>
        <v>135</v>
      </c>
      <c r="O90" s="8"/>
    </row>
    <row r="91" spans="1:15" x14ac:dyDescent="0.2">
      <c r="A91" t="s">
        <v>50</v>
      </c>
      <c r="B91" s="8">
        <v>75</v>
      </c>
      <c r="C91" s="8">
        <v>75</v>
      </c>
      <c r="D91" s="8">
        <v>75</v>
      </c>
      <c r="E91" s="8"/>
      <c r="F91" s="8"/>
      <c r="G91" s="8"/>
      <c r="H91" s="8"/>
      <c r="I91" s="8"/>
      <c r="J91" s="8"/>
      <c r="K91" s="8"/>
      <c r="L91" s="8"/>
      <c r="M91" s="8"/>
      <c r="N91" s="8">
        <f>SUM(tblFinancial[[#This Row],[Jan]:[Dec]])</f>
        <v>225</v>
      </c>
      <c r="O91" s="8"/>
    </row>
    <row r="92" spans="1:15" x14ac:dyDescent="0.2">
      <c r="A92" t="s">
        <v>51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f>SUM(tblFinancial[[#This Row],[Jan]:[Dec]])</f>
        <v>0</v>
      </c>
      <c r="O92" s="8"/>
    </row>
    <row r="93" spans="1:15" x14ac:dyDescent="0.2">
      <c r="A93" t="s">
        <v>52</v>
      </c>
      <c r="B93" s="8">
        <v>32</v>
      </c>
      <c r="C93" s="8">
        <v>34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f>SUM(tblFinancial[[#This Row],[Jan]:[Dec]])</f>
        <v>67</v>
      </c>
      <c r="O93" s="8"/>
    </row>
    <row r="94" spans="1:15" x14ac:dyDescent="0.2">
      <c r="A94" t="s">
        <v>56</v>
      </c>
      <c r="B94" s="8">
        <f>SUBTOTAL(109,tblFinancial[Jan])</f>
        <v>177</v>
      </c>
      <c r="C94" s="8">
        <f>SUBTOTAL(109,tblFinancial[Feb])</f>
        <v>179</v>
      </c>
      <c r="D94" s="8">
        <f>SUBTOTAL(109,tblFinancial[March])</f>
        <v>146</v>
      </c>
      <c r="E94" s="8">
        <f>SUBTOTAL(109,tblFinancial[April])</f>
        <v>0</v>
      </c>
      <c r="F94" s="8">
        <f>SUBTOTAL(109,tblFinancial[May])</f>
        <v>0</v>
      </c>
      <c r="G94" s="8">
        <f>SUBTOTAL(109,tblFinancial[June])</f>
        <v>0</v>
      </c>
      <c r="H94" s="8">
        <f>SUBTOTAL(109,tblFinancial[July])</f>
        <v>0</v>
      </c>
      <c r="I94" s="8">
        <f>SUBTOTAL(109,tblFinancial[Aug])</f>
        <v>0</v>
      </c>
      <c r="J94" s="8">
        <f>SUBTOTAL(109,tblFinancial[Sept])</f>
        <v>0</v>
      </c>
      <c r="K94" s="8">
        <f>SUBTOTAL(109,tblFinancial[Oct])</f>
        <v>0</v>
      </c>
      <c r="L94" s="8">
        <f>SUBTOTAL(109,tblFinancial[Nov])</f>
        <v>0</v>
      </c>
      <c r="M94" s="8">
        <f>SUBTOTAL(109,tblFinancial[Dec])</f>
        <v>0</v>
      </c>
      <c r="N94" s="8">
        <f>SUBTOTAL(109,tblFinancial[Year])</f>
        <v>502</v>
      </c>
      <c r="O94" s="5"/>
    </row>
    <row r="95" spans="1:1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" x14ac:dyDescent="0.2">
      <c r="A96" s="12" t="s">
        <v>69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 x14ac:dyDescent="0.2">
      <c r="A97" t="s">
        <v>53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>
        <f>SUM(tblMisc[[#This Row],[Jan]:[Dec]])</f>
        <v>0</v>
      </c>
      <c r="O97" s="8"/>
    </row>
    <row r="98" spans="1:15" x14ac:dyDescent="0.2">
      <c r="A98" t="s">
        <v>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>
        <f>SUM(tblMisc[[#This Row],[Jan]:[Dec]])</f>
        <v>0</v>
      </c>
      <c r="O98" s="8"/>
    </row>
    <row r="99" spans="1:15" x14ac:dyDescent="0.2">
      <c r="A99" t="s">
        <v>53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f>SUM(tblMisc[[#This Row],[Jan]:[Dec]])</f>
        <v>0</v>
      </c>
      <c r="O99" s="8"/>
    </row>
    <row r="100" spans="1:15" x14ac:dyDescent="0.2">
      <c r="A100" t="s">
        <v>53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f>SUM(tblMisc[[#This Row],[Jan]:[Dec]])</f>
        <v>0</v>
      </c>
      <c r="O100" s="8"/>
    </row>
    <row r="101" spans="1:15" x14ac:dyDescent="0.2">
      <c r="A101" t="s">
        <v>53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>
        <f>SUM(tblMisc[[#This Row],[Jan]:[Dec]])</f>
        <v>0</v>
      </c>
      <c r="O101" s="8"/>
    </row>
    <row r="102" spans="1:15" x14ac:dyDescent="0.2">
      <c r="A102" t="s">
        <v>56</v>
      </c>
      <c r="B102" s="8">
        <f>SUBTOTAL(109,tblMisc[Jan])</f>
        <v>0</v>
      </c>
      <c r="C102" s="8">
        <f>SUBTOTAL(109,tblMisc[Feb])</f>
        <v>0</v>
      </c>
      <c r="D102" s="8">
        <f>SUBTOTAL(109,tblMisc[March])</f>
        <v>0</v>
      </c>
      <c r="E102" s="8">
        <f>SUBTOTAL(109,tblMisc[April])</f>
        <v>0</v>
      </c>
      <c r="F102" s="8">
        <f>SUBTOTAL(109,tblMisc[May])</f>
        <v>0</v>
      </c>
      <c r="G102" s="8">
        <f>SUBTOTAL(109,tblMisc[June])</f>
        <v>0</v>
      </c>
      <c r="H102" s="8">
        <f>SUBTOTAL(109,tblMisc[July])</f>
        <v>0</v>
      </c>
      <c r="I102" s="8">
        <f>SUBTOTAL(109,tblMisc[Aug])</f>
        <v>0</v>
      </c>
      <c r="J102" s="8">
        <f>SUBTOTAL(109,tblMisc[Sept])</f>
        <v>0</v>
      </c>
      <c r="K102" s="8">
        <f>SUBTOTAL(109,tblMisc[Oct])</f>
        <v>0</v>
      </c>
      <c r="L102" s="8">
        <f>SUBTOTAL(109,tblMisc[Nov])</f>
        <v>0</v>
      </c>
      <c r="M102" s="8">
        <f>SUBTOTAL(109,tblMisc[Dec])</f>
        <v>0</v>
      </c>
      <c r="N102" s="8">
        <f>SUBTOTAL(109,tblMisc[Year])</f>
        <v>0</v>
      </c>
      <c r="O102" s="5"/>
    </row>
    <row r="103" spans="1:1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5" x14ac:dyDescent="0.2">
      <c r="A104" s="16" t="s">
        <v>70</v>
      </c>
      <c r="B104" s="17" t="s">
        <v>72</v>
      </c>
      <c r="C104" s="17" t="s">
        <v>73</v>
      </c>
      <c r="D104" s="17" t="s">
        <v>75</v>
      </c>
      <c r="E104" s="17" t="s">
        <v>76</v>
      </c>
      <c r="F104" s="17" t="s">
        <v>74</v>
      </c>
      <c r="G104" s="17" t="s">
        <v>77</v>
      </c>
      <c r="H104" s="17" t="s">
        <v>78</v>
      </c>
      <c r="I104" s="17" t="s">
        <v>79</v>
      </c>
      <c r="J104" s="17" t="s">
        <v>80</v>
      </c>
      <c r="K104" s="17" t="s">
        <v>81</v>
      </c>
      <c r="L104" s="17" t="s">
        <v>82</v>
      </c>
      <c r="M104" s="17" t="s">
        <v>83</v>
      </c>
      <c r="N104" s="17" t="s">
        <v>84</v>
      </c>
      <c r="O104" s="16" t="s">
        <v>88</v>
      </c>
    </row>
    <row r="105" spans="1:15" x14ac:dyDescent="0.2">
      <c r="A105" t="s">
        <v>54</v>
      </c>
      <c r="B105" s="8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>2687</v>
      </c>
      <c r="C105" s="8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>3429</v>
      </c>
      <c r="D105" s="8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>2718</v>
      </c>
      <c r="E105" s="8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>0</v>
      </c>
      <c r="F105" s="8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>0</v>
      </c>
      <c r="G105" s="8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>0</v>
      </c>
      <c r="H105" s="8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>0</v>
      </c>
      <c r="I105" s="8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>0</v>
      </c>
      <c r="J105" s="8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>0</v>
      </c>
      <c r="K105" s="8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>0</v>
      </c>
      <c r="L105" s="8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>0</v>
      </c>
      <c r="M105" s="8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>0</v>
      </c>
      <c r="N105" s="8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>8834</v>
      </c>
      <c r="O105" s="8"/>
    </row>
    <row r="106" spans="1:15" x14ac:dyDescent="0.2">
      <c r="A106" t="s">
        <v>55</v>
      </c>
      <c r="B106" s="8">
        <f>tblIncome[[#Totals],[Jan]]-B105</f>
        <v>1036</v>
      </c>
      <c r="C106" s="8">
        <f>tblIncome[[#Totals],[Feb]]-C105</f>
        <v>127</v>
      </c>
      <c r="D106" s="8">
        <f>tblIncome[[#Totals],[March]]-D105</f>
        <v>926</v>
      </c>
      <c r="E106" s="8">
        <f>tblIncome[[#Totals],[April]]-E105</f>
        <v>0</v>
      </c>
      <c r="F106" s="8">
        <f>tblIncome[[#Totals],[May]]-F105</f>
        <v>0</v>
      </c>
      <c r="G106" s="8">
        <f>tblIncome[[#Totals],[June]]-G105</f>
        <v>0</v>
      </c>
      <c r="H106" s="8">
        <f>tblIncome[[#Totals],[July]]-H105</f>
        <v>0</v>
      </c>
      <c r="I106" s="8">
        <f>tblIncome[[#Totals],[Aug]]-I105</f>
        <v>0</v>
      </c>
      <c r="J106" s="8">
        <f>tblIncome[[#Totals],[Sept]]-J105</f>
        <v>0</v>
      </c>
      <c r="K106" s="8">
        <f>tblIncome[[#Totals],[Oct]]-K105</f>
        <v>0</v>
      </c>
      <c r="L106" s="8">
        <f>tblIncome[[#Totals],[Nov]]-L105</f>
        <v>0</v>
      </c>
      <c r="M106" s="8">
        <f>tblIncome[[#Totals],[Dec]]-M105</f>
        <v>0</v>
      </c>
      <c r="N106" s="8">
        <f>tblIncome[[#Totals],[Year]]-N105</f>
        <v>2089</v>
      </c>
      <c r="O106" s="8"/>
    </row>
  </sheetData>
  <mergeCells count="12">
    <mergeCell ref="A18:O18"/>
    <mergeCell ref="A9:O9"/>
    <mergeCell ref="A27:O27"/>
    <mergeCell ref="A103:O103"/>
    <mergeCell ref="A95:O95"/>
    <mergeCell ref="A87:O87"/>
    <mergeCell ref="A79:O79"/>
    <mergeCell ref="A69:O69"/>
    <mergeCell ref="A62:O62"/>
    <mergeCell ref="A53:O53"/>
    <mergeCell ref="A43:O43"/>
    <mergeCell ref="A36:O36"/>
  </mergeCells>
  <conditionalFormatting sqref="B106:N106">
    <cfRule type="cellIs" dxfId="351" priority="1" operator="lessThan">
      <formula>0</formula>
    </cfRule>
  </conditionalFormatting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ignoredErrors>
    <ignoredError sqref="B105:N105" calculatedColumn="1"/>
  </ignoredError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BUDGET'!B105:M105</xm:f>
              <xm:sqref>O105</xm:sqref>
            </x14:sparkline>
            <x14:sparkline>
              <xm:f>'PERSONAL BUDGET'!B106:M106</xm:f>
              <xm:sqref>O106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BUDGET'!B5:M5</xm:f>
              <xm:sqref>O5</xm:sqref>
            </x14:sparkline>
            <x14:sparkline>
              <xm:f>'PERSONAL BUDGET'!B6:M6</xm:f>
              <xm:sqref>O6</xm:sqref>
            </x14:sparkline>
            <x14:sparkline>
              <xm:f>'PERSONAL BUDGET'!B7:M7</xm:f>
              <xm:sqref>O7</xm:sqref>
            </x14:sparkline>
            <x14:sparkline>
              <xm:f>'PERSONAL BUDGET'!B8:M8</xm:f>
              <xm:sqref>O8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BUDGET'!B97:M97</xm:f>
              <xm:sqref>O97</xm:sqref>
            </x14:sparkline>
            <x14:sparkline>
              <xm:f>'PERSONAL BUDGET'!B98:M98</xm:f>
              <xm:sqref>O98</xm:sqref>
            </x14:sparkline>
            <x14:sparkline>
              <xm:f>'PERSONAL BUDGET'!B99:M99</xm:f>
              <xm:sqref>O99</xm:sqref>
            </x14:sparkline>
            <x14:sparkline>
              <xm:f>'PERSONAL BUDGET'!B100:M100</xm:f>
              <xm:sqref>O100</xm:sqref>
            </x14:sparkline>
            <x14:sparkline>
              <xm:f>'PERSONAL BUDGET'!B101:M101</xm:f>
              <xm:sqref>O101</xm:sqref>
            </x14:sparkline>
            <x14:sparkline>
              <xm:f>'PERSONAL BUDGET'!B102:M102</xm:f>
              <xm:sqref>O102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BUDGET'!B89:M89</xm:f>
              <xm:sqref>O89</xm:sqref>
            </x14:sparkline>
            <x14:sparkline>
              <xm:f>'PERSONAL BUDGET'!B90:M90</xm:f>
              <xm:sqref>O90</xm:sqref>
            </x14:sparkline>
            <x14:sparkline>
              <xm:f>'PERSONAL BUDGET'!B91:M91</xm:f>
              <xm:sqref>O91</xm:sqref>
            </x14:sparkline>
            <x14:sparkline>
              <xm:f>'PERSONAL BUDGET'!B92:M92</xm:f>
              <xm:sqref>O92</xm:sqref>
            </x14:sparkline>
            <x14:sparkline>
              <xm:f>'PERSONAL BUDGET'!B93:M93</xm:f>
              <xm:sqref>O93</xm:sqref>
            </x14:sparkline>
            <x14:sparkline>
              <xm:f>'PERSONAL BUDGET'!B94:M94</xm:f>
              <xm:sqref>O94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BUDGET'!B81:M81</xm:f>
              <xm:sqref>O81</xm:sqref>
            </x14:sparkline>
            <x14:sparkline>
              <xm:f>'PERSONAL BUDGET'!B82:M82</xm:f>
              <xm:sqref>O82</xm:sqref>
            </x14:sparkline>
            <x14:sparkline>
              <xm:f>'PERSONAL BUDGET'!B83:M83</xm:f>
              <xm:sqref>O83</xm:sqref>
            </x14:sparkline>
            <x14:sparkline>
              <xm:f>'PERSONAL BUDGET'!B84:M84</xm:f>
              <xm:sqref>O84</xm:sqref>
            </x14:sparkline>
            <x14:sparkline>
              <xm:f>'PERSONAL BUDGET'!B85:M85</xm:f>
              <xm:sqref>O85</xm:sqref>
            </x14:sparkline>
            <x14:sparkline>
              <xm:f>'PERSONAL BUDGET'!B86:M86</xm:f>
              <xm:sqref>O86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BUDGET'!B71:M71</xm:f>
              <xm:sqref>O71</xm:sqref>
            </x14:sparkline>
            <x14:sparkline>
              <xm:f>'PERSONAL BUDGET'!B72:M72</xm:f>
              <xm:sqref>O72</xm:sqref>
            </x14:sparkline>
            <x14:sparkline>
              <xm:f>'PERSONAL BUDGET'!B73:M73</xm:f>
              <xm:sqref>O73</xm:sqref>
            </x14:sparkline>
            <x14:sparkline>
              <xm:f>'PERSONAL BUDGET'!B74:M74</xm:f>
              <xm:sqref>O74</xm:sqref>
            </x14:sparkline>
            <x14:sparkline>
              <xm:f>'PERSONAL BUDGET'!B75:M75</xm:f>
              <xm:sqref>O75</xm:sqref>
            </x14:sparkline>
            <x14:sparkline>
              <xm:f>'PERSONAL BUDGET'!B76:M76</xm:f>
              <xm:sqref>O76</xm:sqref>
            </x14:sparkline>
            <x14:sparkline>
              <xm:f>'PERSONAL BUDGET'!B77:M77</xm:f>
              <xm:sqref>O77</xm:sqref>
            </x14:sparkline>
            <x14:sparkline>
              <xm:f>'PERSONAL BUDGET'!B78:M78</xm:f>
              <xm:sqref>O78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BUDGET'!B64:M64</xm:f>
              <xm:sqref>O64</xm:sqref>
            </x14:sparkline>
            <x14:sparkline>
              <xm:f>'PERSONAL BUDGET'!B65:M65</xm:f>
              <xm:sqref>O65</xm:sqref>
            </x14:sparkline>
            <x14:sparkline>
              <xm:f>'PERSONAL BUDGET'!B66:M66</xm:f>
              <xm:sqref>O66</xm:sqref>
            </x14:sparkline>
            <x14:sparkline>
              <xm:f>'PERSONAL BUDGET'!B67:M67</xm:f>
              <xm:sqref>O67</xm:sqref>
            </x14:sparkline>
            <x14:sparkline>
              <xm:f>'PERSONAL BUDGET'!B68:M68</xm:f>
              <xm:sqref>O68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BUDGET'!B55:M55</xm:f>
              <xm:sqref>O55</xm:sqref>
            </x14:sparkline>
            <x14:sparkline>
              <xm:f>'PERSONAL BUDGET'!B56:M56</xm:f>
              <xm:sqref>O56</xm:sqref>
            </x14:sparkline>
            <x14:sparkline>
              <xm:f>'PERSONAL BUDGET'!B57:M57</xm:f>
              <xm:sqref>O57</xm:sqref>
            </x14:sparkline>
            <x14:sparkline>
              <xm:f>'PERSONAL BUDGET'!B58:M58</xm:f>
              <xm:sqref>O58</xm:sqref>
            </x14:sparkline>
            <x14:sparkline>
              <xm:f>'PERSONAL BUDGET'!B59:M59</xm:f>
              <xm:sqref>O59</xm:sqref>
            </x14:sparkline>
            <x14:sparkline>
              <xm:f>'PERSONAL BUDGET'!B60:M60</xm:f>
              <xm:sqref>O60</xm:sqref>
            </x14:sparkline>
            <x14:sparkline>
              <xm:f>'PERSONAL BUDGET'!B61:M61</xm:f>
              <xm:sqref>O61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BUDGET'!B45:M45</xm:f>
              <xm:sqref>O45</xm:sqref>
            </x14:sparkline>
            <x14:sparkline>
              <xm:f>'PERSONAL BUDGET'!B46:M46</xm:f>
              <xm:sqref>O46</xm:sqref>
            </x14:sparkline>
            <x14:sparkline>
              <xm:f>'PERSONAL BUDGET'!B47:M47</xm:f>
              <xm:sqref>O47</xm:sqref>
            </x14:sparkline>
            <x14:sparkline>
              <xm:f>'PERSONAL BUDGET'!B48:M48</xm:f>
              <xm:sqref>O48</xm:sqref>
            </x14:sparkline>
            <x14:sparkline>
              <xm:f>'PERSONAL BUDGET'!B49:M49</xm:f>
              <xm:sqref>O49</xm:sqref>
            </x14:sparkline>
            <x14:sparkline>
              <xm:f>'PERSONAL BUDGET'!B50:M50</xm:f>
              <xm:sqref>O50</xm:sqref>
            </x14:sparkline>
            <x14:sparkline>
              <xm:f>'PERSONAL BUDGET'!B51:M51</xm:f>
              <xm:sqref>O51</xm:sqref>
            </x14:sparkline>
            <x14:sparkline>
              <xm:f>'PERSONAL BUDGET'!B52:M52</xm:f>
              <xm:sqref>O52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BUDGET'!B38:M38</xm:f>
              <xm:sqref>O38</xm:sqref>
            </x14:sparkline>
            <x14:sparkline>
              <xm:f>'PERSONAL BUDGET'!B39:M39</xm:f>
              <xm:sqref>O39</xm:sqref>
            </x14:sparkline>
            <x14:sparkline>
              <xm:f>'PERSONAL BUDGET'!B40:M40</xm:f>
              <xm:sqref>O40</xm:sqref>
            </x14:sparkline>
            <x14:sparkline>
              <xm:f>'PERSONAL BUDGET'!B41:M41</xm:f>
              <xm:sqref>O41</xm:sqref>
            </x14:sparkline>
            <x14:sparkline>
              <xm:f>'PERSONAL BUDGET'!B42:M42</xm:f>
              <xm:sqref>O42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BUDGET'!B29:M29</xm:f>
              <xm:sqref>O29</xm:sqref>
            </x14:sparkline>
            <x14:sparkline>
              <xm:f>'PERSONAL BUDGET'!B30:M30</xm:f>
              <xm:sqref>O30</xm:sqref>
            </x14:sparkline>
            <x14:sparkline>
              <xm:f>'PERSONAL BUDGET'!B31:M31</xm:f>
              <xm:sqref>O31</xm:sqref>
            </x14:sparkline>
            <x14:sparkline>
              <xm:f>'PERSONAL BUDGET'!B32:M32</xm:f>
              <xm:sqref>O32</xm:sqref>
            </x14:sparkline>
            <x14:sparkline>
              <xm:f>'PERSONAL BUDGET'!B33:M33</xm:f>
              <xm:sqref>O33</xm:sqref>
            </x14:sparkline>
            <x14:sparkline>
              <xm:f>'PERSONAL BUDGET'!B34:M34</xm:f>
              <xm:sqref>O34</xm:sqref>
            </x14:sparkline>
            <x14:sparkline>
              <xm:f>'PERSONAL BUDGET'!B35:M35</xm:f>
              <xm:sqref>O35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BUDGET'!B20:M20</xm:f>
              <xm:sqref>O20</xm:sqref>
            </x14:sparkline>
            <x14:sparkline>
              <xm:f>'PERSONAL BUDGET'!B21:M21</xm:f>
              <xm:sqref>O21</xm:sqref>
            </x14:sparkline>
            <x14:sparkline>
              <xm:f>'PERSONAL BUDGET'!B22:M22</xm:f>
              <xm:sqref>O22</xm:sqref>
            </x14:sparkline>
            <x14:sparkline>
              <xm:f>'PERSONAL BUDGET'!B23:M23</xm:f>
              <xm:sqref>O23</xm:sqref>
            </x14:sparkline>
            <x14:sparkline>
              <xm:f>'PERSONAL BUDGET'!B24:M24</xm:f>
              <xm:sqref>O24</xm:sqref>
            </x14:sparkline>
            <x14:sparkline>
              <xm:f>'PERSONAL BUDGET'!B25:M25</xm:f>
              <xm:sqref>O25</xm:sqref>
            </x14:sparkline>
            <x14:sparkline>
              <xm:f>'PERSONAL BUDGET'!B26:M26</xm:f>
              <xm:sqref>O26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BUDGET'!B12:M12</xm:f>
              <xm:sqref>O12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BUDGET'!B13:M13</xm:f>
              <xm:sqref>O13</xm:sqref>
            </x14:sparkline>
            <x14:sparkline>
              <xm:f>'PERSONAL BUDGET'!B14:M14</xm:f>
              <xm:sqref>O14</xm:sqref>
            </x14:sparkline>
            <x14:sparkline>
              <xm:f>'PERSONAL BUDGET'!B15:M15</xm:f>
              <xm:sqref>O15</xm:sqref>
            </x14:sparkline>
            <x14:sparkline>
              <xm:f>'PERSONAL BUDGET'!B16:M16</xm:f>
              <xm:sqref>O16</xm:sqref>
            </x14:sparkline>
            <x14:sparkline>
              <xm:f>'PERSONAL BUDGET'!B17:M17</xm:f>
              <xm:sqref>O17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6581154-FF2E-4421-95A3-C3D4F3696E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keywords/>
  <cp:lastModifiedBy>Shang PeiXu</cp:lastModifiedBy>
  <dcterms:created xsi:type="dcterms:W3CDTF">2017-07-24T02:41:02Z</dcterms:created>
  <dcterms:modified xsi:type="dcterms:W3CDTF">2017-07-24T02:46:55Z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TC040354839991</vt:lpwstr>
  </property>
</Properties>
</file>