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ds-excel-net\Source\Demos\ExamplesDemo\Examples\Resource\xlsx\"/>
    </mc:Choice>
  </mc:AlternateContent>
  <xr:revisionPtr revIDLastSave="0" documentId="13_ncr:1_{FF5DA402-BD67-4458-A408-09DECC2C766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Monthly Budget Summary" sheetId="1" r:id="rId1"/>
    <sheet name="Monthly Budget Details" sheetId="3" r:id="rId2"/>
  </sheets>
  <definedNames>
    <definedName name="_xlnm._FilterDatabase" localSheetId="1" hidden="1">'Monthly Budget Details'!#REF!</definedName>
    <definedName name="_xlnm._FilterDatabase" localSheetId="0" hidden="1">'Monthly Budget Details'!$D$16:$D$35</definedName>
    <definedName name="COMPANY_NAME">'Monthly Budget Summary'!$B$2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3" l="1"/>
  <c r="C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C14" i="1" s="1"/>
  <c r="E14" i="1" s="1"/>
  <c r="F16" i="3"/>
  <c r="E16" i="3"/>
  <c r="C16" i="1" s="1"/>
  <c r="E16" i="1" s="1"/>
  <c r="D13" i="3"/>
  <c r="C13" i="3"/>
  <c r="F12" i="3"/>
  <c r="E12" i="3"/>
  <c r="F11" i="3"/>
  <c r="E11" i="3"/>
  <c r="F10" i="3"/>
  <c r="F13" i="3" s="1"/>
  <c r="E10" i="3"/>
  <c r="D7" i="3"/>
  <c r="C7" i="3"/>
  <c r="C6" i="1" s="1"/>
  <c r="F6" i="3"/>
  <c r="E6" i="3"/>
  <c r="F5" i="3"/>
  <c r="E5" i="3"/>
  <c r="F4" i="3"/>
  <c r="E4" i="3"/>
  <c r="C7" i="1"/>
  <c r="D6" i="1"/>
  <c r="C12" i="1" l="1"/>
  <c r="B12" i="1" s="1"/>
  <c r="C13" i="1"/>
  <c r="B13" i="1" s="1"/>
  <c r="F7" i="3"/>
  <c r="C15" i="1"/>
  <c r="E15" i="1" s="1"/>
  <c r="D7" i="1"/>
  <c r="E7" i="1" s="1"/>
  <c r="F36" i="3"/>
  <c r="E6" i="1"/>
  <c r="C8" i="1"/>
  <c r="D14" i="1"/>
  <c r="B14" i="1"/>
  <c r="B16" i="1"/>
  <c r="D8" i="1" l="1"/>
  <c r="D16" i="1"/>
  <c r="D12" i="1"/>
  <c r="D17" i="1" s="1"/>
  <c r="E12" i="1"/>
  <c r="E17" i="1"/>
  <c r="E13" i="1"/>
  <c r="B15" i="1"/>
  <c r="D13" i="1"/>
  <c r="D15" i="1"/>
  <c r="C17" i="1"/>
  <c r="E8" i="1"/>
</calcChain>
</file>

<file path=xl/sharedStrings.xml><?xml version="1.0" encoding="utf-8"?>
<sst xmlns="http://schemas.openxmlformats.org/spreadsheetml/2006/main" count="59" uniqueCount="48">
  <si>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</si>
  <si>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</si>
  <si>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</si>
  <si>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</si>
  <si>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</si>
  <si>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</si>
  <si>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</si>
  <si>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</si>
  <si>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</si>
  <si>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</si>
  <si>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</si>
  <si>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</si>
  <si>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</si>
  <si>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</si>
  <si>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</si>
  <si>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</si>
  <si>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</si>
  <si>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</si>
  <si>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</si>
  <si>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</si>
  <si>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</si>
  <si>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</si>
  <si>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</si>
  <si>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</si>
  <si>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</si>
  <si>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</si>
  <si>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</si>
  <si>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</si>
  <si>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</si>
  <si>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</si>
  <si>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</si>
  <si>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15% REDUCTION</t>
  </si>
  <si>
    <t>Balance (Income minus Expenses)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</si>
  <si>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</si>
  <si>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</si>
  <si>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</si>
  <si>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</si>
  <si>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</si>
  <si>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</si>
  <si>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</si>
  <si>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</si>
  <si>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</si>
  <si>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Delivery costs</t>
  </si>
  <si>
    <t>Total Income</t>
  </si>
  <si>
    <t>Total Personnel Expenses</t>
  </si>
  <si>
    <t>Total Operating Expenses</t>
  </si>
  <si>
    <t>MONTHLY BUDGET SUMMARY</t>
  </si>
  <si>
    <t>MONTHLY BUDGET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</si>
</sst>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mm\ yyyy"/>
    <numFmt numFmtId="165" formatCode="0.0%"/>
  </numFmts>
  <fonts count="13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2"/>
      <color theme="3" tint="-0.24994659260841701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1"/>
      <name val="Gill Sans M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Alignment="0" applyProtection="0"/>
    <xf numFmtId="0" fontId="10" fillId="0" borderId="0" applyNumberFormat="0" applyFill="0" applyAlignment="0" applyProtection="0"/>
    <xf numFmtId="0" fontId="12" fillId="0" borderId="0" applyNumberFormat="0" applyFill="0" applyBorder="0" applyProtection="0">
      <alignment horizontal="left" vertical="center"/>
    </xf>
    <xf numFmtId="0" fontId="1" fillId="0" borderId="0" applyNumberFormat="0" applyFill="0" applyAlignment="0" applyProtection="0"/>
    <xf numFmtId="0" fontId="6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1">
    <xf numFmtId="0" fontId="0" fillId="0" borderId="0" xfId="0"/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3" fillId="5" borderId="0" xfId="0" applyFont="1" applyFill="1" applyAlignment="1" applyProtection="1">
      <alignment vertical="center"/>
      <protection locked="0"/>
    </xf>
    <xf numFmtId="0" fontId="0" fillId="0" borderId="0" xfId="3" applyFont="1" applyFill="1" applyBorder="1" applyAlignment="1" applyProtection="1">
      <alignment horizontal="left" vertical="center" indent="1"/>
      <protection locked="0"/>
    </xf>
    <xf numFmtId="0" fontId="0" fillId="0" borderId="0" xfId="3" applyFont="1" applyFill="1" applyBorder="1" applyAlignment="1" applyProtection="1">
      <alignment vertical="center"/>
      <protection locked="0"/>
    </xf>
    <xf numFmtId="40" fontId="0" fillId="0" borderId="0" xfId="4" applyNumberFormat="1" applyFont="1" applyFill="1" applyBorder="1" applyProtection="1"/>
    <xf numFmtId="0" fontId="0" fillId="0" borderId="0" xfId="8" applyFont="1" applyFill="1" applyBorder="1" applyAlignment="1" applyProtection="1">
      <alignment horizontal="left" indent="1"/>
      <protection locked="0"/>
    </xf>
    <xf numFmtId="40" fontId="0" fillId="0" borderId="0" xfId="8" applyNumberFormat="1" applyFont="1" applyFill="1" applyBorder="1" applyProtection="1"/>
    <xf numFmtId="40" fontId="0" fillId="0" borderId="0" xfId="8" applyNumberFormat="1" applyFont="1" applyFill="1" applyBorder="1" applyProtection="1">
      <protection locked="0"/>
    </xf>
    <xf numFmtId="0" fontId="0" fillId="0" borderId="0" xfId="3" applyFont="1" applyFill="1" applyBorder="1" applyAlignment="1" applyProtection="1">
      <alignment horizontal="left" indent="1"/>
      <protection locked="0"/>
    </xf>
    <xf numFmtId="0" fontId="0" fillId="0" borderId="0" xfId="3" applyNumberFormat="1" applyFont="1" applyFill="1" applyBorder="1" applyProtection="1">
      <protection locked="0"/>
    </xf>
    <xf numFmtId="0" fontId="0" fillId="0" borderId="0" xfId="3" applyFont="1" applyFill="1" applyBorder="1" applyProtection="1">
      <protection locked="0"/>
    </xf>
    <xf numFmtId="43" fontId="0" fillId="0" borderId="0" xfId="3" applyNumberFormat="1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left" indent="1"/>
      <protection locked="0"/>
    </xf>
    <xf numFmtId="4" fontId="0" fillId="0" borderId="0" xfId="0" applyNumberFormat="1" applyFont="1" applyFill="1" applyBorder="1" applyProtection="1"/>
    <xf numFmtId="165" fontId="0" fillId="0" borderId="0" xfId="0" applyNumberFormat="1" applyFont="1" applyFill="1" applyBorder="1" applyProtection="1"/>
    <xf numFmtId="40" fontId="0" fillId="0" borderId="0" xfId="0" applyNumberFormat="1" applyFont="1" applyFill="1" applyBorder="1" applyProtection="1"/>
    <xf numFmtId="40" fontId="1" fillId="0" borderId="0" xfId="8" applyNumberFormat="1" applyFill="1" applyProtection="1"/>
    <xf numFmtId="0" fontId="0" fillId="6" borderId="0" xfId="0" applyFill="1" applyProtection="1">
      <protection locked="0"/>
    </xf>
    <xf numFmtId="0" fontId="5" fillId="6" borderId="0" xfId="0" applyFont="1" applyFill="1" applyProtection="1">
      <protection locked="0"/>
    </xf>
    <xf numFmtId="0" fontId="0" fillId="6" borderId="0" xfId="0" applyFill="1" applyAlignment="1" applyProtection="1">
      <alignment vertical="center"/>
      <protection locked="0"/>
    </xf>
    <xf numFmtId="0" fontId="5" fillId="6" borderId="0" xfId="3" applyFont="1" applyFill="1" applyBorder="1" applyAlignment="1" applyProtection="1">
      <alignment vertical="center"/>
      <protection locked="0"/>
    </xf>
    <xf numFmtId="40" fontId="5" fillId="6" borderId="0" xfId="4" applyNumberFormat="1" applyFont="1" applyFill="1" applyBorder="1" applyProtection="1"/>
    <xf numFmtId="40" fontId="5" fillId="6" borderId="0" xfId="8" applyNumberFormat="1" applyFont="1" applyFill="1" applyBorder="1" applyProtection="1"/>
    <xf numFmtId="0" fontId="0" fillId="6" borderId="0" xfId="0" applyFill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43" fontId="5" fillId="6" borderId="0" xfId="3" applyNumberFormat="1" applyFont="1" applyFill="1" applyBorder="1" applyProtection="1">
      <protection locked="0"/>
    </xf>
    <xf numFmtId="0" fontId="5" fillId="6" borderId="0" xfId="3" applyFont="1" applyFill="1" applyBorder="1" applyProtection="1">
      <protection locked="0"/>
    </xf>
    <xf numFmtId="0" fontId="8" fillId="5" borderId="0" xfId="1" applyFill="1" applyAlignment="1" applyProtection="1">
      <alignment horizontal="left" indent="1"/>
      <protection locked="0"/>
    </xf>
    <xf numFmtId="0" fontId="10" fillId="2" borderId="0" xfId="6" applyFill="1" applyAlignment="1" applyProtection="1">
      <alignment vertical="center"/>
      <protection locked="0"/>
    </xf>
    <xf numFmtId="0" fontId="9" fillId="5" borderId="0" xfId="5" applyFont="1" applyFill="1" applyAlignment="1" applyProtection="1">
      <alignment horizontal="left" indent="1"/>
      <protection locked="0"/>
    </xf>
    <xf numFmtId="40" fontId="0" fillId="0" borderId="0" xfId="0" applyNumberFormat="1" applyFont="1" applyFill="1" applyBorder="1" applyProtection="1">
      <protection locked="0"/>
    </xf>
    <xf numFmtId="40" fontId="7" fillId="0" borderId="0" xfId="8" applyNumberFormat="1" applyFont="1" applyFill="1" applyAlignment="1" applyProtection="1"/>
    <xf numFmtId="40" fontId="0" fillId="0" borderId="0" xfId="8" applyNumberFormat="1" applyFont="1" applyFill="1" applyBorder="1" applyAlignment="1" applyProtection="1"/>
    <xf numFmtId="0" fontId="1" fillId="7" borderId="0" xfId="10" applyBorder="1" applyAlignment="1" applyProtection="1">
      <alignment horizontal="left" indent="1"/>
    </xf>
    <xf numFmtId="4" fontId="1" fillId="7" borderId="0" xfId="10" applyNumberFormat="1" applyBorder="1" applyProtection="1"/>
    <xf numFmtId="165" fontId="1" fillId="7" borderId="0" xfId="10" applyNumberFormat="1" applyBorder="1" applyProtection="1"/>
    <xf numFmtId="40" fontId="1" fillId="7" borderId="0" xfId="10" applyNumberFormat="1" applyBorder="1" applyProtection="1"/>
    <xf numFmtId="0" fontId="1" fillId="7" borderId="0" xfId="10" applyNumberFormat="1" applyBorder="1" applyAlignment="1" applyProtection="1">
      <alignment horizontal="left" indent="1"/>
      <protection locked="0"/>
    </xf>
    <xf numFmtId="40" fontId="1" fillId="7" borderId="0" xfId="10" applyNumberFormat="1" applyBorder="1" applyAlignment="1" applyProtection="1"/>
    <xf numFmtId="0" fontId="1" fillId="7" borderId="0" xfId="10" applyAlignment="1">
      <alignment horizontal="left" indent="1"/>
    </xf>
    <xf numFmtId="0" fontId="1" fillId="7" borderId="0" xfId="10" applyAlignment="1" applyProtection="1">
      <alignment horizontal="left" indent="1"/>
      <protection locked="0"/>
    </xf>
    <xf numFmtId="40" fontId="1" fillId="7" borderId="0" xfId="10" applyNumberFormat="1" applyAlignment="1" applyProtection="1">
      <protection locked="0"/>
    </xf>
    <xf numFmtId="40" fontId="1" fillId="0" borderId="0" xfId="8" applyNumberFormat="1" applyAlignment="1" applyProtection="1"/>
    <xf numFmtId="164" fontId="9" fillId="5" borderId="0" xfId="2" applyNumberFormat="1" applyFont="1" applyFill="1" applyAlignment="1" applyProtection="1">
      <alignment horizontal="right"/>
      <protection locked="0"/>
    </xf>
  </cellXfs>
  <cellStyles count="11">
    <cellStyle name="20% - Accent3" xfId="10" builtinId="38"/>
    <cellStyle name="20% - Accent5" xfId="4" builtinId="46"/>
    <cellStyle name="60% - Accent4" xfId="3" builtinId="44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Title" xfId="1" builtinId="15" customBuiltin="1"/>
    <cellStyle name="Total" xfId="8" builtinId="25" customBuiltin="1"/>
    <cellStyle name="Warning Text" xfId="9" builtinId="11" customBuiltin="1"/>
  </cellStyles>
  <dxfs count="32"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alignment horizontal="left" vertical="bottom" textRotation="0" wrapText="0" indent="1" justifyLastLine="0" shrinkToFit="0" readingOrder="0"/>
    </dxf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alignment horizontal="left" vertical="bottom" textRotation="0" wrapText="0" indent="1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0" hidden="0"/>
    </dxf>
    <dxf>
      <alignment horizontal="left" vertical="bottom" textRotation="0" wrapText="0" indent="1" justifyLastLine="0" shrinkToFit="0" readingOrder="0"/>
      <protection locked="0" hidden="0"/>
    </dxf>
    <dxf>
      <font>
        <color rgb="FFDA0000"/>
      </font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8" formatCode="#,##0.00_);[Red]\(#,##0.00\)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8" formatCode="#,##0.00_);[Red]\(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8" formatCode="#,##0.00_);[Red]\(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0" formatCode="General"/>
      <alignment horizontal="left" vertical="bottom" textRotation="0" wrapText="0" indent="1" justifyLastLine="0" shrinkToFit="0" readingOrder="0"/>
    </dxf>
    <dxf>
      <font>
        <color rgb="FFDA0000"/>
      </font>
    </dxf>
    <dxf>
      <fill>
        <patternFill>
          <bgColor theme="5" tint="0.79995117038483843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5117038483843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14548173467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20651875362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31"/>
      <tableStyleElement type="headerRow" dxfId="30"/>
      <tableStyleElement type="totalRow" dxfId="29"/>
      <tableStyleElement type="lastColumn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1595120</xdr:colOff>
      <xdr:row>2</xdr:row>
      <xdr:rowOff>5080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9EAF33-0D50-424A-96F3-A4F23B0A0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304800"/>
          <a:ext cx="1587500" cy="40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Table" displayName="TotalsTable" ref="B5:E8" totalsRowCount="1">
  <autoFilter ref="B5:E7" xr:uid="{00000000-0009-0000-0100-000004000000}"/>
  <tableColumns count="4">
    <tableColumn id="1" xr3:uid="{00000000-0010-0000-0000-000001000000}" name="BUDGET TOTALS" totalsRowLabel="Balance (Income minus Expenses)" dataDxfId="26" totalsRowDxfId="25" dataCellStyle="20% - Accent3"/>
    <tableColumn id="2" xr3:uid="{00000000-0010-0000-0000-000002000000}" name="ESTIMATED" totalsRowFunction="custom" dataDxfId="24" totalsRowDxfId="23" dataCellStyle="20% - Accent3">
      <totalsRowFormula>C6-C7</totalsRowFormula>
    </tableColumn>
    <tableColumn id="3" xr3:uid="{00000000-0010-0000-0000-000003000000}" name="ACTUAL" totalsRowFunction="custom" dataDxfId="22" totalsRowDxfId="21" dataCellStyle="20% - Accent3">
      <totalsRowFormula>D6-D7</totalsRowFormula>
    </tableColumn>
    <tableColumn id="4" xr3:uid="{00000000-0010-0000-0000-000004000000}" name="DIFFERENCE" totalsRowFunction="custom" dataDxfId="20" totalsRowDxfId="19" dataCellStyle="Total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TableStyleMedium14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totalsRowDxfId="18">
  <tableColumns count="4">
    <tableColumn id="1" xr3:uid="{00000000-0010-0000-0100-000001000000}" name="EXPENSE" totalsRowLabel="Total" totalsRowDxfId="17" dataCellStyle="20% - Accent3">
      <calculatedColumnFormula>INDEX(OperatingExpensesTable[],MATCH(Top5Expenses[[#This Row],[AMOUNT]],OperatingExpensesTable[TOP 5 AMOUNT],0),1)</calculatedColumnFormula>
    </tableColumn>
    <tableColumn id="2" xr3:uid="{00000000-0010-0000-0100-000002000000}" name="AMOUNT" totalsRowFunction="sum" totalsRowDxfId="16" dataCellStyle="20% - Accent3"/>
    <tableColumn id="3" xr3:uid="{00000000-0010-0000-0100-000003000000}" name="% OF EXPENSES" totalsRowFunction="sum" dataCellStyle="20% - Accent3">
      <calculatedColumnFormula>Top5Expenses[[#This Row],[AMOUNT]]/$D$7</calculatedColumnFormula>
    </tableColumn>
    <tableColumn id="4" xr3:uid="{00000000-0010-0000-0100-000004000000}" name="15% REDUCTION" totalsRowFunction="sum" dataCellStyle="20% - Accent3">
      <calculatedColumnFormula>Top5Expenses[[#This Row],[AMOUNT]]*0.15</calculatedColumnFormula>
    </tableColumn>
  </tableColumns>
  <tableStyleInfo name="Monthly Budget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OperatingExpensesTable" displayName="OperatingExpensesTable" ref="B15:F36" totalsRowCount="1">
  <autoFilter ref="B15:F35" xr:uid="{00000000-0009-0000-0100-000002000000}"/>
  <sortState xmlns:xlrd2="http://schemas.microsoft.com/office/spreadsheetml/2017/richdata2" ref="B15:F35">
    <sortCondition ref="B14:B35"/>
  </sortState>
  <tableColumns count="5">
    <tableColumn id="1" xr3:uid="{00000000-0010-0000-0200-000001000000}" name="OPERATING EXPENSES" totalsRowLabel="Total Operating Expenses" dataDxfId="14" dataCellStyle="20% - Accent3"/>
    <tableColumn id="2" xr3:uid="{00000000-0010-0000-0200-000002000000}" name="ESTIMATED" totalsRowFunction="sum" dataDxfId="13" dataCellStyle="20% - Accent3"/>
    <tableColumn id="3" xr3:uid="{00000000-0010-0000-0200-000003000000}" name="ACTUAL" totalsRowFunction="sum" dataDxfId="12" dataCellStyle="20% - Accent3"/>
    <tableColumn id="5" xr3:uid="{00000000-0010-0000-0200-000005000000}" name="TOP 5 AMOUNT" totalsRowDxfId="11">
      <calculatedColumnFormula>OperatingExpensesTable[[#This Row],[ACTUAL]]+(10^-6)*ROW(OperatingExpensesTable[[#This Row],[ACTUAL]])</calculatedColumnFormula>
    </tableColumn>
    <tableColumn id="4" xr3:uid="{00000000-0010-0000-0200-000004000000}" name="DIFFERENCE" totalsRowFunction="sum" dataDxfId="10" dataCellStyle="Total">
      <calculatedColumnFormula>OperatingExpensesTable[[#This Row],[ESTIMATED]]-OperatingExpensesTable[[#This Row],[ACTUAL]]</calculatedColumnFormula>
    </tableColumn>
  </tableColumns>
  <tableStyleInfo name="Monthly Budget" showFirstColumn="0" showLastColumn="1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ersonnelExpensesTable" displayName="PersonnelExpensesTable" ref="B9:F13" totalsRowCount="1">
  <autoFilter ref="B9:F12" xr:uid="{00000000-0009-0000-0100-000005000000}"/>
  <tableColumns count="5">
    <tableColumn id="1" xr3:uid="{00000000-0010-0000-0300-000001000000}" name="PERSONNEL EXPENSES" totalsRowLabel="Total Personnel Expenses" dataDxfId="9" dataCellStyle="20% - Accent3"/>
    <tableColumn id="2" xr3:uid="{00000000-0010-0000-0300-000002000000}" name="ESTIMATED" totalsRowFunction="sum" dataDxfId="8" dataCellStyle="20% - Accent3"/>
    <tableColumn id="3" xr3:uid="{00000000-0010-0000-0300-000003000000}" name="ACTUAL" totalsRowFunction="sum" dataDxfId="7" dataCellStyle="20% - Accent3"/>
    <tableColumn id="4" xr3:uid="{00000000-0010-0000-0300-000004000000}" name="TOP 5 AMOUNT" totalsRowDxfId="6">
      <calculatedColumnFormula>PersonnelExpensesTable[[#This Row],[ACTUAL]]+(10^-6)*ROW(PersonnelExpensesTable[[#This Row],[ACTUAL]])</calculatedColumnFormula>
    </tableColumn>
    <tableColumn id="5" xr3:uid="{00000000-0010-0000-0300-000005000000}" name="DIFFERENCE" totalsRowFunction="sum" dataDxfId="5" dataCellStyle="Total">
      <calculatedColumnFormula>PersonnelExpensesTable[[#This Row],[ESTIMATED]]-PersonnelExpensesTable[[#This Row],[ACTUAL]]</calculatedColumnFormula>
    </tableColumn>
  </tableColumns>
  <tableStyleInfo name="Monthly Budget" showFirstColumn="0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IncomeTable" displayName="IncomeTable" ref="B3:F7" totalsRowCount="1">
  <autoFilter ref="B3:F6" xr:uid="{00000000-0009-0000-0100-000003000000}"/>
  <tableColumns count="5">
    <tableColumn id="1" xr3:uid="{00000000-0010-0000-0400-000001000000}" name="INCOME" totalsRowLabel="Total Income" dataDxfId="4" dataCellStyle="20% - Accent3"/>
    <tableColumn id="2" xr3:uid="{00000000-0010-0000-0400-000002000000}" name="ESTIMATED" totalsRowFunction="sum" dataDxfId="3" dataCellStyle="20% - Accent3"/>
    <tableColumn id="3" xr3:uid="{00000000-0010-0000-0400-000003000000}" name="ACTUAL" totalsRowFunction="sum" dataDxfId="2" dataCellStyle="20% - Accent3"/>
    <tableColumn id="5" xr3:uid="{00000000-0010-0000-0400-000005000000}" name="TOP 5 AMOUNT" totalsRowDxfId="1" dataCellStyle="Total">
      <calculatedColumnFormula>IncomeTable[[#This Row],[ACTUAL]]+(10^-6)*ROW(IncomeTable[[#This Row],[ACTUAL]])</calculatedColumnFormula>
    </tableColumn>
    <tableColumn id="4" xr3:uid="{00000000-0010-0000-0400-000004000000}" name="DIFFERENCE" totalsRowFunction="sum" dataDxfId="0" dataCellStyle="Total">
      <calculatedColumnFormula>IncomeTable[[#This Row],[ACTUAL]]-IncomeTable[[#This Row],[ESTIMATED]]</calculatedColumnFormula>
    </tableColumn>
  </tableColumns>
  <tableStyleInfo name="Monthly Budget" showFirstColumn="0" showLastColumn="1" showRowStripes="0" showColumnStripes="0"/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5117038483843"/>
    <pageSetUpPr autoPageBreaks="0" fitToPage="1"/>
  </sheetPr>
  <dimension ref="A1:G17"/>
  <sheetViews>
    <sheetView showGridLines="0" zoomScale="80" zoomScaleNormal="80" workbookViewId="0">
      <selection activeCell="Q11" sqref="Q11"/>
    </sheetView>
  </sheetViews>
  <sheetFormatPr defaultColWidth="9" defaultRowHeight="16.5" customHeight="1" x14ac:dyDescent="0.35"/>
  <cols>
    <col min="1" max="1" width="4.125" style="2" customWidth="1"/>
    <col min="2" max="2" width="29.125" style="2" customWidth="1"/>
    <col min="3" max="5" width="19" style="2" customWidth="1"/>
    <col min="6" max="6" width="15" style="2" customWidth="1"/>
    <col min="7" max="7" width="4.125" style="5" hidden="1" customWidth="1"/>
    <col min="8" max="8" width="9" style="5" customWidth="1"/>
    <col min="9" max="16384" width="9" style="5"/>
  </cols>
  <sheetData>
    <row r="1" spans="1:6" s="1" customFormat="1" ht="24.75" customHeight="1" x14ac:dyDescent="0.5">
      <c r="A1" s="7"/>
      <c r="B1" s="7"/>
      <c r="C1" s="7"/>
      <c r="D1" s="7"/>
      <c r="E1" s="50">
        <v>43525</v>
      </c>
      <c r="F1" s="50"/>
    </row>
    <row r="2" spans="1:6" s="1" customFormat="1" ht="31.5" customHeight="1" x14ac:dyDescent="0.5">
      <c r="A2" s="7"/>
      <c r="B2" s="36"/>
      <c r="C2"/>
      <c r="D2"/>
      <c r="E2"/>
      <c r="F2"/>
    </row>
    <row r="3" spans="1:6" s="1" customFormat="1" ht="42" customHeight="1" x14ac:dyDescent="1">
      <c r="A3" s="7"/>
      <c r="B3" s="34" t="s">
        <v>46</v>
      </c>
      <c r="C3" s="8"/>
      <c r="D3" s="8"/>
    </row>
    <row r="5" spans="1:6" s="6" customFormat="1" ht="21.75" customHeight="1" x14ac:dyDescent="0.35">
      <c r="A5" s="3"/>
      <c r="B5" s="9" t="s">
        <v>30</v>
      </c>
      <c r="C5" s="10" t="s">
        <v>19</v>
      </c>
      <c r="D5" s="10" t="s">
        <v>20</v>
      </c>
      <c r="E5" s="10" t="s">
        <v>21</v>
      </c>
      <c r="F5" s="3"/>
    </row>
    <row r="6" spans="1:6" ht="16.5" customHeight="1" x14ac:dyDescent="0.35">
      <c r="B6" s="44" t="s">
        <v>15</v>
      </c>
      <c r="C6" s="45">
        <f>IncomeTable[[#Totals],[ESTIMATED]]</f>
        <v>63300</v>
      </c>
      <c r="D6" s="45">
        <f>IncomeTable[[#Totals],[ACTUAL]]</f>
        <v>57450</v>
      </c>
      <c r="E6" s="38">
        <f>TotalsTable[[#This Row],[ACTUAL]]-TotalsTable[[#This Row],[ESTIMATED]]</f>
        <v>-5850</v>
      </c>
    </row>
    <row r="7" spans="1:6" ht="16.5" customHeight="1" x14ac:dyDescent="0.35">
      <c r="B7" s="44" t="s">
        <v>18</v>
      </c>
      <c r="C7" s="45">
        <f>OperatingExpensesTable[[#Totals],[ESTIMATED]]+PersonnelExpensesTable[[#Totals],[ESTIMATED]]</f>
        <v>54500</v>
      </c>
      <c r="D7" s="45">
        <f>OperatingExpensesTable[[#Totals],[ACTUAL]]+PersonnelExpensesTable[[#Totals],[ACTUAL]]</f>
        <v>49630</v>
      </c>
      <c r="E7" s="39">
        <f>TotalsTable[[#This Row],[ESTIMATED]]-TotalsTable[[#This Row],[ACTUAL]]</f>
        <v>4870</v>
      </c>
    </row>
    <row r="8" spans="1:6" ht="16.5" customHeight="1" x14ac:dyDescent="0.35">
      <c r="B8" s="12" t="s">
        <v>32</v>
      </c>
      <c r="C8" s="13">
        <f t="shared" ref="C8:D8" si="0">C6-C7</f>
        <v>8800</v>
      </c>
      <c r="D8" s="13">
        <f t="shared" si="0"/>
        <v>7820</v>
      </c>
      <c r="E8" s="23">
        <f>TotalsTable[[#Totals],[ACTUAL]]-TotalsTable[[#Totals],[ESTIMATED]]</f>
        <v>-980</v>
      </c>
    </row>
    <row r="10" spans="1:6" ht="16.5" customHeight="1" x14ac:dyDescent="0.35">
      <c r="B10" s="35" t="s">
        <v>26</v>
      </c>
      <c r="C10" s="4"/>
      <c r="D10" s="4"/>
      <c r="E10" s="4"/>
    </row>
    <row r="11" spans="1:6" ht="21.75" customHeight="1" x14ac:dyDescent="0.35">
      <c r="B11" s="9" t="s">
        <v>27</v>
      </c>
      <c r="C11" s="10" t="s">
        <v>28</v>
      </c>
      <c r="D11" s="10" t="s">
        <v>29</v>
      </c>
      <c r="E11" s="10" t="s">
        <v>31</v>
      </c>
    </row>
    <row r="12" spans="1:6" ht="16.5" customHeight="1" x14ac:dyDescent="0.35">
      <c r="B12" s="40" t="str">
        <f>INDEX(OperatingExpensesTable[],MATCH(Top5Expenses[[#This Row],[AMOUNT]],OperatingExpensesTable[TOP 5 AMOUNT],0),1)</f>
        <v>Maintenance and repairs</v>
      </c>
      <c r="C12" s="41">
        <f>LARGE(OperatingExpensesTable[TOP 5 AMOUNT],1)</f>
        <v>4600.0000250000003</v>
      </c>
      <c r="D12" s="42">
        <f>Top5Expenses[[#This Row],[AMOUNT]]/$D$7</f>
        <v>9.2685875982268795E-2</v>
      </c>
      <c r="E12" s="43">
        <f>Top5Expenses[[#This Row],[AMOUNT]]*0.15</f>
        <v>690.00000375000002</v>
      </c>
    </row>
    <row r="13" spans="1:6" ht="16.5" customHeight="1" x14ac:dyDescent="0.35">
      <c r="B13" s="40" t="str">
        <f>INDEX(OperatingExpensesTable[],MATCH(Top5Expenses[[#This Row],[AMOUNT]],OperatingExpensesTable[TOP 5 AMOUNT],0),1)</f>
        <v>Supplies</v>
      </c>
      <c r="C13" s="41">
        <f>LARGE(OperatingExpensesTable[TOP 5 AMOUNT],2)</f>
        <v>4500.0000309999996</v>
      </c>
      <c r="D13" s="42">
        <f>Top5Expenses[[#This Row],[AMOUNT]]/$D$7</f>
        <v>9.067096576667337E-2</v>
      </c>
      <c r="E13" s="43">
        <f>Top5Expenses[[#This Row],[AMOUNT]]*0.15</f>
        <v>675.00000464999994</v>
      </c>
    </row>
    <row r="14" spans="1:6" ht="16.5" customHeight="1" x14ac:dyDescent="0.35">
      <c r="B14" s="40" t="str">
        <f>INDEX(OperatingExpensesTable[],MATCH(Top5Expenses[[#This Row],[AMOUNT]],OperatingExpensesTable[TOP 5 AMOUNT],0),1)</f>
        <v>Rent or mortgage</v>
      </c>
      <c r="C14" s="41">
        <f>LARGE(OperatingExpensesTable[TOP 5 AMOUNT],3)</f>
        <v>4500.0000280000004</v>
      </c>
      <c r="D14" s="42">
        <f>Top5Expenses[[#This Row],[AMOUNT]]/$D$7</f>
        <v>9.0670965706226084E-2</v>
      </c>
      <c r="E14" s="43">
        <f>Top5Expenses[[#This Row],[AMOUNT]]*0.15</f>
        <v>675.00000420000003</v>
      </c>
    </row>
    <row r="15" spans="1:6" ht="16.5" customHeight="1" x14ac:dyDescent="0.35">
      <c r="B15" s="40" t="str">
        <f>INDEX(OperatingExpensesTable[],MATCH(Top5Expenses[[#This Row],[AMOUNT]],OperatingExpensesTable[TOP 5 AMOUNT],0),1)</f>
        <v>Taxes</v>
      </c>
      <c r="C15" s="41">
        <f>LARGE(OperatingExpensesTable[TOP 5 AMOUNT],4)</f>
        <v>3200.0000319999999</v>
      </c>
      <c r="D15" s="42">
        <f>Top5Expenses[[#This Row],[AMOUNT]]/$D$7</f>
        <v>6.4477131412452149E-2</v>
      </c>
      <c r="E15" s="43">
        <f>Top5Expenses[[#This Row],[AMOUNT]]*0.15</f>
        <v>480.00000479999994</v>
      </c>
    </row>
    <row r="16" spans="1:6" ht="16.5" customHeight="1" x14ac:dyDescent="0.35">
      <c r="B16" s="40" t="str">
        <f>INDEX(OperatingExpensesTable[],MATCH(Top5Expenses[[#This Row],[AMOUNT]],OperatingExpensesTable[TOP 5 AMOUNT],0),1)</f>
        <v>Advertising</v>
      </c>
      <c r="C16" s="41">
        <f>LARGE(OperatingExpensesTable[TOP 5 AMOUNT],5)</f>
        <v>2500.000016</v>
      </c>
      <c r="D16" s="42">
        <f>Top5Expenses[[#This Row],[AMOUNT]]/$D$7</f>
        <v>5.0372758734636307E-2</v>
      </c>
      <c r="E16" s="43">
        <f>Top5Expenses[[#This Row],[AMOUNT]]*0.15</f>
        <v>375.00000239999997</v>
      </c>
    </row>
    <row r="17" spans="2:5" ht="16.5" customHeight="1" x14ac:dyDescent="0.35">
      <c r="B17" s="19" t="s">
        <v>14</v>
      </c>
      <c r="C17" s="20">
        <f>SUBTOTAL(109,Top5Expenses[AMOUNT])</f>
        <v>19300.000132000001</v>
      </c>
      <c r="D17" s="21">
        <f>SUBTOTAL(109,Top5Expenses[% OF EXPENSES])</f>
        <v>0.38887769760225671</v>
      </c>
      <c r="E17" s="22">
        <f>SUBTOTAL(109,Top5Expenses[15% REDUCTION])</f>
        <v>2895.0000197999998</v>
      </c>
    </row>
  </sheetData>
  <sheetProtection insertColumns="0" insertRows="0" deleteColumns="0" deleteRows="0" selectLockedCells="1" autoFilter="0"/>
  <mergeCells count="1">
    <mergeCell ref="E1:F1"/>
  </mergeCells>
  <conditionalFormatting sqref="C6:E17">
    <cfRule type="cellIs" dxfId="27" priority="3" operator="lessThan">
      <formula>0</formula>
    </cfRule>
  </conditionalFormatting>
  <dataValidations count="6">
    <dataValidation type="custom" allowBlank="1" showInputMessage="1" showErrorMessage="1" errorTitle="ALERT" error="This cell is automatically populated and should not be overwitten. Overwriting this cell would break calculations in this worksheet." sqref="D13 C13:C16 D15:D16 C6:E7" xr:uid="{00000000-0002-0000-0000-000000000000}">
      <formula1>LEN(C6)=""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4:E16" xr:uid="{00000000-0002-0000-0000-000001000000}">
      <formula1>LEN(#REF!)=""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2" xr:uid="{00000000-0002-0000-0000-000002000000}">
      <formula1>LEN(E12:E17)=""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C12:D12" xr:uid="{00000000-0002-0000-0000-000003000000}">
      <formula1>LEN(C12:C17)=""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D14" xr:uid="{00000000-0002-0000-0000-000004000000}">
      <formula1>LEN(D13:D17)=""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3" xr:uid="{00000000-0002-0000-0000-000005000000}">
      <formula1>LEN(E13:E17)=""</formula1>
    </dataValidation>
  </dataValidations>
  <printOptions horizontalCentered="1"/>
  <pageMargins left="0.25" right="0.25" top="0.25" bottom="0.25" header="0" footer="0"/>
  <pageSetup fitToHeight="0" orientation="portrait" r:id="rId1"/>
  <ignoredErrors>
    <ignoredError sqref="C6:E6 C12:E16 C7:D7" listDataValidation="1"/>
    <ignoredError sqref="E7" listDataValidation="1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4506668294322"/>
    <pageSetUpPr autoPageBreaks="0" fitToPage="1"/>
  </sheetPr>
  <dimension ref="A1:G36"/>
  <sheetViews>
    <sheetView showGridLines="0" tabSelected="1" zoomScaleNormal="100" workbookViewId="0">
      <selection activeCell="K13" sqref="K13"/>
    </sheetView>
  </sheetViews>
  <sheetFormatPr defaultColWidth="9" defaultRowHeight="16.5" customHeight="1" x14ac:dyDescent="0.35"/>
  <cols>
    <col min="1" max="1" width="4.125" style="24" customWidth="1"/>
    <col min="2" max="2" width="29.125" style="24" customWidth="1"/>
    <col min="3" max="3" width="19" style="24" customWidth="1"/>
    <col min="4" max="4" width="18.875" style="24" customWidth="1"/>
    <col min="5" max="5" width="0.375" style="24" hidden="1" customWidth="1"/>
    <col min="6" max="6" width="19" style="24" customWidth="1"/>
    <col min="7" max="7" width="4.125" style="24" customWidth="1"/>
    <col min="8" max="8" width="4.125" style="5" customWidth="1"/>
    <col min="9" max="9" width="9" style="5" customWidth="1"/>
    <col min="10" max="16384" width="9" style="5"/>
  </cols>
  <sheetData>
    <row r="1" spans="1:7" s="1" customFormat="1" ht="42" customHeight="1" x14ac:dyDescent="1">
      <c r="A1" s="7"/>
      <c r="B1" s="34" t="s">
        <v>47</v>
      </c>
      <c r="C1" s="8"/>
      <c r="D1" s="8"/>
      <c r="E1" s="8"/>
      <c r="F1" s="8"/>
      <c r="G1" s="8"/>
    </row>
    <row r="2" spans="1:7" ht="16.5" customHeight="1" x14ac:dyDescent="0.35">
      <c r="G2" s="25"/>
    </row>
    <row r="3" spans="1:7" s="6" customFormat="1" ht="16.5" customHeight="1" x14ac:dyDescent="0.35">
      <c r="A3" s="26"/>
      <c r="B3" s="9" t="s">
        <v>22</v>
      </c>
      <c r="C3" s="10" t="s">
        <v>19</v>
      </c>
      <c r="D3" s="10" t="s">
        <v>20</v>
      </c>
      <c r="E3" s="10" t="s">
        <v>23</v>
      </c>
      <c r="F3" s="10" t="s">
        <v>21</v>
      </c>
      <c r="G3" s="27"/>
    </row>
    <row r="4" spans="1:7" ht="16.5" customHeight="1" x14ac:dyDescent="0.35">
      <c r="B4" s="46" t="s">
        <v>39</v>
      </c>
      <c r="C4" s="48">
        <v>60000</v>
      </c>
      <c r="D4" s="48">
        <v>54000</v>
      </c>
      <c r="E4" s="11">
        <f>IncomeTable[[#This Row],[ACTUAL]]+(10^-6)*ROW(IncomeTable[[#This Row],[ACTUAL]])</f>
        <v>54000.000004000001</v>
      </c>
      <c r="F4" s="49">
        <f>IncomeTable[[#This Row],[ACTUAL]]-IncomeTable[[#This Row],[ESTIMATED]]</f>
        <v>-6000</v>
      </c>
      <c r="G4" s="28"/>
    </row>
    <row r="5" spans="1:7" ht="16.5" customHeight="1" x14ac:dyDescent="0.35">
      <c r="B5" s="46" t="s">
        <v>40</v>
      </c>
      <c r="C5" s="48">
        <v>3000</v>
      </c>
      <c r="D5" s="48">
        <v>3000</v>
      </c>
      <c r="E5" s="11">
        <f>IncomeTable[[#This Row],[ACTUAL]]+(10^-6)*ROW(IncomeTable[[#This Row],[ACTUAL]])</f>
        <v>3000.0000049999999</v>
      </c>
      <c r="F5" s="49">
        <f>IncomeTable[[#This Row],[ACTUAL]]-IncomeTable[[#This Row],[ESTIMATED]]</f>
        <v>0</v>
      </c>
      <c r="G5" s="28"/>
    </row>
    <row r="6" spans="1:7" ht="16.5" customHeight="1" x14ac:dyDescent="0.35">
      <c r="B6" s="46" t="s">
        <v>41</v>
      </c>
      <c r="C6" s="48">
        <v>300</v>
      </c>
      <c r="D6" s="48">
        <v>450</v>
      </c>
      <c r="E6" s="11">
        <f>IncomeTable[[#This Row],[ACTUAL]]+(10^-6)*ROW(IncomeTable[[#This Row],[ACTUAL]])</f>
        <v>450.00000599999998</v>
      </c>
      <c r="F6" s="49">
        <f>IncomeTable[[#This Row],[ACTUAL]]-IncomeTable[[#This Row],[ESTIMATED]]</f>
        <v>150</v>
      </c>
      <c r="G6" s="28"/>
    </row>
    <row r="7" spans="1:7" ht="16.5" customHeight="1" x14ac:dyDescent="0.35">
      <c r="B7" s="12" t="s">
        <v>43</v>
      </c>
      <c r="C7" s="13">
        <f>SUBTOTAL(109,IncomeTable[ESTIMATED])</f>
        <v>63300</v>
      </c>
      <c r="D7" s="13">
        <f>SUBTOTAL(109,IncomeTable[ACTUAL])</f>
        <v>57450</v>
      </c>
      <c r="E7" s="14"/>
      <c r="F7" s="13">
        <f>SUBTOTAL(109,IncomeTable[DIFFERENCE])</f>
        <v>-5850</v>
      </c>
      <c r="G7" s="29"/>
    </row>
    <row r="8" spans="1:7" ht="16.5" customHeight="1" x14ac:dyDescent="0.35">
      <c r="B8" s="30"/>
      <c r="C8" s="30"/>
      <c r="D8" s="30"/>
      <c r="E8" s="30"/>
      <c r="F8" s="30"/>
      <c r="G8" s="31"/>
    </row>
    <row r="9" spans="1:7" ht="16.5" customHeight="1" x14ac:dyDescent="0.35">
      <c r="A9" s="26"/>
      <c r="B9" s="15" t="s">
        <v>24</v>
      </c>
      <c r="C9" s="16" t="s">
        <v>19</v>
      </c>
      <c r="D9" s="16" t="s">
        <v>20</v>
      </c>
      <c r="E9" s="10" t="s">
        <v>23</v>
      </c>
      <c r="F9" s="18" t="s">
        <v>21</v>
      </c>
      <c r="G9" s="32"/>
    </row>
    <row r="10" spans="1:7" ht="16.5" customHeight="1" x14ac:dyDescent="0.35">
      <c r="B10" s="47" t="s">
        <v>16</v>
      </c>
      <c r="C10" s="48">
        <v>9500</v>
      </c>
      <c r="D10" s="48">
        <v>9600</v>
      </c>
      <c r="E10" s="11">
        <f>PersonnelExpensesTable[[#This Row],[ACTUAL]]+(10^-6)*ROW(PersonnelExpensesTable[[#This Row],[ACTUAL]])</f>
        <v>9600.0000099999997</v>
      </c>
      <c r="F10" s="49">
        <f>PersonnelExpensesTable[[#This Row],[ESTIMATED]]-PersonnelExpensesTable[[#This Row],[ACTUAL]]</f>
        <v>-100</v>
      </c>
      <c r="G10" s="28"/>
    </row>
    <row r="11" spans="1:7" ht="16.5" customHeight="1" x14ac:dyDescent="0.35">
      <c r="B11" s="47" t="s">
        <v>33</v>
      </c>
      <c r="C11" s="48">
        <v>4000</v>
      </c>
      <c r="D11" s="48">
        <v>0</v>
      </c>
      <c r="E11" s="11">
        <f>PersonnelExpensesTable[[#This Row],[ACTUAL]]+(10^-6)*ROW(PersonnelExpensesTable[[#This Row],[ACTUAL]])</f>
        <v>1.1E-5</v>
      </c>
      <c r="F11" s="49">
        <f>PersonnelExpensesTable[[#This Row],[ESTIMATED]]-PersonnelExpensesTable[[#This Row],[ACTUAL]]</f>
        <v>4000</v>
      </c>
      <c r="G11" s="28"/>
    </row>
    <row r="12" spans="1:7" ht="16.5" customHeight="1" x14ac:dyDescent="0.35">
      <c r="B12" s="47" t="s">
        <v>17</v>
      </c>
      <c r="C12" s="48">
        <v>5000</v>
      </c>
      <c r="D12" s="48">
        <v>4500</v>
      </c>
      <c r="E12" s="11">
        <f>PersonnelExpensesTable[[#This Row],[ACTUAL]]+(10^-6)*ROW(PersonnelExpensesTable[[#This Row],[ACTUAL]])</f>
        <v>4500.0000120000004</v>
      </c>
      <c r="F12" s="49">
        <f>PersonnelExpensesTable[[#This Row],[ESTIMATED]]-PersonnelExpensesTable[[#This Row],[ACTUAL]]</f>
        <v>500</v>
      </c>
      <c r="G12" s="28"/>
    </row>
    <row r="13" spans="1:7" ht="16.5" customHeight="1" x14ac:dyDescent="0.35">
      <c r="B13" s="19" t="s">
        <v>44</v>
      </c>
      <c r="C13" s="22">
        <f>SUBTOTAL(109,PersonnelExpensesTable[ESTIMATED])</f>
        <v>18500</v>
      </c>
      <c r="D13" s="22">
        <f>SUBTOTAL(109,PersonnelExpensesTable[ACTUAL])</f>
        <v>14100</v>
      </c>
      <c r="E13" s="37"/>
      <c r="F13" s="22">
        <f>SUBTOTAL(109,PersonnelExpensesTable[DIFFERENCE])</f>
        <v>4400</v>
      </c>
      <c r="G13" s="29"/>
    </row>
    <row r="14" spans="1:7" ht="16.5" customHeight="1" x14ac:dyDescent="0.35">
      <c r="B14" s="30"/>
      <c r="C14" s="30"/>
      <c r="D14" s="30"/>
      <c r="E14" s="30"/>
      <c r="F14" s="30"/>
      <c r="G14" s="31"/>
    </row>
    <row r="15" spans="1:7" ht="16.5" customHeight="1" x14ac:dyDescent="0.35">
      <c r="B15" s="15" t="s">
        <v>25</v>
      </c>
      <c r="C15" s="17" t="s">
        <v>19</v>
      </c>
      <c r="D15" s="17" t="s">
        <v>20</v>
      </c>
      <c r="E15" s="10" t="s">
        <v>23</v>
      </c>
      <c r="F15" s="17" t="s">
        <v>21</v>
      </c>
      <c r="G15" s="33"/>
    </row>
    <row r="16" spans="1:7" ht="16.5" customHeight="1" x14ac:dyDescent="0.35">
      <c r="B16" s="47" t="s">
        <v>1</v>
      </c>
      <c r="C16" s="48">
        <v>3000</v>
      </c>
      <c r="D16" s="48">
        <v>2500</v>
      </c>
      <c r="E16" s="11">
        <f>OperatingExpensesTable[[#This Row],[ACTUAL]]+(10^-6)*ROW(OperatingExpensesTable[[#This Row],[ACTUAL]])</f>
        <v>2500.000016</v>
      </c>
      <c r="F16" s="49">
        <f>OperatingExpensesTable[[#This Row],[ESTIMATED]]-OperatingExpensesTable[[#This Row],[ACTUAL]]</f>
        <v>500</v>
      </c>
      <c r="G16" s="28"/>
    </row>
    <row r="17" spans="2:7" ht="16.5" customHeight="1" x14ac:dyDescent="0.35">
      <c r="B17" s="47" t="s">
        <v>34</v>
      </c>
      <c r="C17" s="48">
        <v>2000</v>
      </c>
      <c r="D17" s="48">
        <v>2000</v>
      </c>
      <c r="E17" s="11">
        <f>OperatingExpensesTable[[#This Row],[ACTUAL]]+(10^-6)*ROW(OperatingExpensesTable[[#This Row],[ACTUAL]])</f>
        <v>2000.0000170000001</v>
      </c>
      <c r="F17" s="49">
        <f>OperatingExpensesTable[[#This Row],[ESTIMATED]]-OperatingExpensesTable[[#This Row],[ACTUAL]]</f>
        <v>0</v>
      </c>
      <c r="G17" s="28"/>
    </row>
    <row r="18" spans="2:7" ht="16.5" customHeight="1" x14ac:dyDescent="0.35">
      <c r="B18" s="47" t="s">
        <v>35</v>
      </c>
      <c r="C18" s="48">
        <v>1500</v>
      </c>
      <c r="D18" s="48">
        <v>2175</v>
      </c>
      <c r="E18" s="11">
        <f>OperatingExpensesTable[[#This Row],[ACTUAL]]+(10^-6)*ROW(OperatingExpensesTable[[#This Row],[ACTUAL]])</f>
        <v>2175.0000180000002</v>
      </c>
      <c r="F18" s="49">
        <f>OperatingExpensesTable[[#This Row],[ESTIMATED]]-OperatingExpensesTable[[#This Row],[ACTUAL]]</f>
        <v>-675</v>
      </c>
      <c r="G18" s="28"/>
    </row>
    <row r="19" spans="2:7" ht="16.5" customHeight="1" x14ac:dyDescent="0.35">
      <c r="B19" s="47" t="s">
        <v>42</v>
      </c>
      <c r="C19" s="48">
        <v>2000</v>
      </c>
      <c r="D19" s="48">
        <v>1500</v>
      </c>
      <c r="E19" s="11">
        <f>OperatingExpensesTable[[#This Row],[ACTUAL]]+(10^-6)*ROW(OperatingExpensesTable[[#This Row],[ACTUAL]])</f>
        <v>1500.0000190000001</v>
      </c>
      <c r="F19" s="49">
        <f>OperatingExpensesTable[[#This Row],[ESTIMATED]]-OperatingExpensesTable[[#This Row],[ACTUAL]]</f>
        <v>500</v>
      </c>
      <c r="G19" s="28"/>
    </row>
    <row r="20" spans="2:7" ht="16.5" customHeight="1" x14ac:dyDescent="0.35">
      <c r="B20" s="47" t="s">
        <v>2</v>
      </c>
      <c r="C20" s="48">
        <v>1000</v>
      </c>
      <c r="D20" s="48">
        <v>1000</v>
      </c>
      <c r="E20" s="11">
        <f>OperatingExpensesTable[[#This Row],[ACTUAL]]+(10^-6)*ROW(OperatingExpensesTable[[#This Row],[ACTUAL]])</f>
        <v>1000.0000199999999</v>
      </c>
      <c r="F20" s="49">
        <f>OperatingExpensesTable[[#This Row],[ESTIMATED]]-OperatingExpensesTable[[#This Row],[ACTUAL]]</f>
        <v>0</v>
      </c>
      <c r="G20" s="28"/>
    </row>
    <row r="21" spans="2:7" ht="16.5" customHeight="1" x14ac:dyDescent="0.35">
      <c r="B21" s="47" t="s">
        <v>36</v>
      </c>
      <c r="C21" s="48">
        <v>500</v>
      </c>
      <c r="D21" s="48">
        <v>525</v>
      </c>
      <c r="E21" s="11">
        <f>OperatingExpensesTable[[#This Row],[ACTUAL]]+(10^-6)*ROW(OperatingExpensesTable[[#This Row],[ACTUAL]])</f>
        <v>525.00002099999995</v>
      </c>
      <c r="F21" s="49">
        <f>OperatingExpensesTable[[#This Row],[ESTIMATED]]-OperatingExpensesTable[[#This Row],[ACTUAL]]</f>
        <v>-25</v>
      </c>
      <c r="G21" s="28"/>
    </row>
    <row r="22" spans="2:7" ht="16.5" customHeight="1" x14ac:dyDescent="0.35">
      <c r="B22" s="47" t="s">
        <v>3</v>
      </c>
      <c r="C22" s="48">
        <v>1300</v>
      </c>
      <c r="D22" s="48">
        <v>1275</v>
      </c>
      <c r="E22" s="11">
        <f>OperatingExpensesTable[[#This Row],[ACTUAL]]+(10^-6)*ROW(OperatingExpensesTable[[#This Row],[ACTUAL]])</f>
        <v>1275.0000219999999</v>
      </c>
      <c r="F22" s="49">
        <f>OperatingExpensesTable[[#This Row],[ESTIMATED]]-OperatingExpensesTable[[#This Row],[ACTUAL]]</f>
        <v>25</v>
      </c>
      <c r="G22" s="28"/>
    </row>
    <row r="23" spans="2:7" ht="16.5" customHeight="1" x14ac:dyDescent="0.35">
      <c r="B23" s="47" t="s">
        <v>4</v>
      </c>
      <c r="C23" s="48">
        <v>2000</v>
      </c>
      <c r="D23" s="48">
        <v>2200</v>
      </c>
      <c r="E23" s="11">
        <f>OperatingExpensesTable[[#This Row],[ACTUAL]]+(10^-6)*ROW(OperatingExpensesTable[[#This Row],[ACTUAL]])</f>
        <v>2200.0000230000001</v>
      </c>
      <c r="F23" s="49">
        <f>OperatingExpensesTable[[#This Row],[ESTIMATED]]-OperatingExpensesTable[[#This Row],[ACTUAL]]</f>
        <v>-200</v>
      </c>
      <c r="G23" s="28"/>
    </row>
    <row r="24" spans="2:7" ht="16.5" customHeight="1" x14ac:dyDescent="0.35">
      <c r="B24" s="47" t="s">
        <v>37</v>
      </c>
      <c r="C24" s="48">
        <v>1000</v>
      </c>
      <c r="D24" s="48">
        <v>800</v>
      </c>
      <c r="E24" s="11">
        <f>OperatingExpensesTable[[#This Row],[ACTUAL]]+(10^-6)*ROW(OperatingExpensesTable[[#This Row],[ACTUAL]])</f>
        <v>800.00002400000005</v>
      </c>
      <c r="F24" s="49">
        <f>OperatingExpensesTable[[#This Row],[ESTIMATED]]-OperatingExpensesTable[[#This Row],[ACTUAL]]</f>
        <v>200</v>
      </c>
      <c r="G24" s="28"/>
    </row>
    <row r="25" spans="2:7" ht="16.5" customHeight="1" x14ac:dyDescent="0.35">
      <c r="B25" s="47" t="s">
        <v>38</v>
      </c>
      <c r="C25" s="48">
        <v>4500</v>
      </c>
      <c r="D25" s="48">
        <v>4600</v>
      </c>
      <c r="E25" s="11">
        <f>OperatingExpensesTable[[#This Row],[ACTUAL]]+(10^-6)*ROW(OperatingExpensesTable[[#This Row],[ACTUAL]])</f>
        <v>4600.0000250000003</v>
      </c>
      <c r="F25" s="49">
        <f>OperatingExpensesTable[[#This Row],[ESTIMATED]]-OperatingExpensesTable[[#This Row],[ACTUAL]]</f>
        <v>-100</v>
      </c>
      <c r="G25" s="28"/>
    </row>
    <row r="26" spans="2:7" ht="16.5" customHeight="1" x14ac:dyDescent="0.35">
      <c r="B26" s="47" t="s">
        <v>5</v>
      </c>
      <c r="C26" s="48">
        <v>800</v>
      </c>
      <c r="D26" s="48">
        <v>750</v>
      </c>
      <c r="E26" s="11">
        <f>OperatingExpensesTable[[#This Row],[ACTUAL]]+(10^-6)*ROW(OperatingExpensesTable[[#This Row],[ACTUAL]])</f>
        <v>750.00002600000005</v>
      </c>
      <c r="F26" s="49">
        <f>OperatingExpensesTable[[#This Row],[ESTIMATED]]-OperatingExpensesTable[[#This Row],[ACTUAL]]</f>
        <v>50</v>
      </c>
      <c r="G26" s="28"/>
    </row>
    <row r="27" spans="2:7" ht="16.5" customHeight="1" x14ac:dyDescent="0.35">
      <c r="B27" s="47" t="s">
        <v>6</v>
      </c>
      <c r="C27" s="48">
        <v>400</v>
      </c>
      <c r="D27" s="48">
        <v>350</v>
      </c>
      <c r="E27" s="11">
        <f>OperatingExpensesTable[[#This Row],[ACTUAL]]+(10^-6)*ROW(OperatingExpensesTable[[#This Row],[ACTUAL]])</f>
        <v>350.00002699999999</v>
      </c>
      <c r="F27" s="49">
        <f>OperatingExpensesTable[[#This Row],[ESTIMATED]]-OperatingExpensesTable[[#This Row],[ACTUAL]]</f>
        <v>50</v>
      </c>
      <c r="G27" s="28"/>
    </row>
    <row r="28" spans="2:7" ht="16.5" customHeight="1" x14ac:dyDescent="0.35">
      <c r="B28" s="47" t="s">
        <v>7</v>
      </c>
      <c r="C28" s="48">
        <v>4100</v>
      </c>
      <c r="D28" s="48">
        <v>4500</v>
      </c>
      <c r="E28" s="11">
        <f>OperatingExpensesTable[[#This Row],[ACTUAL]]+(10^-6)*ROW(OperatingExpensesTable[[#This Row],[ACTUAL]])</f>
        <v>4500.0000280000004</v>
      </c>
      <c r="F28" s="49">
        <f>OperatingExpensesTable[[#This Row],[ESTIMATED]]-OperatingExpensesTable[[#This Row],[ACTUAL]]</f>
        <v>-400</v>
      </c>
      <c r="G28" s="28"/>
    </row>
    <row r="29" spans="2:7" ht="16.5" customHeight="1" x14ac:dyDescent="0.35">
      <c r="B29" s="47" t="s">
        <v>8</v>
      </c>
      <c r="C29" s="48">
        <v>350</v>
      </c>
      <c r="D29" s="48">
        <v>400</v>
      </c>
      <c r="E29" s="11">
        <f>OperatingExpensesTable[[#This Row],[ACTUAL]]+(10^-6)*ROW(OperatingExpensesTable[[#This Row],[ACTUAL]])</f>
        <v>400.00002899999998</v>
      </c>
      <c r="F29" s="49">
        <f>OperatingExpensesTable[[#This Row],[ESTIMATED]]-OperatingExpensesTable[[#This Row],[ACTUAL]]</f>
        <v>-50</v>
      </c>
      <c r="G29" s="28"/>
    </row>
    <row r="30" spans="2:7" ht="16.5" customHeight="1" x14ac:dyDescent="0.35">
      <c r="B30" s="47" t="s">
        <v>9</v>
      </c>
      <c r="C30" s="48">
        <v>900</v>
      </c>
      <c r="D30" s="48">
        <v>840</v>
      </c>
      <c r="E30" s="11">
        <f>OperatingExpensesTable[[#This Row],[ACTUAL]]+(10^-6)*ROW(OperatingExpensesTable[[#This Row],[ACTUAL]])</f>
        <v>840.00003000000004</v>
      </c>
      <c r="F30" s="49">
        <f>OperatingExpensesTable[[#This Row],[ESTIMATED]]-OperatingExpensesTable[[#This Row],[ACTUAL]]</f>
        <v>60</v>
      </c>
      <c r="G30" s="28"/>
    </row>
    <row r="31" spans="2:7" ht="16.5" customHeight="1" x14ac:dyDescent="0.35">
      <c r="B31" s="47" t="s">
        <v>10</v>
      </c>
      <c r="C31" s="48">
        <v>5000</v>
      </c>
      <c r="D31" s="48">
        <v>4500</v>
      </c>
      <c r="E31" s="11">
        <f>OperatingExpensesTable[[#This Row],[ACTUAL]]+(10^-6)*ROW(OperatingExpensesTable[[#This Row],[ACTUAL]])</f>
        <v>4500.0000309999996</v>
      </c>
      <c r="F31" s="49">
        <f>OperatingExpensesTable[[#This Row],[ESTIMATED]]-OperatingExpensesTable[[#This Row],[ACTUAL]]</f>
        <v>500</v>
      </c>
      <c r="G31" s="28"/>
    </row>
    <row r="32" spans="2:7" ht="16.5" customHeight="1" x14ac:dyDescent="0.35">
      <c r="B32" s="47" t="s">
        <v>11</v>
      </c>
      <c r="C32" s="48">
        <v>3000</v>
      </c>
      <c r="D32" s="48">
        <v>3200</v>
      </c>
      <c r="E32" s="11">
        <f>OperatingExpensesTable[[#This Row],[ACTUAL]]+(10^-6)*ROW(OperatingExpensesTable[[#This Row],[ACTUAL]])</f>
        <v>3200.0000319999999</v>
      </c>
      <c r="F32" s="49">
        <f>OperatingExpensesTable[[#This Row],[ESTIMATED]]-OperatingExpensesTable[[#This Row],[ACTUAL]]</f>
        <v>-200</v>
      </c>
      <c r="G32" s="28"/>
    </row>
    <row r="33" spans="2:7" ht="16.5" customHeight="1" x14ac:dyDescent="0.35">
      <c r="B33" s="47" t="s">
        <v>12</v>
      </c>
      <c r="C33" s="48">
        <v>250</v>
      </c>
      <c r="D33" s="48">
        <v>280</v>
      </c>
      <c r="E33" s="11">
        <f>OperatingExpensesTable[[#This Row],[ACTUAL]]+(10^-6)*ROW(OperatingExpensesTable[[#This Row],[ACTUAL]])</f>
        <v>280.00003299999997</v>
      </c>
      <c r="F33" s="49">
        <f>OperatingExpensesTable[[#This Row],[ESTIMATED]]-OperatingExpensesTable[[#This Row],[ACTUAL]]</f>
        <v>-30</v>
      </c>
      <c r="G33" s="28"/>
    </row>
    <row r="34" spans="2:7" ht="16.5" customHeight="1" x14ac:dyDescent="0.35">
      <c r="B34" s="47" t="s">
        <v>13</v>
      </c>
      <c r="C34" s="48">
        <v>1400</v>
      </c>
      <c r="D34" s="48">
        <v>1385</v>
      </c>
      <c r="E34" s="11">
        <f>OperatingExpensesTable[[#This Row],[ACTUAL]]+(10^-6)*ROW(OperatingExpensesTable[[#This Row],[ACTUAL]])</f>
        <v>1385.0000339999999</v>
      </c>
      <c r="F34" s="49">
        <f>OperatingExpensesTable[[#This Row],[ESTIMATED]]-OperatingExpensesTable[[#This Row],[ACTUAL]]</f>
        <v>15</v>
      </c>
      <c r="G34" s="28"/>
    </row>
    <row r="35" spans="2:7" ht="16.5" customHeight="1" x14ac:dyDescent="0.35">
      <c r="B35" s="47" t="s">
        <v>0</v>
      </c>
      <c r="C35" s="48">
        <v>1000</v>
      </c>
      <c r="D35" s="48">
        <v>750</v>
      </c>
      <c r="E35" s="11">
        <f>OperatingExpensesTable[[#This Row],[ACTUAL]]+(10^-6)*ROW(OperatingExpensesTable[[#This Row],[ACTUAL]])</f>
        <v>750.00003500000003</v>
      </c>
      <c r="F35" s="49">
        <f>OperatingExpensesTable[[#This Row],[ESTIMATED]]-OperatingExpensesTable[[#This Row],[ACTUAL]]</f>
        <v>250</v>
      </c>
      <c r="G35" s="28"/>
    </row>
    <row r="36" spans="2:7" ht="16.5" customHeight="1" x14ac:dyDescent="0.35">
      <c r="B36" s="19" t="s">
        <v>45</v>
      </c>
      <c r="C36" s="22">
        <f>SUBTOTAL(109,OperatingExpensesTable[ESTIMATED])</f>
        <v>36000</v>
      </c>
      <c r="D36" s="22">
        <f>SUBTOTAL(109,OperatingExpensesTable[ACTUAL])</f>
        <v>35530</v>
      </c>
      <c r="E36" s="37"/>
      <c r="F36" s="22">
        <f>SUBTOTAL(109,OperatingExpensesTable[DIFFERENCE])</f>
        <v>470</v>
      </c>
      <c r="G36" s="29"/>
    </row>
  </sheetData>
  <sheetProtection insertColumns="0" insertRows="0" deleteColumns="0" deleteRows="0" selectLockedCells="1" autoFilter="0"/>
  <conditionalFormatting sqref="F7 F13 F36">
    <cfRule type="cellIs" dxfId="15" priority="1" operator="lessThan">
      <formula>0</formula>
    </cfRule>
  </conditionalFormatting>
  <dataValidations count="2">
    <dataValidation type="custom" allowBlank="1" showInputMessage="1" showErrorMessage="1" errorTitle="ALERT" error="This cell is automatically populated and should not be overwitten. Overwriting this cell would break calculations in this worksheet." sqref="G4:G6 G10:G12 G16:G35" xr:uid="{00000000-0002-0000-0100-000000000000}">
      <formula1>LEN(G4)=""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4:F6 F10:F12 F16:F35" xr:uid="{00000000-0002-0000-0100-000001000000}"/>
  </dataValidations>
  <printOptions horizontalCentered="1"/>
  <pageMargins left="0.25" right="0.25" top="0.25" bottom="0.25" header="0" footer="0"/>
  <pageSetup paperSize="9" fitToHeight="0" orientation="portrait" r:id="rId1"/>
  <headerFooter differentFirst="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0000000-000E-0000-0100-00000200000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G16:G35 G4:G6 G10:G12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Budget Summary</vt:lpstr>
      <vt:lpstr>Monthly Budget Details</vt:lpstr>
      <vt:lpstr>COMPANY_NAME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Shang PeiXu</dc:creator>
  <cp:lastModifiedBy>Bai Yuan</cp:lastModifiedBy>
  <cp:lastPrinted>2019-05-10T01:42:39Z</cp:lastPrinted>
  <dcterms:created xsi:type="dcterms:W3CDTF">2015-08-26T21:44:53Z</dcterms:created>
  <dcterms:modified xsi:type="dcterms:W3CDTF">2019-05-10T01:44:58Z</dcterms:modified>
</cp:coreProperties>
</file>