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52C6588B-5F48-4345-8837-D484BB29F836}" xr6:coauthVersionLast="47" xr6:coauthVersionMax="47" xr10:uidLastSave="{00000000-0000-0000-0000-000000000000}"/>
  <bookViews>
    <workbookView xWindow="7275" yWindow="1830" windowWidth="24975" windowHeight="16200" xr2:uid="{E39AE9FB-F613-4F5F-A005-99F9E982E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H45" i="1"/>
  <c r="I45" i="1"/>
  <c r="F23" i="1"/>
  <c r="F22" i="1"/>
  <c r="F21" i="1"/>
  <c r="F17" i="1"/>
  <c r="F16" i="1"/>
  <c r="F15" i="1"/>
  <c r="F13" i="1"/>
  <c r="F12" i="1"/>
  <c r="F11" i="1"/>
  <c r="F10" i="1"/>
  <c r="F8" i="1"/>
  <c r="F7" i="1"/>
  <c r="F6" i="1"/>
  <c r="F5" i="1"/>
  <c r="F19" i="1"/>
  <c r="E19" i="1"/>
  <c r="D19" i="1"/>
  <c r="C19" i="1"/>
  <c r="E14" i="1"/>
  <c r="D14" i="1"/>
  <c r="C14" i="1"/>
  <c r="E9" i="1"/>
  <c r="D9" i="1"/>
  <c r="D20" i="1" s="1"/>
  <c r="D24" i="1" s="1"/>
  <c r="D25" i="1" s="1"/>
  <c r="C9" i="1"/>
  <c r="J23" i="1"/>
  <c r="J22" i="1"/>
  <c r="J21" i="1"/>
  <c r="J18" i="1"/>
  <c r="J17" i="1"/>
  <c r="J16" i="1"/>
  <c r="J15" i="1"/>
  <c r="J13" i="1"/>
  <c r="J12" i="1"/>
  <c r="J11" i="1"/>
  <c r="J10" i="1"/>
  <c r="J8" i="1"/>
  <c r="J7" i="1"/>
  <c r="J6" i="1"/>
  <c r="J5" i="1"/>
  <c r="N23" i="1"/>
  <c r="N22" i="1"/>
  <c r="N21" i="1"/>
  <c r="N18" i="1"/>
  <c r="N17" i="1"/>
  <c r="N16" i="1"/>
  <c r="N15" i="1"/>
  <c r="N13" i="1"/>
  <c r="N12" i="1"/>
  <c r="N11" i="1"/>
  <c r="N10" i="1"/>
  <c r="N8" i="1"/>
  <c r="N7" i="1"/>
  <c r="N6" i="1"/>
  <c r="N5" i="1"/>
  <c r="N9" i="1" s="1"/>
  <c r="P55" i="1"/>
  <c r="O55" i="1"/>
  <c r="N55" i="1"/>
  <c r="M55" i="1"/>
  <c r="L55" i="1"/>
  <c r="K55" i="1"/>
  <c r="J55" i="1"/>
  <c r="I55" i="1"/>
  <c r="H55" i="1"/>
  <c r="G55" i="1"/>
  <c r="P43" i="1"/>
  <c r="O43" i="1"/>
  <c r="N43" i="1"/>
  <c r="M43" i="1"/>
  <c r="L43" i="1"/>
  <c r="K43" i="1"/>
  <c r="J43" i="1"/>
  <c r="I43" i="1"/>
  <c r="H43" i="1"/>
  <c r="G43" i="1"/>
  <c r="P45" i="1"/>
  <c r="P32" i="1" s="1"/>
  <c r="O45" i="1"/>
  <c r="O32" i="1" s="1"/>
  <c r="N45" i="1"/>
  <c r="N32" i="1" s="1"/>
  <c r="M45" i="1"/>
  <c r="M32" i="1" s="1"/>
  <c r="L45" i="1"/>
  <c r="L32" i="1" s="1"/>
  <c r="K45" i="1"/>
  <c r="K32" i="1" s="1"/>
  <c r="J45" i="1"/>
  <c r="J32" i="1" s="1"/>
  <c r="I32" i="1"/>
  <c r="H32" i="1"/>
  <c r="G32" i="1"/>
  <c r="Q45" i="1"/>
  <c r="Q32" i="1" s="1"/>
  <c r="Q55" i="1"/>
  <c r="Q43" i="1"/>
  <c r="P9" i="1"/>
  <c r="O9" i="1"/>
  <c r="M9" i="1"/>
  <c r="L9" i="1"/>
  <c r="K9" i="1"/>
  <c r="I9" i="1"/>
  <c r="H9" i="1"/>
  <c r="G9" i="1"/>
  <c r="P14" i="1"/>
  <c r="O14" i="1"/>
  <c r="M14" i="1"/>
  <c r="L14" i="1"/>
  <c r="K14" i="1"/>
  <c r="I14" i="1"/>
  <c r="H14" i="1"/>
  <c r="G14" i="1"/>
  <c r="P19" i="1"/>
  <c r="O19" i="1"/>
  <c r="M19" i="1"/>
  <c r="L19" i="1"/>
  <c r="K19" i="1"/>
  <c r="I19" i="1"/>
  <c r="H19" i="1"/>
  <c r="G19" i="1"/>
  <c r="Q19" i="1"/>
  <c r="Q14" i="1"/>
  <c r="Q9" i="1"/>
  <c r="C20" i="1" l="1"/>
  <c r="C24" i="1" s="1"/>
  <c r="C25" i="1" s="1"/>
  <c r="Q20" i="1"/>
  <c r="Q24" i="1" s="1"/>
  <c r="Q25" i="1" s="1"/>
  <c r="F14" i="1"/>
  <c r="E20" i="1"/>
  <c r="E24" i="1" s="1"/>
  <c r="E25" i="1" s="1"/>
  <c r="F9" i="1"/>
  <c r="J19" i="1"/>
  <c r="J9" i="1"/>
  <c r="I20" i="1"/>
  <c r="I24" i="1" s="1"/>
  <c r="I25" i="1" s="1"/>
  <c r="G20" i="1"/>
  <c r="G24" i="1" s="1"/>
  <c r="G25" i="1" s="1"/>
  <c r="H20" i="1"/>
  <c r="H24" i="1" s="1"/>
  <c r="H25" i="1" s="1"/>
  <c r="M20" i="1"/>
  <c r="M24" i="1" s="1"/>
  <c r="M25" i="1" s="1"/>
  <c r="N19" i="1"/>
  <c r="J14" i="1"/>
  <c r="N14" i="1"/>
  <c r="N20" i="1" s="1"/>
  <c r="N24" i="1" s="1"/>
  <c r="N25" i="1" s="1"/>
  <c r="K20" i="1"/>
  <c r="K24" i="1" s="1"/>
  <c r="K25" i="1" s="1"/>
  <c r="O20" i="1"/>
  <c r="O24" i="1" s="1"/>
  <c r="O25" i="1" s="1"/>
  <c r="L20" i="1"/>
  <c r="L24" i="1" s="1"/>
  <c r="L25" i="1" s="1"/>
  <c r="P20" i="1"/>
  <c r="P24" i="1" s="1"/>
  <c r="P25" i="1" s="1"/>
  <c r="J20" i="1" l="1"/>
  <c r="J24" i="1" s="1"/>
  <c r="J25" i="1" s="1"/>
  <c r="F20" i="1"/>
  <c r="F24" i="1" s="1"/>
  <c r="F25" i="1" s="1"/>
</calcChain>
</file>

<file path=xl/sharedStrings.xml><?xml version="1.0" encoding="utf-8"?>
<sst xmlns="http://schemas.openxmlformats.org/spreadsheetml/2006/main" count="65" uniqueCount="61">
  <si>
    <t>main</t>
  </si>
  <si>
    <t>Income Statement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</si>
  <si>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</si>
  <si>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</si>
  <si>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</si>
  <si>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</si>
  <si>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</si>
  <si>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</si>
  <si>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</si>
  <si>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</si>
  <si>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</si>
  <si>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</si>
  <si>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</si>
  <si>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</si>
  <si>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 Licenses</t>
  </si>
  <si>
    <t>Subscription Services</t>
  </si>
  <si>
    <t>Profuct Support</t>
  </si>
  <si>
    <t>Other Services</t>
  </si>
  <si>
    <t>Revenue</t>
  </si>
  <si>
    <t>Product Support</t>
  </si>
  <si>
    <t>Cost of Revenue</t>
  </si>
  <si>
    <t>Sales and Marketing</t>
  </si>
  <si>
    <t>R&amp;D</t>
  </si>
  <si>
    <t>General and Admin</t>
  </si>
  <si>
    <t>Digital Asset Impairment</t>
  </si>
  <si>
    <t>Expenses</t>
  </si>
  <si>
    <t>Other Income</t>
  </si>
  <si>
    <t>Taxes (benefit)</t>
  </si>
  <si>
    <t>Net Income</t>
  </si>
  <si>
    <t>EPS</t>
  </si>
  <si>
    <t xml:space="preserve">Shares </t>
  </si>
  <si>
    <t>Balance Sheet</t>
  </si>
  <si>
    <t>Cash</t>
  </si>
  <si>
    <t>Restricted Cash</t>
  </si>
  <si>
    <t>Accounts Receivable</t>
  </si>
  <si>
    <t xml:space="preserve">Prepaid Expenses </t>
  </si>
  <si>
    <t>Digital Assets</t>
  </si>
  <si>
    <t>PP&amp;E</t>
  </si>
  <si>
    <t>Right-Of-Use Assets</t>
  </si>
  <si>
    <t>Deposits and other</t>
  </si>
  <si>
    <t>Defeered tax Assets</t>
  </si>
  <si>
    <t>Assets</t>
  </si>
  <si>
    <t>Debt</t>
  </si>
  <si>
    <t>Accounts Payable</t>
  </si>
  <si>
    <t>Accrued Interest</t>
  </si>
  <si>
    <t>Deferred Revenue</t>
  </si>
  <si>
    <t>Accrued Compensation +employee benefits</t>
  </si>
  <si>
    <t>Long-Term Debt</t>
  </si>
  <si>
    <t>Deferred non-current revenue</t>
  </si>
  <si>
    <t>Operating Lease Liabilities</t>
  </si>
  <si>
    <t>Other Long-Term Liabilities</t>
  </si>
  <si>
    <t>Deferred Tax Liabilities</t>
  </si>
  <si>
    <t>Liabilities</t>
  </si>
  <si>
    <t>Interest Expense (loss)</t>
  </si>
  <si>
    <t>Operating Income</t>
  </si>
  <si>
    <t>g</t>
  </si>
  <si>
    <t>Q119</t>
  </si>
  <si>
    <t>Q219</t>
  </si>
  <si>
    <t>Q319</t>
  </si>
  <si>
    <t>Q419</t>
  </si>
  <si>
    <t>Short-Term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</si>
</sst>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8B54-DABC-4048-B6E4-AF4393711BFE}">
  <dimension ref="A1:CJ55"/>
  <sheetViews>
    <sheetView tabSelected="1" zoomScale="115" zoomScaleNormal="11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45" sqref="H45"/>
    </sheetView>
  </sheetViews>
  <sheetFormatPr defaultRowHeight="15" x14ac:dyDescent="0.25"/>
  <cols>
    <col min="2" max="2" width="32" customWidth="1"/>
    <col min="3" max="3" width="8.5703125" customWidth="1"/>
    <col min="4" max="6" width="9.42578125" customWidth="1"/>
  </cols>
  <sheetData>
    <row r="1" spans="1:18" x14ac:dyDescent="0.25">
      <c r="A1" t="s">
        <v>0</v>
      </c>
    </row>
    <row r="2" spans="1:18" x14ac:dyDescent="0.25">
      <c r="C2" t="s">
        <v>56</v>
      </c>
      <c r="D2" t="s">
        <v>57</v>
      </c>
      <c r="E2" t="s">
        <v>58</v>
      </c>
      <c r="F2" t="s">
        <v>59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4" spans="1:18" x14ac:dyDescent="0.25">
      <c r="B4" s="1" t="s">
        <v>1</v>
      </c>
      <c r="C4" s="1"/>
      <c r="D4" s="1"/>
      <c r="E4" s="1"/>
      <c r="F4" s="1"/>
    </row>
    <row r="5" spans="1:18" x14ac:dyDescent="0.25">
      <c r="B5" t="s">
        <v>14</v>
      </c>
      <c r="C5">
        <v>18.291</v>
      </c>
      <c r="D5">
        <v>20.120999999999999</v>
      </c>
      <c r="E5">
        <v>18.972000000000001</v>
      </c>
      <c r="F5">
        <f>87.471-E5-D5-C5</f>
        <v>30.087</v>
      </c>
      <c r="G5">
        <v>12.584</v>
      </c>
      <c r="H5">
        <v>14.816000000000001</v>
      </c>
      <c r="I5">
        <v>29.573</v>
      </c>
      <c r="J5">
        <f>86.743-I5-H5-G5</f>
        <v>29.769999999999992</v>
      </c>
      <c r="K5">
        <v>21.28</v>
      </c>
      <c r="L5">
        <v>22.151</v>
      </c>
      <c r="M5">
        <v>25.83</v>
      </c>
      <c r="N5">
        <f>101.804-M5-L5-K5</f>
        <v>32.543000000000006</v>
      </c>
      <c r="O5">
        <v>16.513000000000002</v>
      </c>
      <c r="P5">
        <v>20.129000000000001</v>
      </c>
      <c r="Q5">
        <v>22.286000000000001</v>
      </c>
    </row>
    <row r="6" spans="1:18" x14ac:dyDescent="0.25">
      <c r="B6" t="s">
        <v>15</v>
      </c>
      <c r="C6">
        <v>7.1440000000000001</v>
      </c>
      <c r="D6">
        <v>7.1040000000000001</v>
      </c>
      <c r="E6">
        <v>7.8940000000000001</v>
      </c>
      <c r="F6">
        <f>29.394-E6-D6-C6</f>
        <v>7.2520000000000007</v>
      </c>
      <c r="G6">
        <v>7.968</v>
      </c>
      <c r="H6">
        <v>8.0210000000000008</v>
      </c>
      <c r="I6">
        <v>8.3049999999999997</v>
      </c>
      <c r="J6">
        <f>33.082-I6-H6-G6</f>
        <v>8.7880000000000003</v>
      </c>
      <c r="K6">
        <v>10.026</v>
      </c>
      <c r="L6">
        <v>10.342000000000001</v>
      </c>
      <c r="M6">
        <v>10.853</v>
      </c>
      <c r="N6">
        <f>43.069-M6-L6-K6</f>
        <v>11.848000000000003</v>
      </c>
      <c r="O6">
        <v>12.845000000000001</v>
      </c>
      <c r="P6">
        <v>14.016999999999999</v>
      </c>
      <c r="Q6">
        <v>16.414000000000001</v>
      </c>
    </row>
    <row r="7" spans="1:18" x14ac:dyDescent="0.25">
      <c r="B7" t="s">
        <v>16</v>
      </c>
      <c r="C7">
        <v>71.45</v>
      </c>
      <c r="D7">
        <v>72.977999999999994</v>
      </c>
      <c r="E7">
        <v>72.885000000000005</v>
      </c>
      <c r="F7">
        <f>292.035-E7-D7-C7</f>
        <v>74.722000000000023</v>
      </c>
      <c r="G7">
        <v>71.158000000000001</v>
      </c>
      <c r="H7">
        <v>70.037999999999997</v>
      </c>
      <c r="I7">
        <v>71.352000000000004</v>
      </c>
      <c r="J7">
        <f>284.434-I7-H7-G7</f>
        <v>71.886000000000038</v>
      </c>
      <c r="K7">
        <v>70.649000000000001</v>
      </c>
      <c r="L7">
        <v>71.027000000000001</v>
      </c>
      <c r="M7">
        <v>70.387</v>
      </c>
      <c r="N7">
        <f>281.209-M7-L7-K7</f>
        <v>69.146000000000015</v>
      </c>
      <c r="O7">
        <v>67.150999999999996</v>
      </c>
      <c r="P7">
        <v>66.521000000000001</v>
      </c>
      <c r="Q7">
        <v>66.010000000000005</v>
      </c>
    </row>
    <row r="8" spans="1:18" x14ac:dyDescent="0.25">
      <c r="B8" t="s">
        <v>17</v>
      </c>
      <c r="C8">
        <v>18.481000000000002</v>
      </c>
      <c r="D8">
        <v>17.533999999999999</v>
      </c>
      <c r="E8">
        <v>19.942</v>
      </c>
      <c r="F8">
        <f>77.427-E8-D8-C8</f>
        <v>21.470000000000006</v>
      </c>
      <c r="G8">
        <v>19.713999999999999</v>
      </c>
      <c r="H8">
        <v>17.709</v>
      </c>
      <c r="I8">
        <v>18.178000000000001</v>
      </c>
      <c r="J8">
        <f>-76.476-I8-H8-G8</f>
        <v>-132.077</v>
      </c>
      <c r="K8">
        <v>20.946999999999999</v>
      </c>
      <c r="L8">
        <v>21.831</v>
      </c>
      <c r="M8">
        <v>20.923999999999999</v>
      </c>
      <c r="N8">
        <f>84.68-M8-L8-K8</f>
        <v>20.978000000000012</v>
      </c>
      <c r="O8">
        <v>22.768000000000001</v>
      </c>
      <c r="P8">
        <v>21.405999999999999</v>
      </c>
      <c r="Q8">
        <v>20.65</v>
      </c>
    </row>
    <row r="9" spans="1:18" x14ac:dyDescent="0.25">
      <c r="B9" s="2" t="s">
        <v>18</v>
      </c>
      <c r="C9" s="2">
        <f t="shared" ref="C9" si="0">SUM(C5:C8)</f>
        <v>115.36600000000001</v>
      </c>
      <c r="D9" s="2">
        <f t="shared" ref="D9" si="1">SUM(D5:D8)</f>
        <v>117.73699999999999</v>
      </c>
      <c r="E9" s="2">
        <f t="shared" ref="E9" si="2">SUM(E5:E8)</f>
        <v>119.69300000000001</v>
      </c>
      <c r="F9" s="2">
        <f t="shared" ref="F9" si="3">SUM(F5:F8)</f>
        <v>133.53100000000003</v>
      </c>
      <c r="G9" s="2">
        <f t="shared" ref="G9:P9" si="4">SUM(G5:G8)</f>
        <v>111.42400000000001</v>
      </c>
      <c r="H9" s="2">
        <f t="shared" si="4"/>
        <v>110.584</v>
      </c>
      <c r="I9" s="2">
        <f t="shared" si="4"/>
        <v>127.408</v>
      </c>
      <c r="J9" s="2">
        <f t="shared" si="4"/>
        <v>-21.632999999999967</v>
      </c>
      <c r="K9" s="2">
        <f t="shared" si="4"/>
        <v>122.902</v>
      </c>
      <c r="L9" s="2">
        <f t="shared" si="4"/>
        <v>125.35100000000001</v>
      </c>
      <c r="M9" s="2">
        <f t="shared" si="4"/>
        <v>127.994</v>
      </c>
      <c r="N9" s="2">
        <f t="shared" si="4"/>
        <v>134.51500000000004</v>
      </c>
      <c r="O9" s="2">
        <f t="shared" si="4"/>
        <v>119.277</v>
      </c>
      <c r="P9" s="2">
        <f t="shared" si="4"/>
        <v>122.07300000000001</v>
      </c>
      <c r="Q9" s="2">
        <f>SUM(Q5:Q8)</f>
        <v>125.36000000000001</v>
      </c>
    </row>
    <row r="10" spans="1:18" x14ac:dyDescent="0.25">
      <c r="B10" t="s">
        <v>14</v>
      </c>
      <c r="C10">
        <v>0.51900000000000002</v>
      </c>
      <c r="D10">
        <v>0.55200000000000005</v>
      </c>
      <c r="E10">
        <v>0.52600000000000002</v>
      </c>
      <c r="F10">
        <f>2.131-E10-D10-C10</f>
        <v>0.5339999999999997</v>
      </c>
      <c r="G10">
        <v>0.67</v>
      </c>
      <c r="H10">
        <v>0.51400000000000001</v>
      </c>
      <c r="I10">
        <v>0.54500000000000004</v>
      </c>
      <c r="J10">
        <f>2.293-I10-H10-G10</f>
        <v>0.56400000000000017</v>
      </c>
      <c r="K10">
        <v>0.48799999999999999</v>
      </c>
      <c r="L10">
        <v>0.41899999999999998</v>
      </c>
      <c r="M10">
        <v>0.38300000000000001</v>
      </c>
      <c r="N10">
        <f>1.721-M10-L10-K10</f>
        <v>0.43100000000000005</v>
      </c>
      <c r="O10">
        <v>0.47699999999999998</v>
      </c>
      <c r="P10">
        <v>0.43099999999999999</v>
      </c>
      <c r="Q10">
        <v>0.40600000000000003</v>
      </c>
    </row>
    <row r="11" spans="1:18" x14ac:dyDescent="0.25">
      <c r="B11" t="s">
        <v>15</v>
      </c>
      <c r="C11">
        <v>3.5979999999999999</v>
      </c>
      <c r="D11">
        <v>3.4889999999999999</v>
      </c>
      <c r="E11">
        <v>3.8889999999999998</v>
      </c>
      <c r="F11">
        <f>15.161-E11-D11-C11</f>
        <v>4.1850000000000005</v>
      </c>
      <c r="G11">
        <v>4.0640000000000001</v>
      </c>
      <c r="H11">
        <v>3.7919999999999998</v>
      </c>
      <c r="I11">
        <v>3.6560000000000001</v>
      </c>
      <c r="J11">
        <f>14.833-I11-H11-G11</f>
        <v>3.3209999999999997</v>
      </c>
      <c r="K11">
        <v>3.6280000000000001</v>
      </c>
      <c r="L11">
        <v>3.81</v>
      </c>
      <c r="M11">
        <v>4.282</v>
      </c>
      <c r="N11">
        <f>16.901-M11-L11-K11</f>
        <v>5.1809999999999992</v>
      </c>
      <c r="O11">
        <v>5.41</v>
      </c>
      <c r="P11">
        <v>5.4980000000000002</v>
      </c>
      <c r="Q11">
        <v>6.3949999999999996</v>
      </c>
    </row>
    <row r="12" spans="1:18" x14ac:dyDescent="0.25">
      <c r="B12" t="s">
        <v>19</v>
      </c>
      <c r="C12">
        <v>7.0670000000000002</v>
      </c>
      <c r="D12">
        <v>7.7210000000000001</v>
      </c>
      <c r="E12">
        <v>6.9219999999999997</v>
      </c>
      <c r="F12">
        <f>28.317-E12-D12-C12</f>
        <v>6.6069999999999993</v>
      </c>
      <c r="G12">
        <v>6.718</v>
      </c>
      <c r="H12">
        <v>6.8369999999999997</v>
      </c>
      <c r="I12">
        <v>5.6790000000000003</v>
      </c>
      <c r="J12">
        <f>23.977-I12-H12-G12</f>
        <v>4.7430000000000021</v>
      </c>
      <c r="K12">
        <v>4.8120000000000003</v>
      </c>
      <c r="L12">
        <v>4.8620000000000001</v>
      </c>
      <c r="M12">
        <v>4.6790000000000003</v>
      </c>
      <c r="N12">
        <f>19.254-M12-L12-K12</f>
        <v>4.9010000000000007</v>
      </c>
      <c r="O12">
        <v>5.1909999999999998</v>
      </c>
      <c r="P12">
        <v>5.1269999999999998</v>
      </c>
      <c r="Q12">
        <v>5.2240000000000002</v>
      </c>
    </row>
    <row r="13" spans="1:18" x14ac:dyDescent="0.25">
      <c r="B13" t="s">
        <v>17</v>
      </c>
      <c r="C13">
        <v>14.989000000000001</v>
      </c>
      <c r="D13">
        <v>13.587999999999999</v>
      </c>
      <c r="E13">
        <v>12.478</v>
      </c>
      <c r="F13">
        <f>54.365-E13-D13-C13</f>
        <v>13.309999999999999</v>
      </c>
      <c r="G13">
        <v>13.093</v>
      </c>
      <c r="H13">
        <v>12.846</v>
      </c>
      <c r="I13">
        <v>11.856</v>
      </c>
      <c r="J13">
        <f>49.952-I13-H13-G13</f>
        <v>12.156999999999996</v>
      </c>
      <c r="K13">
        <v>13.621</v>
      </c>
      <c r="L13">
        <v>13.946999999999999</v>
      </c>
      <c r="M13">
        <v>12.975</v>
      </c>
      <c r="N13">
        <f>54.033-M13-L13-K13</f>
        <v>13.49</v>
      </c>
      <c r="O13">
        <v>14.599</v>
      </c>
      <c r="P13">
        <v>14.148</v>
      </c>
      <c r="Q13">
        <v>13.36</v>
      </c>
    </row>
    <row r="14" spans="1:18" x14ac:dyDescent="0.25">
      <c r="B14" s="2" t="s">
        <v>20</v>
      </c>
      <c r="C14" s="2">
        <f t="shared" ref="C14" si="5">SUM(C10:C13)</f>
        <v>26.173000000000002</v>
      </c>
      <c r="D14" s="2">
        <f t="shared" ref="D14" si="6">SUM(D10:D13)</f>
        <v>25.35</v>
      </c>
      <c r="E14" s="2">
        <f t="shared" ref="E14" si="7">SUM(E10:E13)</f>
        <v>23.814999999999998</v>
      </c>
      <c r="F14" s="2">
        <f t="shared" ref="F14" si="8">SUM(F10:F13)</f>
        <v>24.635999999999999</v>
      </c>
      <c r="G14" s="2">
        <f t="shared" ref="G14:P14" si="9">SUM(G10:G13)</f>
        <v>24.545000000000002</v>
      </c>
      <c r="H14" s="2">
        <f t="shared" si="9"/>
        <v>23.989000000000001</v>
      </c>
      <c r="I14" s="2">
        <f t="shared" si="9"/>
        <v>21.736000000000001</v>
      </c>
      <c r="J14" s="2">
        <f t="shared" si="9"/>
        <v>20.784999999999997</v>
      </c>
      <c r="K14" s="2">
        <f t="shared" si="9"/>
        <v>22.548999999999999</v>
      </c>
      <c r="L14" s="2">
        <f t="shared" si="9"/>
        <v>23.038</v>
      </c>
      <c r="M14" s="2">
        <f t="shared" si="9"/>
        <v>22.319000000000003</v>
      </c>
      <c r="N14" s="2">
        <f t="shared" si="9"/>
        <v>24.003</v>
      </c>
      <c r="O14" s="2">
        <f t="shared" si="9"/>
        <v>25.677</v>
      </c>
      <c r="P14" s="2">
        <f t="shared" si="9"/>
        <v>25.204000000000001</v>
      </c>
      <c r="Q14" s="2">
        <f>SUM(Q10:Q13)</f>
        <v>25.384999999999998</v>
      </c>
    </row>
    <row r="15" spans="1:18" x14ac:dyDescent="0.25">
      <c r="B15" t="s">
        <v>21</v>
      </c>
      <c r="C15">
        <v>48.76</v>
      </c>
      <c r="D15">
        <v>48.273000000000003</v>
      </c>
      <c r="E15">
        <v>43.935000000000002</v>
      </c>
      <c r="F15">
        <f>191.235-E15-D15-C15</f>
        <v>50.267000000000017</v>
      </c>
      <c r="G15">
        <v>39.518000000000001</v>
      </c>
      <c r="H15">
        <v>34.951000000000001</v>
      </c>
      <c r="I15">
        <v>35.33</v>
      </c>
      <c r="J15">
        <f>148.91-I15-H15-G15</f>
        <v>39.11099999999999</v>
      </c>
      <c r="K15">
        <v>38.198</v>
      </c>
      <c r="L15">
        <v>40.320999999999998</v>
      </c>
      <c r="M15">
        <v>38.209000000000003</v>
      </c>
      <c r="N15">
        <f>160.141-M15-L15-K15</f>
        <v>43.41299999999999</v>
      </c>
      <c r="O15">
        <v>33.24</v>
      </c>
      <c r="P15">
        <v>36.862000000000002</v>
      </c>
      <c r="Q15">
        <v>35.408999999999999</v>
      </c>
    </row>
    <row r="16" spans="1:18" x14ac:dyDescent="0.25">
      <c r="B16" t="s">
        <v>22</v>
      </c>
      <c r="C16">
        <v>28.215</v>
      </c>
      <c r="D16">
        <v>27.763999999999999</v>
      </c>
      <c r="E16">
        <v>27.457000000000001</v>
      </c>
      <c r="F16">
        <f>109.423-E16-D16-C16</f>
        <v>25.987000000000013</v>
      </c>
      <c r="G16">
        <v>26.100999999999999</v>
      </c>
      <c r="H16">
        <v>25.867000000000001</v>
      </c>
      <c r="I16">
        <v>26.638000000000002</v>
      </c>
      <c r="J16">
        <f>103.561-I16-H16-G16</f>
        <v>24.954999999999998</v>
      </c>
      <c r="K16">
        <v>29.483000000000001</v>
      </c>
      <c r="L16">
        <v>28.547999999999998</v>
      </c>
      <c r="M16">
        <v>28.210999999999999</v>
      </c>
      <c r="N16">
        <f>117.117-M16-L16-K16</f>
        <v>30.875000000000004</v>
      </c>
      <c r="O16">
        <v>33.523000000000003</v>
      </c>
      <c r="P16">
        <v>31.79</v>
      </c>
      <c r="Q16">
        <v>30.498000000000001</v>
      </c>
    </row>
    <row r="17" spans="2:17" x14ac:dyDescent="0.25">
      <c r="B17" t="s">
        <v>23</v>
      </c>
      <c r="C17">
        <v>22.603999999999999</v>
      </c>
      <c r="D17">
        <v>21.18</v>
      </c>
      <c r="E17">
        <v>19.899999999999999</v>
      </c>
      <c r="F17">
        <f>86.697-E17-D17-C17</f>
        <v>23.012999999999998</v>
      </c>
      <c r="G17">
        <v>21.332000000000001</v>
      </c>
      <c r="H17">
        <v>19.449000000000002</v>
      </c>
      <c r="I17">
        <v>19.733000000000001</v>
      </c>
      <c r="J17">
        <f>80.136-I17-H17-G17</f>
        <v>19.621999999999993</v>
      </c>
      <c r="K17">
        <v>21.728999999999999</v>
      </c>
      <c r="L17">
        <v>22.917000000000002</v>
      </c>
      <c r="M17">
        <v>23.751000000000001</v>
      </c>
      <c r="N17">
        <f>95.501-M17-L17-K17</f>
        <v>27.103999999999999</v>
      </c>
      <c r="O17">
        <v>26.706</v>
      </c>
      <c r="P17">
        <v>28.501999999999999</v>
      </c>
      <c r="Q17">
        <v>27.283000000000001</v>
      </c>
    </row>
    <row r="18" spans="2:17" x14ac:dyDescent="0.25"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44.241999999999997</v>
      </c>
      <c r="J18">
        <f>70.698-I18-H18-G18</f>
        <v>26.455999999999996</v>
      </c>
      <c r="K18">
        <v>194.095</v>
      </c>
      <c r="L18">
        <v>424.774</v>
      </c>
      <c r="M18">
        <v>65.165000000000006</v>
      </c>
      <c r="N18">
        <f>830.621-M18-L18-K18</f>
        <v>146.58700000000002</v>
      </c>
      <c r="O18">
        <v>170.09100000000001</v>
      </c>
      <c r="P18">
        <v>917.83799999999997</v>
      </c>
      <c r="Q18">
        <v>0.72699999999999998</v>
      </c>
    </row>
    <row r="19" spans="2:17" x14ac:dyDescent="0.25">
      <c r="B19" s="2" t="s">
        <v>25</v>
      </c>
      <c r="C19" s="2">
        <f t="shared" ref="C19" si="10">SUM(C15:C18)</f>
        <v>99.578999999999994</v>
      </c>
      <c r="D19" s="2">
        <f t="shared" ref="D19" si="11">SUM(D15:D18)</f>
        <v>97.217000000000013</v>
      </c>
      <c r="E19" s="2">
        <f t="shared" ref="E19" si="12">SUM(E15:E18)</f>
        <v>91.292000000000002</v>
      </c>
      <c r="F19" s="2">
        <f t="shared" ref="F19" si="13">SUM(F15:F18)</f>
        <v>99.267000000000024</v>
      </c>
      <c r="G19" s="2">
        <f t="shared" ref="G19:P19" si="14">SUM(G15:G18)</f>
        <v>86.950999999999993</v>
      </c>
      <c r="H19" s="2">
        <f t="shared" si="14"/>
        <v>80.266999999999996</v>
      </c>
      <c r="I19" s="2">
        <f t="shared" si="14"/>
        <v>125.94300000000001</v>
      </c>
      <c r="J19" s="2">
        <f t="shared" si="14"/>
        <v>110.14399999999998</v>
      </c>
      <c r="K19" s="2">
        <f t="shared" si="14"/>
        <v>283.505</v>
      </c>
      <c r="L19" s="2">
        <f t="shared" si="14"/>
        <v>516.55999999999995</v>
      </c>
      <c r="M19" s="2">
        <f t="shared" si="14"/>
        <v>155.33600000000001</v>
      </c>
      <c r="N19" s="2">
        <f t="shared" si="14"/>
        <v>247.97900000000001</v>
      </c>
      <c r="O19" s="2">
        <f t="shared" si="14"/>
        <v>263.56</v>
      </c>
      <c r="P19" s="2">
        <f t="shared" si="14"/>
        <v>1014.992</v>
      </c>
      <c r="Q19" s="2">
        <f>SUM(Q15:Q18)</f>
        <v>93.917000000000002</v>
      </c>
    </row>
    <row r="20" spans="2:17" x14ac:dyDescent="0.25">
      <c r="B20" s="2" t="s">
        <v>54</v>
      </c>
      <c r="C20" s="2">
        <f t="shared" ref="C20" si="15">C9-C14-C19</f>
        <v>-10.385999999999981</v>
      </c>
      <c r="D20" s="2">
        <f t="shared" ref="D20" si="16">D9-D14-D19</f>
        <v>-4.8300000000000125</v>
      </c>
      <c r="E20" s="2">
        <f t="shared" ref="E20" si="17">E9-E14-E19</f>
        <v>4.5860000000000127</v>
      </c>
      <c r="F20" s="2">
        <f t="shared" ref="F20" si="18">F9-F14-F19</f>
        <v>9.6280000000000143</v>
      </c>
      <c r="G20" s="2">
        <f t="shared" ref="G20:P20" si="19">G9-G14-G19</f>
        <v>-7.1999999999988518E-2</v>
      </c>
      <c r="H20" s="2">
        <f t="shared" si="19"/>
        <v>6.328000000000003</v>
      </c>
      <c r="I20" s="2">
        <f t="shared" si="19"/>
        <v>-20.271000000000015</v>
      </c>
      <c r="J20" s="2">
        <f t="shared" si="19"/>
        <v>-152.56199999999995</v>
      </c>
      <c r="K20" s="2">
        <f t="shared" si="19"/>
        <v>-183.15199999999999</v>
      </c>
      <c r="L20" s="2">
        <f t="shared" si="19"/>
        <v>-414.24699999999996</v>
      </c>
      <c r="M20" s="2">
        <f t="shared" si="19"/>
        <v>-49.661000000000016</v>
      </c>
      <c r="N20" s="2">
        <f t="shared" si="19"/>
        <v>-137.46699999999998</v>
      </c>
      <c r="O20" s="2">
        <f t="shared" si="19"/>
        <v>-169.96</v>
      </c>
      <c r="P20" s="2">
        <f t="shared" si="19"/>
        <v>-918.12299999999993</v>
      </c>
      <c r="Q20" s="2">
        <f>Q9-Q14-Q19</f>
        <v>6.0580000000000211</v>
      </c>
    </row>
    <row r="21" spans="2:17" x14ac:dyDescent="0.25">
      <c r="B21" t="s">
        <v>53</v>
      </c>
      <c r="C21">
        <v>2.5659999999999998</v>
      </c>
      <c r="D21">
        <v>3.0129999999999999</v>
      </c>
      <c r="E21">
        <v>2.9409999999999998</v>
      </c>
      <c r="F21">
        <f>10.909-E21-D21-C21</f>
        <v>2.3890000000000011</v>
      </c>
      <c r="G21">
        <v>1.855</v>
      </c>
      <c r="H21">
        <v>0.56299999999999994</v>
      </c>
      <c r="I21">
        <v>0.20899999999999999</v>
      </c>
      <c r="J21">
        <f>0.71-I21-H21-G21</f>
        <v>-1.9169999999999998</v>
      </c>
      <c r="K21">
        <v>-2.3959999999999999</v>
      </c>
      <c r="L21">
        <v>-4.4009999999999998</v>
      </c>
      <c r="M21">
        <v>-10.723000000000001</v>
      </c>
      <c r="N21">
        <f>-29.149-M21-L21-K21</f>
        <v>-11.629000000000001</v>
      </c>
      <c r="O21">
        <v>-11.039</v>
      </c>
      <c r="P21">
        <v>-13.186999999999999</v>
      </c>
      <c r="Q21">
        <v>-14.073</v>
      </c>
    </row>
    <row r="22" spans="2:17" x14ac:dyDescent="0.25">
      <c r="B22" t="s">
        <v>26</v>
      </c>
      <c r="C22">
        <v>-0.59599999999999997</v>
      </c>
      <c r="D22">
        <v>29.431000000000001</v>
      </c>
      <c r="E22">
        <v>1.8819999999999999</v>
      </c>
      <c r="F22">
        <f>28.356-E22-D22-C22</f>
        <v>-2.3610000000000007</v>
      </c>
      <c r="G22">
        <v>0.434</v>
      </c>
      <c r="H22">
        <v>-1.9950000000000001</v>
      </c>
      <c r="I22">
        <v>-2.9710000000000001</v>
      </c>
      <c r="J22">
        <f>-7.038-I22-H22-G22</f>
        <v>-2.5060000000000002</v>
      </c>
      <c r="K22">
        <v>1.264</v>
      </c>
      <c r="L22">
        <v>-0.89700000000000002</v>
      </c>
      <c r="M22">
        <v>1.264</v>
      </c>
      <c r="N22">
        <f>2.289-M22-L22-K22</f>
        <v>0.65800000000000014</v>
      </c>
      <c r="O22">
        <v>2.2250000000000001</v>
      </c>
      <c r="P22">
        <v>5.12</v>
      </c>
      <c r="Q22">
        <v>4.8970000000000002</v>
      </c>
    </row>
    <row r="23" spans="2:17" x14ac:dyDescent="0.25">
      <c r="B23" t="s">
        <v>27</v>
      </c>
      <c r="C23">
        <v>-0.51</v>
      </c>
      <c r="D23">
        <v>7.22</v>
      </c>
      <c r="E23">
        <v>-0.29099999999999998</v>
      </c>
      <c r="F23">
        <f>3.908-E23-D23-C23</f>
        <v>-2.5110000000000001</v>
      </c>
      <c r="G23">
        <v>1.56</v>
      </c>
      <c r="H23">
        <v>1.5089999999999999</v>
      </c>
      <c r="I23">
        <v>-8.8040000000000003</v>
      </c>
      <c r="J23">
        <f>-12.429-I23-H23-G23</f>
        <v>-6.6940000000000008</v>
      </c>
      <c r="K23">
        <v>-74.263999999999996</v>
      </c>
      <c r="L23">
        <v>-120.19799999999999</v>
      </c>
      <c r="M23">
        <v>-22.984000000000002</v>
      </c>
      <c r="N23">
        <f>-275.909-M23-L23-K23</f>
        <v>-58.46299999999998</v>
      </c>
      <c r="O23">
        <v>-48.023000000000003</v>
      </c>
      <c r="P23">
        <v>136.108</v>
      </c>
      <c r="Q23">
        <v>23.960999999999999</v>
      </c>
    </row>
    <row r="24" spans="2:17" x14ac:dyDescent="0.25">
      <c r="B24" s="2" t="s">
        <v>28</v>
      </c>
      <c r="C24" s="2">
        <f t="shared" ref="C24:F24" si="20">C20+C21+C22-C23</f>
        <v>-7.905999999999981</v>
      </c>
      <c r="D24" s="2">
        <f t="shared" si="20"/>
        <v>20.393999999999991</v>
      </c>
      <c r="E24" s="2">
        <f t="shared" si="20"/>
        <v>9.7000000000000135</v>
      </c>
      <c r="F24" s="2">
        <f t="shared" si="20"/>
        <v>12.167000000000016</v>
      </c>
      <c r="G24" s="2">
        <f>G20+G21+G22-G23</f>
        <v>0.65700000000001157</v>
      </c>
      <c r="H24" s="2">
        <f>H20+H21+H22-H23</f>
        <v>3.3870000000000027</v>
      </c>
      <c r="I24" s="2">
        <f>I20+I21+I22-I23</f>
        <v>-14.229000000000015</v>
      </c>
      <c r="J24" s="2">
        <f>J20+J21+J22-J23</f>
        <v>-150.29099999999997</v>
      </c>
      <c r="K24" s="2">
        <f>K20+K21+K22-K23</f>
        <v>-110.01999999999997</v>
      </c>
      <c r="L24" s="2">
        <f>L20+L21+L22-L23</f>
        <v>-299.34699999999998</v>
      </c>
      <c r="M24" s="2">
        <f>M20+M21+M22-M23</f>
        <v>-36.13600000000001</v>
      </c>
      <c r="N24" s="2">
        <f>N20+N21+N22-N23</f>
        <v>-89.975000000000009</v>
      </c>
      <c r="O24" s="2">
        <f>O20+O21+O22-O23</f>
        <v>-130.751</v>
      </c>
      <c r="P24" s="2">
        <f>P20+P21+P22-P23</f>
        <v>-1062.298</v>
      </c>
      <c r="Q24" s="2">
        <f>Q20+Q21+Q22-Q23</f>
        <v>-27.078999999999979</v>
      </c>
    </row>
    <row r="25" spans="2:17" x14ac:dyDescent="0.25">
      <c r="B25" t="s">
        <v>29</v>
      </c>
      <c r="C25">
        <f t="shared" ref="C25" si="21">C24/C26</f>
        <v>-0.76549186676994396</v>
      </c>
      <c r="D25">
        <f t="shared" ref="D25" si="22">D24/D26</f>
        <v>1.9780795344325888</v>
      </c>
      <c r="E25">
        <f t="shared" ref="E25" si="23">E24/E26</f>
        <v>0.94092540498593602</v>
      </c>
      <c r="F25">
        <f t="shared" ref="F25" si="24">F24/F26</f>
        <v>1.1780596436870658</v>
      </c>
      <c r="G25">
        <f t="shared" ref="G25:P25" si="25">G24/G26</f>
        <v>6.5496959425781237E-2</v>
      </c>
      <c r="H25">
        <f t="shared" si="25"/>
        <v>0.34770557437634769</v>
      </c>
      <c r="I25">
        <f t="shared" si="25"/>
        <v>-1.4797212978369401</v>
      </c>
      <c r="J25">
        <f t="shared" si="25"/>
        <v>-15.519516728624533</v>
      </c>
      <c r="K25">
        <f t="shared" si="25"/>
        <v>-11.40458173525448</v>
      </c>
      <c r="L25">
        <f t="shared" si="25"/>
        <v>-30.714857377385592</v>
      </c>
      <c r="M25">
        <f t="shared" si="25"/>
        <v>-3.6139613961396146</v>
      </c>
      <c r="N25">
        <f t="shared" si="25"/>
        <v>-8.9795409181636732</v>
      </c>
      <c r="O25">
        <f t="shared" si="25"/>
        <v>-11.582159624413146</v>
      </c>
      <c r="P25">
        <f t="shared" si="25"/>
        <v>-94.008672566371672</v>
      </c>
      <c r="Q25">
        <f>Q24/Q26</f>
        <v>-2.3946763353378122</v>
      </c>
    </row>
    <row r="26" spans="2:17" x14ac:dyDescent="0.25">
      <c r="B26" t="s">
        <v>30</v>
      </c>
      <c r="C26">
        <v>10.327999999999999</v>
      </c>
      <c r="D26">
        <v>10.31</v>
      </c>
      <c r="E26">
        <v>10.308999999999999</v>
      </c>
      <c r="F26">
        <v>10.327999999999999</v>
      </c>
      <c r="G26">
        <v>10.031000000000001</v>
      </c>
      <c r="H26">
        <v>9.7409999999999997</v>
      </c>
      <c r="I26">
        <v>9.6159999999999997</v>
      </c>
      <c r="J26">
        <v>9.6839999999999993</v>
      </c>
      <c r="K26">
        <v>9.6470000000000002</v>
      </c>
      <c r="L26">
        <v>9.7460000000000004</v>
      </c>
      <c r="M26">
        <v>9.9990000000000006</v>
      </c>
      <c r="N26">
        <v>10.02</v>
      </c>
      <c r="O26">
        <v>11.289</v>
      </c>
      <c r="P26">
        <v>11.3</v>
      </c>
      <c r="Q26">
        <v>11.308</v>
      </c>
    </row>
    <row r="31" spans="2:17" x14ac:dyDescent="0.25">
      <c r="B31" s="1" t="s">
        <v>31</v>
      </c>
      <c r="C31" s="1"/>
      <c r="D31" s="1"/>
      <c r="E31" s="1"/>
      <c r="F31" s="1"/>
    </row>
    <row r="32" spans="2:17" x14ac:dyDescent="0.25">
      <c r="B32" s="3" t="s">
        <v>32</v>
      </c>
      <c r="C32" s="3"/>
      <c r="D32" s="3"/>
      <c r="E32" s="3"/>
      <c r="F32" s="3"/>
      <c r="G32" s="3">
        <f t="shared" ref="G32:P32" si="26">G33-G45</f>
        <v>429.27600000000001</v>
      </c>
      <c r="H32" s="3">
        <f t="shared" si="26"/>
        <v>420.899</v>
      </c>
      <c r="I32" s="3">
        <f t="shared" si="26"/>
        <v>52.652999999999999</v>
      </c>
      <c r="J32" s="3">
        <f t="shared" si="26"/>
        <v>0</v>
      </c>
      <c r="K32" s="3">
        <f t="shared" si="26"/>
        <v>0</v>
      </c>
      <c r="L32" s="3">
        <f t="shared" si="26"/>
        <v>0</v>
      </c>
      <c r="M32" s="3">
        <f t="shared" si="26"/>
        <v>0</v>
      </c>
      <c r="N32" s="3">
        <f t="shared" si="26"/>
        <v>0</v>
      </c>
      <c r="O32" s="3">
        <f t="shared" si="26"/>
        <v>84.441000000000003</v>
      </c>
      <c r="P32" s="3">
        <f t="shared" si="26"/>
        <v>60.888999999999996</v>
      </c>
      <c r="Q32" s="3">
        <f>Q33-Q45</f>
        <v>51.636000000000003</v>
      </c>
    </row>
    <row r="33" spans="2:88" x14ac:dyDescent="0.25">
      <c r="B33" s="4" t="s">
        <v>32</v>
      </c>
      <c r="C33" s="4"/>
      <c r="D33" s="4"/>
      <c r="E33" s="4"/>
      <c r="F33" s="4"/>
      <c r="G33">
        <v>429.27600000000001</v>
      </c>
      <c r="H33">
        <v>420.899</v>
      </c>
      <c r="I33">
        <v>52.652999999999999</v>
      </c>
      <c r="O33">
        <v>92.677000000000007</v>
      </c>
      <c r="P33">
        <v>69.385999999999996</v>
      </c>
      <c r="Q33">
        <v>60.39</v>
      </c>
    </row>
    <row r="34" spans="2:88" x14ac:dyDescent="0.25">
      <c r="B34" t="s">
        <v>33</v>
      </c>
      <c r="G34">
        <v>2.742</v>
      </c>
      <c r="H34">
        <v>1.2210000000000001</v>
      </c>
      <c r="I34">
        <v>1.2310000000000001</v>
      </c>
      <c r="O34">
        <v>6.2649999999999997</v>
      </c>
      <c r="P34">
        <v>6.1550000000000002</v>
      </c>
      <c r="Q34">
        <v>6.5780000000000003</v>
      </c>
    </row>
    <row r="35" spans="2:88" x14ac:dyDescent="0.25">
      <c r="B35" t="s">
        <v>60</v>
      </c>
      <c r="G35">
        <v>109.946</v>
      </c>
      <c r="H35">
        <v>109.97199999999999</v>
      </c>
    </row>
    <row r="36" spans="2:88" x14ac:dyDescent="0.25">
      <c r="B36" t="s">
        <v>34</v>
      </c>
      <c r="G36">
        <v>124.935</v>
      </c>
      <c r="H36">
        <v>123.794</v>
      </c>
      <c r="I36">
        <v>148.512</v>
      </c>
      <c r="O36">
        <v>126.93</v>
      </c>
      <c r="P36">
        <v>118.645</v>
      </c>
      <c r="Q36">
        <v>109.926</v>
      </c>
    </row>
    <row r="37" spans="2:88" x14ac:dyDescent="0.25">
      <c r="B37" t="s">
        <v>35</v>
      </c>
      <c r="G37">
        <v>26.163</v>
      </c>
      <c r="H37">
        <v>16.887</v>
      </c>
      <c r="I37">
        <v>16.04</v>
      </c>
      <c r="O37">
        <v>21.116</v>
      </c>
      <c r="P37">
        <v>25.495999999999999</v>
      </c>
      <c r="Q37">
        <v>25.399000000000001</v>
      </c>
    </row>
    <row r="38" spans="2:88" x14ac:dyDescent="0.25">
      <c r="B38" t="s">
        <v>36</v>
      </c>
      <c r="G38">
        <v>0</v>
      </c>
      <c r="H38">
        <v>0</v>
      </c>
      <c r="I38">
        <v>380.75799999999998</v>
      </c>
      <c r="O38">
        <v>2895.6190000000001</v>
      </c>
      <c r="P38">
        <v>1987.7809999999999</v>
      </c>
      <c r="Q38">
        <v>1993.0319999999999</v>
      </c>
    </row>
    <row r="39" spans="2:88" x14ac:dyDescent="0.25">
      <c r="B39" t="s">
        <v>37</v>
      </c>
      <c r="G39">
        <v>47.622999999999998</v>
      </c>
      <c r="H39">
        <v>45.3</v>
      </c>
      <c r="I39">
        <v>45.472999999999999</v>
      </c>
      <c r="O39">
        <v>35.68</v>
      </c>
      <c r="P39">
        <v>34.58</v>
      </c>
      <c r="Q39">
        <v>33.033000000000001</v>
      </c>
    </row>
    <row r="40" spans="2:88" x14ac:dyDescent="0.25">
      <c r="B40" t="s">
        <v>38</v>
      </c>
      <c r="G40">
        <v>82.69</v>
      </c>
      <c r="H40">
        <v>81.543000000000006</v>
      </c>
      <c r="I40">
        <v>79.296000000000006</v>
      </c>
      <c r="O40">
        <v>64.637</v>
      </c>
      <c r="P40">
        <v>65.168999999999997</v>
      </c>
      <c r="Q40">
        <v>62.902000000000001</v>
      </c>
    </row>
    <row r="41" spans="2:88" x14ac:dyDescent="0.25">
      <c r="B41" t="s">
        <v>39</v>
      </c>
      <c r="G41">
        <v>7.7569999999999997</v>
      </c>
      <c r="H41">
        <v>14.596</v>
      </c>
      <c r="I41">
        <v>15.404999999999999</v>
      </c>
      <c r="O41">
        <v>18.181000000000001</v>
      </c>
      <c r="P41">
        <v>17.786000000000001</v>
      </c>
      <c r="Q41">
        <v>20.992000000000001</v>
      </c>
    </row>
    <row r="42" spans="2:88" x14ac:dyDescent="0.25">
      <c r="B42" t="s">
        <v>40</v>
      </c>
      <c r="G42">
        <v>18.138999999999999</v>
      </c>
      <c r="H42">
        <v>18.834</v>
      </c>
      <c r="I42">
        <v>33.536999999999999</v>
      </c>
      <c r="O42">
        <v>377.28199999999998</v>
      </c>
      <c r="P42">
        <v>243.36699999999999</v>
      </c>
      <c r="Q42">
        <v>233.03399999999999</v>
      </c>
    </row>
    <row r="43" spans="2:88" x14ac:dyDescent="0.25">
      <c r="B43" s="2" t="s">
        <v>41</v>
      </c>
      <c r="C43" s="2"/>
      <c r="D43" s="2"/>
      <c r="E43" s="2"/>
      <c r="F43" s="2"/>
      <c r="G43" s="2">
        <f t="shared" ref="G43:P43" si="27">SUM(G33:G42)</f>
        <v>849.27100000000019</v>
      </c>
      <c r="H43" s="2">
        <f t="shared" si="27"/>
        <v>833.04599999999982</v>
      </c>
      <c r="I43" s="2">
        <f t="shared" si="27"/>
        <v>772.90499999999997</v>
      </c>
      <c r="J43" s="2">
        <f t="shared" si="27"/>
        <v>0</v>
      </c>
      <c r="K43" s="2">
        <f t="shared" si="27"/>
        <v>0</v>
      </c>
      <c r="L43" s="2">
        <f t="shared" si="27"/>
        <v>0</v>
      </c>
      <c r="M43" s="2">
        <f t="shared" si="27"/>
        <v>0</v>
      </c>
      <c r="N43" s="2">
        <f t="shared" si="27"/>
        <v>0</v>
      </c>
      <c r="O43" s="2">
        <f t="shared" si="27"/>
        <v>3638.3870000000002</v>
      </c>
      <c r="P43" s="2">
        <f t="shared" si="27"/>
        <v>2568.3649999999998</v>
      </c>
      <c r="Q43" s="2">
        <f>SUM(Q33:Q42)</f>
        <v>2545.2860000000001</v>
      </c>
      <c r="CJ43" t="s">
        <v>55</v>
      </c>
    </row>
    <row r="45" spans="2:88" x14ac:dyDescent="0.25">
      <c r="B45" s="3" t="s">
        <v>42</v>
      </c>
      <c r="C45" s="3"/>
      <c r="D45" s="3"/>
      <c r="E45" s="3"/>
      <c r="F45" s="3"/>
      <c r="G45" s="3">
        <f>G50</f>
        <v>0</v>
      </c>
      <c r="H45" s="3">
        <f>H50</f>
        <v>0</v>
      </c>
      <c r="I45" s="3">
        <f>I50</f>
        <v>0</v>
      </c>
      <c r="J45" s="3">
        <f t="shared" ref="G45:P45" si="28">J51</f>
        <v>0</v>
      </c>
      <c r="K45" s="3">
        <f t="shared" si="28"/>
        <v>0</v>
      </c>
      <c r="L45" s="3">
        <f t="shared" si="28"/>
        <v>0</v>
      </c>
      <c r="M45" s="3">
        <f t="shared" si="28"/>
        <v>0</v>
      </c>
      <c r="N45" s="3">
        <f t="shared" si="28"/>
        <v>0</v>
      </c>
      <c r="O45" s="3">
        <f t="shared" si="28"/>
        <v>8.2360000000000007</v>
      </c>
      <c r="P45" s="3">
        <f t="shared" si="28"/>
        <v>8.4969999999999999</v>
      </c>
      <c r="Q45" s="3">
        <f>Q51</f>
        <v>8.7539999999999996</v>
      </c>
    </row>
    <row r="46" spans="2:88" x14ac:dyDescent="0.25">
      <c r="B46" t="s">
        <v>43</v>
      </c>
      <c r="G46">
        <v>32.539000000000001</v>
      </c>
      <c r="H46">
        <v>31.468</v>
      </c>
      <c r="I46">
        <v>38.667999999999999</v>
      </c>
      <c r="O46">
        <v>44.387999999999998</v>
      </c>
      <c r="P46">
        <v>35.96</v>
      </c>
      <c r="Q46">
        <v>36.845999999999997</v>
      </c>
    </row>
    <row r="47" spans="2:88" x14ac:dyDescent="0.25">
      <c r="B47" t="s">
        <v>46</v>
      </c>
      <c r="G47">
        <v>35.207000000000001</v>
      </c>
      <c r="H47">
        <v>40.805999999999997</v>
      </c>
      <c r="I47">
        <v>44.177</v>
      </c>
      <c r="O47">
        <v>43.725999999999999</v>
      </c>
      <c r="P47">
        <v>47.773000000000003</v>
      </c>
      <c r="Q47">
        <v>46.345999999999997</v>
      </c>
    </row>
    <row r="48" spans="2:88" x14ac:dyDescent="0.25">
      <c r="B48" t="s">
        <v>44</v>
      </c>
      <c r="G48">
        <v>0</v>
      </c>
      <c r="H48">
        <v>0</v>
      </c>
      <c r="I48">
        <v>0</v>
      </c>
      <c r="O48">
        <v>10.544</v>
      </c>
      <c r="P48">
        <v>2.2690000000000001</v>
      </c>
      <c r="Q48">
        <v>11.394</v>
      </c>
    </row>
    <row r="49" spans="2:17" x14ac:dyDescent="0.25">
      <c r="B49" t="s">
        <v>45</v>
      </c>
      <c r="G49">
        <v>184.89099999999999</v>
      </c>
      <c r="H49">
        <v>167.643</v>
      </c>
      <c r="I49">
        <v>160.845</v>
      </c>
      <c r="O49">
        <v>206.21700000000001</v>
      </c>
      <c r="P49">
        <v>188.09800000000001</v>
      </c>
      <c r="Q49">
        <v>165.934</v>
      </c>
    </row>
    <row r="50" spans="2:17" x14ac:dyDescent="0.25">
      <c r="B50" t="s">
        <v>47</v>
      </c>
      <c r="G50">
        <v>0</v>
      </c>
      <c r="H50">
        <v>0</v>
      </c>
      <c r="I50">
        <v>0</v>
      </c>
      <c r="O50">
        <v>2361.8649999999998</v>
      </c>
      <c r="P50">
        <v>2374.8629999999998</v>
      </c>
      <c r="Q50">
        <v>2376.9349999999999</v>
      </c>
    </row>
    <row r="51" spans="2:17" x14ac:dyDescent="0.25">
      <c r="B51" t="s">
        <v>48</v>
      </c>
      <c r="G51">
        <v>3.66</v>
      </c>
      <c r="H51">
        <v>5.91</v>
      </c>
      <c r="I51">
        <v>11.657</v>
      </c>
      <c r="O51">
        <v>8.2360000000000007</v>
      </c>
      <c r="P51">
        <v>8.4969999999999999</v>
      </c>
      <c r="Q51">
        <v>8.7539999999999996</v>
      </c>
    </row>
    <row r="52" spans="2:17" x14ac:dyDescent="0.25">
      <c r="B52" t="s">
        <v>49</v>
      </c>
      <c r="G52">
        <v>100.251</v>
      </c>
      <c r="H52">
        <v>98.283000000000001</v>
      </c>
      <c r="I52">
        <v>95.590999999999994</v>
      </c>
      <c r="O52">
        <v>73.956000000000003</v>
      </c>
      <c r="P52">
        <v>72.162000000000006</v>
      </c>
      <c r="Q52">
        <v>69.278000000000006</v>
      </c>
    </row>
    <row r="53" spans="2:17" x14ac:dyDescent="0.25">
      <c r="B53" t="s">
        <v>50</v>
      </c>
      <c r="G53">
        <v>31.273</v>
      </c>
      <c r="H53">
        <v>30.452000000000002</v>
      </c>
      <c r="I53">
        <v>32.651000000000003</v>
      </c>
      <c r="O53">
        <v>26.347000000000001</v>
      </c>
      <c r="P53">
        <v>25.706</v>
      </c>
      <c r="Q53">
        <v>30.088000000000001</v>
      </c>
    </row>
    <row r="54" spans="2:17" x14ac:dyDescent="0.25">
      <c r="B54" t="s">
        <v>51</v>
      </c>
      <c r="G54">
        <v>2.4E-2</v>
      </c>
      <c r="H54">
        <v>2.4E-2</v>
      </c>
      <c r="I54">
        <v>2.4E-2</v>
      </c>
      <c r="O54">
        <v>0.109</v>
      </c>
      <c r="P54">
        <v>0.105</v>
      </c>
      <c r="Q54">
        <v>0</v>
      </c>
    </row>
    <row r="55" spans="2:17" x14ac:dyDescent="0.25">
      <c r="B55" s="2" t="s">
        <v>52</v>
      </c>
      <c r="C55" s="2"/>
      <c r="D55" s="2"/>
      <c r="E55" s="2"/>
      <c r="F55" s="2"/>
      <c r="G55" s="2">
        <f t="shared" ref="G55:P55" si="29">SUM(G46:G54)</f>
        <v>387.84500000000003</v>
      </c>
      <c r="H55" s="2">
        <f t="shared" si="29"/>
        <v>374.58600000000001</v>
      </c>
      <c r="I55" s="2">
        <f t="shared" si="29"/>
        <v>383.613</v>
      </c>
      <c r="J55" s="2">
        <f t="shared" si="29"/>
        <v>0</v>
      </c>
      <c r="K55" s="2">
        <f t="shared" si="29"/>
        <v>0</v>
      </c>
      <c r="L55" s="2">
        <f t="shared" si="29"/>
        <v>0</v>
      </c>
      <c r="M55" s="2">
        <f t="shared" si="29"/>
        <v>0</v>
      </c>
      <c r="N55" s="2">
        <f t="shared" si="29"/>
        <v>0</v>
      </c>
      <c r="O55" s="2">
        <f t="shared" si="29"/>
        <v>2775.3879999999999</v>
      </c>
      <c r="P55" s="2">
        <f t="shared" si="29"/>
        <v>2755.4329999999995</v>
      </c>
      <c r="Q55" s="2">
        <f>SUM(Q46:Q54)</f>
        <v>2745.5749999999998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2022-11-24T03:54:56Z</dcterms:created>
  <dcterms:modified xsi:type="dcterms:W3CDTF">2022-11-24T06:50:45Z</dcterms:modified>
</cp:coreProperties>
</file>