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\Documents\GitHub\finance\Finance Universe\"/>
    </mc:Choice>
  </mc:AlternateContent>
  <xr:revisionPtr revIDLastSave="0" documentId="13_ncr:1_{8CE2495F-ACB1-4B56-AEA4-A9E7CFC6DA46}" xr6:coauthVersionLast="47" xr6:coauthVersionMax="47" xr10:uidLastSave="{00000000-0000-0000-0000-000000000000}"/>
  <bookViews>
    <workbookView xWindow="-120" yWindow="-120" windowWidth="38640" windowHeight="21240" xr2:uid="{E39AE9FB-F613-4F5F-A005-99F9E982EA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3" i="1" l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24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AB2" i="1"/>
  <c r="AA2" i="1"/>
  <c r="Z2" i="1"/>
  <c r="Y2" i="1"/>
  <c r="X2" i="1"/>
  <c r="W2" i="1"/>
  <c r="V2" i="1"/>
  <c r="T32" i="1"/>
  <c r="T30" i="1"/>
  <c r="T31" i="1" s="1"/>
  <c r="T33" i="1" s="1"/>
  <c r="T36" i="1" s="1"/>
  <c r="N49" i="1"/>
  <c r="F51" i="1"/>
  <c r="F38" i="1" s="1"/>
  <c r="E51" i="1"/>
  <c r="E38" i="1" s="1"/>
  <c r="D51" i="1"/>
  <c r="D38" i="1" s="1"/>
  <c r="C51" i="1"/>
  <c r="C38" i="1" s="1"/>
  <c r="F61" i="1"/>
  <c r="E61" i="1"/>
  <c r="D61" i="1"/>
  <c r="C61" i="1"/>
  <c r="F49" i="1"/>
  <c r="E49" i="1"/>
  <c r="D49" i="1"/>
  <c r="C49" i="1"/>
  <c r="C7" i="2"/>
  <c r="G51" i="1"/>
  <c r="H51" i="1"/>
  <c r="I51" i="1"/>
  <c r="F23" i="1"/>
  <c r="F22" i="1"/>
  <c r="F21" i="1"/>
  <c r="F17" i="1"/>
  <c r="F16" i="1"/>
  <c r="F15" i="1"/>
  <c r="F13" i="1"/>
  <c r="F12" i="1"/>
  <c r="F11" i="1"/>
  <c r="F10" i="1"/>
  <c r="F8" i="1"/>
  <c r="F7" i="1"/>
  <c r="F6" i="1"/>
  <c r="F5" i="1"/>
  <c r="E19" i="1"/>
  <c r="D19" i="1"/>
  <c r="C19" i="1"/>
  <c r="E14" i="1"/>
  <c r="D14" i="1"/>
  <c r="C14" i="1"/>
  <c r="E9" i="1"/>
  <c r="D9" i="1"/>
  <c r="D20" i="1" s="1"/>
  <c r="D24" i="1" s="1"/>
  <c r="D25" i="1" s="1"/>
  <c r="C9" i="1"/>
  <c r="J23" i="1"/>
  <c r="J22" i="1"/>
  <c r="J21" i="1"/>
  <c r="J18" i="1"/>
  <c r="J17" i="1"/>
  <c r="J16" i="1"/>
  <c r="J15" i="1"/>
  <c r="J13" i="1"/>
  <c r="J12" i="1"/>
  <c r="J11" i="1"/>
  <c r="J10" i="1"/>
  <c r="J8" i="1"/>
  <c r="J7" i="1"/>
  <c r="J6" i="1"/>
  <c r="J5" i="1"/>
  <c r="N23" i="1"/>
  <c r="N22" i="1"/>
  <c r="N21" i="1"/>
  <c r="N18" i="1"/>
  <c r="N17" i="1"/>
  <c r="N16" i="1"/>
  <c r="N15" i="1"/>
  <c r="N13" i="1"/>
  <c r="N12" i="1"/>
  <c r="N11" i="1"/>
  <c r="N10" i="1"/>
  <c r="N8" i="1"/>
  <c r="N7" i="1"/>
  <c r="N6" i="1"/>
  <c r="N5" i="1"/>
  <c r="P61" i="1"/>
  <c r="O61" i="1"/>
  <c r="N61" i="1"/>
  <c r="M61" i="1"/>
  <c r="L61" i="1"/>
  <c r="K61" i="1"/>
  <c r="J61" i="1"/>
  <c r="I61" i="1"/>
  <c r="H61" i="1"/>
  <c r="G61" i="1"/>
  <c r="P49" i="1"/>
  <c r="O49" i="1"/>
  <c r="M49" i="1"/>
  <c r="L49" i="1"/>
  <c r="K49" i="1"/>
  <c r="J49" i="1"/>
  <c r="I49" i="1"/>
  <c r="H49" i="1"/>
  <c r="G49" i="1"/>
  <c r="P51" i="1"/>
  <c r="P38" i="1" s="1"/>
  <c r="O51" i="1"/>
  <c r="O38" i="1" s="1"/>
  <c r="N51" i="1"/>
  <c r="N38" i="1" s="1"/>
  <c r="M51" i="1"/>
  <c r="M38" i="1" s="1"/>
  <c r="L51" i="1"/>
  <c r="L38" i="1" s="1"/>
  <c r="K51" i="1"/>
  <c r="K38" i="1" s="1"/>
  <c r="J51" i="1"/>
  <c r="J38" i="1" s="1"/>
  <c r="I38" i="1"/>
  <c r="H38" i="1"/>
  <c r="G38" i="1"/>
  <c r="Q51" i="1"/>
  <c r="Q38" i="1" s="1"/>
  <c r="Q61" i="1"/>
  <c r="Q49" i="1"/>
  <c r="P9" i="1"/>
  <c r="O9" i="1"/>
  <c r="M9" i="1"/>
  <c r="L9" i="1"/>
  <c r="K9" i="1"/>
  <c r="I9" i="1"/>
  <c r="H9" i="1"/>
  <c r="G9" i="1"/>
  <c r="P14" i="1"/>
  <c r="O14" i="1"/>
  <c r="M14" i="1"/>
  <c r="L14" i="1"/>
  <c r="K14" i="1"/>
  <c r="I14" i="1"/>
  <c r="H14" i="1"/>
  <c r="G14" i="1"/>
  <c r="P19" i="1"/>
  <c r="O19" i="1"/>
  <c r="M19" i="1"/>
  <c r="L19" i="1"/>
  <c r="K19" i="1"/>
  <c r="I19" i="1"/>
  <c r="H19" i="1"/>
  <c r="G19" i="1"/>
  <c r="Q19" i="1"/>
  <c r="Q14" i="1"/>
  <c r="Q9" i="1"/>
  <c r="N9" i="1" l="1"/>
  <c r="F19" i="1"/>
  <c r="C20" i="1"/>
  <c r="C24" i="1" s="1"/>
  <c r="Q20" i="1"/>
  <c r="Q24" i="1" s="1"/>
  <c r="Q25" i="1" s="1"/>
  <c r="F14" i="1"/>
  <c r="E20" i="1"/>
  <c r="E24" i="1" s="1"/>
  <c r="F9" i="1"/>
  <c r="J19" i="1"/>
  <c r="J9" i="1"/>
  <c r="I20" i="1"/>
  <c r="I24" i="1" s="1"/>
  <c r="G20" i="1"/>
  <c r="G24" i="1" s="1"/>
  <c r="H20" i="1"/>
  <c r="H24" i="1" s="1"/>
  <c r="M20" i="1"/>
  <c r="M24" i="1" s="1"/>
  <c r="N19" i="1"/>
  <c r="J14" i="1"/>
  <c r="N14" i="1"/>
  <c r="N20" i="1" s="1"/>
  <c r="N24" i="1" s="1"/>
  <c r="K20" i="1"/>
  <c r="K24" i="1" s="1"/>
  <c r="O20" i="1"/>
  <c r="O24" i="1" s="1"/>
  <c r="O25" i="1" s="1"/>
  <c r="L20" i="1"/>
  <c r="L24" i="1" s="1"/>
  <c r="P20" i="1"/>
  <c r="P24" i="1" s="1"/>
  <c r="P25" i="1" s="1"/>
  <c r="N25" i="1" l="1"/>
  <c r="Q67" i="1"/>
  <c r="I25" i="1"/>
  <c r="E25" i="1"/>
  <c r="G25" i="1"/>
  <c r="M25" i="1"/>
  <c r="P67" i="1"/>
  <c r="L25" i="1"/>
  <c r="O67" i="1"/>
  <c r="C25" i="1"/>
  <c r="F67" i="1"/>
  <c r="D67" i="1"/>
  <c r="E67" i="1"/>
  <c r="K25" i="1"/>
  <c r="N67" i="1"/>
  <c r="H25" i="1"/>
  <c r="J20" i="1"/>
  <c r="J24" i="1" s="1"/>
  <c r="J67" i="1" s="1"/>
  <c r="F20" i="1"/>
  <c r="F24" i="1" s="1"/>
  <c r="G67" i="1" s="1"/>
  <c r="G69" i="1" l="1"/>
  <c r="G71" i="1"/>
  <c r="O69" i="1"/>
  <c r="O71" i="1"/>
  <c r="E69" i="1"/>
  <c r="E71" i="1"/>
  <c r="J69" i="1"/>
  <c r="J71" i="1"/>
  <c r="J25" i="1"/>
  <c r="M67" i="1"/>
  <c r="D71" i="1"/>
  <c r="D69" i="1"/>
  <c r="N69" i="1"/>
  <c r="N71" i="1"/>
  <c r="F69" i="1"/>
  <c r="F71" i="1"/>
  <c r="P69" i="1"/>
  <c r="P71" i="1"/>
  <c r="F25" i="1"/>
  <c r="I67" i="1"/>
  <c r="H67" i="1"/>
  <c r="K67" i="1"/>
  <c r="L67" i="1"/>
  <c r="Q71" i="1"/>
  <c r="Q69" i="1"/>
  <c r="K69" i="1" l="1"/>
  <c r="K71" i="1"/>
  <c r="H69" i="1"/>
  <c r="H71" i="1"/>
  <c r="M69" i="1"/>
  <c r="M71" i="1"/>
  <c r="L69" i="1"/>
  <c r="L71" i="1"/>
  <c r="I69" i="1"/>
  <c r="I71" i="1"/>
</calcChain>
</file>

<file path=xl/sharedStrings.xml><?xml version="1.0" encoding="utf-8"?>
<sst xmlns="http://schemas.openxmlformats.org/spreadsheetml/2006/main" count="90" uniqueCount="82">
  <si>
    <t>main</t>
  </si>
  <si>
    <t>Income Statement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</si>
  <si>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</si>
  <si>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</si>
  <si>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</si>
  <si>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</si>
  <si>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</si>
  <si>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</si>
  <si>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</si>
  <si>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</si>
  <si>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</si>
  <si>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</si>
  <si>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</si>
  <si>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</si>
  <si>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Product Licenses</t>
  </si>
  <si>
    <t>Subscription Services</t>
  </si>
  <si>
    <t>Profuct Support</t>
  </si>
  <si>
    <t>Other Services</t>
  </si>
  <si>
    <t>Revenue</t>
  </si>
  <si>
    <t>Product Support</t>
  </si>
  <si>
    <t>Cost of Revenue</t>
  </si>
  <si>
    <t>Sales and Marketing</t>
  </si>
  <si>
    <t>R&amp;D</t>
  </si>
  <si>
    <t>General and Admin</t>
  </si>
  <si>
    <t>Digital Asset Impairment</t>
  </si>
  <si>
    <t>Expenses</t>
  </si>
  <si>
    <t>Other Income</t>
  </si>
  <si>
    <t>Taxes (benefit)</t>
  </si>
  <si>
    <t>Net Income</t>
  </si>
  <si>
    <t>EPS</t>
  </si>
  <si>
    <t xml:space="preserve">Shares </t>
  </si>
  <si>
    <t>Balance Sheet</t>
  </si>
  <si>
    <t>Cash</t>
  </si>
  <si>
    <t>Restricted Cash</t>
  </si>
  <si>
    <t>Accounts Receivable</t>
  </si>
  <si>
    <t xml:space="preserve">Prepaid Expenses </t>
  </si>
  <si>
    <t>Digital Assets</t>
  </si>
  <si>
    <t>PP&amp;E</t>
  </si>
  <si>
    <t>Right-Of-Use Assets</t>
  </si>
  <si>
    <t>Deposits and other</t>
  </si>
  <si>
    <t>Defeered tax Assets</t>
  </si>
  <si>
    <t>Assets</t>
  </si>
  <si>
    <t>Debt</t>
  </si>
  <si>
    <t>Accounts Payable</t>
  </si>
  <si>
    <t>Accrued Interest</t>
  </si>
  <si>
    <t>Deferred Revenue</t>
  </si>
  <si>
    <t>Accrued Compensation +employee benefits</t>
  </si>
  <si>
    <t>Long-Term Debt</t>
  </si>
  <si>
    <t>Deferred non-current revenue</t>
  </si>
  <si>
    <t>Operating Lease Liabilities</t>
  </si>
  <si>
    <t>Other Long-Term Liabilities</t>
  </si>
  <si>
    <t>Deferred Tax Liabilities</t>
  </si>
  <si>
    <t>Liabilities</t>
  </si>
  <si>
    <t>Interest Expense (loss)</t>
  </si>
  <si>
    <t>Operating Income</t>
  </si>
  <si>
    <t>g</t>
  </si>
  <si>
    <t>Q119</t>
  </si>
  <si>
    <t>Q219</t>
  </si>
  <si>
    <t>Q319</t>
  </si>
  <si>
    <t>Q419</t>
  </si>
  <si>
    <t>Short-Term Investments</t>
  </si>
  <si>
    <t>Price</t>
  </si>
  <si>
    <t>Shares</t>
  </si>
  <si>
    <t>MC</t>
  </si>
  <si>
    <t>EV</t>
  </si>
  <si>
    <t>Return Ratios</t>
  </si>
  <si>
    <t>TTM Cash Flow</t>
  </si>
  <si>
    <t>ROE</t>
  </si>
  <si>
    <t>ROA</t>
  </si>
  <si>
    <t>ROTB</t>
  </si>
  <si>
    <t>ROIC</t>
  </si>
  <si>
    <t>-</t>
  </si>
  <si>
    <t>Convertible Stock</t>
  </si>
  <si>
    <t>Shareholders Equity</t>
  </si>
  <si>
    <t>S/E + L</t>
  </si>
  <si>
    <t>Maturity</t>
  </si>
  <si>
    <t>Discount</t>
  </si>
  <si>
    <t>Total</t>
  </si>
  <si>
    <t>NPV</t>
  </si>
  <si>
    <t>Net</t>
  </si>
  <si>
    <t>Current Price</t>
  </si>
  <si>
    <t>Forecasted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</si>
</sst>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"/>
    <numFmt numFmtId="165" formatCode="&quot;$&quot;#,##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B0F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1"/>
    <xf numFmtId="3" fontId="0" fillId="0" borderId="0" xfId="0" applyNumberFormat="1"/>
    <xf numFmtId="3" fontId="1" fillId="0" borderId="0" xfId="0" applyNumberFormat="1" applyFont="1"/>
    <xf numFmtId="2" fontId="0" fillId="0" borderId="0" xfId="0" applyNumberFormat="1"/>
    <xf numFmtId="3" fontId="3" fillId="0" borderId="0" xfId="0" applyNumberFormat="1" applyFont="1"/>
    <xf numFmtId="3" fontId="0" fillId="0" borderId="0" xfId="0" applyNumberFormat="1" applyFont="1"/>
    <xf numFmtId="3" fontId="1" fillId="0" borderId="0" xfId="0" applyNumberFormat="1" applyFont="1" applyAlignment="1">
      <alignment horizontal="center"/>
    </xf>
    <xf numFmtId="9" fontId="0" fillId="0" borderId="0" xfId="0" applyNumberFormat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2" xfId="0" applyNumberFormat="1" applyBorder="1"/>
    <xf numFmtId="9" fontId="0" fillId="0" borderId="4" xfId="0" applyNumberFormat="1" applyBorder="1"/>
    <xf numFmtId="8" fontId="0" fillId="0" borderId="4" xfId="0" applyNumberFormat="1" applyBorder="1"/>
    <xf numFmtId="8" fontId="5" fillId="0" borderId="6" xfId="0" applyNumberFormat="1" applyFont="1" applyBorder="1"/>
    <xf numFmtId="164" fontId="0" fillId="0" borderId="4" xfId="0" applyNumberFormat="1" applyBorder="1"/>
    <xf numFmtId="165" fontId="0" fillId="0" borderId="4" xfId="0" applyNumberFormat="1" applyBorder="1"/>
    <xf numFmtId="3" fontId="1" fillId="0" borderId="7" xfId="0" applyNumberFormat="1" applyFont="1" applyBorder="1"/>
    <xf numFmtId="3" fontId="1" fillId="0" borderId="8" xfId="0" applyNumberFormat="1" applyFont="1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Financial%20Universe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18B54-DABC-4048-B6E4-AF4393711BFE}">
  <dimension ref="A1:CJ71"/>
  <sheetViews>
    <sheetView tabSelected="1" zoomScaleNormal="100"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T15" sqref="T15"/>
    </sheetView>
  </sheetViews>
  <sheetFormatPr defaultRowHeight="15" x14ac:dyDescent="0.25"/>
  <cols>
    <col min="2" max="2" width="32" customWidth="1"/>
    <col min="3" max="3" width="8.5703125" customWidth="1"/>
    <col min="4" max="6" width="9.42578125" customWidth="1"/>
    <col min="19" max="19" width="16.28515625" bestFit="1" customWidth="1"/>
    <col min="20" max="20" width="10.85546875" customWidth="1"/>
  </cols>
  <sheetData>
    <row r="1" spans="1:28" x14ac:dyDescent="0.25">
      <c r="A1" s="5" t="s">
        <v>0</v>
      </c>
    </row>
    <row r="2" spans="1:28" x14ac:dyDescent="0.25">
      <c r="C2" t="s">
        <v>56</v>
      </c>
      <c r="D2" t="s">
        <v>57</v>
      </c>
      <c r="E2" t="s">
        <v>58</v>
      </c>
      <c r="F2" t="s">
        <v>59</v>
      </c>
      <c r="G2" t="s">
        <v>2</v>
      </c>
      <c r="H2" t="s">
        <v>3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  <c r="O2" t="s">
        <v>10</v>
      </c>
      <c r="P2" t="s">
        <v>11</v>
      </c>
      <c r="Q2" t="s">
        <v>12</v>
      </c>
      <c r="R2" t="s">
        <v>13</v>
      </c>
      <c r="U2">
        <v>2019</v>
      </c>
      <c r="V2">
        <f t="shared" ref="V2:AB2" si="0">U2+1</f>
        <v>2020</v>
      </c>
      <c r="W2">
        <f t="shared" si="0"/>
        <v>2021</v>
      </c>
      <c r="X2">
        <f t="shared" si="0"/>
        <v>2022</v>
      </c>
      <c r="Y2">
        <f t="shared" si="0"/>
        <v>2023</v>
      </c>
      <c r="Z2">
        <f t="shared" si="0"/>
        <v>2024</v>
      </c>
      <c r="AA2">
        <f t="shared" si="0"/>
        <v>2025</v>
      </c>
      <c r="AB2">
        <f t="shared" si="0"/>
        <v>2026</v>
      </c>
    </row>
    <row r="4" spans="1:28" x14ac:dyDescent="0.25">
      <c r="B4" s="1" t="s">
        <v>1</v>
      </c>
      <c r="C4" s="1"/>
      <c r="D4" s="1"/>
      <c r="E4" s="1"/>
      <c r="F4" s="1"/>
    </row>
    <row r="5" spans="1:28" x14ac:dyDescent="0.25">
      <c r="B5" t="s">
        <v>14</v>
      </c>
      <c r="C5" s="6">
        <v>18.291</v>
      </c>
      <c r="D5" s="6">
        <v>20.120999999999999</v>
      </c>
      <c r="E5" s="6">
        <v>18.972000000000001</v>
      </c>
      <c r="F5" s="6">
        <f>87.471-E5-D5-C5</f>
        <v>30.087</v>
      </c>
      <c r="G5" s="6">
        <v>12.584</v>
      </c>
      <c r="H5" s="6">
        <v>14.816000000000001</v>
      </c>
      <c r="I5" s="6">
        <v>29.573</v>
      </c>
      <c r="J5" s="6">
        <f>86.743-I5-H5-G5</f>
        <v>29.769999999999992</v>
      </c>
      <c r="K5" s="6">
        <v>21.28</v>
      </c>
      <c r="L5" s="6">
        <v>22.151</v>
      </c>
      <c r="M5" s="6">
        <v>25.83</v>
      </c>
      <c r="N5" s="6">
        <f>101.804-M5-L5-K5</f>
        <v>32.543000000000006</v>
      </c>
      <c r="O5" s="6">
        <v>16.513000000000002</v>
      </c>
      <c r="P5" s="6">
        <v>20.129000000000001</v>
      </c>
      <c r="Q5" s="6">
        <v>22.286000000000001</v>
      </c>
      <c r="U5" s="6">
        <f>SUM(C5:F5)</f>
        <v>87.471000000000004</v>
      </c>
      <c r="V5" s="6">
        <f t="shared" ref="V5:V23" si="1">SUM(G5:J5)</f>
        <v>86.742999999999995</v>
      </c>
      <c r="W5" s="6">
        <f t="shared" ref="W5:W23" si="2">SUM(K5:N5)</f>
        <v>101.804</v>
      </c>
    </row>
    <row r="6" spans="1:28" x14ac:dyDescent="0.25">
      <c r="B6" t="s">
        <v>15</v>
      </c>
      <c r="C6" s="6">
        <v>7.1440000000000001</v>
      </c>
      <c r="D6" s="6">
        <v>7.1040000000000001</v>
      </c>
      <c r="E6" s="6">
        <v>7.8940000000000001</v>
      </c>
      <c r="F6" s="6">
        <f>29.394-E6-D6-C6</f>
        <v>7.2520000000000007</v>
      </c>
      <c r="G6" s="6">
        <v>7.968</v>
      </c>
      <c r="H6" s="6">
        <v>8.0210000000000008</v>
      </c>
      <c r="I6" s="6">
        <v>8.3049999999999997</v>
      </c>
      <c r="J6" s="6">
        <f>33.082-I6-H6-G6</f>
        <v>8.7880000000000003</v>
      </c>
      <c r="K6" s="6">
        <v>10.026</v>
      </c>
      <c r="L6" s="6">
        <v>10.342000000000001</v>
      </c>
      <c r="M6" s="6">
        <v>10.853</v>
      </c>
      <c r="N6" s="6">
        <f>43.069-M6-L6-K6</f>
        <v>11.848000000000003</v>
      </c>
      <c r="O6" s="6">
        <v>12.845000000000001</v>
      </c>
      <c r="P6" s="6">
        <v>14.016999999999999</v>
      </c>
      <c r="Q6" s="6">
        <v>16.414000000000001</v>
      </c>
      <c r="U6" s="6">
        <f t="shared" ref="U6:U24" si="3">SUM(C6:F6)</f>
        <v>29.394000000000005</v>
      </c>
      <c r="V6" s="6">
        <f t="shared" si="1"/>
        <v>33.082000000000001</v>
      </c>
      <c r="W6" s="6">
        <f t="shared" si="2"/>
        <v>43.069000000000003</v>
      </c>
    </row>
    <row r="7" spans="1:28" x14ac:dyDescent="0.25">
      <c r="B7" t="s">
        <v>16</v>
      </c>
      <c r="C7" s="6">
        <v>71.45</v>
      </c>
      <c r="D7" s="6">
        <v>72.977999999999994</v>
      </c>
      <c r="E7" s="6">
        <v>72.885000000000005</v>
      </c>
      <c r="F7" s="6">
        <f>292.035-E7-D7-C7</f>
        <v>74.722000000000023</v>
      </c>
      <c r="G7" s="6">
        <v>71.158000000000001</v>
      </c>
      <c r="H7" s="6">
        <v>70.037999999999997</v>
      </c>
      <c r="I7" s="6">
        <v>71.352000000000004</v>
      </c>
      <c r="J7" s="6">
        <f>284.434-I7-H7-G7</f>
        <v>71.886000000000038</v>
      </c>
      <c r="K7" s="6">
        <v>70.649000000000001</v>
      </c>
      <c r="L7" s="6">
        <v>71.027000000000001</v>
      </c>
      <c r="M7" s="6">
        <v>70.387</v>
      </c>
      <c r="N7" s="6">
        <f>281.209-M7-L7-K7</f>
        <v>69.146000000000015</v>
      </c>
      <c r="O7" s="6">
        <v>67.150999999999996</v>
      </c>
      <c r="P7" s="6">
        <v>66.521000000000001</v>
      </c>
      <c r="Q7" s="6">
        <v>66.010000000000005</v>
      </c>
      <c r="U7" s="6">
        <f t="shared" si="3"/>
        <v>292.03500000000003</v>
      </c>
      <c r="V7" s="6">
        <f t="shared" si="1"/>
        <v>284.43400000000003</v>
      </c>
      <c r="W7" s="6">
        <f t="shared" si="2"/>
        <v>281.209</v>
      </c>
    </row>
    <row r="8" spans="1:28" x14ac:dyDescent="0.25">
      <c r="B8" t="s">
        <v>17</v>
      </c>
      <c r="C8" s="6">
        <v>18.481000000000002</v>
      </c>
      <c r="D8" s="6">
        <v>17.533999999999999</v>
      </c>
      <c r="E8" s="6">
        <v>19.942</v>
      </c>
      <c r="F8" s="6">
        <f>77.427-E8-D8-C8</f>
        <v>21.470000000000006</v>
      </c>
      <c r="G8" s="6">
        <v>19.713999999999999</v>
      </c>
      <c r="H8" s="6">
        <v>17.709</v>
      </c>
      <c r="I8" s="6">
        <v>18.178000000000001</v>
      </c>
      <c r="J8" s="6">
        <f>-76.476-I8-H8-G8</f>
        <v>-132.077</v>
      </c>
      <c r="K8" s="6">
        <v>20.946999999999999</v>
      </c>
      <c r="L8" s="6">
        <v>21.831</v>
      </c>
      <c r="M8" s="6">
        <v>20.923999999999999</v>
      </c>
      <c r="N8" s="6">
        <f>84.68-M8-L8-K8</f>
        <v>20.978000000000012</v>
      </c>
      <c r="O8" s="6">
        <v>22.768000000000001</v>
      </c>
      <c r="P8" s="6">
        <v>21.405999999999999</v>
      </c>
      <c r="Q8" s="6">
        <v>20.65</v>
      </c>
      <c r="U8" s="6">
        <f t="shared" si="3"/>
        <v>77.427000000000007</v>
      </c>
      <c r="V8" s="6">
        <f t="shared" si="1"/>
        <v>-76.475999999999999</v>
      </c>
      <c r="W8" s="6">
        <f t="shared" si="2"/>
        <v>84.68</v>
      </c>
    </row>
    <row r="9" spans="1:28" x14ac:dyDescent="0.25">
      <c r="B9" s="2" t="s">
        <v>18</v>
      </c>
      <c r="C9" s="7">
        <f t="shared" ref="C9" si="4">SUM(C5:C8)</f>
        <v>115.36600000000001</v>
      </c>
      <c r="D9" s="7">
        <f t="shared" ref="D9" si="5">SUM(D5:D8)</f>
        <v>117.73699999999999</v>
      </c>
      <c r="E9" s="7">
        <f t="shared" ref="E9" si="6">SUM(E5:E8)</f>
        <v>119.69300000000001</v>
      </c>
      <c r="F9" s="7">
        <f t="shared" ref="F9" si="7">SUM(F5:F8)</f>
        <v>133.53100000000003</v>
      </c>
      <c r="G9" s="7">
        <f t="shared" ref="G9:P9" si="8">SUM(G5:G8)</f>
        <v>111.42400000000001</v>
      </c>
      <c r="H9" s="7">
        <f t="shared" si="8"/>
        <v>110.584</v>
      </c>
      <c r="I9" s="7">
        <f t="shared" si="8"/>
        <v>127.408</v>
      </c>
      <c r="J9" s="7">
        <f t="shared" si="8"/>
        <v>-21.632999999999967</v>
      </c>
      <c r="K9" s="7">
        <f t="shared" si="8"/>
        <v>122.902</v>
      </c>
      <c r="L9" s="7">
        <f t="shared" si="8"/>
        <v>125.35100000000001</v>
      </c>
      <c r="M9" s="7">
        <f t="shared" si="8"/>
        <v>127.994</v>
      </c>
      <c r="N9" s="7">
        <f t="shared" si="8"/>
        <v>134.51500000000004</v>
      </c>
      <c r="O9" s="7">
        <f t="shared" si="8"/>
        <v>119.277</v>
      </c>
      <c r="P9" s="7">
        <f t="shared" si="8"/>
        <v>122.07300000000001</v>
      </c>
      <c r="Q9" s="7">
        <f>SUM(Q5:Q8)</f>
        <v>125.36000000000001</v>
      </c>
      <c r="U9" s="7">
        <f t="shared" si="3"/>
        <v>486.32700000000011</v>
      </c>
      <c r="V9" s="7">
        <f t="shared" si="1"/>
        <v>327.78300000000002</v>
      </c>
      <c r="W9" s="7">
        <f t="shared" si="2"/>
        <v>510.76200000000006</v>
      </c>
    </row>
    <row r="10" spans="1:28" x14ac:dyDescent="0.25">
      <c r="B10" t="s">
        <v>14</v>
      </c>
      <c r="C10" s="6">
        <v>0.51900000000000002</v>
      </c>
      <c r="D10" s="6">
        <v>0.55200000000000005</v>
      </c>
      <c r="E10" s="6">
        <v>0.52600000000000002</v>
      </c>
      <c r="F10" s="6">
        <f>2.131-E10-D10-C10</f>
        <v>0.5339999999999997</v>
      </c>
      <c r="G10" s="6">
        <v>0.67</v>
      </c>
      <c r="H10" s="6">
        <v>0.51400000000000001</v>
      </c>
      <c r="I10" s="6">
        <v>0.54500000000000004</v>
      </c>
      <c r="J10" s="6">
        <f>2.293-I10-H10-G10</f>
        <v>0.56400000000000017</v>
      </c>
      <c r="K10" s="6">
        <v>0.48799999999999999</v>
      </c>
      <c r="L10" s="6">
        <v>0.41899999999999998</v>
      </c>
      <c r="M10" s="6">
        <v>0.38300000000000001</v>
      </c>
      <c r="N10" s="6">
        <f>1.721-M10-L10-K10</f>
        <v>0.43100000000000005</v>
      </c>
      <c r="O10" s="6">
        <v>0.47699999999999998</v>
      </c>
      <c r="P10" s="6">
        <v>0.43099999999999999</v>
      </c>
      <c r="Q10" s="6">
        <v>0.40600000000000003</v>
      </c>
      <c r="U10" s="6">
        <f t="shared" si="3"/>
        <v>2.1309999999999998</v>
      </c>
      <c r="V10" s="6">
        <f t="shared" si="1"/>
        <v>2.2930000000000001</v>
      </c>
      <c r="W10" s="6">
        <f t="shared" si="2"/>
        <v>1.7210000000000001</v>
      </c>
    </row>
    <row r="11" spans="1:28" x14ac:dyDescent="0.25">
      <c r="B11" t="s">
        <v>15</v>
      </c>
      <c r="C11" s="6">
        <v>3.5979999999999999</v>
      </c>
      <c r="D11" s="6">
        <v>3.4889999999999999</v>
      </c>
      <c r="E11" s="6">
        <v>3.8889999999999998</v>
      </c>
      <c r="F11" s="6">
        <f>15.161-E11-D11-C11</f>
        <v>4.1850000000000005</v>
      </c>
      <c r="G11" s="6">
        <v>4.0640000000000001</v>
      </c>
      <c r="H11" s="6">
        <v>3.7919999999999998</v>
      </c>
      <c r="I11" s="6">
        <v>3.6560000000000001</v>
      </c>
      <c r="J11" s="6">
        <f>14.833-I11-H11-G11</f>
        <v>3.3209999999999997</v>
      </c>
      <c r="K11" s="6">
        <v>3.6280000000000001</v>
      </c>
      <c r="L11" s="6">
        <v>3.81</v>
      </c>
      <c r="M11" s="6">
        <v>4.282</v>
      </c>
      <c r="N11" s="6">
        <f>16.901-M11-L11-K11</f>
        <v>5.1809999999999992</v>
      </c>
      <c r="O11" s="6">
        <v>5.41</v>
      </c>
      <c r="P11" s="6">
        <v>5.4980000000000002</v>
      </c>
      <c r="Q11" s="6">
        <v>6.3949999999999996</v>
      </c>
      <c r="U11" s="6">
        <f t="shared" si="3"/>
        <v>15.161</v>
      </c>
      <c r="V11" s="6">
        <f t="shared" si="1"/>
        <v>14.833</v>
      </c>
      <c r="W11" s="6">
        <f t="shared" si="2"/>
        <v>16.901</v>
      </c>
    </row>
    <row r="12" spans="1:28" x14ac:dyDescent="0.25">
      <c r="B12" t="s">
        <v>19</v>
      </c>
      <c r="C12" s="6">
        <v>7.0670000000000002</v>
      </c>
      <c r="D12" s="6">
        <v>7.7210000000000001</v>
      </c>
      <c r="E12" s="6">
        <v>6.9219999999999997</v>
      </c>
      <c r="F12" s="6">
        <f>28.317-E12-D12-C12</f>
        <v>6.6069999999999993</v>
      </c>
      <c r="G12" s="6">
        <v>6.718</v>
      </c>
      <c r="H12" s="6">
        <v>6.8369999999999997</v>
      </c>
      <c r="I12" s="6">
        <v>5.6790000000000003</v>
      </c>
      <c r="J12" s="6">
        <f>23.977-I12-H12-G12</f>
        <v>4.7430000000000021</v>
      </c>
      <c r="K12" s="6">
        <v>4.8120000000000003</v>
      </c>
      <c r="L12" s="6">
        <v>4.8620000000000001</v>
      </c>
      <c r="M12" s="6">
        <v>4.6790000000000003</v>
      </c>
      <c r="N12" s="6">
        <f>19.254-M12-L12-K12</f>
        <v>4.9010000000000007</v>
      </c>
      <c r="O12" s="6">
        <v>5.1909999999999998</v>
      </c>
      <c r="P12" s="6">
        <v>5.1269999999999998</v>
      </c>
      <c r="Q12" s="6">
        <v>5.2240000000000002</v>
      </c>
      <c r="U12" s="6">
        <f t="shared" si="3"/>
        <v>28.317</v>
      </c>
      <c r="V12" s="6">
        <f t="shared" si="1"/>
        <v>23.977000000000004</v>
      </c>
      <c r="W12" s="6">
        <f t="shared" si="2"/>
        <v>19.254000000000001</v>
      </c>
    </row>
    <row r="13" spans="1:28" x14ac:dyDescent="0.25">
      <c r="B13" t="s">
        <v>17</v>
      </c>
      <c r="C13" s="6">
        <v>14.989000000000001</v>
      </c>
      <c r="D13" s="6">
        <v>13.587999999999999</v>
      </c>
      <c r="E13" s="6">
        <v>12.478</v>
      </c>
      <c r="F13" s="6">
        <f>54.365-E13-D13-C13</f>
        <v>13.309999999999999</v>
      </c>
      <c r="G13" s="6">
        <v>13.093</v>
      </c>
      <c r="H13" s="6">
        <v>12.846</v>
      </c>
      <c r="I13" s="6">
        <v>11.856</v>
      </c>
      <c r="J13" s="6">
        <f>49.952-I13-H13-G13</f>
        <v>12.156999999999996</v>
      </c>
      <c r="K13" s="6">
        <v>13.621</v>
      </c>
      <c r="L13" s="6">
        <v>13.946999999999999</v>
      </c>
      <c r="M13" s="6">
        <v>12.975</v>
      </c>
      <c r="N13" s="6">
        <f>54.033-M13-L13-K13</f>
        <v>13.49</v>
      </c>
      <c r="O13" s="6">
        <v>14.599</v>
      </c>
      <c r="P13" s="6">
        <v>14.148</v>
      </c>
      <c r="Q13" s="6">
        <v>13.36</v>
      </c>
      <c r="U13" s="6">
        <f t="shared" si="3"/>
        <v>54.364999999999995</v>
      </c>
      <c r="V13" s="6">
        <f t="shared" si="1"/>
        <v>49.951999999999998</v>
      </c>
      <c r="W13" s="6">
        <f t="shared" si="2"/>
        <v>54.033000000000001</v>
      </c>
    </row>
    <row r="14" spans="1:28" x14ac:dyDescent="0.25">
      <c r="B14" s="2" t="s">
        <v>20</v>
      </c>
      <c r="C14" s="7">
        <f t="shared" ref="C14" si="9">SUM(C10:C13)</f>
        <v>26.173000000000002</v>
      </c>
      <c r="D14" s="7">
        <f t="shared" ref="D14" si="10">SUM(D10:D13)</f>
        <v>25.35</v>
      </c>
      <c r="E14" s="7">
        <f t="shared" ref="E14" si="11">SUM(E10:E13)</f>
        <v>23.814999999999998</v>
      </c>
      <c r="F14" s="7">
        <f t="shared" ref="F14" si="12">SUM(F10:F13)</f>
        <v>24.635999999999999</v>
      </c>
      <c r="G14" s="7">
        <f t="shared" ref="G14:P14" si="13">SUM(G10:G13)</f>
        <v>24.545000000000002</v>
      </c>
      <c r="H14" s="7">
        <f t="shared" si="13"/>
        <v>23.989000000000001</v>
      </c>
      <c r="I14" s="7">
        <f t="shared" si="13"/>
        <v>21.736000000000001</v>
      </c>
      <c r="J14" s="7">
        <f t="shared" si="13"/>
        <v>20.784999999999997</v>
      </c>
      <c r="K14" s="7">
        <f t="shared" si="13"/>
        <v>22.548999999999999</v>
      </c>
      <c r="L14" s="7">
        <f t="shared" si="13"/>
        <v>23.038</v>
      </c>
      <c r="M14" s="7">
        <f t="shared" si="13"/>
        <v>22.319000000000003</v>
      </c>
      <c r="N14" s="7">
        <f t="shared" si="13"/>
        <v>24.003</v>
      </c>
      <c r="O14" s="7">
        <f t="shared" si="13"/>
        <v>25.677</v>
      </c>
      <c r="P14" s="7">
        <f t="shared" si="13"/>
        <v>25.204000000000001</v>
      </c>
      <c r="Q14" s="7">
        <f>SUM(Q10:Q13)</f>
        <v>25.384999999999998</v>
      </c>
      <c r="U14" s="6">
        <f t="shared" si="3"/>
        <v>99.97399999999999</v>
      </c>
      <c r="V14" s="6">
        <f t="shared" si="1"/>
        <v>91.055000000000007</v>
      </c>
      <c r="W14" s="6">
        <f t="shared" si="2"/>
        <v>91.909000000000006</v>
      </c>
    </row>
    <row r="15" spans="1:28" x14ac:dyDescent="0.25">
      <c r="B15" t="s">
        <v>21</v>
      </c>
      <c r="C15" s="6">
        <v>48.76</v>
      </c>
      <c r="D15" s="6">
        <v>48.273000000000003</v>
      </c>
      <c r="E15" s="6">
        <v>43.935000000000002</v>
      </c>
      <c r="F15" s="6">
        <f>191.235-E15-D15-C15</f>
        <v>50.267000000000017</v>
      </c>
      <c r="G15" s="6">
        <v>39.518000000000001</v>
      </c>
      <c r="H15" s="6">
        <v>34.951000000000001</v>
      </c>
      <c r="I15" s="6">
        <v>35.33</v>
      </c>
      <c r="J15" s="6">
        <f>148.91-I15-H15-G15</f>
        <v>39.11099999999999</v>
      </c>
      <c r="K15" s="6">
        <v>38.198</v>
      </c>
      <c r="L15" s="6">
        <v>40.320999999999998</v>
      </c>
      <c r="M15" s="6">
        <v>38.209000000000003</v>
      </c>
      <c r="N15" s="6">
        <f>160.141-M15-L15-K15</f>
        <v>43.41299999999999</v>
      </c>
      <c r="O15" s="6">
        <v>33.24</v>
      </c>
      <c r="P15" s="6">
        <v>36.862000000000002</v>
      </c>
      <c r="Q15" s="6">
        <v>35.408999999999999</v>
      </c>
      <c r="U15" s="6">
        <f t="shared" si="3"/>
        <v>191.23500000000004</v>
      </c>
      <c r="V15" s="6">
        <f t="shared" si="1"/>
        <v>148.90999999999997</v>
      </c>
      <c r="W15" s="6">
        <f t="shared" si="2"/>
        <v>160.14099999999999</v>
      </c>
    </row>
    <row r="16" spans="1:28" x14ac:dyDescent="0.25">
      <c r="B16" t="s">
        <v>22</v>
      </c>
      <c r="C16" s="6">
        <v>28.215</v>
      </c>
      <c r="D16" s="6">
        <v>27.763999999999999</v>
      </c>
      <c r="E16" s="6">
        <v>27.457000000000001</v>
      </c>
      <c r="F16" s="6">
        <f>109.423-E16-D16-C16</f>
        <v>25.987000000000013</v>
      </c>
      <c r="G16" s="6">
        <v>26.100999999999999</v>
      </c>
      <c r="H16" s="6">
        <v>25.867000000000001</v>
      </c>
      <c r="I16" s="6">
        <v>26.638000000000002</v>
      </c>
      <c r="J16" s="6">
        <f>103.561-I16-H16-G16</f>
        <v>24.954999999999998</v>
      </c>
      <c r="K16" s="6">
        <v>29.483000000000001</v>
      </c>
      <c r="L16" s="6">
        <v>28.547999999999998</v>
      </c>
      <c r="M16" s="6">
        <v>28.210999999999999</v>
      </c>
      <c r="N16" s="6">
        <f>117.117-M16-L16-K16</f>
        <v>30.875000000000004</v>
      </c>
      <c r="O16" s="6">
        <v>33.523000000000003</v>
      </c>
      <c r="P16" s="6">
        <v>31.79</v>
      </c>
      <c r="Q16" s="6">
        <v>30.498000000000001</v>
      </c>
      <c r="U16" s="6">
        <f t="shared" si="3"/>
        <v>109.42300000000002</v>
      </c>
      <c r="V16" s="6">
        <f t="shared" si="1"/>
        <v>103.56100000000001</v>
      </c>
      <c r="W16" s="6">
        <f t="shared" si="2"/>
        <v>117.11699999999999</v>
      </c>
    </row>
    <row r="17" spans="1:23" x14ac:dyDescent="0.25">
      <c r="B17" t="s">
        <v>23</v>
      </c>
      <c r="C17" s="6">
        <v>22.603999999999999</v>
      </c>
      <c r="D17" s="6">
        <v>21.18</v>
      </c>
      <c r="E17" s="6">
        <v>19.899999999999999</v>
      </c>
      <c r="F17" s="6">
        <f>86.697-E17-D17-C17</f>
        <v>23.012999999999998</v>
      </c>
      <c r="G17" s="6">
        <v>21.332000000000001</v>
      </c>
      <c r="H17" s="6">
        <v>19.449000000000002</v>
      </c>
      <c r="I17" s="6">
        <v>19.733000000000001</v>
      </c>
      <c r="J17" s="6">
        <f>80.136-I17-H17-G17</f>
        <v>19.621999999999993</v>
      </c>
      <c r="K17" s="6">
        <v>21.728999999999999</v>
      </c>
      <c r="L17" s="6">
        <v>22.917000000000002</v>
      </c>
      <c r="M17" s="6">
        <v>23.751000000000001</v>
      </c>
      <c r="N17" s="6">
        <f>95.501-M17-L17-K17</f>
        <v>27.103999999999999</v>
      </c>
      <c r="O17" s="6">
        <v>26.706</v>
      </c>
      <c r="P17" s="6">
        <v>28.501999999999999</v>
      </c>
      <c r="Q17" s="6">
        <v>27.283000000000001</v>
      </c>
      <c r="U17" s="6">
        <f t="shared" si="3"/>
        <v>86.697000000000003</v>
      </c>
      <c r="V17" s="6">
        <f t="shared" si="1"/>
        <v>80.135999999999996</v>
      </c>
      <c r="W17" s="6">
        <f t="shared" si="2"/>
        <v>95.501000000000005</v>
      </c>
    </row>
    <row r="18" spans="1:23" x14ac:dyDescent="0.25">
      <c r="B18" t="s">
        <v>24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44.241999999999997</v>
      </c>
      <c r="J18" s="6">
        <f>70.698-I18-H18-G18</f>
        <v>26.455999999999996</v>
      </c>
      <c r="K18" s="6">
        <v>194.095</v>
      </c>
      <c r="L18" s="6">
        <v>424.774</v>
      </c>
      <c r="M18" s="6">
        <v>65.165000000000006</v>
      </c>
      <c r="N18" s="6">
        <f>830.621-M18-L18-K18</f>
        <v>146.58700000000002</v>
      </c>
      <c r="O18" s="6">
        <v>170.09100000000001</v>
      </c>
      <c r="P18" s="6">
        <v>917.83799999999997</v>
      </c>
      <c r="Q18" s="6">
        <v>0.72699999999999998</v>
      </c>
      <c r="U18" s="6">
        <f t="shared" si="3"/>
        <v>0</v>
      </c>
      <c r="V18" s="6">
        <f t="shared" si="1"/>
        <v>70.697999999999993</v>
      </c>
      <c r="W18" s="6">
        <f t="shared" si="2"/>
        <v>830.62099999999998</v>
      </c>
    </row>
    <row r="19" spans="1:23" x14ac:dyDescent="0.25">
      <c r="B19" s="2" t="s">
        <v>25</v>
      </c>
      <c r="C19" s="7">
        <f t="shared" ref="C19" si="14">SUM(C15:C18)</f>
        <v>99.578999999999994</v>
      </c>
      <c r="D19" s="7">
        <f t="shared" ref="D19" si="15">SUM(D15:D18)</f>
        <v>97.217000000000013</v>
      </c>
      <c r="E19" s="7">
        <f t="shared" ref="E19" si="16">SUM(E15:E18)</f>
        <v>91.292000000000002</v>
      </c>
      <c r="F19" s="7">
        <f t="shared" ref="F19" si="17">SUM(F15:F18)</f>
        <v>99.267000000000024</v>
      </c>
      <c r="G19" s="7">
        <f t="shared" ref="G19:P19" si="18">SUM(G15:G18)</f>
        <v>86.950999999999993</v>
      </c>
      <c r="H19" s="7">
        <f t="shared" si="18"/>
        <v>80.266999999999996</v>
      </c>
      <c r="I19" s="7">
        <f t="shared" si="18"/>
        <v>125.94300000000001</v>
      </c>
      <c r="J19" s="7">
        <f t="shared" si="18"/>
        <v>110.14399999999998</v>
      </c>
      <c r="K19" s="7">
        <f t="shared" si="18"/>
        <v>283.505</v>
      </c>
      <c r="L19" s="7">
        <f t="shared" si="18"/>
        <v>516.55999999999995</v>
      </c>
      <c r="M19" s="7">
        <f t="shared" si="18"/>
        <v>155.33600000000001</v>
      </c>
      <c r="N19" s="7">
        <f t="shared" si="18"/>
        <v>247.97900000000001</v>
      </c>
      <c r="O19" s="7">
        <f t="shared" si="18"/>
        <v>263.56</v>
      </c>
      <c r="P19" s="7">
        <f t="shared" si="18"/>
        <v>1014.992</v>
      </c>
      <c r="Q19" s="7">
        <f>SUM(Q15:Q18)</f>
        <v>93.917000000000002</v>
      </c>
      <c r="U19" s="7">
        <f t="shared" si="3"/>
        <v>387.35500000000002</v>
      </c>
      <c r="V19" s="7">
        <f t="shared" si="1"/>
        <v>403.30499999999995</v>
      </c>
      <c r="W19" s="7">
        <f t="shared" si="2"/>
        <v>1203.3799999999999</v>
      </c>
    </row>
    <row r="20" spans="1:23" x14ac:dyDescent="0.25">
      <c r="B20" s="2" t="s">
        <v>54</v>
      </c>
      <c r="C20" s="7">
        <f t="shared" ref="C20" si="19">C9-C14-C19</f>
        <v>-10.385999999999981</v>
      </c>
      <c r="D20" s="7">
        <f t="shared" ref="D20" si="20">D9-D14-D19</f>
        <v>-4.8300000000000125</v>
      </c>
      <c r="E20" s="7">
        <f t="shared" ref="E20" si="21">E9-E14-E19</f>
        <v>4.5860000000000127</v>
      </c>
      <c r="F20" s="7">
        <f t="shared" ref="F20" si="22">F9-F14-F19</f>
        <v>9.6280000000000143</v>
      </c>
      <c r="G20" s="7">
        <f t="shared" ref="G20:P20" si="23">G9-G14-G19</f>
        <v>-7.1999999999988518E-2</v>
      </c>
      <c r="H20" s="7">
        <f t="shared" si="23"/>
        <v>6.328000000000003</v>
      </c>
      <c r="I20" s="7">
        <f t="shared" si="23"/>
        <v>-20.271000000000015</v>
      </c>
      <c r="J20" s="7">
        <f t="shared" si="23"/>
        <v>-152.56199999999995</v>
      </c>
      <c r="K20" s="7">
        <f t="shared" si="23"/>
        <v>-183.15199999999999</v>
      </c>
      <c r="L20" s="7">
        <f t="shared" si="23"/>
        <v>-414.24699999999996</v>
      </c>
      <c r="M20" s="7">
        <f t="shared" si="23"/>
        <v>-49.661000000000016</v>
      </c>
      <c r="N20" s="7">
        <f t="shared" si="23"/>
        <v>-137.46699999999998</v>
      </c>
      <c r="O20" s="7">
        <f t="shared" si="23"/>
        <v>-169.96</v>
      </c>
      <c r="P20" s="7">
        <f t="shared" si="23"/>
        <v>-918.12299999999993</v>
      </c>
      <c r="Q20" s="7">
        <f>Q9-Q14-Q19</f>
        <v>6.0580000000000211</v>
      </c>
      <c r="U20" s="7">
        <f t="shared" si="3"/>
        <v>-1.0019999999999669</v>
      </c>
      <c r="V20" s="7">
        <f t="shared" si="1"/>
        <v>-166.57699999999994</v>
      </c>
      <c r="W20" s="7">
        <f t="shared" si="2"/>
        <v>-784.52699999999993</v>
      </c>
    </row>
    <row r="21" spans="1:23" x14ac:dyDescent="0.25">
      <c r="B21" t="s">
        <v>53</v>
      </c>
      <c r="C21" s="6">
        <v>2.5659999999999998</v>
      </c>
      <c r="D21" s="6">
        <v>3.0129999999999999</v>
      </c>
      <c r="E21" s="6">
        <v>2.9409999999999998</v>
      </c>
      <c r="F21" s="6">
        <f>10.909-E21-D21-C21</f>
        <v>2.3890000000000011</v>
      </c>
      <c r="G21" s="6">
        <v>1.855</v>
      </c>
      <c r="H21" s="6">
        <v>0.56299999999999994</v>
      </c>
      <c r="I21" s="6">
        <v>0.20899999999999999</v>
      </c>
      <c r="J21" s="6">
        <f>0.71-I21-H21-G21</f>
        <v>-1.9169999999999998</v>
      </c>
      <c r="K21" s="6">
        <v>-2.3959999999999999</v>
      </c>
      <c r="L21" s="6">
        <v>-4.4009999999999998</v>
      </c>
      <c r="M21" s="6">
        <v>-10.723000000000001</v>
      </c>
      <c r="N21" s="6">
        <f>-29.149-M21-L21-K21</f>
        <v>-11.629000000000001</v>
      </c>
      <c r="O21" s="6">
        <v>-11.039</v>
      </c>
      <c r="P21" s="6">
        <v>-13.186999999999999</v>
      </c>
      <c r="Q21" s="6">
        <v>-14.073</v>
      </c>
      <c r="U21" s="6">
        <f t="shared" si="3"/>
        <v>10.909000000000001</v>
      </c>
      <c r="V21" s="6">
        <f t="shared" si="1"/>
        <v>0.71000000000000041</v>
      </c>
      <c r="W21" s="6">
        <f t="shared" si="2"/>
        <v>-29.149000000000001</v>
      </c>
    </row>
    <row r="22" spans="1:23" x14ac:dyDescent="0.25">
      <c r="B22" t="s">
        <v>26</v>
      </c>
      <c r="C22" s="6">
        <v>-0.59599999999999997</v>
      </c>
      <c r="D22" s="6">
        <v>29.431000000000001</v>
      </c>
      <c r="E22" s="6">
        <v>1.8819999999999999</v>
      </c>
      <c r="F22" s="6">
        <f>28.356-E22-D22-C22</f>
        <v>-2.3610000000000007</v>
      </c>
      <c r="G22" s="6">
        <v>0.434</v>
      </c>
      <c r="H22" s="6">
        <v>-1.9950000000000001</v>
      </c>
      <c r="I22" s="6">
        <v>-2.9710000000000001</v>
      </c>
      <c r="J22" s="6">
        <f>-7.038-I22-H22-G22</f>
        <v>-2.5060000000000002</v>
      </c>
      <c r="K22" s="6">
        <v>1.264</v>
      </c>
      <c r="L22" s="6">
        <v>-0.89700000000000002</v>
      </c>
      <c r="M22" s="6">
        <v>1.264</v>
      </c>
      <c r="N22" s="6">
        <f>2.289-M22-L22-K22</f>
        <v>0.65800000000000014</v>
      </c>
      <c r="O22" s="6">
        <v>2.2250000000000001</v>
      </c>
      <c r="P22" s="6">
        <v>5.12</v>
      </c>
      <c r="Q22" s="6">
        <v>4.8970000000000002</v>
      </c>
      <c r="U22" s="6">
        <f t="shared" si="3"/>
        <v>28.356000000000002</v>
      </c>
      <c r="V22" s="6">
        <f t="shared" si="1"/>
        <v>-7.0380000000000003</v>
      </c>
      <c r="W22" s="6">
        <f t="shared" si="2"/>
        <v>2.2890000000000001</v>
      </c>
    </row>
    <row r="23" spans="1:23" x14ac:dyDescent="0.25">
      <c r="B23" t="s">
        <v>27</v>
      </c>
      <c r="C23" s="6">
        <v>-0.51</v>
      </c>
      <c r="D23" s="6">
        <v>7.22</v>
      </c>
      <c r="E23" s="6">
        <v>-0.29099999999999998</v>
      </c>
      <c r="F23" s="6">
        <f>3.908-E23-D23-C23</f>
        <v>-2.5110000000000001</v>
      </c>
      <c r="G23" s="6">
        <v>1.56</v>
      </c>
      <c r="H23" s="6">
        <v>1.5089999999999999</v>
      </c>
      <c r="I23" s="6">
        <v>-8.8040000000000003</v>
      </c>
      <c r="J23" s="6">
        <f>-12.429-I23-H23-G23</f>
        <v>-6.6940000000000008</v>
      </c>
      <c r="K23" s="6">
        <v>-74.263999999999996</v>
      </c>
      <c r="L23" s="6">
        <v>-120.19799999999999</v>
      </c>
      <c r="M23" s="6">
        <v>-22.984000000000002</v>
      </c>
      <c r="N23" s="6">
        <f>-275.909-M23-L23-K23</f>
        <v>-58.46299999999998</v>
      </c>
      <c r="O23" s="6">
        <v>-48.023000000000003</v>
      </c>
      <c r="P23" s="6">
        <v>136.108</v>
      </c>
      <c r="Q23" s="6">
        <v>23.960999999999999</v>
      </c>
      <c r="U23" s="6">
        <f t="shared" si="3"/>
        <v>3.9079999999999995</v>
      </c>
      <c r="V23" s="6">
        <f t="shared" si="1"/>
        <v>-12.429000000000002</v>
      </c>
      <c r="W23" s="6">
        <f t="shared" si="2"/>
        <v>-275.90899999999999</v>
      </c>
    </row>
    <row r="24" spans="1:23" s="25" customFormat="1" x14ac:dyDescent="0.25">
      <c r="A24"/>
      <c r="B24" s="2" t="s">
        <v>28</v>
      </c>
      <c r="C24" s="7">
        <f t="shared" ref="C24:F24" si="24">C20+C21+C22-C23</f>
        <v>-7.905999999999981</v>
      </c>
      <c r="D24" s="7">
        <f t="shared" si="24"/>
        <v>20.393999999999991</v>
      </c>
      <c r="E24" s="7">
        <f t="shared" si="24"/>
        <v>9.7000000000000135</v>
      </c>
      <c r="F24" s="7">
        <f t="shared" si="24"/>
        <v>12.167000000000016</v>
      </c>
      <c r="G24" s="7">
        <f t="shared" ref="G24:Q24" si="25">G20+G21+G22-G23</f>
        <v>0.65700000000001157</v>
      </c>
      <c r="H24" s="7">
        <f t="shared" si="25"/>
        <v>3.3870000000000027</v>
      </c>
      <c r="I24" s="7">
        <f t="shared" si="25"/>
        <v>-14.229000000000015</v>
      </c>
      <c r="J24" s="7">
        <f t="shared" si="25"/>
        <v>-150.29099999999997</v>
      </c>
      <c r="K24" s="7">
        <f t="shared" si="25"/>
        <v>-110.01999999999997</v>
      </c>
      <c r="L24" s="7">
        <f t="shared" si="25"/>
        <v>-299.34699999999998</v>
      </c>
      <c r="M24" s="7">
        <f t="shared" si="25"/>
        <v>-36.13600000000001</v>
      </c>
      <c r="N24" s="7">
        <f t="shared" si="25"/>
        <v>-89.975000000000009</v>
      </c>
      <c r="O24" s="7">
        <f t="shared" si="25"/>
        <v>-130.751</v>
      </c>
      <c r="P24" s="7">
        <f t="shared" si="25"/>
        <v>-1062.298</v>
      </c>
      <c r="Q24" s="7">
        <f t="shared" si="25"/>
        <v>-27.078999999999979</v>
      </c>
      <c r="R24"/>
      <c r="S24"/>
      <c r="T24"/>
      <c r="U24" s="23">
        <f t="shared" si="3"/>
        <v>34.35500000000004</v>
      </c>
      <c r="V24" s="24">
        <f>SUM(G24:J24)</f>
        <v>-160.47599999999997</v>
      </c>
      <c r="W24" s="24">
        <f>SUM(K24:N24)</f>
        <v>-535.47799999999995</v>
      </c>
    </row>
    <row r="25" spans="1:23" x14ac:dyDescent="0.25">
      <c r="B25" t="s">
        <v>29</v>
      </c>
      <c r="C25" s="8">
        <f t="shared" ref="C25" si="26">C24/C26</f>
        <v>-0.76549186676994396</v>
      </c>
      <c r="D25" s="8">
        <f t="shared" ref="D25" si="27">D24/D26</f>
        <v>1.9780795344325888</v>
      </c>
      <c r="E25" s="8">
        <f t="shared" ref="E25" si="28">E24/E26</f>
        <v>0.94092540498593602</v>
      </c>
      <c r="F25" s="8">
        <f t="shared" ref="F25" si="29">F24/F26</f>
        <v>1.1780596436870658</v>
      </c>
      <c r="G25" s="8">
        <f t="shared" ref="G25:P25" si="30">G24/G26</f>
        <v>6.5496959425781237E-2</v>
      </c>
      <c r="H25" s="8">
        <f t="shared" si="30"/>
        <v>0.34770557437634769</v>
      </c>
      <c r="I25" s="8">
        <f t="shared" si="30"/>
        <v>-1.4797212978369401</v>
      </c>
      <c r="J25" s="8">
        <f t="shared" si="30"/>
        <v>-15.519516728624533</v>
      </c>
      <c r="K25" s="8">
        <f t="shared" si="30"/>
        <v>-11.40458173525448</v>
      </c>
      <c r="L25" s="8">
        <f t="shared" si="30"/>
        <v>-30.714857377385592</v>
      </c>
      <c r="M25" s="8">
        <f t="shared" si="30"/>
        <v>-3.6139613961396146</v>
      </c>
      <c r="N25" s="8">
        <f t="shared" si="30"/>
        <v>-8.9795409181636732</v>
      </c>
      <c r="O25" s="8">
        <f t="shared" si="30"/>
        <v>-11.582159624413146</v>
      </c>
      <c r="P25" s="8">
        <f t="shared" si="30"/>
        <v>-94.008672566371672</v>
      </c>
      <c r="Q25" s="8">
        <f>Q24/Q26</f>
        <v>-2.3946763353378122</v>
      </c>
      <c r="U25" s="6"/>
    </row>
    <row r="26" spans="1:23" x14ac:dyDescent="0.25">
      <c r="B26" t="s">
        <v>30</v>
      </c>
      <c r="C26" s="6">
        <v>10.327999999999999</v>
      </c>
      <c r="D26" s="6">
        <v>10.31</v>
      </c>
      <c r="E26" s="6">
        <v>10.308999999999999</v>
      </c>
      <c r="F26" s="6">
        <v>10.327999999999999</v>
      </c>
      <c r="G26" s="6">
        <v>10.031000000000001</v>
      </c>
      <c r="H26" s="6">
        <v>9.7409999999999997</v>
      </c>
      <c r="I26" s="6">
        <v>9.6159999999999997</v>
      </c>
      <c r="J26" s="6">
        <v>9.6839999999999993</v>
      </c>
      <c r="K26" s="6">
        <v>9.6470000000000002</v>
      </c>
      <c r="L26" s="6">
        <v>9.7460000000000004</v>
      </c>
      <c r="M26" s="6">
        <v>9.9990000000000006</v>
      </c>
      <c r="N26" s="6">
        <v>10.02</v>
      </c>
      <c r="O26" s="6">
        <v>11.289</v>
      </c>
      <c r="P26" s="6">
        <v>11.3</v>
      </c>
      <c r="Q26" s="6">
        <v>11.308</v>
      </c>
      <c r="U26" s="6"/>
    </row>
    <row r="28" spans="1:23" x14ac:dyDescent="0.25">
      <c r="S28" s="13" t="s">
        <v>75</v>
      </c>
      <c r="T28" s="17">
        <v>0.08</v>
      </c>
    </row>
    <row r="29" spans="1:23" x14ac:dyDescent="0.25">
      <c r="S29" s="14" t="s">
        <v>76</v>
      </c>
      <c r="T29" s="18">
        <v>0.11</v>
      </c>
    </row>
    <row r="30" spans="1:23" x14ac:dyDescent="0.25">
      <c r="S30" s="14" t="s">
        <v>77</v>
      </c>
      <c r="T30" s="18">
        <f>SUM(T28:T29)</f>
        <v>0.19</v>
      </c>
    </row>
    <row r="31" spans="1:23" x14ac:dyDescent="0.25">
      <c r="S31" s="14" t="s">
        <v>78</v>
      </c>
      <c r="T31" s="19">
        <f>NPV(T30,U24:JL24)</f>
        <v>-402.21387091663161</v>
      </c>
    </row>
    <row r="32" spans="1:23" x14ac:dyDescent="0.25">
      <c r="S32" s="14" t="s">
        <v>32</v>
      </c>
      <c r="T32" s="21">
        <f>Q38</f>
        <v>51.636000000000003</v>
      </c>
    </row>
    <row r="33" spans="2:20" x14ac:dyDescent="0.25">
      <c r="S33" s="14" t="s">
        <v>79</v>
      </c>
      <c r="T33" s="19">
        <f>T31+T32</f>
        <v>-350.57787091663158</v>
      </c>
    </row>
    <row r="34" spans="2:20" x14ac:dyDescent="0.25">
      <c r="S34" s="14" t="s">
        <v>62</v>
      </c>
      <c r="T34" s="15">
        <v>11</v>
      </c>
    </row>
    <row r="35" spans="2:20" x14ac:dyDescent="0.25">
      <c r="S35" s="14" t="s">
        <v>80</v>
      </c>
      <c r="T35" s="22">
        <v>174.5</v>
      </c>
    </row>
    <row r="36" spans="2:20" x14ac:dyDescent="0.25">
      <c r="S36" s="16" t="s">
        <v>81</v>
      </c>
      <c r="T36" s="20">
        <f>T33/T34</f>
        <v>-31.870715537875597</v>
      </c>
    </row>
    <row r="37" spans="2:20" x14ac:dyDescent="0.25">
      <c r="B37" s="1" t="s">
        <v>31</v>
      </c>
      <c r="C37" s="1"/>
      <c r="D37" s="1"/>
      <c r="E37" s="1"/>
      <c r="F37" s="1"/>
    </row>
    <row r="38" spans="2:20" x14ac:dyDescent="0.25">
      <c r="B38" s="3" t="s">
        <v>32</v>
      </c>
      <c r="C38" s="9">
        <f t="shared" ref="C38" si="31">C39-C51</f>
        <v>258.74299999999999</v>
      </c>
      <c r="D38" s="9">
        <f t="shared" ref="D38" si="32">D39-D51</f>
        <v>261.49700000000001</v>
      </c>
      <c r="E38" s="9">
        <f t="shared" ref="E38" si="33">E39-E51</f>
        <v>375.07100000000003</v>
      </c>
      <c r="F38" s="9">
        <f t="shared" ref="F38" si="34">F39-F51</f>
        <v>456.72699999999998</v>
      </c>
      <c r="G38" s="9">
        <f t="shared" ref="G38:P38" si="35">G39-G51</f>
        <v>429.27600000000001</v>
      </c>
      <c r="H38" s="9">
        <f t="shared" si="35"/>
        <v>420.899</v>
      </c>
      <c r="I38" s="9">
        <f t="shared" si="35"/>
        <v>52.652999999999999</v>
      </c>
      <c r="J38" s="9">
        <f t="shared" si="35"/>
        <v>45.012999999999998</v>
      </c>
      <c r="K38" s="9">
        <f t="shared" si="35"/>
        <v>68.027000000000001</v>
      </c>
      <c r="L38" s="9">
        <f t="shared" si="35"/>
        <v>49.137</v>
      </c>
      <c r="M38" s="9">
        <f t="shared" si="35"/>
        <v>48.673000000000002</v>
      </c>
      <c r="N38" s="9">
        <f t="shared" si="35"/>
        <v>55.267000000000003</v>
      </c>
      <c r="O38" s="9">
        <f t="shared" si="35"/>
        <v>84.441000000000003</v>
      </c>
      <c r="P38" s="9">
        <f t="shared" si="35"/>
        <v>60.888999999999996</v>
      </c>
      <c r="Q38" s="9">
        <f>Q39-Q51</f>
        <v>51.636000000000003</v>
      </c>
    </row>
    <row r="39" spans="2:20" x14ac:dyDescent="0.25">
      <c r="B39" s="4" t="s">
        <v>32</v>
      </c>
      <c r="C39" s="10">
        <v>258.74299999999999</v>
      </c>
      <c r="D39" s="10">
        <v>261.49700000000001</v>
      </c>
      <c r="E39" s="10">
        <v>375.07100000000003</v>
      </c>
      <c r="F39" s="10">
        <v>456.72699999999998</v>
      </c>
      <c r="G39" s="6">
        <v>429.27600000000001</v>
      </c>
      <c r="H39" s="6">
        <v>420.899</v>
      </c>
      <c r="I39" s="6">
        <v>52.652999999999999</v>
      </c>
      <c r="J39" s="6">
        <v>59.674999999999997</v>
      </c>
      <c r="K39" s="6">
        <v>82.543999999999997</v>
      </c>
      <c r="L39" s="6">
        <v>56.399000000000001</v>
      </c>
      <c r="M39" s="6">
        <v>56.975000000000001</v>
      </c>
      <c r="N39" s="6">
        <v>63.356000000000002</v>
      </c>
      <c r="O39" s="6">
        <v>92.677000000000007</v>
      </c>
      <c r="P39" s="6">
        <v>69.385999999999996</v>
      </c>
      <c r="Q39" s="6">
        <v>60.39</v>
      </c>
    </row>
    <row r="40" spans="2:20" x14ac:dyDescent="0.25">
      <c r="B40" t="s">
        <v>33</v>
      </c>
      <c r="C40" s="6">
        <v>0.92200000000000004</v>
      </c>
      <c r="D40" s="6">
        <v>1.0389999999999999</v>
      </c>
      <c r="E40" s="6">
        <v>0.79800000000000004</v>
      </c>
      <c r="F40" s="6">
        <v>1.089</v>
      </c>
      <c r="G40" s="6">
        <v>2.742</v>
      </c>
      <c r="H40" s="6">
        <v>1.2210000000000001</v>
      </c>
      <c r="I40" s="6">
        <v>1.2310000000000001</v>
      </c>
      <c r="J40" s="6">
        <v>1.0840000000000001</v>
      </c>
      <c r="K40" s="6">
        <v>1.194</v>
      </c>
      <c r="L40" s="6">
        <v>1.2050000000000001</v>
      </c>
      <c r="M40" s="6">
        <v>1.149</v>
      </c>
      <c r="N40" s="6">
        <v>1.0780000000000001</v>
      </c>
      <c r="O40" s="6">
        <v>6.2649999999999997</v>
      </c>
      <c r="P40" s="6">
        <v>6.1550000000000002</v>
      </c>
      <c r="Q40" s="6">
        <v>6.5780000000000003</v>
      </c>
    </row>
    <row r="41" spans="2:20" x14ac:dyDescent="0.25">
      <c r="B41" t="s">
        <v>60</v>
      </c>
      <c r="C41" s="6">
        <v>292.31400000000002</v>
      </c>
      <c r="D41" s="6">
        <v>313.34899999999999</v>
      </c>
      <c r="E41" s="6">
        <v>203.21799999999999</v>
      </c>
      <c r="F41" s="6">
        <v>108.919</v>
      </c>
      <c r="G41" s="6">
        <v>109.946</v>
      </c>
      <c r="H41" s="6">
        <v>109.97199999999999</v>
      </c>
      <c r="I41" s="6">
        <v>0</v>
      </c>
      <c r="J41" s="6">
        <v>0</v>
      </c>
      <c r="K41" s="6">
        <v>0</v>
      </c>
      <c r="L41" s="6">
        <v>0</v>
      </c>
      <c r="M41" s="6">
        <v>0</v>
      </c>
      <c r="N41" s="6">
        <v>0</v>
      </c>
      <c r="O41" s="6">
        <v>0</v>
      </c>
      <c r="P41" s="6">
        <v>0</v>
      </c>
      <c r="Q41" s="6">
        <v>0</v>
      </c>
    </row>
    <row r="42" spans="2:20" x14ac:dyDescent="0.25">
      <c r="B42" t="s">
        <v>34</v>
      </c>
      <c r="C42" s="6">
        <v>133.922</v>
      </c>
      <c r="D42" s="6">
        <v>129.14400000000001</v>
      </c>
      <c r="E42" s="6">
        <v>118.002</v>
      </c>
      <c r="F42" s="6">
        <v>163.51599999999999</v>
      </c>
      <c r="G42" s="6">
        <v>124.935</v>
      </c>
      <c r="H42" s="6">
        <v>123.794</v>
      </c>
      <c r="I42" s="6">
        <v>148.512</v>
      </c>
      <c r="J42" s="6">
        <v>197.46100000000001</v>
      </c>
      <c r="K42" s="6">
        <v>150.626</v>
      </c>
      <c r="L42" s="6">
        <v>131.51599999999999</v>
      </c>
      <c r="M42" s="6">
        <v>123.748</v>
      </c>
      <c r="N42" s="6">
        <v>189.28</v>
      </c>
      <c r="O42" s="6">
        <v>126.93</v>
      </c>
      <c r="P42" s="6">
        <v>118.645</v>
      </c>
      <c r="Q42" s="6">
        <v>109.926</v>
      </c>
    </row>
    <row r="43" spans="2:20" x14ac:dyDescent="0.25">
      <c r="B43" t="s">
        <v>35</v>
      </c>
      <c r="C43" s="6">
        <v>32.511000000000003</v>
      </c>
      <c r="D43" s="6">
        <v>22.259</v>
      </c>
      <c r="E43" s="6">
        <v>24.664999999999999</v>
      </c>
      <c r="F43" s="6">
        <v>23.195</v>
      </c>
      <c r="G43" s="6">
        <v>26.163</v>
      </c>
      <c r="H43" s="6">
        <v>16.887</v>
      </c>
      <c r="I43" s="6">
        <v>16.04</v>
      </c>
      <c r="J43" s="6">
        <v>14.4</v>
      </c>
      <c r="K43" s="6">
        <v>16.39</v>
      </c>
      <c r="L43" s="6">
        <v>19.338000000000001</v>
      </c>
      <c r="M43" s="6">
        <v>15.75</v>
      </c>
      <c r="N43" s="6">
        <v>14.250999999999999</v>
      </c>
      <c r="O43" s="6">
        <v>21.116</v>
      </c>
      <c r="P43" s="6">
        <v>25.495999999999999</v>
      </c>
      <c r="Q43" s="6">
        <v>25.399000000000001</v>
      </c>
    </row>
    <row r="44" spans="2:20" x14ac:dyDescent="0.25">
      <c r="B44" t="s">
        <v>36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380.75799999999998</v>
      </c>
      <c r="J44" s="6">
        <v>1054.3019999999999</v>
      </c>
      <c r="K44" s="6">
        <v>1946.5820000000001</v>
      </c>
      <c r="L44" s="6">
        <v>2051.0390000000002</v>
      </c>
      <c r="M44" s="6">
        <v>2405.739</v>
      </c>
      <c r="N44" s="6">
        <v>2850.21</v>
      </c>
      <c r="O44" s="6">
        <v>2895.6190000000001</v>
      </c>
      <c r="P44" s="6">
        <v>1987.7809999999999</v>
      </c>
      <c r="Q44" s="6">
        <v>1993.0319999999999</v>
      </c>
    </row>
    <row r="45" spans="2:20" x14ac:dyDescent="0.25">
      <c r="B45" t="s">
        <v>37</v>
      </c>
      <c r="C45" s="6">
        <v>54.832000000000001</v>
      </c>
      <c r="D45" s="6">
        <v>54.284999999999997</v>
      </c>
      <c r="E45" s="6">
        <v>51.993000000000002</v>
      </c>
      <c r="F45" s="6">
        <v>50.154000000000003</v>
      </c>
      <c r="G45" s="6">
        <v>47.622999999999998</v>
      </c>
      <c r="H45" s="6">
        <v>45.3</v>
      </c>
      <c r="I45" s="6">
        <v>45.472999999999999</v>
      </c>
      <c r="J45" s="6">
        <v>42.975000000000001</v>
      </c>
      <c r="K45" s="6">
        <v>41.091000000000001</v>
      </c>
      <c r="L45" s="6">
        <v>39.658999999999999</v>
      </c>
      <c r="M45" s="6">
        <v>38.133000000000003</v>
      </c>
      <c r="N45" s="6">
        <v>36.587000000000003</v>
      </c>
      <c r="O45" s="6">
        <v>35.68</v>
      </c>
      <c r="P45" s="6">
        <v>34.58</v>
      </c>
      <c r="Q45" s="6">
        <v>33.033000000000001</v>
      </c>
    </row>
    <row r="46" spans="2:20" x14ac:dyDescent="0.25">
      <c r="B46" t="s">
        <v>38</v>
      </c>
      <c r="C46" s="6">
        <v>87.742999999999995</v>
      </c>
      <c r="D46" s="6">
        <v>89.631</v>
      </c>
      <c r="E46" s="6">
        <v>86.994</v>
      </c>
      <c r="F46" s="6">
        <v>85.537999999999997</v>
      </c>
      <c r="G46" s="6">
        <v>82.69</v>
      </c>
      <c r="H46" s="6">
        <v>81.543000000000006</v>
      </c>
      <c r="I46" s="6">
        <v>79.296000000000006</v>
      </c>
      <c r="J46" s="6">
        <v>73.596999999999994</v>
      </c>
      <c r="K46" s="6">
        <v>71.367000000000004</v>
      </c>
      <c r="L46" s="6">
        <v>70.34</v>
      </c>
      <c r="M46" s="6">
        <v>68.754999999999995</v>
      </c>
      <c r="N46" s="6">
        <v>66.760000000000005</v>
      </c>
      <c r="O46" s="6">
        <v>64.637</v>
      </c>
      <c r="P46" s="6">
        <v>65.168999999999997</v>
      </c>
      <c r="Q46" s="6">
        <v>62.902000000000001</v>
      </c>
    </row>
    <row r="47" spans="2:20" x14ac:dyDescent="0.25">
      <c r="B47" t="s">
        <v>39</v>
      </c>
      <c r="C47" s="6">
        <v>8.3740000000000006</v>
      </c>
      <c r="D47" s="6">
        <v>7.9809999999999999</v>
      </c>
      <c r="E47" s="6">
        <v>7.4550000000000001</v>
      </c>
      <c r="F47" s="6">
        <v>8.0239999999999991</v>
      </c>
      <c r="G47" s="6">
        <v>7.7569999999999997</v>
      </c>
      <c r="H47" s="6">
        <v>14.596</v>
      </c>
      <c r="I47" s="6">
        <v>15.404999999999999</v>
      </c>
      <c r="J47" s="6">
        <v>15.615</v>
      </c>
      <c r="K47" s="6">
        <v>15.013</v>
      </c>
      <c r="L47" s="6">
        <v>15.756</v>
      </c>
      <c r="M47" s="6">
        <v>14.856999999999999</v>
      </c>
      <c r="N47" s="6">
        <v>15.82</v>
      </c>
      <c r="O47" s="6">
        <v>18.181000000000001</v>
      </c>
      <c r="P47" s="6">
        <v>17.786000000000001</v>
      </c>
      <c r="Q47" s="6">
        <v>20.992000000000001</v>
      </c>
    </row>
    <row r="48" spans="2:20" x14ac:dyDescent="0.25">
      <c r="B48" t="s">
        <v>40</v>
      </c>
      <c r="C48" s="6">
        <v>18.983000000000001</v>
      </c>
      <c r="D48" s="6">
        <v>20.535</v>
      </c>
      <c r="E48" s="6">
        <v>20.52</v>
      </c>
      <c r="F48" s="6">
        <v>19.408999999999999</v>
      </c>
      <c r="G48" s="6">
        <v>18.138999999999999</v>
      </c>
      <c r="H48" s="6">
        <v>18.834</v>
      </c>
      <c r="I48" s="6">
        <v>33.536999999999999</v>
      </c>
      <c r="J48" s="6">
        <v>6.5030000000000001</v>
      </c>
      <c r="K48" s="6">
        <v>118.27200000000001</v>
      </c>
      <c r="L48" s="6">
        <v>239.107</v>
      </c>
      <c r="M48" s="6">
        <v>261.13799999999998</v>
      </c>
      <c r="N48" s="6">
        <v>319.78199999999998</v>
      </c>
      <c r="O48" s="6">
        <v>377.28199999999998</v>
      </c>
      <c r="P48" s="6">
        <v>243.36699999999999</v>
      </c>
      <c r="Q48" s="6">
        <v>233.03399999999999</v>
      </c>
    </row>
    <row r="49" spans="2:88" x14ac:dyDescent="0.25">
      <c r="B49" s="2" t="s">
        <v>41</v>
      </c>
      <c r="C49" s="7">
        <f t="shared" ref="C49" si="36">SUM(C39:C48)</f>
        <v>888.34400000000005</v>
      </c>
      <c r="D49" s="7">
        <f t="shared" ref="D49" si="37">SUM(D39:D48)</f>
        <v>899.71999999999991</v>
      </c>
      <c r="E49" s="7">
        <f t="shared" ref="E49" si="38">SUM(E39:E48)</f>
        <v>888.71600000000001</v>
      </c>
      <c r="F49" s="7">
        <f t="shared" ref="F49" si="39">SUM(F39:F48)</f>
        <v>916.57100000000003</v>
      </c>
      <c r="G49" s="7">
        <f t="shared" ref="G49:P49" si="40">SUM(G39:G48)</f>
        <v>849.27100000000019</v>
      </c>
      <c r="H49" s="7">
        <f t="shared" si="40"/>
        <v>833.04599999999982</v>
      </c>
      <c r="I49" s="7">
        <f t="shared" si="40"/>
        <v>772.90499999999997</v>
      </c>
      <c r="J49" s="7">
        <f t="shared" si="40"/>
        <v>1465.6119999999999</v>
      </c>
      <c r="K49" s="7">
        <f t="shared" si="40"/>
        <v>2443.0790000000002</v>
      </c>
      <c r="L49" s="7">
        <f t="shared" si="40"/>
        <v>2624.3590000000004</v>
      </c>
      <c r="M49" s="7">
        <f t="shared" si="40"/>
        <v>2986.2439999999997</v>
      </c>
      <c r="N49" s="7">
        <f t="shared" si="40"/>
        <v>3557.1240000000007</v>
      </c>
      <c r="O49" s="7">
        <f t="shared" si="40"/>
        <v>3638.3870000000002</v>
      </c>
      <c r="P49" s="7">
        <f t="shared" si="40"/>
        <v>2568.3649999999998</v>
      </c>
      <c r="Q49" s="7">
        <f>SUM(Q39:Q48)</f>
        <v>2545.2860000000001</v>
      </c>
      <c r="CJ49" t="s">
        <v>55</v>
      </c>
    </row>
    <row r="50" spans="2:88" x14ac:dyDescent="0.25"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</row>
    <row r="51" spans="2:88" x14ac:dyDescent="0.25">
      <c r="B51" s="3" t="s">
        <v>42</v>
      </c>
      <c r="C51" s="9">
        <f t="shared" ref="C51:F51" si="41">C56</f>
        <v>0</v>
      </c>
      <c r="D51" s="9">
        <f t="shared" si="41"/>
        <v>0</v>
      </c>
      <c r="E51" s="9">
        <f t="shared" si="41"/>
        <v>0</v>
      </c>
      <c r="F51" s="9">
        <f t="shared" si="41"/>
        <v>0</v>
      </c>
      <c r="G51" s="9">
        <f>G56</f>
        <v>0</v>
      </c>
      <c r="H51" s="9">
        <f>H56</f>
        <v>0</v>
      </c>
      <c r="I51" s="9">
        <f>I56</f>
        <v>0</v>
      </c>
      <c r="J51" s="9">
        <f t="shared" ref="J51:P51" si="42">J57</f>
        <v>14.662000000000001</v>
      </c>
      <c r="K51" s="9">
        <f t="shared" si="42"/>
        <v>14.516999999999999</v>
      </c>
      <c r="L51" s="9">
        <f t="shared" si="42"/>
        <v>7.2619999999999996</v>
      </c>
      <c r="M51" s="9">
        <f t="shared" si="42"/>
        <v>8.3019999999999996</v>
      </c>
      <c r="N51" s="9">
        <f t="shared" si="42"/>
        <v>8.0890000000000004</v>
      </c>
      <c r="O51" s="9">
        <f t="shared" si="42"/>
        <v>8.2360000000000007</v>
      </c>
      <c r="P51" s="9">
        <f t="shared" si="42"/>
        <v>8.4969999999999999</v>
      </c>
      <c r="Q51" s="9">
        <f>Q57</f>
        <v>8.7539999999999996</v>
      </c>
    </row>
    <row r="52" spans="2:88" x14ac:dyDescent="0.25">
      <c r="B52" t="s">
        <v>43</v>
      </c>
      <c r="C52" s="6">
        <v>37.226999999999997</v>
      </c>
      <c r="D52" s="6">
        <v>32.299999999999997</v>
      </c>
      <c r="E52" s="6">
        <v>28.626000000000001</v>
      </c>
      <c r="F52" s="6">
        <v>33.918999999999997</v>
      </c>
      <c r="G52" s="6">
        <v>32.539000000000001</v>
      </c>
      <c r="H52" s="6">
        <v>31.468</v>
      </c>
      <c r="I52" s="6">
        <v>38.667999999999999</v>
      </c>
      <c r="J52" s="6">
        <v>45.119</v>
      </c>
      <c r="K52" s="6">
        <v>39.816000000000003</v>
      </c>
      <c r="L52" s="6">
        <v>41.235999999999997</v>
      </c>
      <c r="M52" s="6">
        <v>45.454000000000001</v>
      </c>
      <c r="N52" s="6">
        <v>46.084000000000003</v>
      </c>
      <c r="O52" s="6">
        <v>44.387999999999998</v>
      </c>
      <c r="P52" s="6">
        <v>35.96</v>
      </c>
      <c r="Q52" s="6">
        <v>36.845999999999997</v>
      </c>
    </row>
    <row r="53" spans="2:88" x14ac:dyDescent="0.25">
      <c r="B53" t="s">
        <v>46</v>
      </c>
      <c r="C53" s="6">
        <v>36.713000000000001</v>
      </c>
      <c r="D53" s="6">
        <v>41.561</v>
      </c>
      <c r="E53" s="6">
        <v>41.829000000000001</v>
      </c>
      <c r="F53" s="6">
        <v>48.792000000000002</v>
      </c>
      <c r="G53" s="6">
        <v>35.207000000000001</v>
      </c>
      <c r="H53" s="6">
        <v>40.805999999999997</v>
      </c>
      <c r="I53" s="6">
        <v>44.177</v>
      </c>
      <c r="J53" s="6">
        <v>49.249000000000002</v>
      </c>
      <c r="K53" s="6">
        <v>44.823999999999998</v>
      </c>
      <c r="L53" s="6">
        <v>50.944000000000003</v>
      </c>
      <c r="M53" s="6">
        <v>47.759900000000002</v>
      </c>
      <c r="N53" s="6">
        <v>54.548000000000002</v>
      </c>
      <c r="O53" s="6">
        <v>43.725999999999999</v>
      </c>
      <c r="P53" s="6">
        <v>47.773000000000003</v>
      </c>
      <c r="Q53" s="6">
        <v>46.345999999999997</v>
      </c>
    </row>
    <row r="54" spans="2:88" x14ac:dyDescent="0.25">
      <c r="B54" t="s">
        <v>44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0</v>
      </c>
      <c r="I54" s="6">
        <v>0</v>
      </c>
      <c r="J54" s="6">
        <v>0</v>
      </c>
      <c r="K54" s="6">
        <v>0</v>
      </c>
      <c r="L54" s="6">
        <v>0</v>
      </c>
      <c r="M54" s="6">
        <v>0</v>
      </c>
      <c r="N54" s="6">
        <v>1.4930000000000001</v>
      </c>
      <c r="O54" s="6">
        <v>10.544</v>
      </c>
      <c r="P54" s="6">
        <v>2.2690000000000001</v>
      </c>
      <c r="Q54" s="6">
        <v>11.394</v>
      </c>
    </row>
    <row r="55" spans="2:88" x14ac:dyDescent="0.25">
      <c r="B55" t="s">
        <v>45</v>
      </c>
      <c r="C55" s="6">
        <v>190.07</v>
      </c>
      <c r="D55" s="6">
        <v>176.786</v>
      </c>
      <c r="E55" s="6">
        <v>160.244</v>
      </c>
      <c r="F55" s="6">
        <v>187.107</v>
      </c>
      <c r="G55" s="6">
        <v>184.89099999999999</v>
      </c>
      <c r="H55" s="6">
        <v>167.643</v>
      </c>
      <c r="I55" s="6">
        <v>160.845</v>
      </c>
      <c r="J55" s="6">
        <v>191.25</v>
      </c>
      <c r="K55" s="6">
        <v>198.98</v>
      </c>
      <c r="L55" s="6">
        <v>182.81800000000001</v>
      </c>
      <c r="M55" s="6">
        <v>160.697</v>
      </c>
      <c r="N55" s="6">
        <v>209.86</v>
      </c>
      <c r="O55" s="6">
        <v>206.21700000000001</v>
      </c>
      <c r="P55" s="6">
        <v>188.09800000000001</v>
      </c>
      <c r="Q55" s="6">
        <v>165.934</v>
      </c>
    </row>
    <row r="56" spans="2:88" x14ac:dyDescent="0.25">
      <c r="B56" t="s">
        <v>47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0</v>
      </c>
      <c r="I56" s="6">
        <v>0</v>
      </c>
      <c r="J56" s="6">
        <v>486.36599999999999</v>
      </c>
      <c r="K56" s="6">
        <v>1661.914</v>
      </c>
      <c r="L56" s="6">
        <v>2150.9270000000001</v>
      </c>
      <c r="M56" s="6">
        <v>2153.0340000000001</v>
      </c>
      <c r="N56" s="6">
        <v>2155.1509999999998</v>
      </c>
      <c r="O56" s="6">
        <v>2361.8649999999998</v>
      </c>
      <c r="P56" s="6">
        <v>2374.8629999999998</v>
      </c>
      <c r="Q56" s="6">
        <v>2376.9349999999999</v>
      </c>
    </row>
    <row r="57" spans="2:88" x14ac:dyDescent="0.25">
      <c r="B57" t="s">
        <v>48</v>
      </c>
      <c r="C57" s="6">
        <v>4.5389999999999997</v>
      </c>
      <c r="D57" s="6">
        <v>4.1749999999999998</v>
      </c>
      <c r="E57" s="6">
        <v>4.4870000000000001</v>
      </c>
      <c r="F57" s="6">
        <v>4.3440000000000003</v>
      </c>
      <c r="G57" s="6">
        <v>3.66</v>
      </c>
      <c r="H57" s="6">
        <v>5.91</v>
      </c>
      <c r="I57" s="6">
        <v>11.657</v>
      </c>
      <c r="J57" s="6">
        <v>14.662000000000001</v>
      </c>
      <c r="K57" s="6">
        <v>14.516999999999999</v>
      </c>
      <c r="L57" s="6">
        <v>7.2619999999999996</v>
      </c>
      <c r="M57" s="6">
        <v>8.3019999999999996</v>
      </c>
      <c r="N57" s="6">
        <v>8.0890000000000004</v>
      </c>
      <c r="O57" s="6">
        <v>8.2360000000000007</v>
      </c>
      <c r="P57" s="6">
        <v>8.4969999999999999</v>
      </c>
      <c r="Q57" s="6">
        <v>8.7539999999999996</v>
      </c>
    </row>
    <row r="58" spans="2:88" x14ac:dyDescent="0.25">
      <c r="B58" t="s">
        <v>49</v>
      </c>
      <c r="C58" s="6">
        <v>106.661</v>
      </c>
      <c r="D58" s="6">
        <v>108.18300000000001</v>
      </c>
      <c r="E58" s="6">
        <v>105.291</v>
      </c>
      <c r="F58" s="6">
        <v>103.42400000000001</v>
      </c>
      <c r="G58" s="6">
        <v>100.251</v>
      </c>
      <c r="H58" s="6">
        <v>98.283000000000001</v>
      </c>
      <c r="I58" s="6">
        <v>95.590999999999994</v>
      </c>
      <c r="J58" s="6">
        <v>84.328000000000003</v>
      </c>
      <c r="K58" s="6">
        <v>81.849000000000004</v>
      </c>
      <c r="L58" s="6">
        <v>80.900000000000006</v>
      </c>
      <c r="M58" s="6">
        <v>78.938999999999993</v>
      </c>
      <c r="N58" s="6">
        <v>76.608000000000004</v>
      </c>
      <c r="O58" s="6">
        <v>73.956000000000003</v>
      </c>
      <c r="P58" s="6">
        <v>72.162000000000006</v>
      </c>
      <c r="Q58" s="6">
        <v>69.278000000000006</v>
      </c>
    </row>
    <row r="59" spans="2:88" x14ac:dyDescent="0.25">
      <c r="B59" t="s">
        <v>50</v>
      </c>
      <c r="C59" s="6">
        <v>34.792999999999999</v>
      </c>
      <c r="D59" s="6">
        <v>33.99</v>
      </c>
      <c r="E59" s="6">
        <v>32.786000000000001</v>
      </c>
      <c r="F59" s="6">
        <v>30.4</v>
      </c>
      <c r="G59" s="6">
        <v>31.273</v>
      </c>
      <c r="H59" s="6">
        <v>30.452000000000002</v>
      </c>
      <c r="I59" s="6">
        <v>32.651000000000003</v>
      </c>
      <c r="J59" s="6">
        <v>33.381999999999998</v>
      </c>
      <c r="K59" s="6">
        <v>34.329000000000001</v>
      </c>
      <c r="L59" s="6">
        <v>31.04</v>
      </c>
      <c r="M59" s="6">
        <v>28.934000000000001</v>
      </c>
      <c r="N59" s="6">
        <v>26.224</v>
      </c>
      <c r="O59" s="6">
        <v>26.347000000000001</v>
      </c>
      <c r="P59" s="6">
        <v>25.706</v>
      </c>
      <c r="Q59" s="6">
        <v>30.088000000000001</v>
      </c>
    </row>
    <row r="60" spans="2:88" x14ac:dyDescent="0.25">
      <c r="B60" t="s">
        <v>51</v>
      </c>
      <c r="C60" s="6">
        <v>3.5000000000000003E-2</v>
      </c>
      <c r="D60" s="6">
        <v>3.5999999999999997E-2</v>
      </c>
      <c r="E60" s="6">
        <v>3.4000000000000002E-2</v>
      </c>
      <c r="F60" s="6">
        <v>2.5999999999999999E-2</v>
      </c>
      <c r="G60" s="6">
        <v>2.4E-2</v>
      </c>
      <c r="H60" s="6">
        <v>2.4E-2</v>
      </c>
      <c r="I60" s="6">
        <v>2.4E-2</v>
      </c>
      <c r="J60" s="6">
        <v>8.2110000000000003</v>
      </c>
      <c r="K60" s="6">
        <v>1.8120000000000001</v>
      </c>
      <c r="L60" s="6">
        <v>1.8129999999999999</v>
      </c>
      <c r="M60" s="6">
        <v>1.8109999999999999</v>
      </c>
      <c r="N60" s="6">
        <v>0.109</v>
      </c>
      <c r="O60" s="6">
        <v>0.109</v>
      </c>
      <c r="P60" s="6">
        <v>0.105</v>
      </c>
      <c r="Q60" s="6">
        <v>0</v>
      </c>
    </row>
    <row r="61" spans="2:88" x14ac:dyDescent="0.25">
      <c r="B61" s="2" t="s">
        <v>52</v>
      </c>
      <c r="C61" s="7">
        <f t="shared" ref="C61" si="43">SUM(C52:C60)</f>
        <v>410.03800000000001</v>
      </c>
      <c r="D61" s="7">
        <f>SUM(D52:D60)</f>
        <v>397.03100000000001</v>
      </c>
      <c r="E61" s="7">
        <f t="shared" ref="E61" si="44">SUM(E52:E60)</f>
        <v>373.29699999999997</v>
      </c>
      <c r="F61" s="7">
        <f t="shared" ref="F61" si="45">SUM(F52:F60)</f>
        <v>408.012</v>
      </c>
      <c r="G61" s="7">
        <f t="shared" ref="G61:P61" si="46">SUM(G52:G60)</f>
        <v>387.84500000000003</v>
      </c>
      <c r="H61" s="7">
        <f t="shared" si="46"/>
        <v>374.58600000000001</v>
      </c>
      <c r="I61" s="7">
        <f t="shared" si="46"/>
        <v>383.613</v>
      </c>
      <c r="J61" s="7">
        <f t="shared" si="46"/>
        <v>912.56699999999989</v>
      </c>
      <c r="K61" s="7">
        <f t="shared" si="46"/>
        <v>2078.0410000000002</v>
      </c>
      <c r="L61" s="7">
        <f t="shared" si="46"/>
        <v>2546.9400000000005</v>
      </c>
      <c r="M61" s="7">
        <f t="shared" si="46"/>
        <v>2524.9309000000003</v>
      </c>
      <c r="N61" s="7">
        <f t="shared" si="46"/>
        <v>2578.1660000000002</v>
      </c>
      <c r="O61" s="7">
        <f t="shared" si="46"/>
        <v>2775.3879999999999</v>
      </c>
      <c r="P61" s="7">
        <f t="shared" si="46"/>
        <v>2755.4329999999995</v>
      </c>
      <c r="Q61" s="7">
        <f>SUM(Q52:Q60)</f>
        <v>2745.5749999999998</v>
      </c>
    </row>
    <row r="62" spans="2:88" x14ac:dyDescent="0.25">
      <c r="B62" t="s">
        <v>72</v>
      </c>
    </row>
    <row r="63" spans="2:88" x14ac:dyDescent="0.25">
      <c r="B63" t="s">
        <v>73</v>
      </c>
    </row>
    <row r="64" spans="2:88" x14ac:dyDescent="0.25">
      <c r="B64" s="2" t="s">
        <v>74</v>
      </c>
    </row>
    <row r="66" spans="2:17" x14ac:dyDescent="0.25">
      <c r="B66" s="1" t="s">
        <v>65</v>
      </c>
    </row>
    <row r="67" spans="2:17" x14ac:dyDescent="0.25">
      <c r="B67" s="2" t="s">
        <v>66</v>
      </c>
      <c r="C67" s="11" t="s">
        <v>71</v>
      </c>
      <c r="D67" s="7">
        <f t="shared" ref="D67:Q67" si="47">SUM(A24:D24)</f>
        <v>12.48800000000001</v>
      </c>
      <c r="E67" s="7">
        <f t="shared" si="47"/>
        <v>22.188000000000024</v>
      </c>
      <c r="F67" s="7">
        <f t="shared" si="47"/>
        <v>34.35500000000004</v>
      </c>
      <c r="G67" s="7">
        <f t="shared" si="47"/>
        <v>42.918000000000035</v>
      </c>
      <c r="H67" s="7">
        <f t="shared" si="47"/>
        <v>25.911000000000044</v>
      </c>
      <c r="I67" s="7">
        <f t="shared" si="47"/>
        <v>1.9820000000000153</v>
      </c>
      <c r="J67" s="7">
        <f t="shared" si="47"/>
        <v>-160.47599999999997</v>
      </c>
      <c r="K67" s="7">
        <f t="shared" si="47"/>
        <v>-271.15299999999996</v>
      </c>
      <c r="L67" s="7">
        <f t="shared" si="47"/>
        <v>-573.88699999999994</v>
      </c>
      <c r="M67" s="7">
        <f t="shared" si="47"/>
        <v>-595.79399999999987</v>
      </c>
      <c r="N67" s="7">
        <f t="shared" si="47"/>
        <v>-535.47799999999995</v>
      </c>
      <c r="O67" s="7">
        <f t="shared" si="47"/>
        <v>-556.20900000000006</v>
      </c>
      <c r="P67" s="7">
        <f t="shared" si="47"/>
        <v>-1319.16</v>
      </c>
      <c r="Q67" s="7">
        <f t="shared" si="47"/>
        <v>-1310.1029999999998</v>
      </c>
    </row>
    <row r="68" spans="2:17" x14ac:dyDescent="0.25">
      <c r="B68" t="s">
        <v>67</v>
      </c>
    </row>
    <row r="69" spans="2:17" x14ac:dyDescent="0.25">
      <c r="B69" t="s">
        <v>68</v>
      </c>
      <c r="D69" s="12">
        <f>D67/D49</f>
        <v>1.3879873738496433E-2</v>
      </c>
      <c r="E69" s="12">
        <f t="shared" ref="E69:Q69" si="48">E67/E49</f>
        <v>2.4966355956233515E-2</v>
      </c>
      <c r="F69" s="12">
        <f t="shared" si="48"/>
        <v>3.7482093585766992E-2</v>
      </c>
      <c r="G69" s="12">
        <f t="shared" si="48"/>
        <v>5.0535105990902815E-2</v>
      </c>
      <c r="H69" s="12">
        <f t="shared" si="48"/>
        <v>3.1103924633213591E-2</v>
      </c>
      <c r="I69" s="12">
        <f t="shared" si="48"/>
        <v>2.5643513756542077E-3</v>
      </c>
      <c r="J69" s="12">
        <f t="shared" si="48"/>
        <v>-0.10949419082267339</v>
      </c>
      <c r="K69" s="12">
        <f t="shared" si="48"/>
        <v>-0.11098822428582945</v>
      </c>
      <c r="L69" s="12">
        <f t="shared" si="48"/>
        <v>-0.21867701789275013</v>
      </c>
      <c r="M69" s="12">
        <f t="shared" si="48"/>
        <v>-0.19951283284286211</v>
      </c>
      <c r="N69" s="12">
        <f t="shared" si="48"/>
        <v>-0.15053678196205694</v>
      </c>
      <c r="O69" s="12">
        <f t="shared" si="48"/>
        <v>-0.1528724129676145</v>
      </c>
      <c r="P69" s="12">
        <f t="shared" si="48"/>
        <v>-0.51361858614332467</v>
      </c>
      <c r="Q69" s="12">
        <f t="shared" si="48"/>
        <v>-0.51471740307376057</v>
      </c>
    </row>
    <row r="70" spans="2:17" x14ac:dyDescent="0.25">
      <c r="B70" t="s">
        <v>69</v>
      </c>
    </row>
    <row r="71" spans="2:17" x14ac:dyDescent="0.25">
      <c r="B71" t="s">
        <v>70</v>
      </c>
      <c r="D71" s="12">
        <f>D67/(D42+D44+D45+D46+D47+D48)</f>
        <v>4.1409130700055738E-2</v>
      </c>
      <c r="E71" s="12">
        <f t="shared" ref="E71:Q71" si="49">E67/(E42+E44+E45+E46+E47+E48)</f>
        <v>7.786246683791645E-2</v>
      </c>
      <c r="F71" s="12">
        <f t="shared" si="49"/>
        <v>0.10517663122510659</v>
      </c>
      <c r="G71" s="12">
        <f t="shared" si="49"/>
        <v>0.15265486725663729</v>
      </c>
      <c r="H71" s="12">
        <f t="shared" si="49"/>
        <v>9.1214396603618311E-2</v>
      </c>
      <c r="I71" s="12">
        <f t="shared" si="49"/>
        <v>2.8194218620418124E-3</v>
      </c>
      <c r="J71" s="12">
        <f t="shared" si="49"/>
        <v>-0.11541274678108501</v>
      </c>
      <c r="K71" s="12">
        <f t="shared" si="49"/>
        <v>-0.11573140027256223</v>
      </c>
      <c r="L71" s="12">
        <f t="shared" si="49"/>
        <v>-0.2252819228261411</v>
      </c>
      <c r="M71" s="12">
        <f t="shared" si="49"/>
        <v>-0.20457359470122269</v>
      </c>
      <c r="N71" s="12">
        <f t="shared" si="49"/>
        <v>-0.15394204124321278</v>
      </c>
      <c r="O71" s="12">
        <f t="shared" si="49"/>
        <v>-0.15808896780261311</v>
      </c>
      <c r="P71" s="12">
        <f t="shared" si="49"/>
        <v>-0.53465125025938998</v>
      </c>
      <c r="Q71" s="12">
        <f t="shared" si="49"/>
        <v>-0.53409957687147425</v>
      </c>
    </row>
  </sheetData>
  <hyperlinks>
    <hyperlink ref="A1" r:id="rId1" xr:uid="{50A81402-C209-4DA1-9AAE-4055382828F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87BF-0216-44A0-A79C-279A8A2CA3A0}">
  <dimension ref="B2:C7"/>
  <sheetViews>
    <sheetView workbookViewId="0">
      <selection activeCell="B2" sqref="B2:C7"/>
    </sheetView>
  </sheetViews>
  <sheetFormatPr defaultRowHeight="15" x14ac:dyDescent="0.25"/>
  <cols>
    <col min="3" max="3" width="9.85546875" customWidth="1"/>
  </cols>
  <sheetData>
    <row r="2" spans="2:3" x14ac:dyDescent="0.25">
      <c r="B2" t="s">
        <v>61</v>
      </c>
      <c r="C2">
        <v>176.39</v>
      </c>
    </row>
    <row r="3" spans="2:3" x14ac:dyDescent="0.25">
      <c r="B3" t="s">
        <v>62</v>
      </c>
      <c r="C3" s="6">
        <v>11</v>
      </c>
    </row>
    <row r="4" spans="2:3" x14ac:dyDescent="0.25">
      <c r="B4" t="s">
        <v>63</v>
      </c>
      <c r="C4" s="6">
        <v>1650</v>
      </c>
    </row>
    <row r="5" spans="2:3" x14ac:dyDescent="0.25">
      <c r="B5" t="s">
        <v>32</v>
      </c>
      <c r="C5" s="6">
        <v>51</v>
      </c>
    </row>
    <row r="6" spans="2:3" x14ac:dyDescent="0.25">
      <c r="B6" t="s">
        <v>42</v>
      </c>
      <c r="C6" s="6">
        <v>8.7539999999999996</v>
      </c>
    </row>
    <row r="7" spans="2:3" x14ac:dyDescent="0.25">
      <c r="B7" s="2" t="s">
        <v>64</v>
      </c>
      <c r="C7" s="7">
        <f>C4+C5-C6</f>
        <v>1692.2460000000001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</dc:creator>
  <cp:lastModifiedBy>game</cp:lastModifiedBy>
  <dcterms:created xsi:type="dcterms:W3CDTF">2022-11-24T03:54:56Z</dcterms:created>
  <dcterms:modified xsi:type="dcterms:W3CDTF">2022-11-27T19:11:39Z</dcterms:modified>
</cp:coreProperties>
</file>