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4\Alek\Documents\Money\Finance\Crypto Universe\"/>
    </mc:Choice>
  </mc:AlternateContent>
  <xr:revisionPtr revIDLastSave="0" documentId="13_ncr:1_{46ED7501-B953-4F1E-976D-7750BACE6553}" xr6:coauthVersionLast="47" xr6:coauthVersionMax="47" xr10:uidLastSave="{00000000-0000-0000-0000-000000000000}"/>
  <bookViews>
    <workbookView xWindow="32130" yWindow="4545" windowWidth="14085" windowHeight="13815" xr2:uid="{C81AA0DA-4D8E-4469-A5C0-616BCC557FA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P56" i="1"/>
  <c r="P58" i="1" s="1"/>
  <c r="P60" i="1" s="1"/>
  <c r="P55" i="1"/>
  <c r="N38" i="1"/>
  <c r="N35" i="1"/>
  <c r="S35" i="1" s="1"/>
  <c r="T35" i="1" s="1"/>
  <c r="U35" i="1" s="1"/>
  <c r="V35" i="1" s="1"/>
  <c r="W35" i="1" s="1"/>
  <c r="X35" i="1" s="1"/>
  <c r="Y35" i="1" s="1"/>
  <c r="Z35" i="1" s="1"/>
  <c r="AA35" i="1" s="1"/>
  <c r="N32" i="1"/>
  <c r="N31" i="1"/>
  <c r="N30" i="1"/>
  <c r="N29" i="1"/>
  <c r="N28" i="1"/>
  <c r="N27" i="1"/>
  <c r="S27" i="1" s="1"/>
  <c r="T27" i="1" s="1"/>
  <c r="U27" i="1" s="1"/>
  <c r="V27" i="1" s="1"/>
  <c r="W27" i="1" s="1"/>
  <c r="X27" i="1" s="1"/>
  <c r="Y27" i="1" s="1"/>
  <c r="Z27" i="1" s="1"/>
  <c r="AA27" i="1" s="1"/>
  <c r="N26" i="1"/>
  <c r="N25" i="1"/>
  <c r="S25" i="1" s="1"/>
  <c r="T25" i="1" s="1"/>
  <c r="U25" i="1" s="1"/>
  <c r="V25" i="1" s="1"/>
  <c r="W25" i="1" s="1"/>
  <c r="X25" i="1" s="1"/>
  <c r="Y25" i="1" s="1"/>
  <c r="Z25" i="1" s="1"/>
  <c r="AA25" i="1" s="1"/>
  <c r="N23" i="1"/>
  <c r="S23" i="1" s="1"/>
  <c r="T23" i="1" s="1"/>
  <c r="U23" i="1" s="1"/>
  <c r="V23" i="1" s="1"/>
  <c r="W23" i="1" s="1"/>
  <c r="X23" i="1" s="1"/>
  <c r="Y23" i="1" s="1"/>
  <c r="Z23" i="1" s="1"/>
  <c r="AA23" i="1" s="1"/>
  <c r="N21" i="1"/>
  <c r="N20" i="1"/>
  <c r="N19" i="1"/>
  <c r="N18" i="1"/>
  <c r="S18" i="1" s="1"/>
  <c r="T18" i="1" s="1"/>
  <c r="U18" i="1" s="1"/>
  <c r="V18" i="1" s="1"/>
  <c r="W18" i="1" s="1"/>
  <c r="X18" i="1" s="1"/>
  <c r="Y18" i="1" s="1"/>
  <c r="Z18" i="1" s="1"/>
  <c r="AA18" i="1" s="1"/>
  <c r="N17" i="1"/>
  <c r="S17" i="1" s="1"/>
  <c r="T17" i="1" s="1"/>
  <c r="U17" i="1" s="1"/>
  <c r="V17" i="1" s="1"/>
  <c r="W17" i="1" s="1"/>
  <c r="X17" i="1" s="1"/>
  <c r="Y17" i="1" s="1"/>
  <c r="Z17" i="1" s="1"/>
  <c r="AA17" i="1" s="1"/>
  <c r="N16" i="1"/>
  <c r="N15" i="1"/>
  <c r="XFD17" i="1"/>
  <c r="L45" i="1"/>
  <c r="K45" i="1"/>
  <c r="I45" i="1"/>
  <c r="H45" i="1"/>
  <c r="G45" i="1"/>
  <c r="M45" i="1"/>
  <c r="M44" i="1"/>
  <c r="L44" i="1"/>
  <c r="K44" i="1"/>
  <c r="I44" i="1"/>
  <c r="H44" i="1"/>
  <c r="G44" i="1"/>
  <c r="E44" i="1"/>
  <c r="D44" i="1"/>
  <c r="C44" i="1"/>
  <c r="G41" i="1"/>
  <c r="H41" i="1"/>
  <c r="I41" i="1"/>
  <c r="K41" i="1"/>
  <c r="L41" i="1"/>
  <c r="M41" i="1"/>
  <c r="S31" i="1"/>
  <c r="T31" i="1" s="1"/>
  <c r="U31" i="1" s="1"/>
  <c r="V31" i="1" s="1"/>
  <c r="W31" i="1" s="1"/>
  <c r="X31" i="1" s="1"/>
  <c r="Y31" i="1" s="1"/>
  <c r="Z31" i="1" s="1"/>
  <c r="AA31" i="1" s="1"/>
  <c r="S30" i="1"/>
  <c r="T30" i="1" s="1"/>
  <c r="U30" i="1" s="1"/>
  <c r="V30" i="1" s="1"/>
  <c r="W30" i="1" s="1"/>
  <c r="X30" i="1" s="1"/>
  <c r="Y30" i="1" s="1"/>
  <c r="Z30" i="1" s="1"/>
  <c r="AA30" i="1" s="1"/>
  <c r="S29" i="1"/>
  <c r="T29" i="1" s="1"/>
  <c r="U29" i="1" s="1"/>
  <c r="V29" i="1" s="1"/>
  <c r="W29" i="1" s="1"/>
  <c r="X29" i="1" s="1"/>
  <c r="Y29" i="1" s="1"/>
  <c r="Z29" i="1" s="1"/>
  <c r="AA29" i="1" s="1"/>
  <c r="T28" i="1"/>
  <c r="U28" i="1" s="1"/>
  <c r="V28" i="1" s="1"/>
  <c r="W28" i="1" s="1"/>
  <c r="X28" i="1" s="1"/>
  <c r="Y28" i="1" s="1"/>
  <c r="Z28" i="1" s="1"/>
  <c r="AA28" i="1" s="1"/>
  <c r="T26" i="1"/>
  <c r="U26" i="1" s="1"/>
  <c r="V26" i="1" s="1"/>
  <c r="W26" i="1" s="1"/>
  <c r="X26" i="1" s="1"/>
  <c r="Y26" i="1" s="1"/>
  <c r="Z26" i="1" s="1"/>
  <c r="AA26" i="1" s="1"/>
  <c r="S21" i="1"/>
  <c r="T21" i="1" s="1"/>
  <c r="U21" i="1" s="1"/>
  <c r="V21" i="1" s="1"/>
  <c r="W21" i="1" s="1"/>
  <c r="X21" i="1" s="1"/>
  <c r="Y21" i="1" s="1"/>
  <c r="Z21" i="1" s="1"/>
  <c r="AA21" i="1" s="1"/>
  <c r="S20" i="1"/>
  <c r="T20" i="1" s="1"/>
  <c r="U20" i="1" s="1"/>
  <c r="V20" i="1" s="1"/>
  <c r="W20" i="1" s="1"/>
  <c r="X20" i="1" s="1"/>
  <c r="Y20" i="1" s="1"/>
  <c r="Z20" i="1" s="1"/>
  <c r="AA20" i="1" s="1"/>
  <c r="S19" i="1"/>
  <c r="T19" i="1" s="1"/>
  <c r="U19" i="1" s="1"/>
  <c r="V19" i="1" s="1"/>
  <c r="W19" i="1" s="1"/>
  <c r="X19" i="1" s="1"/>
  <c r="Y19" i="1" s="1"/>
  <c r="Z19" i="1" s="1"/>
  <c r="AA19" i="1" s="1"/>
  <c r="S16" i="1"/>
  <c r="T16" i="1" s="1"/>
  <c r="U16" i="1" s="1"/>
  <c r="V16" i="1" s="1"/>
  <c r="W16" i="1" s="1"/>
  <c r="X16" i="1" s="1"/>
  <c r="Y16" i="1" s="1"/>
  <c r="Z16" i="1" s="1"/>
  <c r="AA16" i="1" s="1"/>
  <c r="R31" i="1"/>
  <c r="R29" i="1"/>
  <c r="Q38" i="1"/>
  <c r="Q31" i="1"/>
  <c r="S15" i="1"/>
  <c r="T15" i="1" s="1"/>
  <c r="U15" i="1" s="1"/>
  <c r="V15" i="1" s="1"/>
  <c r="W15" i="1" s="1"/>
  <c r="X15" i="1" s="1"/>
  <c r="Y15" i="1" s="1"/>
  <c r="Z15" i="1" s="1"/>
  <c r="AA15" i="1" s="1"/>
  <c r="M52" i="1"/>
  <c r="L52" i="1"/>
  <c r="K52" i="1"/>
  <c r="I52" i="1"/>
  <c r="H52" i="1"/>
  <c r="G52" i="1"/>
  <c r="E52" i="1"/>
  <c r="D52" i="1"/>
  <c r="C52" i="1"/>
  <c r="M51" i="1"/>
  <c r="L51" i="1"/>
  <c r="K51" i="1"/>
  <c r="I51" i="1"/>
  <c r="H51" i="1"/>
  <c r="G51" i="1"/>
  <c r="E51" i="1"/>
  <c r="D51" i="1"/>
  <c r="C51" i="1"/>
  <c r="C50" i="1"/>
  <c r="C49" i="1"/>
  <c r="C24" i="1"/>
  <c r="E22" i="1"/>
  <c r="E24" i="1" s="1"/>
  <c r="D22" i="1"/>
  <c r="D24" i="1" s="1"/>
  <c r="F21" i="1"/>
  <c r="Q21" i="1" s="1"/>
  <c r="F20" i="1"/>
  <c r="Q20" i="1" s="1"/>
  <c r="F19" i="1"/>
  <c r="Q19" i="1" s="1"/>
  <c r="F18" i="1"/>
  <c r="Q18" i="1" s="1"/>
  <c r="F16" i="1"/>
  <c r="F15" i="1"/>
  <c r="F51" i="1" s="1"/>
  <c r="J21" i="1"/>
  <c r="R21" i="1" s="1"/>
  <c r="J20" i="1"/>
  <c r="R20" i="1" s="1"/>
  <c r="J19" i="1"/>
  <c r="R19" i="1" s="1"/>
  <c r="J17" i="1"/>
  <c r="R17" i="1" s="1"/>
  <c r="J18" i="1"/>
  <c r="R18" i="1" s="1"/>
  <c r="J16" i="1"/>
  <c r="J15" i="1"/>
  <c r="J41" i="1" s="1"/>
  <c r="K22" i="1"/>
  <c r="K24" i="1" s="1"/>
  <c r="H22" i="1"/>
  <c r="H24" i="1" s="1"/>
  <c r="L22" i="1"/>
  <c r="L24" i="1" s="1"/>
  <c r="I22" i="1"/>
  <c r="I24" i="1" s="1"/>
  <c r="G22" i="1"/>
  <c r="G24" i="1" s="1"/>
  <c r="M22" i="1"/>
  <c r="M24" i="1" s="1"/>
  <c r="S6" i="1"/>
  <c r="T6" i="1" s="1"/>
  <c r="U6" i="1" s="1"/>
  <c r="V6" i="1" s="1"/>
  <c r="W6" i="1" s="1"/>
  <c r="X6" i="1" s="1"/>
  <c r="Y6" i="1" s="1"/>
  <c r="Z6" i="1" s="1"/>
  <c r="AA6" i="1" s="1"/>
  <c r="R6" i="1"/>
  <c r="Q6" i="1"/>
  <c r="S5" i="1"/>
  <c r="T5" i="1" s="1"/>
  <c r="R5" i="1"/>
  <c r="Q5" i="1"/>
  <c r="T4" i="1"/>
  <c r="M11" i="1"/>
  <c r="L11" i="1"/>
  <c r="K11" i="1"/>
  <c r="J11" i="1"/>
  <c r="I11" i="1"/>
  <c r="H11" i="1"/>
  <c r="G11" i="1"/>
  <c r="G10" i="1"/>
  <c r="H10" i="1"/>
  <c r="I10" i="1"/>
  <c r="J10" i="1"/>
  <c r="K10" i="1"/>
  <c r="L10" i="1"/>
  <c r="M10" i="1"/>
  <c r="G9" i="1"/>
  <c r="H9" i="1"/>
  <c r="I9" i="1"/>
  <c r="J9" i="1"/>
  <c r="K9" i="1"/>
  <c r="L9" i="1"/>
  <c r="M9" i="1"/>
  <c r="F91" i="1"/>
  <c r="F94" i="1" s="1"/>
  <c r="F81" i="1"/>
  <c r="F64" i="1" s="1"/>
  <c r="F79" i="1"/>
  <c r="J91" i="1"/>
  <c r="J94" i="1" s="1"/>
  <c r="J81" i="1"/>
  <c r="J64" i="1" s="1"/>
  <c r="J79" i="1"/>
  <c r="H91" i="1"/>
  <c r="H94" i="1" s="1"/>
  <c r="H81" i="1"/>
  <c r="H64" i="1" s="1"/>
  <c r="H79" i="1"/>
  <c r="N91" i="1"/>
  <c r="N94" i="1" s="1"/>
  <c r="L91" i="1"/>
  <c r="L94" i="1" s="1"/>
  <c r="K91" i="1"/>
  <c r="K94" i="1" s="1"/>
  <c r="I91" i="1"/>
  <c r="I94" i="1" s="1"/>
  <c r="G91" i="1"/>
  <c r="G94" i="1" s="1"/>
  <c r="M91" i="1"/>
  <c r="M94" i="1" s="1"/>
  <c r="N81" i="1"/>
  <c r="N64" i="1" s="1"/>
  <c r="M81" i="1"/>
  <c r="M64" i="1" s="1"/>
  <c r="L81" i="1"/>
  <c r="L64" i="1" s="1"/>
  <c r="K81" i="1"/>
  <c r="K64" i="1" s="1"/>
  <c r="I81" i="1"/>
  <c r="I64" i="1" s="1"/>
  <c r="G81" i="1"/>
  <c r="G64" i="1" s="1"/>
  <c r="E81" i="1"/>
  <c r="D81" i="1"/>
  <c r="N79" i="1"/>
  <c r="M79" i="1"/>
  <c r="L79" i="1"/>
  <c r="K79" i="1"/>
  <c r="I79" i="1"/>
  <c r="G79" i="1"/>
  <c r="C81" i="1"/>
  <c r="G46" i="1"/>
  <c r="H46" i="1"/>
  <c r="I46" i="1"/>
  <c r="K46" i="1"/>
  <c r="L46" i="1"/>
  <c r="M46" i="1"/>
  <c r="R2" i="1"/>
  <c r="S2" i="1" s="1"/>
  <c r="T2" i="1" s="1"/>
  <c r="U2" i="1" s="1"/>
  <c r="V2" i="1" s="1"/>
  <c r="W2" i="1" s="1"/>
  <c r="X2" i="1" s="1"/>
  <c r="Y2" i="1" s="1"/>
  <c r="Z2" i="1" s="1"/>
  <c r="AA2" i="1" s="1"/>
  <c r="F35" i="1"/>
  <c r="Q35" i="1" s="1"/>
  <c r="F32" i="1"/>
  <c r="Q32" i="1" s="1"/>
  <c r="F30" i="1"/>
  <c r="Q30" i="1" s="1"/>
  <c r="F29" i="1"/>
  <c r="Q29" i="1" s="1"/>
  <c r="F28" i="1"/>
  <c r="Q28" i="1" s="1"/>
  <c r="F27" i="1"/>
  <c r="Q27" i="1" s="1"/>
  <c r="F26" i="1"/>
  <c r="Q26" i="1" s="1"/>
  <c r="F25" i="1"/>
  <c r="Q25" i="1" s="1"/>
  <c r="F23" i="1"/>
  <c r="Q23" i="1" s="1"/>
  <c r="J35" i="1"/>
  <c r="R35" i="1" s="1"/>
  <c r="J32" i="1"/>
  <c r="R32" i="1" s="1"/>
  <c r="J30" i="1"/>
  <c r="R30" i="1" s="1"/>
  <c r="J28" i="1"/>
  <c r="R28" i="1" s="1"/>
  <c r="J27" i="1"/>
  <c r="R27" i="1" s="1"/>
  <c r="J26" i="1"/>
  <c r="R26" i="1" s="1"/>
  <c r="J25" i="1"/>
  <c r="J44" i="1" s="1"/>
  <c r="J23" i="1"/>
  <c r="R23" i="1" s="1"/>
  <c r="G38" i="1"/>
  <c r="L33" i="1"/>
  <c r="K33" i="1"/>
  <c r="I33" i="1"/>
  <c r="H33" i="1"/>
  <c r="G33" i="1"/>
  <c r="E33" i="1"/>
  <c r="D33" i="1"/>
  <c r="C33" i="1"/>
  <c r="M33" i="1"/>
  <c r="N33" i="1" l="1"/>
  <c r="N22" i="1"/>
  <c r="N24" i="1" s="1"/>
  <c r="N34" i="1" s="1"/>
  <c r="N36" i="1" s="1"/>
  <c r="AA22" i="1"/>
  <c r="AA24" i="1" s="1"/>
  <c r="S32" i="1"/>
  <c r="T32" i="1" s="1"/>
  <c r="U32" i="1" s="1"/>
  <c r="V32" i="1" s="1"/>
  <c r="W32" i="1" s="1"/>
  <c r="X32" i="1" s="1"/>
  <c r="Y32" i="1" s="1"/>
  <c r="Z32" i="1" s="1"/>
  <c r="AA32" i="1" s="1"/>
  <c r="S22" i="1"/>
  <c r="S24" i="1" s="1"/>
  <c r="T22" i="1"/>
  <c r="T24" i="1" s="1"/>
  <c r="U22" i="1"/>
  <c r="U24" i="1" s="1"/>
  <c r="S33" i="1"/>
  <c r="S34" i="1" s="1"/>
  <c r="S36" i="1" s="1"/>
  <c r="S37" i="1" s="1"/>
  <c r="V22" i="1"/>
  <c r="V24" i="1" s="1"/>
  <c r="J45" i="1"/>
  <c r="Y22" i="1"/>
  <c r="Y24" i="1" s="1"/>
  <c r="W22" i="1"/>
  <c r="W24" i="1" s="1"/>
  <c r="X22" i="1"/>
  <c r="X24" i="1" s="1"/>
  <c r="Z22" i="1"/>
  <c r="Z24" i="1" s="1"/>
  <c r="AA33" i="1"/>
  <c r="AA34" i="1" s="1"/>
  <c r="AA36" i="1" s="1"/>
  <c r="AA37" i="1" s="1"/>
  <c r="T33" i="1"/>
  <c r="T34" i="1" s="1"/>
  <c r="T36" i="1" s="1"/>
  <c r="T37" i="1" s="1"/>
  <c r="Y33" i="1"/>
  <c r="W33" i="1"/>
  <c r="Z33" i="1"/>
  <c r="T11" i="1"/>
  <c r="F52" i="1"/>
  <c r="R22" i="1"/>
  <c r="R15" i="1"/>
  <c r="Q15" i="1"/>
  <c r="J51" i="1"/>
  <c r="Q16" i="1"/>
  <c r="R25" i="1"/>
  <c r="F44" i="1"/>
  <c r="J52" i="1"/>
  <c r="D50" i="1"/>
  <c r="R16" i="1"/>
  <c r="E50" i="1"/>
  <c r="G50" i="1"/>
  <c r="H50" i="1"/>
  <c r="D49" i="1"/>
  <c r="I50" i="1"/>
  <c r="E49" i="1"/>
  <c r="K50" i="1"/>
  <c r="G49" i="1"/>
  <c r="L50" i="1"/>
  <c r="H49" i="1"/>
  <c r="M50" i="1"/>
  <c r="I49" i="1"/>
  <c r="K49" i="1"/>
  <c r="L49" i="1"/>
  <c r="M49" i="1"/>
  <c r="J22" i="1"/>
  <c r="J24" i="1" s="1"/>
  <c r="R24" i="1" s="1"/>
  <c r="F22" i="1"/>
  <c r="Q22" i="1" s="1"/>
  <c r="U5" i="1"/>
  <c r="U4" i="1"/>
  <c r="T9" i="1"/>
  <c r="S11" i="1"/>
  <c r="R9" i="1"/>
  <c r="S9" i="1"/>
  <c r="R10" i="1"/>
  <c r="R11" i="1"/>
  <c r="J46" i="1"/>
  <c r="C34" i="1"/>
  <c r="D34" i="1"/>
  <c r="D36" i="1" s="1"/>
  <c r="I34" i="1"/>
  <c r="E34" i="1"/>
  <c r="E36" i="1" s="1"/>
  <c r="F33" i="1"/>
  <c r="Q33" i="1" s="1"/>
  <c r="J33" i="1"/>
  <c r="R33" i="1" s="1"/>
  <c r="G34" i="1"/>
  <c r="K34" i="1"/>
  <c r="H34" i="1"/>
  <c r="L34" i="1"/>
  <c r="V33" i="1" l="1"/>
  <c r="V34" i="1" s="1"/>
  <c r="V36" i="1" s="1"/>
  <c r="V37" i="1" s="1"/>
  <c r="X33" i="1"/>
  <c r="U33" i="1"/>
  <c r="U34" i="1" s="1"/>
  <c r="U36" i="1" s="1"/>
  <c r="U37" i="1" s="1"/>
  <c r="Z34" i="1"/>
  <c r="Z36" i="1" s="1"/>
  <c r="Z37" i="1" s="1"/>
  <c r="W34" i="1"/>
  <c r="W36" i="1" s="1"/>
  <c r="W37" i="1" s="1"/>
  <c r="Y34" i="1"/>
  <c r="Y36" i="1" s="1"/>
  <c r="Y37" i="1" s="1"/>
  <c r="X34" i="1"/>
  <c r="X36" i="1" s="1"/>
  <c r="X37" i="1" s="1"/>
  <c r="J50" i="1"/>
  <c r="F17" i="1"/>
  <c r="F49" i="1"/>
  <c r="J49" i="1"/>
  <c r="F24" i="1"/>
  <c r="Q24" i="1" s="1"/>
  <c r="U11" i="1"/>
  <c r="V4" i="1"/>
  <c r="U9" i="1"/>
  <c r="V5" i="1"/>
  <c r="E37" i="1"/>
  <c r="D37" i="1"/>
  <c r="C36" i="1"/>
  <c r="L36" i="1"/>
  <c r="L42" i="1"/>
  <c r="H36" i="1"/>
  <c r="H42" i="1"/>
  <c r="K36" i="1"/>
  <c r="K42" i="1"/>
  <c r="G36" i="1"/>
  <c r="G42" i="1"/>
  <c r="I36" i="1"/>
  <c r="I42" i="1"/>
  <c r="J34" i="1"/>
  <c r="R34" i="1" s="1"/>
  <c r="F50" i="1" l="1"/>
  <c r="Q17" i="1"/>
  <c r="F34" i="1"/>
  <c r="W4" i="1"/>
  <c r="V9" i="1"/>
  <c r="W5" i="1"/>
  <c r="V11" i="1"/>
  <c r="D98" i="1"/>
  <c r="E98" i="1"/>
  <c r="H37" i="1"/>
  <c r="H43" i="1"/>
  <c r="I37" i="1"/>
  <c r="I43" i="1"/>
  <c r="K37" i="1"/>
  <c r="K43" i="1"/>
  <c r="L37" i="1"/>
  <c r="L43" i="1"/>
  <c r="C37" i="1"/>
  <c r="G37" i="1"/>
  <c r="G43" i="1"/>
  <c r="J36" i="1"/>
  <c r="L98" i="1" s="1"/>
  <c r="J42" i="1"/>
  <c r="F36" i="1" l="1"/>
  <c r="Q34" i="1"/>
  <c r="R36" i="1"/>
  <c r="W11" i="1"/>
  <c r="X5" i="1"/>
  <c r="X4" i="1"/>
  <c r="W9" i="1"/>
  <c r="L102" i="1"/>
  <c r="L99" i="1"/>
  <c r="L100" i="1"/>
  <c r="L101" i="1"/>
  <c r="K98" i="1"/>
  <c r="J98" i="1"/>
  <c r="J43" i="1"/>
  <c r="J37" i="1"/>
  <c r="R37" i="1" s="1"/>
  <c r="Q36" i="1" l="1"/>
  <c r="H98" i="1"/>
  <c r="F98" i="1"/>
  <c r="F37" i="1"/>
  <c r="Q37" i="1" s="1"/>
  <c r="G98" i="1"/>
  <c r="I98" i="1"/>
  <c r="Y4" i="1"/>
  <c r="X9" i="1"/>
  <c r="Y5" i="1"/>
  <c r="X11" i="1"/>
  <c r="K102" i="1"/>
  <c r="K100" i="1"/>
  <c r="K101" i="1"/>
  <c r="K99" i="1"/>
  <c r="J99" i="1"/>
  <c r="J102" i="1"/>
  <c r="J100" i="1"/>
  <c r="J101" i="1"/>
  <c r="F102" i="1" l="1"/>
  <c r="F100" i="1"/>
  <c r="F99" i="1"/>
  <c r="F101" i="1"/>
  <c r="G99" i="1"/>
  <c r="G101" i="1"/>
  <c r="G100" i="1"/>
  <c r="G102" i="1"/>
  <c r="H102" i="1"/>
  <c r="H99" i="1"/>
  <c r="H100" i="1"/>
  <c r="H101" i="1"/>
  <c r="I102" i="1"/>
  <c r="I99" i="1"/>
  <c r="I100" i="1"/>
  <c r="I101" i="1"/>
  <c r="Y11" i="1"/>
  <c r="Z5" i="1"/>
  <c r="Z4" i="1"/>
  <c r="Y9" i="1"/>
  <c r="AA4" i="1" l="1"/>
  <c r="AA9" i="1" s="1"/>
  <c r="Z9" i="1"/>
  <c r="AA5" i="1"/>
  <c r="Z11" i="1"/>
  <c r="AA11" i="1"/>
  <c r="C5" i="2" l="1"/>
  <c r="C8" i="2" s="1"/>
  <c r="M34" i="1" l="1"/>
  <c r="M36" i="1" l="1"/>
  <c r="M42" i="1"/>
  <c r="M98" i="1" l="1"/>
  <c r="M102" i="1"/>
  <c r="M100" i="1"/>
  <c r="M101" i="1"/>
  <c r="M99" i="1"/>
  <c r="M37" i="1"/>
  <c r="N37" i="1" s="1"/>
  <c r="M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tc={A2EEF010-1CD1-4D3C-9DAA-17A1CE7EC8B1}</author>
  </authors>
  <commentList>
    <comment ref="F17" authorId="0" shapeId="0" xr:uid="{A2EEF010-1CD1-4D3C-9DAA-17A1CE7EC8B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=136.293-E17-D17-C17
Reply:
    SEC Filings have an error. 10-K shows 136.293 but also verifies that Revenue should be 497 Million. 10-Qs balance. 
</t>
      </text>
    </comment>
  </commentList>
</comments>
</file>

<file path=xl/sharedStrings.xml><?xml version="1.0" encoding="utf-8"?>
<sst xmlns="http://schemas.openxmlformats.org/spreadsheetml/2006/main" count="245" uniqueCount="120">
  <si>
    <t>Income Statement</t>
  </si>
  <si>
    <t>Interest Income</t>
  </si>
  <si>
    <t>Q322</t>
  </si>
  <si>
    <t>Price</t>
  </si>
  <si>
    <t>Shares</t>
  </si>
  <si>
    <t>MC</t>
  </si>
  <si>
    <t>Cash</t>
  </si>
  <si>
    <t>Debt</t>
  </si>
  <si>
    <t>EV</t>
  </si>
  <si>
    <t>Q120</t>
  </si>
  <si>
    <t>Q220</t>
  </si>
  <si>
    <t>Q320</t>
  </si>
  <si>
    <t>Q420</t>
  </si>
  <si>
    <t>Q121</t>
  </si>
  <si>
    <t>Q222</t>
  </si>
  <si>
    <t>Q321</t>
  </si>
  <si>
    <t>Q221</t>
  </si>
  <si>
    <t>Q421</t>
  </si>
  <si>
    <t>Q122</t>
  </si>
  <si>
    <t>Q422</t>
  </si>
  <si>
    <t>Revenue</t>
  </si>
  <si>
    <t>Other Revenue</t>
  </si>
  <si>
    <t>Net Revenue</t>
  </si>
  <si>
    <t>Transaction expense</t>
  </si>
  <si>
    <t>R&amp;D</t>
  </si>
  <si>
    <t>Sales and Marketing</t>
  </si>
  <si>
    <t xml:space="preserve">Other </t>
  </si>
  <si>
    <t>EBIDTA</t>
  </si>
  <si>
    <t>Taxes</t>
  </si>
  <si>
    <t>Net Income</t>
  </si>
  <si>
    <t>EPS</t>
  </si>
  <si>
    <t>Net Income y/y</t>
  </si>
  <si>
    <t>Cost Of Revenues</t>
  </si>
  <si>
    <t>-</t>
  </si>
  <si>
    <t>Balance Sheet</t>
  </si>
  <si>
    <t>General and Admin</t>
  </si>
  <si>
    <t>Restructuring</t>
  </si>
  <si>
    <t>Interest Expense</t>
  </si>
  <si>
    <t>Other Expense</t>
  </si>
  <si>
    <t>Operating Income y/y</t>
  </si>
  <si>
    <t>R&amp;D y/y</t>
  </si>
  <si>
    <t>Net Cash</t>
  </si>
  <si>
    <t>Restricted Cash</t>
  </si>
  <si>
    <t>Customer Custodial Funds</t>
  </si>
  <si>
    <t>USDC</t>
  </si>
  <si>
    <t>Accounts Receivable</t>
  </si>
  <si>
    <t>Prepaid Expenses</t>
  </si>
  <si>
    <t>Crypto Assets Held</t>
  </si>
  <si>
    <t>Lease Right-Of-Use Assets</t>
  </si>
  <si>
    <t>PP&amp;E</t>
  </si>
  <si>
    <t>Goodwill</t>
  </si>
  <si>
    <t>Intangibles</t>
  </si>
  <si>
    <t>Other</t>
  </si>
  <si>
    <t>Assets</t>
  </si>
  <si>
    <t>Custodial Funds Due</t>
  </si>
  <si>
    <t>Accounts Payable</t>
  </si>
  <si>
    <t>Crypto borrowings</t>
  </si>
  <si>
    <t>Liabilities</t>
  </si>
  <si>
    <t>Shareholders Equity</t>
  </si>
  <si>
    <t>Convertible Stock</t>
  </si>
  <si>
    <t>S/E + CS + L</t>
  </si>
  <si>
    <t>Income Tax Receivable</t>
  </si>
  <si>
    <t>Customer Crypto Liabilities*</t>
  </si>
  <si>
    <t>Customer Crypto Assets*</t>
  </si>
  <si>
    <t>Long-Term Debt</t>
  </si>
  <si>
    <t>Accrued Expenses</t>
  </si>
  <si>
    <t>Lease Liabilities current</t>
  </si>
  <si>
    <t>Lease Liabilities non-current</t>
  </si>
  <si>
    <t>Return Ratios</t>
  </si>
  <si>
    <t>TTM Cash Flow</t>
  </si>
  <si>
    <t>ROE</t>
  </si>
  <si>
    <t>ROA</t>
  </si>
  <si>
    <t>ROTB</t>
  </si>
  <si>
    <t>ROIC</t>
  </si>
  <si>
    <t>Forecast Metrics</t>
  </si>
  <si>
    <t>Assets on Platform</t>
  </si>
  <si>
    <t>Trading Volume</t>
  </si>
  <si>
    <t>Users y/y</t>
  </si>
  <si>
    <t>Links to data</t>
  </si>
  <si>
    <t>https://backlinko.com/coinbase-users</t>
  </si>
  <si>
    <t>Hosted Assets</t>
  </si>
  <si>
    <t>Assets on platform</t>
  </si>
  <si>
    <t>Discount</t>
  </si>
  <si>
    <t>NPV</t>
  </si>
  <si>
    <t>Net</t>
  </si>
  <si>
    <t>Forecast Price</t>
  </si>
  <si>
    <t>Current Price</t>
  </si>
  <si>
    <t>Maturity (inflation)</t>
  </si>
  <si>
    <t>shares outstanding</t>
  </si>
  <si>
    <t>TX fee - retail</t>
  </si>
  <si>
    <t>TX fee - institutional</t>
  </si>
  <si>
    <t>Custodial fee revenue</t>
  </si>
  <si>
    <t>Staking Revenue</t>
  </si>
  <si>
    <t>Earn Campaign Revenue</t>
  </si>
  <si>
    <t>Other Subscriptions</t>
  </si>
  <si>
    <t>Basic Metrics</t>
  </si>
  <si>
    <t>Basis of Forecast</t>
  </si>
  <si>
    <t>Transaction / Revenue</t>
  </si>
  <si>
    <t>Retail weight</t>
  </si>
  <si>
    <t>Institution weight</t>
  </si>
  <si>
    <t>Subscription / Revenue</t>
  </si>
  <si>
    <t>TX revenue</t>
  </si>
  <si>
    <t>Verified Users (million)</t>
  </si>
  <si>
    <t>Biggest Expense</t>
  </si>
  <si>
    <t>Transaction Expense y/y</t>
  </si>
  <si>
    <t>Focus Facts</t>
  </si>
  <si>
    <t>Coinbase service 100+ countries</t>
  </si>
  <si>
    <t>Coinbase get a majority of their revenue from TX fees</t>
  </si>
  <si>
    <t>Coinbase's largest expenses have been R&amp;D and TX expenses</t>
  </si>
  <si>
    <t>Coinbase has been reducing their 2 largest expenses, on average, year over year</t>
  </si>
  <si>
    <t>growth factor</t>
  </si>
  <si>
    <t>Total Rate</t>
  </si>
  <si>
    <t>Institutions only make up ~5% of TX volume and revenue for Coinbase</t>
  </si>
  <si>
    <t>Transactions, therefor revenen, go down drastically when crypto MC goes down</t>
  </si>
  <si>
    <t>Average retail balance is $550-$600</t>
  </si>
  <si>
    <t>user base * average balance lands us in 64B - 100B retail MC</t>
  </si>
  <si>
    <t>Kinda weird that the narrative was "year of the instituional adoption"… this doesn’t even come close</t>
  </si>
  <si>
    <t>Observations</t>
  </si>
  <si>
    <t>JP Morgan alone has 1T AUM so it doesn’t look like, if they had an account, that they would have even .0025% of their money in one of the largests exchanges in the world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</si>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</sst>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D1D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0" fillId="0" borderId="0" xfId="0" applyFont="1"/>
    <xf numFmtId="4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4" fillId="0" borderId="0" xfId="0" applyFont="1"/>
    <xf numFmtId="3" fontId="4" fillId="0" borderId="0" xfId="0" applyNumberFormat="1" applyFont="1"/>
    <xf numFmtId="9" fontId="4" fillId="0" borderId="0" xfId="0" applyNumberFormat="1" applyFont="1"/>
    <xf numFmtId="3" fontId="0" fillId="0" borderId="0" xfId="0" applyNumberFormat="1" applyFont="1"/>
    <xf numFmtId="0" fontId="5" fillId="0" borderId="0" xfId="0" applyFont="1"/>
    <xf numFmtId="3" fontId="5" fillId="0" borderId="0" xfId="0" applyNumberFormat="1" applyFont="1"/>
    <xf numFmtId="3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9" fontId="0" fillId="0" borderId="2" xfId="0" applyNumberFormat="1" applyBorder="1"/>
    <xf numFmtId="0" fontId="0" fillId="0" borderId="3" xfId="0" applyBorder="1"/>
    <xf numFmtId="9" fontId="0" fillId="0" borderId="4" xfId="0" applyNumberFormat="1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164" fontId="4" fillId="0" borderId="4" xfId="0" applyNumberFormat="1" applyFont="1" applyBorder="1"/>
    <xf numFmtId="3" fontId="2" fillId="0" borderId="0" xfId="0" applyNumberFormat="1" applyFont="1" applyAlignment="1">
      <alignment horizontal="center"/>
    </xf>
    <xf numFmtId="3" fontId="1" fillId="2" borderId="0" xfId="0" applyNumberFormat="1" applyFont="1" applyFill="1"/>
    <xf numFmtId="3" fontId="4" fillId="0" borderId="0" xfId="0" applyNumberFormat="1" applyFont="1" applyBorder="1"/>
    <xf numFmtId="3" fontId="0" fillId="0" borderId="0" xfId="0" applyNumberFormat="1" applyAlignment="1">
      <alignment horizontal="right"/>
    </xf>
    <xf numFmtId="3" fontId="6" fillId="0" borderId="0" xfId="0" applyNumberFormat="1" applyFont="1"/>
    <xf numFmtId="3" fontId="0" fillId="0" borderId="4" xfId="0" applyNumberForma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7" fillId="0" borderId="0" xfId="1"/>
  </cellXfs>
  <cellStyles count="2">
    <cellStyle name="Hyperlink" xfId="1" builtinId="8"/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k Carnell" id="{46D18837-7599-43DB-B38E-8296242CE7C3}" userId="e483009090bafe6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7" dT="2022-11-23T20:07:56.66" personId="{46D18837-7599-43DB-B38E-8296242CE7C3}" id="{A2EEF010-1CD1-4D3C-9DAA-17A1CE7EC8B1}">
    <text>=136.293-E17-D17-C17</text>
  </threadedComment>
  <threadedComment ref="F17" dT="2022-11-23T20:08:42.70" personId="{46D18837-7599-43DB-B38E-8296242CE7C3}" id="{3BD80A9B-95EC-4CC4-B20F-41C528C0521E}" parentId="{A2EEF010-1CD1-4D3C-9DAA-17A1CE7EC8B1}">
    <text xml:space="preserve">SEC Filings have an error. 10-K shows 136.293 but also verifies that Revenue should be 497 Million. 10-Qs balance.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Financial%20Universe.xlsx" TargetMode="Externa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inancial%20Universe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Financial%20Univers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E218-F361-42D1-B1EF-0A66C045582E}">
  <dimension ref="A1:XFD102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2" max="2" width="31.7109375" bestFit="1" customWidth="1"/>
    <col min="15" max="15" width="13.42578125" bestFit="1" customWidth="1"/>
    <col min="16" max="16" width="9.85546875" bestFit="1" customWidth="1"/>
  </cols>
  <sheetData>
    <row r="1" spans="1:27" x14ac:dyDescent="0.25">
      <c r="A1" s="36" t="s">
        <v>119</v>
      </c>
    </row>
    <row r="2" spans="1:27" x14ac:dyDescent="0.25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16</v>
      </c>
      <c r="I2" s="2" t="s">
        <v>15</v>
      </c>
      <c r="J2" s="2" t="s">
        <v>17</v>
      </c>
      <c r="K2" s="2" t="s">
        <v>18</v>
      </c>
      <c r="L2" s="2" t="s">
        <v>14</v>
      </c>
      <c r="M2" s="2" t="s">
        <v>2</v>
      </c>
      <c r="N2" s="2" t="s">
        <v>19</v>
      </c>
      <c r="O2" s="2"/>
      <c r="P2" s="2"/>
      <c r="Q2" s="2">
        <v>2020</v>
      </c>
      <c r="R2" s="2">
        <f>Q2+1</f>
        <v>2021</v>
      </c>
      <c r="S2" s="2">
        <f t="shared" ref="S2:Z2" si="0">R2+1</f>
        <v>2022</v>
      </c>
      <c r="T2" s="2">
        <f t="shared" si="0"/>
        <v>2023</v>
      </c>
      <c r="U2" s="2">
        <f t="shared" si="0"/>
        <v>2024</v>
      </c>
      <c r="V2" s="2">
        <f t="shared" si="0"/>
        <v>2025</v>
      </c>
      <c r="W2" s="2">
        <f t="shared" si="0"/>
        <v>2026</v>
      </c>
      <c r="X2" s="2">
        <f t="shared" si="0"/>
        <v>2027</v>
      </c>
      <c r="Y2" s="2">
        <f t="shared" si="0"/>
        <v>2028</v>
      </c>
      <c r="Z2" s="2">
        <f t="shared" si="0"/>
        <v>2029</v>
      </c>
      <c r="AA2" s="2">
        <f>Z2+1</f>
        <v>2030</v>
      </c>
    </row>
    <row r="3" spans="1:27" x14ac:dyDescent="0.25">
      <c r="B3" s="1" t="s">
        <v>74</v>
      </c>
    </row>
    <row r="4" spans="1:27" x14ac:dyDescent="0.25">
      <c r="B4" t="s">
        <v>102</v>
      </c>
      <c r="C4" s="3">
        <v>34</v>
      </c>
      <c r="D4" s="3">
        <v>37</v>
      </c>
      <c r="E4" s="3">
        <v>39</v>
      </c>
      <c r="F4" s="3">
        <v>43</v>
      </c>
      <c r="G4" s="3">
        <v>54</v>
      </c>
      <c r="H4" s="3">
        <v>68</v>
      </c>
      <c r="I4" s="3">
        <v>73</v>
      </c>
      <c r="J4" s="3">
        <v>89</v>
      </c>
      <c r="K4" s="3">
        <v>98</v>
      </c>
      <c r="L4" s="3">
        <v>103</v>
      </c>
      <c r="M4" s="3">
        <v>108</v>
      </c>
      <c r="Q4" s="3">
        <v>43</v>
      </c>
      <c r="R4" s="3">
        <v>108</v>
      </c>
      <c r="S4" s="28">
        <f>R4*1.09</f>
        <v>117.72000000000001</v>
      </c>
      <c r="T4" s="28">
        <f>S4*1.09</f>
        <v>128.31480000000002</v>
      </c>
      <c r="U4" s="28">
        <f t="shared" ref="U4:AA4" si="1">T4*1.09</f>
        <v>139.86313200000004</v>
      </c>
      <c r="V4" s="28">
        <f t="shared" si="1"/>
        <v>152.45081388000006</v>
      </c>
      <c r="W4" s="28">
        <f t="shared" si="1"/>
        <v>166.17138712920007</v>
      </c>
      <c r="X4" s="28">
        <f t="shared" si="1"/>
        <v>181.1268119708281</v>
      </c>
      <c r="Y4" s="28">
        <f t="shared" si="1"/>
        <v>197.42822504820265</v>
      </c>
      <c r="Z4" s="28">
        <f t="shared" si="1"/>
        <v>215.19676530254091</v>
      </c>
      <c r="AA4" s="28">
        <f t="shared" si="1"/>
        <v>234.5644741797696</v>
      </c>
    </row>
    <row r="5" spans="1:27" x14ac:dyDescent="0.25">
      <c r="B5" t="s">
        <v>75</v>
      </c>
      <c r="C5" s="3">
        <v>17000</v>
      </c>
      <c r="D5" s="3">
        <v>26000</v>
      </c>
      <c r="E5" s="3">
        <v>36000</v>
      </c>
      <c r="F5" s="3">
        <v>90000</v>
      </c>
      <c r="G5" s="3">
        <v>223000</v>
      </c>
      <c r="H5" s="3">
        <v>180000</v>
      </c>
      <c r="I5" s="3">
        <v>255000</v>
      </c>
      <c r="J5" s="3">
        <v>278000</v>
      </c>
      <c r="K5" s="3">
        <v>256000</v>
      </c>
      <c r="L5" s="3">
        <v>960000</v>
      </c>
      <c r="M5" s="3">
        <v>108000</v>
      </c>
      <c r="Q5" s="3">
        <f>SUM(C5:F5)</f>
        <v>169000</v>
      </c>
      <c r="R5" s="3">
        <f>SUM(G5:J5)</f>
        <v>936000</v>
      </c>
      <c r="S5" s="10">
        <f>SUM(K5:N5)</f>
        <v>1324000</v>
      </c>
      <c r="T5" s="10">
        <f>S5*1.05</f>
        <v>1390200</v>
      </c>
      <c r="U5" s="10">
        <f t="shared" ref="U5:AA5" si="2">T5*1.05</f>
        <v>1459710</v>
      </c>
      <c r="V5" s="10">
        <f t="shared" si="2"/>
        <v>1532695.5</v>
      </c>
      <c r="W5" s="10">
        <f t="shared" si="2"/>
        <v>1609330.2750000001</v>
      </c>
      <c r="X5" s="10">
        <f t="shared" si="2"/>
        <v>1689796.7887500003</v>
      </c>
      <c r="Y5" s="10">
        <f t="shared" si="2"/>
        <v>1774286.6281875004</v>
      </c>
      <c r="Z5" s="10">
        <f t="shared" si="2"/>
        <v>1863000.9595968756</v>
      </c>
      <c r="AA5" s="10">
        <f t="shared" si="2"/>
        <v>1956151.0075767194</v>
      </c>
    </row>
    <row r="6" spans="1:27" x14ac:dyDescent="0.25">
      <c r="B6" t="s">
        <v>76</v>
      </c>
      <c r="C6" s="3">
        <v>12000</v>
      </c>
      <c r="D6" s="3">
        <v>11000</v>
      </c>
      <c r="E6" s="3">
        <v>18000</v>
      </c>
      <c r="F6" s="3">
        <v>193000</v>
      </c>
      <c r="G6" s="3">
        <v>335000</v>
      </c>
      <c r="H6" s="3">
        <v>462000</v>
      </c>
      <c r="I6" s="3">
        <v>327000</v>
      </c>
      <c r="J6" s="3">
        <v>1671000</v>
      </c>
      <c r="K6" s="3">
        <v>309000</v>
      </c>
      <c r="L6" s="3">
        <v>217000</v>
      </c>
      <c r="M6" s="3">
        <v>159000</v>
      </c>
      <c r="Q6" s="3">
        <f>SUM(C6:F6)</f>
        <v>234000</v>
      </c>
      <c r="R6" s="3">
        <f>SUM(G6:J6)</f>
        <v>2795000</v>
      </c>
      <c r="S6" s="10">
        <f>SUM(K6:N6)</f>
        <v>685000</v>
      </c>
      <c r="T6" s="10">
        <f>S6*1.1</f>
        <v>753500.00000000012</v>
      </c>
      <c r="U6" s="10">
        <f t="shared" ref="U6:AA6" si="3">T6*1.1</f>
        <v>828850.00000000023</v>
      </c>
      <c r="V6" s="10">
        <f t="shared" si="3"/>
        <v>911735.00000000035</v>
      </c>
      <c r="W6" s="10">
        <f t="shared" si="3"/>
        <v>1002908.5000000005</v>
      </c>
      <c r="X6" s="10">
        <f t="shared" si="3"/>
        <v>1103199.3500000006</v>
      </c>
      <c r="Y6" s="10">
        <f t="shared" si="3"/>
        <v>1213519.2850000006</v>
      </c>
      <c r="Z6" s="10">
        <f t="shared" si="3"/>
        <v>1334871.2135000008</v>
      </c>
      <c r="AA6" s="10">
        <f t="shared" si="3"/>
        <v>1468358.3348500009</v>
      </c>
    </row>
    <row r="7" spans="1:27" x14ac:dyDescent="0.25">
      <c r="B7" t="s">
        <v>80</v>
      </c>
      <c r="C7" s="3"/>
      <c r="D7" s="3"/>
      <c r="E7" s="3"/>
      <c r="F7" s="3">
        <v>90</v>
      </c>
      <c r="G7" s="3"/>
      <c r="H7" s="3"/>
      <c r="I7" s="3"/>
      <c r="J7" s="3">
        <v>108</v>
      </c>
      <c r="K7" s="3"/>
      <c r="L7" s="3"/>
      <c r="M7" s="3"/>
      <c r="Q7">
        <v>90</v>
      </c>
      <c r="R7">
        <v>108</v>
      </c>
      <c r="S7" s="9"/>
    </row>
    <row r="8" spans="1:27" x14ac:dyDescent="0.25">
      <c r="C8" s="3"/>
      <c r="D8" s="3"/>
      <c r="E8" s="3"/>
      <c r="F8" s="3"/>
      <c r="G8" s="3"/>
      <c r="H8" s="3"/>
      <c r="I8" s="3"/>
      <c r="J8" s="3"/>
      <c r="K8" s="3"/>
      <c r="L8" s="3"/>
      <c r="M8" s="3"/>
      <c r="S8" s="9"/>
    </row>
    <row r="9" spans="1:27" x14ac:dyDescent="0.25">
      <c r="B9" t="s">
        <v>77</v>
      </c>
      <c r="C9" s="15" t="s">
        <v>33</v>
      </c>
      <c r="D9" s="15" t="s">
        <v>33</v>
      </c>
      <c r="E9" s="15" t="s">
        <v>33</v>
      </c>
      <c r="F9" s="15" t="s">
        <v>33</v>
      </c>
      <c r="G9" s="7">
        <f t="shared" ref="G9:M11" si="4">G4/C4-1</f>
        <v>0.58823529411764697</v>
      </c>
      <c r="H9" s="7">
        <f t="shared" si="4"/>
        <v>0.83783783783783794</v>
      </c>
      <c r="I9" s="7">
        <f t="shared" si="4"/>
        <v>0.87179487179487181</v>
      </c>
      <c r="J9" s="7">
        <f t="shared" si="4"/>
        <v>1.0697674418604652</v>
      </c>
      <c r="K9" s="7">
        <f t="shared" si="4"/>
        <v>0.81481481481481488</v>
      </c>
      <c r="L9" s="7">
        <f t="shared" si="4"/>
        <v>0.51470588235294112</v>
      </c>
      <c r="M9" s="7">
        <f t="shared" si="4"/>
        <v>0.47945205479452047</v>
      </c>
      <c r="Q9" s="17" t="s">
        <v>33</v>
      </c>
      <c r="R9" s="7">
        <f t="shared" ref="R9:AA9" si="5">R4/Q4-1</f>
        <v>1.5116279069767442</v>
      </c>
      <c r="S9" s="11">
        <f t="shared" si="5"/>
        <v>9.000000000000008E-2</v>
      </c>
      <c r="T9" s="11">
        <f t="shared" si="5"/>
        <v>9.000000000000008E-2</v>
      </c>
      <c r="U9" s="11">
        <f t="shared" si="5"/>
        <v>9.000000000000008E-2</v>
      </c>
      <c r="V9" s="11">
        <f t="shared" si="5"/>
        <v>9.000000000000008E-2</v>
      </c>
      <c r="W9" s="11">
        <f t="shared" si="5"/>
        <v>9.000000000000008E-2</v>
      </c>
      <c r="X9" s="11">
        <f t="shared" si="5"/>
        <v>9.000000000000008E-2</v>
      </c>
      <c r="Y9" s="11">
        <f t="shared" si="5"/>
        <v>9.000000000000008E-2</v>
      </c>
      <c r="Z9" s="11">
        <f t="shared" si="5"/>
        <v>9.000000000000008E-2</v>
      </c>
      <c r="AA9" s="11">
        <f t="shared" si="5"/>
        <v>9.000000000000008E-2</v>
      </c>
    </row>
    <row r="10" spans="1:27" x14ac:dyDescent="0.25">
      <c r="B10" t="s">
        <v>81</v>
      </c>
      <c r="C10" s="15" t="s">
        <v>33</v>
      </c>
      <c r="D10" s="15" t="s">
        <v>33</v>
      </c>
      <c r="E10" s="15" t="s">
        <v>33</v>
      </c>
      <c r="F10" s="15" t="s">
        <v>33</v>
      </c>
      <c r="G10" s="7">
        <f t="shared" si="4"/>
        <v>12.117647058823529</v>
      </c>
      <c r="H10" s="7">
        <f t="shared" si="4"/>
        <v>5.9230769230769234</v>
      </c>
      <c r="I10" s="7">
        <f t="shared" si="4"/>
        <v>6.083333333333333</v>
      </c>
      <c r="J10" s="7">
        <f t="shared" si="4"/>
        <v>2.088888888888889</v>
      </c>
      <c r="K10" s="7">
        <f t="shared" si="4"/>
        <v>0.14798206278026904</v>
      </c>
      <c r="L10" s="7">
        <f t="shared" si="4"/>
        <v>4.333333333333333</v>
      </c>
      <c r="M10" s="7">
        <f t="shared" si="4"/>
        <v>-0.57647058823529407</v>
      </c>
      <c r="Q10" s="17" t="s">
        <v>33</v>
      </c>
      <c r="R10" s="7">
        <f>R5/Q5-1</f>
        <v>4.5384615384615383</v>
      </c>
      <c r="S10" s="11"/>
      <c r="T10" s="11"/>
      <c r="U10" s="11"/>
      <c r="V10" s="11"/>
      <c r="W10" s="11"/>
      <c r="X10" s="11"/>
      <c r="Y10" s="11"/>
      <c r="Z10" s="11"/>
      <c r="AA10" s="11"/>
    </row>
    <row r="11" spans="1:27" x14ac:dyDescent="0.25">
      <c r="B11" t="s">
        <v>76</v>
      </c>
      <c r="C11" s="15" t="s">
        <v>33</v>
      </c>
      <c r="D11" s="15" t="s">
        <v>33</v>
      </c>
      <c r="E11" s="15" t="s">
        <v>33</v>
      </c>
      <c r="F11" s="15" t="s">
        <v>33</v>
      </c>
      <c r="G11" s="7">
        <f t="shared" si="4"/>
        <v>26.916666666666668</v>
      </c>
      <c r="H11" s="7">
        <f t="shared" si="4"/>
        <v>41</v>
      </c>
      <c r="I11" s="7">
        <f t="shared" si="4"/>
        <v>17.166666666666668</v>
      </c>
      <c r="J11" s="7">
        <f t="shared" si="4"/>
        <v>7.6580310880829021</v>
      </c>
      <c r="K11" s="7">
        <f t="shared" si="4"/>
        <v>-7.7611940298507487E-2</v>
      </c>
      <c r="L11" s="7">
        <f t="shared" si="4"/>
        <v>-0.53030303030303028</v>
      </c>
      <c r="M11" s="7">
        <f t="shared" si="4"/>
        <v>-0.51376146788990829</v>
      </c>
      <c r="Q11" s="17" t="s">
        <v>33</v>
      </c>
      <c r="R11" s="7">
        <f>R6/Q6-1</f>
        <v>10.944444444444445</v>
      </c>
      <c r="S11" s="11">
        <f t="shared" ref="S11:AA11" si="6">S6/R6-1</f>
        <v>-0.75491949910554568</v>
      </c>
      <c r="T11" s="11">
        <f t="shared" si="6"/>
        <v>0.10000000000000009</v>
      </c>
      <c r="U11" s="11">
        <f t="shared" si="6"/>
        <v>0.10000000000000009</v>
      </c>
      <c r="V11" s="11">
        <f t="shared" si="6"/>
        <v>0.10000000000000009</v>
      </c>
      <c r="W11" s="11">
        <f t="shared" si="6"/>
        <v>0.10000000000000009</v>
      </c>
      <c r="X11" s="11">
        <f t="shared" si="6"/>
        <v>0.10000000000000009</v>
      </c>
      <c r="Y11" s="11">
        <f t="shared" si="6"/>
        <v>0.10000000000000009</v>
      </c>
      <c r="Z11" s="11">
        <f t="shared" si="6"/>
        <v>0.10000000000000009</v>
      </c>
      <c r="AA11" s="11">
        <f t="shared" si="6"/>
        <v>0.10000000000000009</v>
      </c>
    </row>
    <row r="12" spans="1:27" x14ac:dyDescent="0.25">
      <c r="C12" s="15"/>
      <c r="D12" s="15"/>
      <c r="E12" s="15"/>
      <c r="F12" s="15"/>
      <c r="G12" s="7"/>
      <c r="H12" s="7"/>
      <c r="I12" s="7"/>
      <c r="J12" s="7"/>
      <c r="K12" s="7"/>
      <c r="L12" s="7"/>
      <c r="M12" s="7"/>
      <c r="Q12" s="17"/>
      <c r="R12" s="7"/>
      <c r="S12" s="11"/>
      <c r="T12" s="11"/>
      <c r="U12" s="11"/>
      <c r="V12" s="11"/>
      <c r="W12" s="11"/>
      <c r="X12" s="11"/>
      <c r="Y12" s="11"/>
      <c r="Z12" s="11"/>
      <c r="AA12" s="11"/>
    </row>
    <row r="13" spans="1:27" x14ac:dyDescent="0.25">
      <c r="F13" s="3"/>
    </row>
    <row r="14" spans="1:27" x14ac:dyDescent="0.25">
      <c r="B14" s="1" t="s">
        <v>0</v>
      </c>
    </row>
    <row r="15" spans="1:27" x14ac:dyDescent="0.25">
      <c r="B15" t="s">
        <v>89</v>
      </c>
      <c r="C15" s="3">
        <v>162.00200000000001</v>
      </c>
      <c r="D15" s="3">
        <v>163.82499999999999</v>
      </c>
      <c r="E15" s="3">
        <v>262.62400000000002</v>
      </c>
      <c r="F15" s="3">
        <f>1040.246-E15-D15-C15</f>
        <v>451.79500000000002</v>
      </c>
      <c r="G15" s="3">
        <v>1455.171</v>
      </c>
      <c r="H15" s="3">
        <v>1827.951</v>
      </c>
      <c r="I15" s="3">
        <v>1021.967</v>
      </c>
      <c r="J15" s="3">
        <f>6490.992-I15-H15-G15</f>
        <v>2185.9030000000002</v>
      </c>
      <c r="K15" s="3">
        <v>965.84100000000001</v>
      </c>
      <c r="L15" s="3">
        <v>616.21199999999999</v>
      </c>
      <c r="M15" s="3">
        <v>346.09100000000001</v>
      </c>
      <c r="N15" s="10">
        <f>M15</f>
        <v>346.09100000000001</v>
      </c>
      <c r="Q15" s="3">
        <f>SUM(C15:F15)</f>
        <v>1040.2460000000001</v>
      </c>
      <c r="R15" s="3">
        <f>SUM(G15:J15)</f>
        <v>6490.9920000000002</v>
      </c>
      <c r="S15" s="10">
        <f>SUM(K15:N15)</f>
        <v>2274.2349999999997</v>
      </c>
      <c r="T15" s="10">
        <f>S15*1.1</f>
        <v>2501.6585</v>
      </c>
      <c r="U15" s="10">
        <f t="shared" ref="U15:AA15" si="7">T15*1.1</f>
        <v>2751.8243500000003</v>
      </c>
      <c r="V15" s="10">
        <f t="shared" si="7"/>
        <v>3027.0067850000005</v>
      </c>
      <c r="W15" s="10">
        <f t="shared" si="7"/>
        <v>3329.7074635000008</v>
      </c>
      <c r="X15" s="10">
        <f t="shared" si="7"/>
        <v>3662.6782098500012</v>
      </c>
      <c r="Y15" s="10">
        <f t="shared" si="7"/>
        <v>4028.9460308350017</v>
      </c>
      <c r="Z15" s="10">
        <f t="shared" si="7"/>
        <v>4431.8406339185021</v>
      </c>
      <c r="AA15" s="10">
        <f t="shared" si="7"/>
        <v>4875.0246973103531</v>
      </c>
    </row>
    <row r="16" spans="1:27" x14ac:dyDescent="0.25">
      <c r="B16" t="s">
        <v>90</v>
      </c>
      <c r="C16" s="3">
        <v>9.9890000000000008</v>
      </c>
      <c r="D16" s="3">
        <v>8.0389999999999997</v>
      </c>
      <c r="E16" s="3">
        <v>13.28</v>
      </c>
      <c r="F16" s="3">
        <f>55.928-E16-D16-C16</f>
        <v>24.619999999999994</v>
      </c>
      <c r="G16" s="3">
        <v>85.409000000000006</v>
      </c>
      <c r="H16" s="3">
        <v>102.431</v>
      </c>
      <c r="I16" s="3">
        <v>67.688999999999993</v>
      </c>
      <c r="J16" s="3">
        <f>346.274-I16-H16-G16</f>
        <v>90.745000000000047</v>
      </c>
      <c r="K16" s="3">
        <v>47.195</v>
      </c>
      <c r="L16" s="3">
        <v>39.000999999999998</v>
      </c>
      <c r="M16" s="3">
        <v>19.777000000000001</v>
      </c>
      <c r="N16" s="10">
        <f t="shared" ref="N16:N38" si="8">M16</f>
        <v>19.777000000000001</v>
      </c>
      <c r="Q16" s="3">
        <f t="shared" ref="Q16:Q38" si="9">SUM(C16:F16)</f>
        <v>55.927999999999997</v>
      </c>
      <c r="R16" s="3">
        <f t="shared" ref="R16:R37" si="10">SUM(G16:J16)</f>
        <v>346.27400000000006</v>
      </c>
      <c r="S16" s="10">
        <f t="shared" ref="S16:S35" si="11">SUM(K16:N16)</f>
        <v>125.75</v>
      </c>
      <c r="T16" s="10">
        <f>S16*1.1</f>
        <v>138.32500000000002</v>
      </c>
      <c r="U16" s="10">
        <f t="shared" ref="U16:AA17" si="12">T16*1.1</f>
        <v>152.15750000000003</v>
      </c>
      <c r="V16" s="10">
        <f t="shared" si="12"/>
        <v>167.37325000000004</v>
      </c>
      <c r="W16" s="10">
        <f t="shared" si="12"/>
        <v>184.11057500000007</v>
      </c>
      <c r="X16" s="10">
        <f t="shared" si="12"/>
        <v>202.52163250000009</v>
      </c>
      <c r="Y16" s="10">
        <f t="shared" si="12"/>
        <v>222.77379575000012</v>
      </c>
      <c r="Z16" s="10">
        <f t="shared" si="12"/>
        <v>245.05117532500014</v>
      </c>
      <c r="AA16" s="10">
        <f t="shared" si="12"/>
        <v>269.55629285750018</v>
      </c>
    </row>
    <row r="17" spans="2:27 16384:16384" x14ac:dyDescent="0.25">
      <c r="B17" t="s">
        <v>91</v>
      </c>
      <c r="C17" s="3">
        <v>2.7120000000000002</v>
      </c>
      <c r="D17" s="3">
        <v>3.0790000000000002</v>
      </c>
      <c r="E17" s="3">
        <v>4.8029999999999999</v>
      </c>
      <c r="F17" s="27">
        <f>F22-F15-F16-F18-F19-F20-F21</f>
        <v>7.966999999999886</v>
      </c>
      <c r="G17" s="3">
        <v>23.451000000000001</v>
      </c>
      <c r="H17" s="3">
        <v>31.698</v>
      </c>
      <c r="I17" s="3">
        <v>31.468</v>
      </c>
      <c r="J17" s="3">
        <f>136.293-I17-H17-G17</f>
        <v>49.676000000000009</v>
      </c>
      <c r="K17" s="3">
        <v>31.693999999999999</v>
      </c>
      <c r="L17" s="3">
        <v>22.178000000000001</v>
      </c>
      <c r="M17" s="3">
        <v>14.532</v>
      </c>
      <c r="N17" s="10">
        <f t="shared" si="8"/>
        <v>14.532</v>
      </c>
      <c r="Q17" s="3">
        <f t="shared" si="9"/>
        <v>18.560999999999886</v>
      </c>
      <c r="R17" s="3">
        <f t="shared" si="10"/>
        <v>136.29300000000001</v>
      </c>
      <c r="S17" s="10">
        <f t="shared" si="11"/>
        <v>82.935999999999993</v>
      </c>
      <c r="T17" s="10">
        <f>S17*1.1</f>
        <v>91.229600000000005</v>
      </c>
      <c r="U17" s="10">
        <f t="shared" si="12"/>
        <v>100.35256000000001</v>
      </c>
      <c r="V17" s="10">
        <f t="shared" si="12"/>
        <v>110.38781600000002</v>
      </c>
      <c r="W17" s="10">
        <f t="shared" si="12"/>
        <v>121.42659760000002</v>
      </c>
      <c r="X17" s="10">
        <f t="shared" si="12"/>
        <v>133.56925736000002</v>
      </c>
      <c r="Y17" s="10">
        <f t="shared" si="12"/>
        <v>146.92618309600005</v>
      </c>
      <c r="Z17" s="10">
        <f t="shared" si="12"/>
        <v>161.61880140560007</v>
      </c>
      <c r="AA17" s="10">
        <f t="shared" si="12"/>
        <v>177.78068154616008</v>
      </c>
      <c r="XFD17" s="3">
        <f>XFC17*1.1</f>
        <v>0</v>
      </c>
    </row>
    <row r="18" spans="2:27 16384:16384" x14ac:dyDescent="0.25">
      <c r="B18" t="s">
        <v>92</v>
      </c>
      <c r="C18" s="3">
        <v>1.4490000000000001</v>
      </c>
      <c r="D18" s="3">
        <v>2.7130000000000001</v>
      </c>
      <c r="E18" s="3">
        <v>3.246</v>
      </c>
      <c r="F18" s="3">
        <f>10.413-E18-D18-C18</f>
        <v>3.0049999999999999</v>
      </c>
      <c r="G18" s="3">
        <v>10.294</v>
      </c>
      <c r="H18" s="3">
        <v>34.420999999999999</v>
      </c>
      <c r="I18" s="3">
        <v>77.039000000000001</v>
      </c>
      <c r="J18" s="3">
        <f>223.055-I18-H18-G18</f>
        <v>101.30100000000003</v>
      </c>
      <c r="K18" s="3">
        <v>81.894999999999996</v>
      </c>
      <c r="L18" s="3">
        <v>68.41</v>
      </c>
      <c r="M18" s="3">
        <v>62.759</v>
      </c>
      <c r="N18" s="10">
        <f t="shared" si="8"/>
        <v>62.759</v>
      </c>
      <c r="Q18" s="3">
        <f t="shared" si="9"/>
        <v>10.413</v>
      </c>
      <c r="R18" s="3">
        <f t="shared" si="10"/>
        <v>223.05500000000004</v>
      </c>
      <c r="S18" s="10">
        <f t="shared" si="11"/>
        <v>275.82300000000004</v>
      </c>
      <c r="T18" s="10">
        <f t="shared" ref="T18:AA18" si="13">S18*1.1</f>
        <v>303.40530000000007</v>
      </c>
      <c r="U18" s="10">
        <f t="shared" si="13"/>
        <v>333.74583000000013</v>
      </c>
      <c r="V18" s="10">
        <f t="shared" si="13"/>
        <v>367.12041300000016</v>
      </c>
      <c r="W18" s="10">
        <f t="shared" si="13"/>
        <v>403.83245430000022</v>
      </c>
      <c r="X18" s="10">
        <f t="shared" si="13"/>
        <v>444.21569973000027</v>
      </c>
      <c r="Y18" s="10">
        <f t="shared" si="13"/>
        <v>488.63726970300036</v>
      </c>
      <c r="Z18" s="10">
        <f t="shared" si="13"/>
        <v>537.50099667330039</v>
      </c>
      <c r="AA18" s="10">
        <f t="shared" si="13"/>
        <v>591.25109634063051</v>
      </c>
    </row>
    <row r="19" spans="2:27 16384:16384" x14ac:dyDescent="0.25">
      <c r="B19" t="s">
        <v>93</v>
      </c>
      <c r="C19" s="3">
        <v>0</v>
      </c>
      <c r="D19" s="3">
        <v>0.109</v>
      </c>
      <c r="E19" s="3">
        <v>1.5309999999999999</v>
      </c>
      <c r="F19" s="3">
        <f>7.72-E19-D19-C19</f>
        <v>6.08</v>
      </c>
      <c r="G19" s="3">
        <v>11.111000000000001</v>
      </c>
      <c r="H19" s="3">
        <v>16.946999999999999</v>
      </c>
      <c r="I19" s="3">
        <v>0</v>
      </c>
      <c r="J19" s="3">
        <f>63.125-I19-H19-G19</f>
        <v>35.066999999999993</v>
      </c>
      <c r="K19" s="3">
        <v>5.9059999999999997</v>
      </c>
      <c r="L19" s="3">
        <v>2.4950000000000001</v>
      </c>
      <c r="M19" s="3">
        <v>0</v>
      </c>
      <c r="N19" s="10">
        <f t="shared" si="8"/>
        <v>0</v>
      </c>
      <c r="Q19" s="3">
        <f t="shared" si="9"/>
        <v>7.72</v>
      </c>
      <c r="R19" s="3">
        <f t="shared" si="10"/>
        <v>63.124999999999993</v>
      </c>
      <c r="S19" s="10">
        <f t="shared" si="11"/>
        <v>8.4009999999999998</v>
      </c>
      <c r="T19" s="10">
        <f t="shared" ref="T19:AA19" si="14">S19*1.1</f>
        <v>9.2411000000000012</v>
      </c>
      <c r="U19" s="10">
        <f t="shared" si="14"/>
        <v>10.165210000000002</v>
      </c>
      <c r="V19" s="10">
        <f t="shared" si="14"/>
        <v>11.181731000000003</v>
      </c>
      <c r="W19" s="10">
        <f t="shared" si="14"/>
        <v>12.299904100000004</v>
      </c>
      <c r="X19" s="10">
        <f t="shared" si="14"/>
        <v>13.529894510000005</v>
      </c>
      <c r="Y19" s="10">
        <f t="shared" si="14"/>
        <v>14.882883961000006</v>
      </c>
      <c r="Z19" s="10">
        <f t="shared" si="14"/>
        <v>16.371172357100008</v>
      </c>
      <c r="AA19" s="10">
        <f t="shared" si="14"/>
        <v>18.008289592810009</v>
      </c>
    </row>
    <row r="20" spans="2:27 16384:16384" x14ac:dyDescent="0.25">
      <c r="B20" t="s">
        <v>1</v>
      </c>
      <c r="C20" s="3">
        <v>2.5590000000000002</v>
      </c>
      <c r="D20" s="3">
        <v>0.19</v>
      </c>
      <c r="E20" s="3">
        <v>0.53600000000000003</v>
      </c>
      <c r="F20" s="3">
        <f>5.535-E20-D20-C20</f>
        <v>2.25</v>
      </c>
      <c r="G20" s="3">
        <v>3.32</v>
      </c>
      <c r="H20" s="3">
        <v>6.4809999999999999</v>
      </c>
      <c r="I20" s="3">
        <v>8.3889999999999993</v>
      </c>
      <c r="J20" s="3">
        <f>25.835-I20-H20-G20</f>
        <v>7.6450000000000014</v>
      </c>
      <c r="K20" s="3">
        <v>10.454000000000001</v>
      </c>
      <c r="L20" s="3">
        <v>32.514000000000003</v>
      </c>
      <c r="M20" s="3">
        <v>101.77800000000001</v>
      </c>
      <c r="N20" s="10">
        <f t="shared" si="8"/>
        <v>101.77800000000001</v>
      </c>
      <c r="Q20" s="3">
        <f t="shared" si="9"/>
        <v>5.5350000000000001</v>
      </c>
      <c r="R20" s="3">
        <f t="shared" si="10"/>
        <v>25.835000000000001</v>
      </c>
      <c r="S20" s="10">
        <f t="shared" si="11"/>
        <v>246.524</v>
      </c>
      <c r="T20" s="10">
        <f t="shared" ref="T20:AA20" si="15">S20*1.1</f>
        <v>271.1764</v>
      </c>
      <c r="U20" s="10">
        <f t="shared" si="15"/>
        <v>298.29404000000005</v>
      </c>
      <c r="V20" s="10">
        <f t="shared" si="15"/>
        <v>328.12344400000006</v>
      </c>
      <c r="W20" s="10">
        <f t="shared" si="15"/>
        <v>360.93578840000009</v>
      </c>
      <c r="X20" s="10">
        <f t="shared" si="15"/>
        <v>397.02936724000011</v>
      </c>
      <c r="Y20" s="10">
        <f t="shared" si="15"/>
        <v>436.73230396400015</v>
      </c>
      <c r="Z20" s="10">
        <f t="shared" si="15"/>
        <v>480.40553436040022</v>
      </c>
      <c r="AA20" s="10">
        <f t="shared" si="15"/>
        <v>528.44608779644034</v>
      </c>
    </row>
    <row r="21" spans="2:27 16384:16384" x14ac:dyDescent="0.25">
      <c r="B21" t="s">
        <v>94</v>
      </c>
      <c r="C21" s="3">
        <v>0.371</v>
      </c>
      <c r="D21" s="3">
        <v>0.376</v>
      </c>
      <c r="E21" s="3">
        <v>0.64300000000000002</v>
      </c>
      <c r="F21" s="3">
        <f>2.764-E21-D21-C21</f>
        <v>1.3739999999999997</v>
      </c>
      <c r="G21" s="3">
        <v>8.2249999999999996</v>
      </c>
      <c r="H21" s="3">
        <v>13.082000000000001</v>
      </c>
      <c r="I21" s="3">
        <v>28.184000000000001</v>
      </c>
      <c r="J21" s="3">
        <f>69.179-I21-H21-G21</f>
        <v>19.688000000000002</v>
      </c>
      <c r="K21" s="3">
        <v>21.905999999999999</v>
      </c>
      <c r="L21" s="3">
        <v>21.792999999999999</v>
      </c>
      <c r="M21" s="3">
        <v>31.437999999999999</v>
      </c>
      <c r="N21" s="10">
        <f t="shared" si="8"/>
        <v>31.437999999999999</v>
      </c>
      <c r="Q21" s="3">
        <f t="shared" si="9"/>
        <v>2.7639999999999998</v>
      </c>
      <c r="R21" s="3">
        <f t="shared" si="10"/>
        <v>69.179000000000002</v>
      </c>
      <c r="S21" s="10">
        <f t="shared" si="11"/>
        <v>106.575</v>
      </c>
      <c r="T21" s="10">
        <f t="shared" ref="T21:AA21" si="16">S21*1.1</f>
        <v>117.23250000000002</v>
      </c>
      <c r="U21" s="10">
        <f t="shared" si="16"/>
        <v>128.95575000000002</v>
      </c>
      <c r="V21" s="10">
        <f t="shared" si="16"/>
        <v>141.85132500000003</v>
      </c>
      <c r="W21" s="10">
        <f t="shared" si="16"/>
        <v>156.03645750000004</v>
      </c>
      <c r="X21" s="10">
        <f t="shared" si="16"/>
        <v>171.64010325000007</v>
      </c>
      <c r="Y21" s="10">
        <f t="shared" si="16"/>
        <v>188.80411357500009</v>
      </c>
      <c r="Z21" s="10">
        <f t="shared" si="16"/>
        <v>207.68452493250012</v>
      </c>
      <c r="AA21" s="10">
        <f t="shared" si="16"/>
        <v>228.45297742575016</v>
      </c>
    </row>
    <row r="22" spans="2:27 16384:16384" x14ac:dyDescent="0.25">
      <c r="B22" s="2" t="s">
        <v>20</v>
      </c>
      <c r="C22" s="4">
        <v>179.08199999999999</v>
      </c>
      <c r="D22" s="4">
        <f>SUM(D15:D21)</f>
        <v>178.33099999999999</v>
      </c>
      <c r="E22" s="4">
        <f>SUM(E15:E21)</f>
        <v>286.66299999999995</v>
      </c>
      <c r="F22" s="4">
        <f>1141.167-E22-D22-C22</f>
        <v>497.09099999999989</v>
      </c>
      <c r="G22" s="4">
        <f t="shared" ref="G22:N22" si="17">SUM(G15:G21)</f>
        <v>1596.9810000000002</v>
      </c>
      <c r="H22" s="4">
        <f t="shared" si="17"/>
        <v>2033.0110000000002</v>
      </c>
      <c r="I22" s="4">
        <f t="shared" si="17"/>
        <v>1234.7359999999999</v>
      </c>
      <c r="J22" s="4">
        <f t="shared" si="17"/>
        <v>2490.0250000000001</v>
      </c>
      <c r="K22" s="4">
        <f t="shared" si="17"/>
        <v>1164.8909999999998</v>
      </c>
      <c r="L22" s="4">
        <f t="shared" si="17"/>
        <v>802.60299999999995</v>
      </c>
      <c r="M22" s="4">
        <f t="shared" si="17"/>
        <v>576.375</v>
      </c>
      <c r="N22" s="4">
        <f t="shared" si="17"/>
        <v>576.375</v>
      </c>
      <c r="Q22" s="4">
        <f t="shared" si="9"/>
        <v>1141.1669999999999</v>
      </c>
      <c r="R22" s="4">
        <f t="shared" si="10"/>
        <v>7354.7530000000006</v>
      </c>
      <c r="S22" s="4">
        <f t="shared" ref="S22:AA22" si="18">SUM(S15:S21)</f>
        <v>3120.2439999999992</v>
      </c>
      <c r="T22" s="4">
        <f t="shared" si="18"/>
        <v>3432.2683999999999</v>
      </c>
      <c r="U22" s="4">
        <f t="shared" si="18"/>
        <v>3775.4952400000006</v>
      </c>
      <c r="V22" s="4">
        <f t="shared" si="18"/>
        <v>4153.0447640000002</v>
      </c>
      <c r="W22" s="4">
        <f t="shared" si="18"/>
        <v>4568.3492404000017</v>
      </c>
      <c r="X22" s="4">
        <f t="shared" si="18"/>
        <v>5025.184164440002</v>
      </c>
      <c r="Y22" s="4">
        <f t="shared" si="18"/>
        <v>5527.7025808840026</v>
      </c>
      <c r="Z22" s="4">
        <f t="shared" si="18"/>
        <v>6080.4728389724023</v>
      </c>
      <c r="AA22" s="4">
        <f t="shared" si="18"/>
        <v>6688.5201228696433</v>
      </c>
    </row>
    <row r="23" spans="2:27 16384:16384" x14ac:dyDescent="0.25">
      <c r="B23" t="s">
        <v>21</v>
      </c>
      <c r="C23" s="3">
        <v>11.548</v>
      </c>
      <c r="D23" s="3">
        <v>8.0510000000000002</v>
      </c>
      <c r="E23" s="3">
        <v>28.693999999999999</v>
      </c>
      <c r="F23" s="3">
        <f>136.314-E23-D23-C23</f>
        <v>88.020999999999987</v>
      </c>
      <c r="G23" s="3">
        <v>204.131</v>
      </c>
      <c r="H23" s="3">
        <v>194.95099999999999</v>
      </c>
      <c r="I23" s="3">
        <v>77.171999999999997</v>
      </c>
      <c r="J23" s="3">
        <f>484.691-I23-H23-G23</f>
        <v>8.4370000000000118</v>
      </c>
      <c r="K23" s="3">
        <v>1.5449999999999999</v>
      </c>
      <c r="L23" s="3">
        <v>5.7220000000000004</v>
      </c>
      <c r="M23" s="3">
        <v>13.964</v>
      </c>
      <c r="N23" s="10">
        <f t="shared" si="8"/>
        <v>13.964</v>
      </c>
      <c r="Q23" s="3">
        <f t="shared" si="9"/>
        <v>136.31399999999999</v>
      </c>
      <c r="R23" s="3">
        <f t="shared" si="10"/>
        <v>484.69100000000003</v>
      </c>
      <c r="S23" s="10">
        <f t="shared" si="11"/>
        <v>35.195</v>
      </c>
      <c r="T23" s="10">
        <f t="shared" ref="T23:AA23" si="19">S23*1.1</f>
        <v>38.714500000000001</v>
      </c>
      <c r="U23" s="10">
        <f t="shared" si="19"/>
        <v>42.585950000000004</v>
      </c>
      <c r="V23" s="10">
        <f t="shared" si="19"/>
        <v>46.844545000000011</v>
      </c>
      <c r="W23" s="10">
        <f t="shared" si="19"/>
        <v>51.528999500000019</v>
      </c>
      <c r="X23" s="10">
        <f t="shared" si="19"/>
        <v>56.681899450000024</v>
      </c>
      <c r="Y23" s="10">
        <f t="shared" si="19"/>
        <v>62.350089395000033</v>
      </c>
      <c r="Z23" s="10">
        <f t="shared" si="19"/>
        <v>68.585098334500046</v>
      </c>
      <c r="AA23" s="10">
        <f t="shared" si="19"/>
        <v>75.44360816795006</v>
      </c>
    </row>
    <row r="24" spans="2:27 16384:16384" x14ac:dyDescent="0.25">
      <c r="B24" s="2" t="s">
        <v>22</v>
      </c>
      <c r="C24" s="4">
        <f t="shared" ref="C24" si="20">SUM(C22:C23)</f>
        <v>190.63</v>
      </c>
      <c r="D24" s="4">
        <f t="shared" ref="D24" si="21">SUM(D22:D23)</f>
        <v>186.38199999999998</v>
      </c>
      <c r="E24" s="4">
        <f t="shared" ref="E24" si="22">SUM(E22:E23)</f>
        <v>315.35699999999997</v>
      </c>
      <c r="F24" s="4">
        <f>SUM(F22:F23)</f>
        <v>585.11199999999985</v>
      </c>
      <c r="G24" s="4">
        <f t="shared" ref="G24" si="23">SUM(G22:G23)</f>
        <v>1801.1120000000003</v>
      </c>
      <c r="H24" s="4">
        <f t="shared" ref="H24" si="24">SUM(H22:H23)</f>
        <v>2227.962</v>
      </c>
      <c r="I24" s="4">
        <f t="shared" ref="I24" si="25">SUM(I22:I23)</f>
        <v>1311.9079999999999</v>
      </c>
      <c r="J24" s="4">
        <f t="shared" ref="J24" si="26">SUM(J22:J23)</f>
        <v>2498.462</v>
      </c>
      <c r="K24" s="4">
        <f t="shared" ref="K24" si="27">SUM(K22:K23)</f>
        <v>1166.4359999999999</v>
      </c>
      <c r="L24" s="4">
        <f t="shared" ref="L24" si="28">SUM(L22:L23)</f>
        <v>808.32499999999993</v>
      </c>
      <c r="M24" s="4">
        <f t="shared" ref="M24:N24" si="29">SUM(M22:M23)</f>
        <v>590.33900000000006</v>
      </c>
      <c r="N24" s="4">
        <f t="shared" si="29"/>
        <v>590.33900000000006</v>
      </c>
      <c r="Q24" s="4">
        <f t="shared" si="9"/>
        <v>1277.4809999999998</v>
      </c>
      <c r="R24" s="4">
        <f t="shared" si="10"/>
        <v>7839.4439999999995</v>
      </c>
      <c r="S24" s="4">
        <f t="shared" ref="S24" si="30">SUM(S22:S23)</f>
        <v>3155.4389999999994</v>
      </c>
      <c r="T24" s="4">
        <f t="shared" ref="T24" si="31">SUM(T22:T23)</f>
        <v>3470.9829</v>
      </c>
      <c r="U24" s="4">
        <f t="shared" ref="U24" si="32">SUM(U22:U23)</f>
        <v>3818.0811900000008</v>
      </c>
      <c r="V24" s="4">
        <f t="shared" ref="V24" si="33">SUM(V22:V23)</f>
        <v>4199.8893090000001</v>
      </c>
      <c r="W24" s="4">
        <f t="shared" ref="W24" si="34">SUM(W22:W23)</f>
        <v>4619.878239900002</v>
      </c>
      <c r="X24" s="4">
        <f t="shared" ref="X24" si="35">SUM(X22:X23)</f>
        <v>5081.8660638900019</v>
      </c>
      <c r="Y24" s="4">
        <f t="shared" ref="Y24" si="36">SUM(Y22:Y23)</f>
        <v>5590.052670279003</v>
      </c>
      <c r="Z24" s="4">
        <f t="shared" ref="Z24" si="37">SUM(Z22:Z23)</f>
        <v>6149.0579373069022</v>
      </c>
      <c r="AA24" s="4">
        <f t="shared" ref="AA24" si="38">SUM(AA22:AA23)</f>
        <v>6763.9637310375929</v>
      </c>
    </row>
    <row r="25" spans="2:27 16384:16384" x14ac:dyDescent="0.25">
      <c r="B25" t="s">
        <v>23</v>
      </c>
      <c r="C25" s="3">
        <v>25.407</v>
      </c>
      <c r="D25" s="3">
        <v>23.395</v>
      </c>
      <c r="E25" s="3">
        <v>36.765999999999998</v>
      </c>
      <c r="F25" s="3">
        <f>135.514-E25-D25-C25</f>
        <v>49.946000000000026</v>
      </c>
      <c r="G25" s="3">
        <v>234.066</v>
      </c>
      <c r="H25" s="3">
        <v>335.42599999999999</v>
      </c>
      <c r="I25" s="3">
        <v>197.251</v>
      </c>
      <c r="J25" s="3">
        <f>1267.924-I25-H25-G25</f>
        <v>501.18100000000004</v>
      </c>
      <c r="K25" s="3">
        <v>277.86200000000002</v>
      </c>
      <c r="L25" s="3">
        <v>167.18700000000001</v>
      </c>
      <c r="M25" s="3">
        <v>101.876</v>
      </c>
      <c r="N25" s="10">
        <f t="shared" si="8"/>
        <v>101.876</v>
      </c>
      <c r="Q25" s="3">
        <f t="shared" si="9"/>
        <v>135.51400000000001</v>
      </c>
      <c r="R25" s="3">
        <f t="shared" si="10"/>
        <v>1267.924</v>
      </c>
      <c r="S25" s="10">
        <f t="shared" si="11"/>
        <v>648.80100000000004</v>
      </c>
      <c r="T25" s="30">
        <f>S25*1.01</f>
        <v>655.28901000000008</v>
      </c>
      <c r="U25" s="30">
        <f t="shared" ref="U25:AA25" si="39">T25*1.01</f>
        <v>661.84190010000009</v>
      </c>
      <c r="V25" s="30">
        <f t="shared" si="39"/>
        <v>668.4603191010001</v>
      </c>
      <c r="W25" s="30">
        <f t="shared" si="39"/>
        <v>675.14492229201005</v>
      </c>
      <c r="X25" s="30">
        <f t="shared" si="39"/>
        <v>681.89637151493014</v>
      </c>
      <c r="Y25" s="30">
        <f t="shared" si="39"/>
        <v>688.7153352300794</v>
      </c>
      <c r="Z25" s="30">
        <f t="shared" si="39"/>
        <v>695.60248858238026</v>
      </c>
      <c r="AA25" s="30">
        <f t="shared" si="39"/>
        <v>702.55851346820407</v>
      </c>
    </row>
    <row r="26" spans="2:27 16384:16384" x14ac:dyDescent="0.25">
      <c r="B26" t="s">
        <v>24</v>
      </c>
      <c r="C26" s="3">
        <v>47.137999999999998</v>
      </c>
      <c r="D26" s="3">
        <v>60.777000000000001</v>
      </c>
      <c r="E26" s="3">
        <v>73.319000000000003</v>
      </c>
      <c r="F26" s="3">
        <f>271.732-E26-D26-C26</f>
        <v>90.498000000000019</v>
      </c>
      <c r="G26" s="3">
        <v>184.22499999999999</v>
      </c>
      <c r="H26" s="3">
        <v>291.46100000000001</v>
      </c>
      <c r="I26" s="3">
        <v>356.26400000000001</v>
      </c>
      <c r="J26" s="3">
        <f>1291.561-I26-H26-G26</f>
        <v>459.61099999999988</v>
      </c>
      <c r="K26" s="3">
        <v>570.66399999999999</v>
      </c>
      <c r="L26" s="3">
        <v>609.24900000000002</v>
      </c>
      <c r="M26" s="3">
        <v>556.33799999999997</v>
      </c>
      <c r="N26" s="10">
        <f t="shared" si="8"/>
        <v>556.33799999999997</v>
      </c>
      <c r="Q26" s="3">
        <f t="shared" si="9"/>
        <v>271.73199999999997</v>
      </c>
      <c r="R26" s="3">
        <f t="shared" si="10"/>
        <v>1291.5609999999999</v>
      </c>
      <c r="S26" s="10">
        <v>1000</v>
      </c>
      <c r="T26" s="30">
        <f t="shared" ref="T26:AA26" si="40">S26*1.01</f>
        <v>1010</v>
      </c>
      <c r="U26" s="30">
        <f t="shared" si="40"/>
        <v>1020.1</v>
      </c>
      <c r="V26" s="30">
        <f t="shared" si="40"/>
        <v>1030.3009999999999</v>
      </c>
      <c r="W26" s="30">
        <f t="shared" si="40"/>
        <v>1040.60401</v>
      </c>
      <c r="X26" s="30">
        <f t="shared" si="40"/>
        <v>1051.0100500999999</v>
      </c>
      <c r="Y26" s="30">
        <f t="shared" si="40"/>
        <v>1061.5201506009998</v>
      </c>
      <c r="Z26" s="30">
        <f t="shared" si="40"/>
        <v>1072.1353521070098</v>
      </c>
      <c r="AA26" s="30">
        <f t="shared" si="40"/>
        <v>1082.8567056280799</v>
      </c>
    </row>
    <row r="27" spans="2:27 16384:16384" x14ac:dyDescent="0.25">
      <c r="B27" t="s">
        <v>25</v>
      </c>
      <c r="C27" s="3">
        <v>9.9209999999999994</v>
      </c>
      <c r="D27" s="3">
        <v>11.382999999999999</v>
      </c>
      <c r="E27" s="3">
        <v>11.977</v>
      </c>
      <c r="F27" s="3">
        <f>56.782-E27-D27-C27</f>
        <v>23.500999999999998</v>
      </c>
      <c r="G27" s="3">
        <v>117.99</v>
      </c>
      <c r="H27" s="3">
        <v>195.733</v>
      </c>
      <c r="I27" s="3">
        <v>105.395</v>
      </c>
      <c r="J27" s="3">
        <f>663.689-I27-H27-G27</f>
        <v>244.57099999999997</v>
      </c>
      <c r="K27" s="3">
        <v>200.20400000000001</v>
      </c>
      <c r="L27" s="3">
        <v>140.89400000000001</v>
      </c>
      <c r="M27" s="3">
        <v>75.888000000000005</v>
      </c>
      <c r="N27" s="10">
        <f t="shared" si="8"/>
        <v>75.888000000000005</v>
      </c>
      <c r="Q27" s="3">
        <f t="shared" si="9"/>
        <v>56.781999999999996</v>
      </c>
      <c r="R27" s="3">
        <f t="shared" si="10"/>
        <v>663.68899999999996</v>
      </c>
      <c r="S27" s="10">
        <f t="shared" si="11"/>
        <v>492.87400000000002</v>
      </c>
      <c r="T27" s="10">
        <f t="shared" ref="T27:AA27" si="41">S27*1.1</f>
        <v>542.16140000000007</v>
      </c>
      <c r="U27" s="10">
        <f t="shared" si="41"/>
        <v>596.37754000000018</v>
      </c>
      <c r="V27" s="10">
        <f t="shared" si="41"/>
        <v>656.01529400000027</v>
      </c>
      <c r="W27" s="10">
        <f t="shared" si="41"/>
        <v>721.61682340000038</v>
      </c>
      <c r="X27" s="10">
        <f t="shared" si="41"/>
        <v>793.77850574000047</v>
      </c>
      <c r="Y27" s="10">
        <f t="shared" si="41"/>
        <v>873.15635631400062</v>
      </c>
      <c r="Z27" s="10">
        <f t="shared" si="41"/>
        <v>960.47199194540076</v>
      </c>
      <c r="AA27" s="10">
        <f t="shared" si="41"/>
        <v>1056.5191911399409</v>
      </c>
    </row>
    <row r="28" spans="2:27 16384:16384" x14ac:dyDescent="0.25">
      <c r="B28" t="s">
        <v>35</v>
      </c>
      <c r="C28" s="3">
        <v>58.957999999999998</v>
      </c>
      <c r="D28" s="3">
        <v>51.988</v>
      </c>
      <c r="E28" s="3">
        <v>71.433000000000007</v>
      </c>
      <c r="F28" s="3">
        <f>279.88-E28-D28-C28</f>
        <v>97.501000000000005</v>
      </c>
      <c r="G28" s="3">
        <v>121.23099999999999</v>
      </c>
      <c r="H28" s="3">
        <v>248.19499999999999</v>
      </c>
      <c r="I28" s="3">
        <v>242.642</v>
      </c>
      <c r="J28" s="3">
        <f>909.392-I28-H28-G28</f>
        <v>297.32400000000001</v>
      </c>
      <c r="K28" s="3">
        <v>413.57799999999997</v>
      </c>
      <c r="L28" s="3">
        <v>470.16899999999998</v>
      </c>
      <c r="M28" s="3">
        <v>339.15699999999998</v>
      </c>
      <c r="N28" s="10">
        <f t="shared" si="8"/>
        <v>339.15699999999998</v>
      </c>
      <c r="Q28" s="3">
        <f t="shared" si="9"/>
        <v>279.88</v>
      </c>
      <c r="R28" s="3">
        <f t="shared" si="10"/>
        <v>909.39200000000005</v>
      </c>
      <c r="S28" s="10">
        <v>0</v>
      </c>
      <c r="T28" s="10">
        <f t="shared" ref="T28:AA28" si="42">S28*1.1</f>
        <v>0</v>
      </c>
      <c r="U28" s="10">
        <f t="shared" si="42"/>
        <v>0</v>
      </c>
      <c r="V28" s="10">
        <f t="shared" si="42"/>
        <v>0</v>
      </c>
      <c r="W28" s="10">
        <f t="shared" si="42"/>
        <v>0</v>
      </c>
      <c r="X28" s="10">
        <f t="shared" si="42"/>
        <v>0</v>
      </c>
      <c r="Y28" s="10">
        <f t="shared" si="42"/>
        <v>0</v>
      </c>
      <c r="Z28" s="10">
        <f t="shared" si="42"/>
        <v>0</v>
      </c>
      <c r="AA28" s="10">
        <f t="shared" si="42"/>
        <v>0</v>
      </c>
    </row>
    <row r="29" spans="2:27 16384:16384" x14ac:dyDescent="0.25">
      <c r="B29" t="s">
        <v>36</v>
      </c>
      <c r="C29" s="3">
        <v>10.430999999999999</v>
      </c>
      <c r="D29" s="3">
        <v>0</v>
      </c>
      <c r="E29" s="3">
        <v>0</v>
      </c>
      <c r="F29" s="3">
        <f>0-E30-D29-C29</f>
        <v>-10.430999999999999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42.453000000000003</v>
      </c>
      <c r="M29" s="3">
        <v>-1.232</v>
      </c>
      <c r="N29" s="10">
        <f t="shared" si="8"/>
        <v>-1.232</v>
      </c>
      <c r="Q29" s="3">
        <f t="shared" si="9"/>
        <v>0</v>
      </c>
      <c r="R29" s="3">
        <f t="shared" si="10"/>
        <v>0</v>
      </c>
      <c r="S29" s="10">
        <f t="shared" si="11"/>
        <v>39.989000000000004</v>
      </c>
      <c r="T29" s="10">
        <f t="shared" ref="T29:AA29" si="43">S29*1.1</f>
        <v>43.98790000000001</v>
      </c>
      <c r="U29" s="10">
        <f t="shared" si="43"/>
        <v>48.386690000000016</v>
      </c>
      <c r="V29" s="10">
        <f t="shared" si="43"/>
        <v>53.225359000000019</v>
      </c>
      <c r="W29" s="10">
        <f t="shared" si="43"/>
        <v>58.547894900000024</v>
      </c>
      <c r="X29" s="10">
        <f t="shared" si="43"/>
        <v>64.402684390000033</v>
      </c>
      <c r="Y29" s="10">
        <f t="shared" si="43"/>
        <v>70.842952829000041</v>
      </c>
      <c r="Z29" s="10">
        <f t="shared" si="43"/>
        <v>77.927248111900056</v>
      </c>
      <c r="AA29" s="10">
        <f t="shared" si="43"/>
        <v>85.719972923090069</v>
      </c>
    </row>
    <row r="30" spans="2:27 16384:16384" x14ac:dyDescent="0.25">
      <c r="B30" s="5" t="s">
        <v>26</v>
      </c>
      <c r="C30" s="3">
        <v>0</v>
      </c>
      <c r="D30" s="3">
        <v>0</v>
      </c>
      <c r="E30" s="3">
        <v>0</v>
      </c>
      <c r="F30" s="3">
        <f>124.622-E31-D30-C30</f>
        <v>124.622</v>
      </c>
      <c r="G30" s="3">
        <v>155.887</v>
      </c>
      <c r="H30" s="3">
        <v>282.42200000000003</v>
      </c>
      <c r="I30" s="3">
        <v>118.548</v>
      </c>
      <c r="J30" s="3">
        <f>630.309-I30-H30-G30</f>
        <v>73.451999999999941</v>
      </c>
      <c r="K30" s="3">
        <v>258.62700000000001</v>
      </c>
      <c r="L30" s="3">
        <v>422.762</v>
      </c>
      <c r="M30" s="3">
        <v>74.796000000000006</v>
      </c>
      <c r="N30" s="10">
        <f t="shared" si="8"/>
        <v>74.796000000000006</v>
      </c>
      <c r="Q30" s="3">
        <f t="shared" si="9"/>
        <v>124.622</v>
      </c>
      <c r="R30" s="3">
        <f t="shared" si="10"/>
        <v>630.30899999999997</v>
      </c>
      <c r="S30" s="10">
        <f t="shared" si="11"/>
        <v>830.98100000000011</v>
      </c>
      <c r="T30" s="10">
        <f>S30*1.02</f>
        <v>847.60062000000016</v>
      </c>
      <c r="U30" s="10">
        <f t="shared" ref="U30:AA30" si="44">T30*1.02</f>
        <v>864.55263240000022</v>
      </c>
      <c r="V30" s="10">
        <f t="shared" si="44"/>
        <v>881.84368504800022</v>
      </c>
      <c r="W30" s="10">
        <f t="shared" si="44"/>
        <v>899.48055874896022</v>
      </c>
      <c r="X30" s="10">
        <f t="shared" si="44"/>
        <v>917.47016992393947</v>
      </c>
      <c r="Y30" s="10">
        <f t="shared" si="44"/>
        <v>935.81957332241825</v>
      </c>
      <c r="Z30" s="10">
        <f t="shared" si="44"/>
        <v>954.53596478886664</v>
      </c>
      <c r="AA30" s="10">
        <f t="shared" si="44"/>
        <v>973.62668408464401</v>
      </c>
    </row>
    <row r="31" spans="2:27 16384:16384" x14ac:dyDescent="0.25">
      <c r="B31" s="5" t="s">
        <v>37</v>
      </c>
      <c r="C31" s="3">
        <v>0</v>
      </c>
      <c r="D31" s="3">
        <v>-3.2469999999999999</v>
      </c>
      <c r="E31" s="3">
        <v>0</v>
      </c>
      <c r="F31" s="3">
        <v>0</v>
      </c>
      <c r="G31" s="3">
        <v>0</v>
      </c>
      <c r="H31" s="3">
        <v>0.748</v>
      </c>
      <c r="I31" s="3">
        <v>6.9720000000000004</v>
      </c>
      <c r="J31" s="3">
        <v>-9</v>
      </c>
      <c r="K31" s="3">
        <v>22.138000000000002</v>
      </c>
      <c r="L31" s="3">
        <v>23.655999999999999</v>
      </c>
      <c r="M31" s="3">
        <v>21.507000000000001</v>
      </c>
      <c r="N31" s="10">
        <f t="shared" si="8"/>
        <v>21.507000000000001</v>
      </c>
      <c r="Q31" s="3">
        <f t="shared" si="9"/>
        <v>-3.2469999999999999</v>
      </c>
      <c r="R31" s="3">
        <f t="shared" si="10"/>
        <v>-1.2799999999999994</v>
      </c>
      <c r="S31" s="10">
        <f t="shared" si="11"/>
        <v>88.808000000000007</v>
      </c>
      <c r="T31" s="10">
        <f t="shared" ref="T31:AA31" si="45">S31*1.1</f>
        <v>97.688800000000015</v>
      </c>
      <c r="U31" s="10">
        <f t="shared" si="45"/>
        <v>107.45768000000002</v>
      </c>
      <c r="V31" s="10">
        <f t="shared" si="45"/>
        <v>118.20344800000004</v>
      </c>
      <c r="W31" s="10">
        <f t="shared" si="45"/>
        <v>130.02379280000005</v>
      </c>
      <c r="X31" s="10">
        <f t="shared" si="45"/>
        <v>143.02617208000007</v>
      </c>
      <c r="Y31" s="10">
        <f t="shared" si="45"/>
        <v>157.32878928800008</v>
      </c>
      <c r="Z31" s="10">
        <f t="shared" si="45"/>
        <v>173.06166821680011</v>
      </c>
      <c r="AA31" s="10">
        <f t="shared" si="45"/>
        <v>190.36783503848014</v>
      </c>
    </row>
    <row r="32" spans="2:27 16384:16384" x14ac:dyDescent="0.25">
      <c r="B32" s="5" t="s">
        <v>38</v>
      </c>
      <c r="C32" s="3">
        <v>3.8660000000000001</v>
      </c>
      <c r="D32" s="3">
        <v>3.28</v>
      </c>
      <c r="E32" s="3">
        <v>20.356999999999999</v>
      </c>
      <c r="F32" s="3">
        <f>-248-E32-D32-C32</f>
        <v>-275.50299999999993</v>
      </c>
      <c r="G32" s="3">
        <v>-8.9529999999999994</v>
      </c>
      <c r="H32" s="3">
        <v>5.0960000000000001</v>
      </c>
      <c r="I32" s="3">
        <v>13.976000000000001</v>
      </c>
      <c r="J32" s="3">
        <f>49.623-I32-H32-G32</f>
        <v>39.503999999999998</v>
      </c>
      <c r="K32" s="3">
        <v>32.844000000000001</v>
      </c>
      <c r="L32" s="3">
        <v>172.524</v>
      </c>
      <c r="M32" s="3">
        <v>65.698999999999998</v>
      </c>
      <c r="N32" s="10">
        <f t="shared" si="8"/>
        <v>65.698999999999998</v>
      </c>
      <c r="Q32" s="3">
        <f t="shared" si="9"/>
        <v>-247.99999999999994</v>
      </c>
      <c r="R32" s="3">
        <f t="shared" si="10"/>
        <v>49.622999999999998</v>
      </c>
      <c r="S32" s="10">
        <f t="shared" si="11"/>
        <v>336.76600000000002</v>
      </c>
      <c r="T32" s="10">
        <f t="shared" ref="T32:AA32" si="46">S32*1.1</f>
        <v>370.44260000000003</v>
      </c>
      <c r="U32" s="10">
        <f t="shared" si="46"/>
        <v>407.48686000000004</v>
      </c>
      <c r="V32" s="10">
        <f t="shared" si="46"/>
        <v>448.23554600000006</v>
      </c>
      <c r="W32" s="10">
        <f t="shared" si="46"/>
        <v>493.05910060000008</v>
      </c>
      <c r="X32" s="10">
        <f t="shared" si="46"/>
        <v>542.36501066000017</v>
      </c>
      <c r="Y32" s="10">
        <f t="shared" si="46"/>
        <v>596.60151172600024</v>
      </c>
      <c r="Z32" s="10">
        <f t="shared" si="46"/>
        <v>656.26166289860032</v>
      </c>
      <c r="AA32" s="10">
        <f t="shared" si="46"/>
        <v>721.88782918846039</v>
      </c>
    </row>
    <row r="33" spans="1:27" x14ac:dyDescent="0.25">
      <c r="B33" s="2" t="s">
        <v>32</v>
      </c>
      <c r="C33" s="4">
        <f t="shared" ref="C33:L33" si="47">SUM(C25:C32)</f>
        <v>155.72100000000003</v>
      </c>
      <c r="D33" s="4">
        <f t="shared" si="47"/>
        <v>147.57599999999999</v>
      </c>
      <c r="E33" s="4">
        <f t="shared" si="47"/>
        <v>213.852</v>
      </c>
      <c r="F33" s="4">
        <f t="shared" si="47"/>
        <v>100.13400000000007</v>
      </c>
      <c r="G33" s="4">
        <f>SUM(G25:G32)</f>
        <v>804.44599999999991</v>
      </c>
      <c r="H33" s="4">
        <f t="shared" si="47"/>
        <v>1359.0809999999999</v>
      </c>
      <c r="I33" s="4">
        <f t="shared" si="47"/>
        <v>1041.048</v>
      </c>
      <c r="J33" s="4">
        <f t="shared" si="47"/>
        <v>1606.6429999999998</v>
      </c>
      <c r="K33" s="4">
        <f>SUM(K25:K32)</f>
        <v>1775.9169999999999</v>
      </c>
      <c r="L33" s="4">
        <f t="shared" si="47"/>
        <v>2048.8939999999998</v>
      </c>
      <c r="M33" s="4">
        <f>SUM(M25:M32)</f>
        <v>1234.0290000000002</v>
      </c>
      <c r="N33" s="4">
        <f>SUM(N25:N32)</f>
        <v>1234.0290000000002</v>
      </c>
      <c r="Q33" s="4">
        <f t="shared" si="9"/>
        <v>617.28300000000013</v>
      </c>
      <c r="R33" s="4">
        <f t="shared" si="10"/>
        <v>4811.2179999999998</v>
      </c>
      <c r="S33" s="4">
        <f t="shared" ref="S33:AA33" si="48">SUM(S25:S32)</f>
        <v>3438.2190000000005</v>
      </c>
      <c r="T33" s="4">
        <f t="shared" si="48"/>
        <v>3567.1703299999999</v>
      </c>
      <c r="U33" s="4">
        <f t="shared" si="48"/>
        <v>3706.2033025000001</v>
      </c>
      <c r="V33" s="4">
        <f t="shared" si="48"/>
        <v>3856.2846511490006</v>
      </c>
      <c r="W33" s="4">
        <f t="shared" si="48"/>
        <v>4018.4771027409706</v>
      </c>
      <c r="X33" s="4">
        <f t="shared" si="48"/>
        <v>4193.9489644088699</v>
      </c>
      <c r="Y33" s="4">
        <f t="shared" si="48"/>
        <v>4383.9846693104982</v>
      </c>
      <c r="Z33" s="4">
        <f t="shared" si="48"/>
        <v>4589.9963766509582</v>
      </c>
      <c r="AA33" s="4">
        <f t="shared" si="48"/>
        <v>4813.5367314709001</v>
      </c>
    </row>
    <row r="34" spans="1:27" x14ac:dyDescent="0.25">
      <c r="B34" s="2" t="s">
        <v>27</v>
      </c>
      <c r="C34" s="4">
        <f t="shared" ref="C34:L34" si="49">C24-C33</f>
        <v>34.908999999999963</v>
      </c>
      <c r="D34" s="4">
        <f t="shared" si="49"/>
        <v>38.805999999999983</v>
      </c>
      <c r="E34" s="4">
        <f t="shared" si="49"/>
        <v>101.50499999999997</v>
      </c>
      <c r="F34" s="4">
        <f t="shared" si="49"/>
        <v>484.97799999999978</v>
      </c>
      <c r="G34" s="4">
        <f t="shared" si="49"/>
        <v>996.66600000000039</v>
      </c>
      <c r="H34" s="4">
        <f t="shared" si="49"/>
        <v>868.88100000000009</v>
      </c>
      <c r="I34" s="4">
        <f t="shared" si="49"/>
        <v>270.8599999999999</v>
      </c>
      <c r="J34" s="4">
        <f t="shared" si="49"/>
        <v>891.81900000000019</v>
      </c>
      <c r="K34" s="4">
        <f t="shared" si="49"/>
        <v>-609.48099999999999</v>
      </c>
      <c r="L34" s="4">
        <f t="shared" si="49"/>
        <v>-1240.569</v>
      </c>
      <c r="M34" s="4">
        <f>M24-M33</f>
        <v>-643.69000000000017</v>
      </c>
      <c r="N34" s="4">
        <f>N24-N33</f>
        <v>-643.69000000000017</v>
      </c>
      <c r="Q34" s="4">
        <f t="shared" si="9"/>
        <v>660.19799999999964</v>
      </c>
      <c r="R34" s="4">
        <f t="shared" si="10"/>
        <v>3028.2260000000006</v>
      </c>
      <c r="S34" s="4">
        <f t="shared" ref="S34:AA34" si="50">S24-S33</f>
        <v>-282.78000000000111</v>
      </c>
      <c r="T34" s="4">
        <f t="shared" si="50"/>
        <v>-96.187429999999949</v>
      </c>
      <c r="U34" s="4">
        <f t="shared" si="50"/>
        <v>111.87788750000072</v>
      </c>
      <c r="V34" s="4">
        <f t="shared" si="50"/>
        <v>343.6046578509995</v>
      </c>
      <c r="W34" s="4">
        <f t="shared" si="50"/>
        <v>601.40113715903135</v>
      </c>
      <c r="X34" s="4">
        <f t="shared" si="50"/>
        <v>887.91709948113203</v>
      </c>
      <c r="Y34" s="4">
        <f t="shared" si="50"/>
        <v>1206.0680009685047</v>
      </c>
      <c r="Z34" s="4">
        <f t="shared" si="50"/>
        <v>1559.061560655944</v>
      </c>
      <c r="AA34" s="4">
        <f t="shared" si="50"/>
        <v>1950.4269995666928</v>
      </c>
    </row>
    <row r="35" spans="1:27" x14ac:dyDescent="0.25">
      <c r="B35" s="5" t="s">
        <v>28</v>
      </c>
      <c r="C35" s="3">
        <v>2.9359999999999999</v>
      </c>
      <c r="D35" s="3">
        <v>6.5460000000000003</v>
      </c>
      <c r="E35" s="3">
        <v>21.417000000000002</v>
      </c>
      <c r="F35" s="3">
        <f>86.882-E35-D35-C35</f>
        <v>55.983000000000004</v>
      </c>
      <c r="G35" s="3">
        <v>225.203</v>
      </c>
      <c r="H35" s="3">
        <v>-737.46799999999996</v>
      </c>
      <c r="I35" s="3">
        <v>-135.24</v>
      </c>
      <c r="J35" s="3">
        <f>-597.173-I35-H35-G35</f>
        <v>50.331999999999965</v>
      </c>
      <c r="K35" s="3">
        <v>-179.786</v>
      </c>
      <c r="L35" s="3">
        <v>-146.91499999999999</v>
      </c>
      <c r="M35" s="3">
        <v>-99.055000000000007</v>
      </c>
      <c r="N35" s="10">
        <f t="shared" si="8"/>
        <v>-99.055000000000007</v>
      </c>
      <c r="Q35" s="3">
        <f t="shared" si="9"/>
        <v>86.882000000000005</v>
      </c>
      <c r="R35" s="3">
        <f t="shared" si="10"/>
        <v>-597.173</v>
      </c>
      <c r="S35" s="10">
        <f t="shared" si="11"/>
        <v>-524.81100000000004</v>
      </c>
      <c r="T35" s="10">
        <f t="shared" ref="T35:AA35" si="51">S35*1.1</f>
        <v>-577.29210000000012</v>
      </c>
      <c r="U35" s="10">
        <f t="shared" si="51"/>
        <v>-635.0213100000002</v>
      </c>
      <c r="V35" s="10">
        <f t="shared" si="51"/>
        <v>-698.52344100000028</v>
      </c>
      <c r="W35" s="10">
        <f t="shared" si="51"/>
        <v>-768.37578510000037</v>
      </c>
      <c r="X35" s="10">
        <f t="shared" si="51"/>
        <v>-845.21336361000044</v>
      </c>
      <c r="Y35" s="10">
        <f t="shared" si="51"/>
        <v>-929.73469997100051</v>
      </c>
      <c r="Z35" s="10">
        <f t="shared" si="51"/>
        <v>-1022.7081699681006</v>
      </c>
      <c r="AA35" s="10">
        <f t="shared" si="51"/>
        <v>-1124.9789869649107</v>
      </c>
    </row>
    <row r="36" spans="1:27" s="33" customFormat="1" x14ac:dyDescent="0.25">
      <c r="A36"/>
      <c r="B36" s="2" t="s">
        <v>29</v>
      </c>
      <c r="C36" s="4">
        <f t="shared" ref="C36:L36" si="52">C34-C35</f>
        <v>31.972999999999963</v>
      </c>
      <c r="D36" s="4">
        <f t="shared" si="52"/>
        <v>32.259999999999984</v>
      </c>
      <c r="E36" s="4">
        <f t="shared" si="52"/>
        <v>80.087999999999965</v>
      </c>
      <c r="F36" s="4">
        <f t="shared" si="52"/>
        <v>428.99499999999978</v>
      </c>
      <c r="G36" s="4">
        <f t="shared" si="52"/>
        <v>771.46300000000042</v>
      </c>
      <c r="H36" s="4">
        <f t="shared" si="52"/>
        <v>1606.3490000000002</v>
      </c>
      <c r="I36" s="4">
        <f t="shared" si="52"/>
        <v>406.09999999999991</v>
      </c>
      <c r="J36" s="4">
        <f t="shared" si="52"/>
        <v>841.48700000000019</v>
      </c>
      <c r="K36" s="4">
        <f t="shared" si="52"/>
        <v>-429.69499999999999</v>
      </c>
      <c r="L36" s="4">
        <f t="shared" si="52"/>
        <v>-1093.654</v>
      </c>
      <c r="M36" s="4">
        <f>M34-M35</f>
        <v>-544.63500000000022</v>
      </c>
      <c r="N36" s="4">
        <f>N34-N35</f>
        <v>-544.63500000000022</v>
      </c>
      <c r="O36"/>
      <c r="P36"/>
      <c r="Q36" s="32">
        <f t="shared" si="9"/>
        <v>573.31599999999969</v>
      </c>
      <c r="R36" s="33">
        <f t="shared" si="10"/>
        <v>3625.3990000000008</v>
      </c>
      <c r="S36" s="33">
        <f t="shared" ref="S36:AA36" si="53">S34-S35</f>
        <v>242.03099999999893</v>
      </c>
      <c r="T36" s="33">
        <f t="shared" si="53"/>
        <v>481.10467000000017</v>
      </c>
      <c r="U36" s="33">
        <f t="shared" si="53"/>
        <v>746.89919750000092</v>
      </c>
      <c r="V36" s="33">
        <f t="shared" si="53"/>
        <v>1042.1280988509998</v>
      </c>
      <c r="W36" s="33">
        <f t="shared" si="53"/>
        <v>1369.7769222590318</v>
      </c>
      <c r="X36" s="33">
        <f t="shared" si="53"/>
        <v>1733.1304630911325</v>
      </c>
      <c r="Y36" s="33">
        <f t="shared" si="53"/>
        <v>2135.8027009395055</v>
      </c>
      <c r="Z36" s="33">
        <f t="shared" si="53"/>
        <v>2581.7697306240448</v>
      </c>
      <c r="AA36" s="33">
        <f t="shared" si="53"/>
        <v>3075.4059865316035</v>
      </c>
    </row>
    <row r="37" spans="1:27" x14ac:dyDescent="0.25">
      <c r="B37" s="5" t="s">
        <v>30</v>
      </c>
      <c r="C37" s="6">
        <f t="shared" ref="C37:L37" si="54">C36/C38</f>
        <v>0.47751542034439964</v>
      </c>
      <c r="D37" s="6">
        <f t="shared" si="54"/>
        <v>0.48144942243978128</v>
      </c>
      <c r="E37" s="6">
        <f t="shared" si="54"/>
        <v>1.1610153520534636</v>
      </c>
      <c r="F37" s="6">
        <f t="shared" si="54"/>
        <v>6.2471057651701551</v>
      </c>
      <c r="G37" s="6">
        <f t="shared" si="54"/>
        <v>3.7382697982739677</v>
      </c>
      <c r="H37" s="6">
        <f t="shared" si="54"/>
        <v>7.8462594271423551</v>
      </c>
      <c r="I37" s="6">
        <f t="shared" si="54"/>
        <v>1.9374630255147798</v>
      </c>
      <c r="J37" s="6">
        <f t="shared" si="54"/>
        <v>4.7456110174318615</v>
      </c>
      <c r="K37" s="6">
        <f t="shared" si="54"/>
        <v>-1.9758635594467333</v>
      </c>
      <c r="L37" s="6">
        <f t="shared" si="54"/>
        <v>-4.9489293536300609</v>
      </c>
      <c r="M37" s="6">
        <f>M36/M38</f>
        <v>-2.4323183693885215</v>
      </c>
      <c r="N37" s="10">
        <f t="shared" si="8"/>
        <v>-2.4323183693885215</v>
      </c>
      <c r="Q37" s="3">
        <f t="shared" si="9"/>
        <v>8.3670859600077989</v>
      </c>
      <c r="R37" s="3">
        <f t="shared" si="10"/>
        <v>18.267603268362965</v>
      </c>
      <c r="S37" s="6">
        <f t="shared" ref="S37:AA37" si="55">S36/S38</f>
        <v>1.0756933333333285</v>
      </c>
      <c r="T37" s="6">
        <f t="shared" si="55"/>
        <v>2.1382429777777787</v>
      </c>
      <c r="U37" s="6">
        <f t="shared" si="55"/>
        <v>3.3195519888888931</v>
      </c>
      <c r="V37" s="6">
        <f t="shared" si="55"/>
        <v>4.6316804393377771</v>
      </c>
      <c r="W37" s="6">
        <f t="shared" si="55"/>
        <v>6.0878974322623636</v>
      </c>
      <c r="X37" s="6">
        <f t="shared" si="55"/>
        <v>7.7028020581828107</v>
      </c>
      <c r="Y37" s="6">
        <f t="shared" si="55"/>
        <v>9.4924564486200236</v>
      </c>
      <c r="Z37" s="6">
        <f t="shared" si="55"/>
        <v>11.474532136106866</v>
      </c>
      <c r="AA37" s="6">
        <f t="shared" si="55"/>
        <v>13.66847105125157</v>
      </c>
    </row>
    <row r="38" spans="1:27" x14ac:dyDescent="0.25">
      <c r="B38" s="5" t="s">
        <v>4</v>
      </c>
      <c r="C38" s="3">
        <v>66.956999999999994</v>
      </c>
      <c r="D38" s="3">
        <v>67.006</v>
      </c>
      <c r="E38" s="3">
        <v>68.980999999999995</v>
      </c>
      <c r="F38" s="3">
        <v>68.671000000000006</v>
      </c>
      <c r="G38" s="3">
        <f>79.373+126.996</f>
        <v>206.369</v>
      </c>
      <c r="H38" s="3">
        <v>204.72800000000001</v>
      </c>
      <c r="I38" s="3">
        <v>209.60400000000001</v>
      </c>
      <c r="J38" s="3">
        <v>177.31899999999999</v>
      </c>
      <c r="K38" s="3">
        <v>217.47200000000001</v>
      </c>
      <c r="L38" s="3">
        <v>220.988</v>
      </c>
      <c r="M38" s="3">
        <v>223.916</v>
      </c>
      <c r="N38" s="10">
        <f t="shared" si="8"/>
        <v>223.916</v>
      </c>
      <c r="Q38" s="3">
        <f t="shared" si="9"/>
        <v>271.61500000000001</v>
      </c>
      <c r="R38" s="3">
        <v>225</v>
      </c>
      <c r="S38" s="3">
        <v>225</v>
      </c>
      <c r="T38" s="3">
        <v>225</v>
      </c>
      <c r="U38" s="3">
        <v>225</v>
      </c>
      <c r="V38" s="3">
        <v>225</v>
      </c>
      <c r="W38" s="3">
        <v>225</v>
      </c>
      <c r="X38" s="3">
        <v>225</v>
      </c>
      <c r="Y38" s="3">
        <v>225</v>
      </c>
      <c r="Z38" s="3">
        <v>225</v>
      </c>
      <c r="AA38" s="3">
        <v>225</v>
      </c>
    </row>
    <row r="39" spans="1:27" x14ac:dyDescent="0.25">
      <c r="B39" s="5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10"/>
      <c r="Q39" s="3"/>
      <c r="R39" s="3"/>
      <c r="S39" s="10"/>
    </row>
    <row r="40" spans="1:27" x14ac:dyDescent="0.25">
      <c r="B40" s="1" t="s">
        <v>95</v>
      </c>
      <c r="N40" s="9"/>
      <c r="Y40" t="s">
        <v>110</v>
      </c>
      <c r="AA40" s="7">
        <v>1.03</v>
      </c>
    </row>
    <row r="41" spans="1:27" x14ac:dyDescent="0.25">
      <c r="B41" t="s">
        <v>101</v>
      </c>
      <c r="C41" s="8" t="s">
        <v>33</v>
      </c>
      <c r="D41" s="8" t="s">
        <v>33</v>
      </c>
      <c r="E41" s="8" t="s">
        <v>33</v>
      </c>
      <c r="F41" s="26" t="s">
        <v>33</v>
      </c>
      <c r="G41" s="7">
        <f t="shared" ref="G41:M41" si="56">(G15+G16)/(C15+C16)-1</f>
        <v>7.95732916257246</v>
      </c>
      <c r="H41" s="7">
        <f t="shared" si="56"/>
        <v>10.232032304612952</v>
      </c>
      <c r="I41" s="7">
        <f t="shared" si="56"/>
        <v>2.9494026907909996</v>
      </c>
      <c r="J41" s="7">
        <f t="shared" si="56"/>
        <v>3.7787076393480472</v>
      </c>
      <c r="K41" s="7">
        <f t="shared" si="56"/>
        <v>-0.34243207103818041</v>
      </c>
      <c r="L41" s="7">
        <f t="shared" si="56"/>
        <v>-0.6605785797836905</v>
      </c>
      <c r="M41" s="7">
        <f t="shared" si="56"/>
        <v>-0.66423531830228988</v>
      </c>
      <c r="N41" s="11"/>
    </row>
    <row r="42" spans="1:27" x14ac:dyDescent="0.25">
      <c r="B42" t="s">
        <v>39</v>
      </c>
      <c r="C42" s="8" t="s">
        <v>33</v>
      </c>
      <c r="D42" s="8" t="s">
        <v>33</v>
      </c>
      <c r="E42" s="8" t="s">
        <v>33</v>
      </c>
      <c r="F42" s="8" t="s">
        <v>33</v>
      </c>
      <c r="G42" s="7">
        <f t="shared" ref="G42:M42" si="57">G34/C34-1</f>
        <v>27.550402475006486</v>
      </c>
      <c r="H42" s="7">
        <f t="shared" si="57"/>
        <v>21.390377776632491</v>
      </c>
      <c r="I42" s="7">
        <f t="shared" si="57"/>
        <v>1.6684399783261905</v>
      </c>
      <c r="J42" s="7">
        <f t="shared" si="57"/>
        <v>0.83888547521743373</v>
      </c>
      <c r="K42" s="7">
        <f t="shared" si="57"/>
        <v>-1.6115198070366601</v>
      </c>
      <c r="L42" s="7">
        <f t="shared" si="57"/>
        <v>-2.4277777969595373</v>
      </c>
      <c r="M42" s="7">
        <f t="shared" si="57"/>
        <v>-3.3764675478106785</v>
      </c>
      <c r="N42" s="11"/>
    </row>
    <row r="43" spans="1:27" x14ac:dyDescent="0.25">
      <c r="B43" t="s">
        <v>31</v>
      </c>
      <c r="C43" s="8" t="s">
        <v>33</v>
      </c>
      <c r="D43" s="8" t="s">
        <v>33</v>
      </c>
      <c r="E43" s="8" t="s">
        <v>33</v>
      </c>
      <c r="F43" s="8" t="s">
        <v>33</v>
      </c>
      <c r="G43" s="7">
        <f t="shared" ref="G43:L43" si="58">G36/C36-1</f>
        <v>23.128577237043796</v>
      </c>
      <c r="H43" s="7">
        <f t="shared" si="58"/>
        <v>48.793831370117822</v>
      </c>
      <c r="I43" s="7">
        <f t="shared" si="58"/>
        <v>4.0706722605134367</v>
      </c>
      <c r="J43" s="7">
        <f t="shared" si="58"/>
        <v>0.96153102017506176</v>
      </c>
      <c r="K43" s="7">
        <f t="shared" si="58"/>
        <v>-1.5569871789055338</v>
      </c>
      <c r="L43" s="7">
        <f t="shared" si="58"/>
        <v>-1.6808321230317944</v>
      </c>
      <c r="M43" s="7">
        <f>M36/I36-1</f>
        <v>-2.3411351883772475</v>
      </c>
      <c r="N43" s="11"/>
    </row>
    <row r="44" spans="1:27" x14ac:dyDescent="0.25">
      <c r="B44" t="s">
        <v>103</v>
      </c>
      <c r="C44" s="29">
        <f t="shared" ref="C44:M44" si="59">MAX(C25:C32)</f>
        <v>58.957999999999998</v>
      </c>
      <c r="D44" s="29">
        <f t="shared" si="59"/>
        <v>60.777000000000001</v>
      </c>
      <c r="E44" s="29">
        <f t="shared" si="59"/>
        <v>73.319000000000003</v>
      </c>
      <c r="F44" s="29">
        <f t="shared" si="59"/>
        <v>124.622</v>
      </c>
      <c r="G44" s="29">
        <f t="shared" si="59"/>
        <v>234.066</v>
      </c>
      <c r="H44" s="29">
        <f t="shared" si="59"/>
        <v>335.42599999999999</v>
      </c>
      <c r="I44" s="29">
        <f t="shared" si="59"/>
        <v>356.26400000000001</v>
      </c>
      <c r="J44" s="29">
        <f t="shared" si="59"/>
        <v>501.18100000000004</v>
      </c>
      <c r="K44" s="29">
        <f t="shared" si="59"/>
        <v>570.66399999999999</v>
      </c>
      <c r="L44" s="29">
        <f t="shared" si="59"/>
        <v>609.24900000000002</v>
      </c>
      <c r="M44" s="29">
        <f t="shared" si="59"/>
        <v>556.33799999999997</v>
      </c>
      <c r="N44" s="11"/>
    </row>
    <row r="45" spans="1:27" x14ac:dyDescent="0.25">
      <c r="B45" t="s">
        <v>104</v>
      </c>
      <c r="G45" s="7">
        <f t="shared" ref="G45:L45" si="60">G25/C25-1</f>
        <v>8.2126579289172277</v>
      </c>
      <c r="H45" s="7">
        <f t="shared" si="60"/>
        <v>13.33750801453302</v>
      </c>
      <c r="I45" s="7">
        <f t="shared" si="60"/>
        <v>4.3650383506500576</v>
      </c>
      <c r="J45" s="7">
        <f t="shared" si="60"/>
        <v>9.0344572137908905</v>
      </c>
      <c r="K45" s="7">
        <f t="shared" si="60"/>
        <v>0.18710961865456754</v>
      </c>
      <c r="L45" s="7">
        <f t="shared" si="60"/>
        <v>-0.50156815512214314</v>
      </c>
      <c r="M45" s="7">
        <f>M25/I25-1</f>
        <v>-0.48352099609127452</v>
      </c>
      <c r="N45" s="11"/>
    </row>
    <row r="46" spans="1:27" x14ac:dyDescent="0.25">
      <c r="B46" t="s">
        <v>40</v>
      </c>
      <c r="C46" s="8" t="s">
        <v>33</v>
      </c>
      <c r="D46" s="8" t="s">
        <v>33</v>
      </c>
      <c r="E46" s="8" t="s">
        <v>33</v>
      </c>
      <c r="F46" s="8" t="s">
        <v>33</v>
      </c>
      <c r="G46" s="7">
        <f t="shared" ref="G46:L46" si="61">G26/C26-1</f>
        <v>2.9082056939199799</v>
      </c>
      <c r="H46" s="7">
        <f t="shared" si="61"/>
        <v>3.7955805650163716</v>
      </c>
      <c r="I46" s="7">
        <f t="shared" si="61"/>
        <v>3.859095186786508</v>
      </c>
      <c r="J46" s="7">
        <f t="shared" si="61"/>
        <v>4.0786868218082146</v>
      </c>
      <c r="K46" s="7">
        <f t="shared" si="61"/>
        <v>2.0976468991722079</v>
      </c>
      <c r="L46" s="7">
        <f t="shared" si="61"/>
        <v>1.0903276939281756</v>
      </c>
      <c r="M46" s="7">
        <f>M26/I26-1</f>
        <v>0.5615891586014865</v>
      </c>
      <c r="N46" s="11"/>
    </row>
    <row r="47" spans="1:27" x14ac:dyDescent="0.25">
      <c r="C47" s="8"/>
      <c r="D47" s="8"/>
      <c r="E47" s="8"/>
      <c r="F47" s="8"/>
      <c r="G47" s="7"/>
      <c r="H47" s="7"/>
      <c r="I47" s="7"/>
      <c r="J47" s="7"/>
      <c r="K47" s="7"/>
      <c r="L47" s="7"/>
      <c r="M47" s="7"/>
      <c r="N47" s="11"/>
    </row>
    <row r="48" spans="1:27" x14ac:dyDescent="0.25">
      <c r="B48" s="1" t="s">
        <v>96</v>
      </c>
    </row>
    <row r="49" spans="2:16" x14ac:dyDescent="0.25">
      <c r="B49" s="5" t="s">
        <v>97</v>
      </c>
      <c r="C49" s="7">
        <f t="shared" ref="C49:M49" si="62">(C15+C16)/C22</f>
        <v>0.96040361398688878</v>
      </c>
      <c r="D49" s="7">
        <f t="shared" si="62"/>
        <v>0.96373597411554912</v>
      </c>
      <c r="E49" s="7">
        <f t="shared" si="62"/>
        <v>0.96246812459229147</v>
      </c>
      <c r="F49" s="7">
        <f t="shared" si="62"/>
        <v>0.9584060061437446</v>
      </c>
      <c r="G49" s="7">
        <f t="shared" si="62"/>
        <v>0.9646827357369937</v>
      </c>
      <c r="H49" s="7">
        <f t="shared" si="62"/>
        <v>0.94951871878706007</v>
      </c>
      <c r="I49" s="7">
        <f t="shared" si="62"/>
        <v>0.88250119863679366</v>
      </c>
      <c r="J49" s="7">
        <f t="shared" si="62"/>
        <v>0.91430728607142497</v>
      </c>
      <c r="K49" s="7">
        <f t="shared" si="62"/>
        <v>0.86964016375781095</v>
      </c>
      <c r="L49" s="7">
        <f t="shared" si="62"/>
        <v>0.81636001858951435</v>
      </c>
      <c r="M49" s="7">
        <f t="shared" si="62"/>
        <v>0.63477423552374757</v>
      </c>
      <c r="N49" s="7"/>
    </row>
    <row r="50" spans="2:16" x14ac:dyDescent="0.25">
      <c r="B50" s="5" t="s">
        <v>100</v>
      </c>
      <c r="C50" s="7">
        <f t="shared" ref="C50:M50" si="63">(C17+C18+C19+C20+C21)/C22</f>
        <v>3.9596386013111322E-2</v>
      </c>
      <c r="D50" s="7">
        <f t="shared" si="63"/>
        <v>3.626402588445083E-2</v>
      </c>
      <c r="E50" s="7">
        <f t="shared" si="63"/>
        <v>3.7531875407708713E-2</v>
      </c>
      <c r="F50" s="7">
        <f t="shared" si="63"/>
        <v>4.1593993856255472E-2</v>
      </c>
      <c r="G50" s="7">
        <f t="shared" si="63"/>
        <v>3.5317264263006264E-2</v>
      </c>
      <c r="H50" s="7">
        <f t="shared" si="63"/>
        <v>5.0481281212939814E-2</v>
      </c>
      <c r="I50" s="7">
        <f t="shared" si="63"/>
        <v>0.11749880136320641</v>
      </c>
      <c r="J50" s="7">
        <f t="shared" si="63"/>
        <v>8.569271392857504E-2</v>
      </c>
      <c r="K50" s="7">
        <f t="shared" si="63"/>
        <v>0.13035983624218922</v>
      </c>
      <c r="L50" s="7">
        <f t="shared" si="63"/>
        <v>0.18363998141048565</v>
      </c>
      <c r="M50" s="7">
        <f t="shared" si="63"/>
        <v>0.36522576447625243</v>
      </c>
    </row>
    <row r="51" spans="2:16" x14ac:dyDescent="0.25">
      <c r="B51" s="5" t="s">
        <v>98</v>
      </c>
      <c r="C51" s="7">
        <f t="shared" ref="C51:M51" si="64">C15/(C15+C16)</f>
        <v>0.94192137960707245</v>
      </c>
      <c r="D51" s="7">
        <f t="shared" si="64"/>
        <v>0.95322464274077179</v>
      </c>
      <c r="E51" s="7">
        <f t="shared" si="64"/>
        <v>0.95186731616794262</v>
      </c>
      <c r="F51" s="7">
        <f t="shared" si="64"/>
        <v>0.94832236600442887</v>
      </c>
      <c r="G51" s="7">
        <f t="shared" si="64"/>
        <v>0.94456049020498767</v>
      </c>
      <c r="H51" s="7">
        <f t="shared" si="64"/>
        <v>0.94693744554186687</v>
      </c>
      <c r="I51" s="7">
        <f t="shared" si="64"/>
        <v>0.93788039528071243</v>
      </c>
      <c r="J51" s="7">
        <f t="shared" si="64"/>
        <v>0.96014096162428275</v>
      </c>
      <c r="K51" s="7">
        <f t="shared" si="64"/>
        <v>0.95341231703512996</v>
      </c>
      <c r="L51" s="7">
        <f t="shared" si="64"/>
        <v>0.94047584525948058</v>
      </c>
      <c r="M51" s="7">
        <f t="shared" si="64"/>
        <v>0.94594498562323026</v>
      </c>
      <c r="N51" s="9"/>
    </row>
    <row r="52" spans="2:16" x14ac:dyDescent="0.25">
      <c r="B52" s="5" t="s">
        <v>99</v>
      </c>
      <c r="C52" s="7">
        <f>C16/(C15+C16)</f>
        <v>5.8078620392927535E-2</v>
      </c>
      <c r="D52" s="7">
        <f t="shared" ref="D52:M52" si="65">D16/(D15+D16)</f>
        <v>4.6775357259228233E-2</v>
      </c>
      <c r="E52" s="7">
        <f t="shared" si="65"/>
        <v>4.8132683832057523E-2</v>
      </c>
      <c r="F52" s="7">
        <f t="shared" si="65"/>
        <v>5.1677633995571071E-2</v>
      </c>
      <c r="G52" s="7">
        <f t="shared" si="65"/>
        <v>5.5439509795012269E-2</v>
      </c>
      <c r="H52" s="7">
        <f t="shared" si="65"/>
        <v>5.3062554458133154E-2</v>
      </c>
      <c r="I52" s="7">
        <f t="shared" si="65"/>
        <v>6.2119604719287548E-2</v>
      </c>
      <c r="J52" s="7">
        <f t="shared" si="65"/>
        <v>3.9859038375717304E-2</v>
      </c>
      <c r="K52" s="7">
        <f t="shared" si="65"/>
        <v>4.6587682964869953E-2</v>
      </c>
      <c r="L52" s="7">
        <f t="shared" si="65"/>
        <v>5.9524154740519496E-2</v>
      </c>
      <c r="M52" s="7">
        <f t="shared" si="65"/>
        <v>5.4055014376769767E-2</v>
      </c>
      <c r="N52" s="9"/>
    </row>
    <row r="53" spans="2:16" x14ac:dyDescent="0.25">
      <c r="B53" s="5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9"/>
      <c r="O53" s="18" t="s">
        <v>87</v>
      </c>
      <c r="P53" s="19">
        <v>0.08</v>
      </c>
    </row>
    <row r="54" spans="2:16" x14ac:dyDescent="0.25">
      <c r="N54" s="9"/>
      <c r="O54" s="20" t="s">
        <v>82</v>
      </c>
      <c r="P54" s="21">
        <v>0.1</v>
      </c>
    </row>
    <row r="55" spans="2:16" x14ac:dyDescent="0.25">
      <c r="N55" s="9"/>
      <c r="O55" s="20" t="s">
        <v>111</v>
      </c>
      <c r="P55" s="21">
        <f>P53+P54</f>
        <v>0.18</v>
      </c>
    </row>
    <row r="56" spans="2:16" x14ac:dyDescent="0.25">
      <c r="N56" s="9"/>
      <c r="O56" s="20" t="s">
        <v>83</v>
      </c>
      <c r="P56" s="22">
        <f>NPV(P55,Q36:KJ36)</f>
        <v>6561.4027827176278</v>
      </c>
    </row>
    <row r="57" spans="2:16" x14ac:dyDescent="0.25">
      <c r="N57" s="9"/>
      <c r="O57" s="20" t="s">
        <v>6</v>
      </c>
      <c r="P57" s="22">
        <v>5007</v>
      </c>
    </row>
    <row r="58" spans="2:16" x14ac:dyDescent="0.25">
      <c r="N58" s="9"/>
      <c r="O58" s="20" t="s">
        <v>84</v>
      </c>
      <c r="P58" s="22">
        <f>P56+P57</f>
        <v>11568.402782717629</v>
      </c>
    </row>
    <row r="59" spans="2:16" x14ac:dyDescent="0.25">
      <c r="N59" s="9"/>
      <c r="O59" s="20" t="s">
        <v>88</v>
      </c>
      <c r="P59" s="31">
        <v>225</v>
      </c>
    </row>
    <row r="60" spans="2:16" x14ac:dyDescent="0.25">
      <c r="N60" s="9"/>
      <c r="O60" s="20" t="s">
        <v>85</v>
      </c>
      <c r="P60" s="25">
        <f>(P58/(P59+P53))</f>
        <v>51.396849043529535</v>
      </c>
    </row>
    <row r="61" spans="2:16" x14ac:dyDescent="0.25">
      <c r="N61" s="9"/>
      <c r="O61" s="23" t="s">
        <v>86</v>
      </c>
      <c r="P61" s="24">
        <v>44.92</v>
      </c>
    </row>
    <row r="62" spans="2:16" x14ac:dyDescent="0.25">
      <c r="N62" s="9"/>
      <c r="O62" s="34"/>
      <c r="P62" s="35"/>
    </row>
    <row r="63" spans="2:16" x14ac:dyDescent="0.25">
      <c r="B63" s="1" t="s">
        <v>34</v>
      </c>
      <c r="N63" s="9"/>
    </row>
    <row r="64" spans="2:16" x14ac:dyDescent="0.25">
      <c r="B64" s="13" t="s">
        <v>41</v>
      </c>
      <c r="C64" s="16" t="s">
        <v>33</v>
      </c>
      <c r="D64" s="16" t="s">
        <v>33</v>
      </c>
      <c r="E64" s="16" t="s">
        <v>33</v>
      </c>
      <c r="F64" s="14">
        <f>F65-F81</f>
        <v>790.54699999999991</v>
      </c>
      <c r="G64" s="14">
        <f>G65-G81</f>
        <v>1439.498</v>
      </c>
      <c r="H64" s="14">
        <f t="shared" ref="H64:N64" si="66">H65-H81</f>
        <v>4335.049</v>
      </c>
      <c r="I64" s="14">
        <f t="shared" si="66"/>
        <v>6320.9209999999994</v>
      </c>
      <c r="J64" s="14">
        <f t="shared" si="66"/>
        <v>6696.8130000000001</v>
      </c>
      <c r="K64" s="14">
        <f t="shared" si="66"/>
        <v>5630.8239999999996</v>
      </c>
      <c r="L64" s="14">
        <f t="shared" si="66"/>
        <v>5545.52</v>
      </c>
      <c r="M64" s="14">
        <f t="shared" si="66"/>
        <v>4796.9059999999999</v>
      </c>
      <c r="N64" s="14">
        <f t="shared" si="66"/>
        <v>0</v>
      </c>
      <c r="P64" s="14"/>
    </row>
    <row r="65" spans="2:16" x14ac:dyDescent="0.25">
      <c r="B65" t="s">
        <v>6</v>
      </c>
      <c r="C65" s="15" t="s">
        <v>33</v>
      </c>
      <c r="D65" s="15" t="s">
        <v>33</v>
      </c>
      <c r="E65" s="15" t="s">
        <v>33</v>
      </c>
      <c r="F65" s="3">
        <v>1061.8499999999999</v>
      </c>
      <c r="G65" s="3">
        <v>1983.318</v>
      </c>
      <c r="H65" s="3">
        <v>4365.982</v>
      </c>
      <c r="I65" s="3">
        <v>6352.7749999999996</v>
      </c>
      <c r="J65" s="3">
        <v>7123.4780000000001</v>
      </c>
      <c r="K65" s="3">
        <v>6116.3879999999999</v>
      </c>
      <c r="L65" s="3">
        <v>5682.0680000000002</v>
      </c>
      <c r="M65" s="3">
        <v>5006.5839999999998</v>
      </c>
      <c r="N65" s="3"/>
      <c r="P65" s="3"/>
    </row>
    <row r="66" spans="2:16" x14ac:dyDescent="0.25">
      <c r="B66" t="s">
        <v>42</v>
      </c>
      <c r="C66" s="15" t="s">
        <v>33</v>
      </c>
      <c r="D66" s="15" t="s">
        <v>33</v>
      </c>
      <c r="E66" s="15" t="s">
        <v>33</v>
      </c>
      <c r="F66" s="3">
        <v>30.786999999999999</v>
      </c>
      <c r="G66" s="3">
        <v>30.841000000000001</v>
      </c>
      <c r="H66" s="3">
        <v>30.841999999999999</v>
      </c>
      <c r="I66" s="3">
        <v>30.884</v>
      </c>
      <c r="J66" s="3">
        <v>30.951000000000001</v>
      </c>
      <c r="K66" s="3">
        <v>27.111000000000001</v>
      </c>
      <c r="L66" s="3">
        <v>28.962</v>
      </c>
      <c r="M66" s="3">
        <v>23.113</v>
      </c>
      <c r="N66" s="3"/>
      <c r="P66" s="3"/>
    </row>
    <row r="67" spans="2:16" x14ac:dyDescent="0.25">
      <c r="B67" t="s">
        <v>43</v>
      </c>
      <c r="C67" s="15" t="s">
        <v>33</v>
      </c>
      <c r="D67" s="15" t="s">
        <v>33</v>
      </c>
      <c r="E67" s="15" t="s">
        <v>33</v>
      </c>
      <c r="F67" s="3">
        <v>3763.3919999999998</v>
      </c>
      <c r="G67" s="3">
        <v>6291.7759999999998</v>
      </c>
      <c r="H67" s="3">
        <v>8961.8119999999999</v>
      </c>
      <c r="I67" s="3">
        <v>8956.9660000000003</v>
      </c>
      <c r="J67" s="3">
        <v>10526.233</v>
      </c>
      <c r="K67" s="3">
        <v>10023.385</v>
      </c>
      <c r="L67" s="3">
        <v>7181.1480000000001</v>
      </c>
      <c r="M67" s="3">
        <v>6591.1049999999996</v>
      </c>
      <c r="N67" s="3"/>
      <c r="P67" s="3"/>
    </row>
    <row r="68" spans="2:16" x14ac:dyDescent="0.25">
      <c r="B68" t="s">
        <v>63</v>
      </c>
      <c r="C68" s="15" t="s">
        <v>33</v>
      </c>
      <c r="D68" s="15" t="s">
        <v>33</v>
      </c>
      <c r="E68" s="15" t="s">
        <v>33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88453.873000000007</v>
      </c>
      <c r="M68" s="3">
        <v>95113.123999999996</v>
      </c>
      <c r="N68" s="3">
        <v>0</v>
      </c>
      <c r="P68" s="3"/>
    </row>
    <row r="69" spans="2:16" x14ac:dyDescent="0.25">
      <c r="B69" t="s">
        <v>44</v>
      </c>
      <c r="C69" s="15" t="s">
        <v>33</v>
      </c>
      <c r="D69" s="15" t="s">
        <v>33</v>
      </c>
      <c r="E69" s="15" t="s">
        <v>33</v>
      </c>
      <c r="F69" s="3">
        <v>48.938000000000002</v>
      </c>
      <c r="G69" s="3">
        <v>102.11799999999999</v>
      </c>
      <c r="H69" s="3">
        <v>144.99299999999999</v>
      </c>
      <c r="I69" s="3">
        <v>92.106999999999999</v>
      </c>
      <c r="J69" s="3">
        <v>100.096</v>
      </c>
      <c r="K69" s="3">
        <v>179.88499999999999</v>
      </c>
      <c r="L69" s="3">
        <v>361.714</v>
      </c>
      <c r="M69" s="3">
        <v>368.12099999999998</v>
      </c>
      <c r="N69" s="3"/>
      <c r="P69" s="3"/>
    </row>
    <row r="70" spans="2:16" x14ac:dyDescent="0.25">
      <c r="B70" t="s">
        <v>45</v>
      </c>
      <c r="C70" s="15" t="s">
        <v>33</v>
      </c>
      <c r="D70" s="15" t="s">
        <v>33</v>
      </c>
      <c r="E70" s="15" t="s">
        <v>33</v>
      </c>
      <c r="F70" s="3">
        <v>189.471</v>
      </c>
      <c r="G70" s="3">
        <v>208.828</v>
      </c>
      <c r="H70" s="3">
        <v>184.57900000000001</v>
      </c>
      <c r="I70" s="3">
        <v>237.131</v>
      </c>
      <c r="J70" s="3">
        <v>396.02499999999998</v>
      </c>
      <c r="K70" s="3">
        <v>346.048</v>
      </c>
      <c r="L70" s="3">
        <v>245.61600000000001</v>
      </c>
      <c r="M70" s="3">
        <v>240.35400000000001</v>
      </c>
      <c r="N70" s="3"/>
      <c r="P70" s="3"/>
    </row>
    <row r="71" spans="2:16" x14ac:dyDescent="0.25">
      <c r="B71" t="s">
        <v>61</v>
      </c>
      <c r="C71" s="15" t="s">
        <v>33</v>
      </c>
      <c r="D71" s="15" t="s">
        <v>33</v>
      </c>
      <c r="E71" s="15" t="s">
        <v>33</v>
      </c>
      <c r="F71" s="3">
        <v>0</v>
      </c>
      <c r="G71" s="3">
        <v>0</v>
      </c>
      <c r="H71" s="3">
        <v>435.096</v>
      </c>
      <c r="I71" s="3">
        <v>94.688999999999993</v>
      </c>
      <c r="J71" s="3">
        <v>61.231000000000002</v>
      </c>
      <c r="K71" s="3">
        <v>56.767000000000003</v>
      </c>
      <c r="L71" s="3">
        <v>62.405999999999999</v>
      </c>
      <c r="M71" s="3">
        <v>60.521999999999998</v>
      </c>
      <c r="N71" s="3"/>
      <c r="P71" s="3"/>
    </row>
    <row r="72" spans="2:16" x14ac:dyDescent="0.25">
      <c r="B72" t="s">
        <v>46</v>
      </c>
      <c r="C72" s="15" t="s">
        <v>33</v>
      </c>
      <c r="D72" s="15" t="s">
        <v>33</v>
      </c>
      <c r="E72" s="15" t="s">
        <v>33</v>
      </c>
      <c r="F72" s="3">
        <v>39.51</v>
      </c>
      <c r="G72" s="3">
        <v>55.661999999999999</v>
      </c>
      <c r="H72" s="3">
        <v>114.751</v>
      </c>
      <c r="I72" s="3">
        <v>105.16500000000001</v>
      </c>
      <c r="J72" s="3">
        <v>135.84899999999999</v>
      </c>
      <c r="K72" s="3">
        <v>191.06800000000001</v>
      </c>
      <c r="L72" s="3">
        <v>146.46299999999999</v>
      </c>
      <c r="M72" s="3">
        <v>277.04399999999998</v>
      </c>
      <c r="N72" s="3"/>
      <c r="P72" s="3"/>
    </row>
    <row r="73" spans="2:16" x14ac:dyDescent="0.25">
      <c r="B73" t="s">
        <v>47</v>
      </c>
      <c r="C73" s="15" t="s">
        <v>33</v>
      </c>
      <c r="D73" s="15" t="s">
        <v>33</v>
      </c>
      <c r="E73" s="15" t="s">
        <v>33</v>
      </c>
      <c r="F73" s="3">
        <v>316.09399999999999</v>
      </c>
      <c r="G73" s="3">
        <v>651.35599999999999</v>
      </c>
      <c r="H73" s="3">
        <v>585.846</v>
      </c>
      <c r="I73" s="3">
        <v>833.76300000000003</v>
      </c>
      <c r="J73" s="3">
        <v>988.19299999999998</v>
      </c>
      <c r="K73" s="3">
        <v>1333.3330000000001</v>
      </c>
      <c r="L73" s="3">
        <v>539.68299999999999</v>
      </c>
      <c r="M73" s="3">
        <v>623.07299999999998</v>
      </c>
      <c r="N73" s="3"/>
      <c r="P73" s="3"/>
    </row>
    <row r="74" spans="2:16" x14ac:dyDescent="0.25">
      <c r="B74" t="s">
        <v>48</v>
      </c>
      <c r="C74" s="15" t="s">
        <v>33</v>
      </c>
      <c r="D74" s="15" t="s">
        <v>33</v>
      </c>
      <c r="E74" s="15" t="s">
        <v>33</v>
      </c>
      <c r="F74" s="3">
        <v>100.845</v>
      </c>
      <c r="G74" s="3">
        <v>110.791</v>
      </c>
      <c r="H74" s="3">
        <v>105.29600000000001</v>
      </c>
      <c r="I74" s="3">
        <v>105.583</v>
      </c>
      <c r="J74" s="3">
        <v>98.385000000000005</v>
      </c>
      <c r="K74" s="3">
        <v>91.430999999999997</v>
      </c>
      <c r="L74" s="3">
        <v>85.971999999999994</v>
      </c>
      <c r="M74" s="3">
        <v>76.465000000000003</v>
      </c>
      <c r="N74" s="3"/>
      <c r="P74" s="3"/>
    </row>
    <row r="75" spans="2:16" x14ac:dyDescent="0.25">
      <c r="B75" t="s">
        <v>49</v>
      </c>
      <c r="C75" s="15" t="s">
        <v>33</v>
      </c>
      <c r="D75" s="15" t="s">
        <v>33</v>
      </c>
      <c r="E75" s="15" t="s">
        <v>33</v>
      </c>
      <c r="F75" s="3">
        <v>49.25</v>
      </c>
      <c r="G75" s="3">
        <v>50.331000000000003</v>
      </c>
      <c r="H75" s="3">
        <v>52.174999999999997</v>
      </c>
      <c r="I75" s="3">
        <v>55.631999999999998</v>
      </c>
      <c r="J75" s="3">
        <v>59.23</v>
      </c>
      <c r="K75" s="3">
        <v>65.861000000000004</v>
      </c>
      <c r="L75" s="3">
        <v>142.209</v>
      </c>
      <c r="M75" s="3">
        <v>170.922</v>
      </c>
      <c r="N75" s="3"/>
      <c r="P75" s="3"/>
    </row>
    <row r="76" spans="2:16" x14ac:dyDescent="0.25">
      <c r="B76" t="s">
        <v>50</v>
      </c>
      <c r="C76" s="15" t="s">
        <v>33</v>
      </c>
      <c r="D76" s="15" t="s">
        <v>33</v>
      </c>
      <c r="E76" s="15" t="s">
        <v>33</v>
      </c>
      <c r="F76" s="3">
        <v>77.212000000000003</v>
      </c>
      <c r="G76" s="3">
        <v>481.37900000000002</v>
      </c>
      <c r="H76" s="3">
        <v>501.25900000000001</v>
      </c>
      <c r="I76" s="3">
        <v>567.41999999999996</v>
      </c>
      <c r="J76" s="3">
        <v>625.75800000000004</v>
      </c>
      <c r="K76" s="3">
        <v>1080.1759999999999</v>
      </c>
      <c r="L76" s="3">
        <v>1073.9059999999999</v>
      </c>
      <c r="M76" s="3">
        <v>1073.9059999999999</v>
      </c>
      <c r="N76" s="3"/>
      <c r="P76" s="3"/>
    </row>
    <row r="77" spans="2:16" x14ac:dyDescent="0.25">
      <c r="B77" t="s">
        <v>51</v>
      </c>
      <c r="C77" s="15" t="s">
        <v>33</v>
      </c>
      <c r="D77" s="15" t="s">
        <v>33</v>
      </c>
      <c r="E77" s="15" t="s">
        <v>33</v>
      </c>
      <c r="F77" s="3">
        <v>60.825000000000003</v>
      </c>
      <c r="G77" s="3">
        <v>93.031999999999996</v>
      </c>
      <c r="H77" s="3">
        <v>119.889</v>
      </c>
      <c r="I77" s="3">
        <v>142.18299999999999</v>
      </c>
      <c r="J77" s="3">
        <v>176.68899999999999</v>
      </c>
      <c r="K77" s="3">
        <v>219.12799999999999</v>
      </c>
      <c r="L77" s="3">
        <v>189.50800000000001</v>
      </c>
      <c r="M77" s="3">
        <v>161.66900000000001</v>
      </c>
      <c r="N77" s="3"/>
      <c r="P77" s="3"/>
    </row>
    <row r="78" spans="2:16" x14ac:dyDescent="0.25">
      <c r="B78" t="s">
        <v>52</v>
      </c>
      <c r="C78" s="15" t="s">
        <v>33</v>
      </c>
      <c r="D78" s="15" t="s">
        <v>33</v>
      </c>
      <c r="E78" s="15" t="s">
        <v>33</v>
      </c>
      <c r="F78" s="3">
        <v>117.24</v>
      </c>
      <c r="G78" s="3">
        <v>141.68</v>
      </c>
      <c r="H78" s="3">
        <v>187.68799999999999</v>
      </c>
      <c r="I78" s="3">
        <v>879.97299999999996</v>
      </c>
      <c r="J78" s="3">
        <v>952.30700000000002</v>
      </c>
      <c r="K78" s="3">
        <v>1164.6130000000001</v>
      </c>
      <c r="L78" s="3">
        <v>1274.7149999999999</v>
      </c>
      <c r="M78" s="3">
        <v>1382.3610000000001</v>
      </c>
      <c r="N78" s="3"/>
      <c r="P78" s="3"/>
    </row>
    <row r="79" spans="2:16" x14ac:dyDescent="0.25">
      <c r="B79" s="2" t="s">
        <v>53</v>
      </c>
      <c r="C79" s="15" t="s">
        <v>33</v>
      </c>
      <c r="D79" s="15" t="s">
        <v>33</v>
      </c>
      <c r="E79" s="15" t="s">
        <v>33</v>
      </c>
      <c r="F79" s="4">
        <f>SUM(F65:F78)</f>
        <v>5855.4140000000007</v>
      </c>
      <c r="G79" s="4">
        <f t="shared" ref="G79:N79" si="67">SUM(G65:G78)</f>
        <v>10201.111999999999</v>
      </c>
      <c r="H79" s="4">
        <f t="shared" si="67"/>
        <v>15790.207999999997</v>
      </c>
      <c r="I79" s="4">
        <f t="shared" si="67"/>
        <v>18454.271000000001</v>
      </c>
      <c r="J79" s="4">
        <f t="shared" si="67"/>
        <v>21274.424999999999</v>
      </c>
      <c r="K79" s="4">
        <f t="shared" si="67"/>
        <v>20895.194</v>
      </c>
      <c r="L79" s="4">
        <f t="shared" si="67"/>
        <v>105468.24300000002</v>
      </c>
      <c r="M79" s="4">
        <f t="shared" si="67"/>
        <v>111168.363</v>
      </c>
      <c r="N79" s="4">
        <f t="shared" si="67"/>
        <v>0</v>
      </c>
      <c r="P79" s="4"/>
    </row>
    <row r="80" spans="2:16" x14ac:dyDescent="0.25">
      <c r="C80" s="3"/>
      <c r="F80" s="3"/>
      <c r="G80" s="3"/>
      <c r="H80" s="3"/>
      <c r="I80" s="3"/>
      <c r="J80" s="3"/>
      <c r="K80" s="3"/>
      <c r="L80" s="3"/>
      <c r="M80" s="3"/>
      <c r="N80" s="3"/>
      <c r="P80" s="3"/>
    </row>
    <row r="81" spans="2:16" x14ac:dyDescent="0.25">
      <c r="B81" s="13" t="s">
        <v>7</v>
      </c>
      <c r="C81" s="16" t="str">
        <f>C86</f>
        <v>-</v>
      </c>
      <c r="D81" s="16" t="str">
        <f t="shared" ref="D81:N81" si="68">D86</f>
        <v>-</v>
      </c>
      <c r="E81" s="16" t="str">
        <f t="shared" si="68"/>
        <v>-</v>
      </c>
      <c r="F81" s="14">
        <f>F86</f>
        <v>271.303</v>
      </c>
      <c r="G81" s="14">
        <f t="shared" si="68"/>
        <v>543.82000000000005</v>
      </c>
      <c r="H81" s="14">
        <f t="shared" ref="H81" si="69">H86</f>
        <v>30.933</v>
      </c>
      <c r="I81" s="14">
        <f t="shared" si="68"/>
        <v>31.853999999999999</v>
      </c>
      <c r="J81" s="14">
        <f t="shared" si="68"/>
        <v>426.66500000000002</v>
      </c>
      <c r="K81" s="14">
        <f t="shared" si="68"/>
        <v>485.56400000000002</v>
      </c>
      <c r="L81" s="14">
        <f t="shared" si="68"/>
        <v>136.548</v>
      </c>
      <c r="M81" s="14">
        <f t="shared" si="68"/>
        <v>209.678</v>
      </c>
      <c r="N81" s="14">
        <f t="shared" si="68"/>
        <v>0</v>
      </c>
      <c r="P81" s="14"/>
    </row>
    <row r="82" spans="2:16" x14ac:dyDescent="0.25">
      <c r="B82" t="s">
        <v>54</v>
      </c>
      <c r="C82" s="15" t="s">
        <v>33</v>
      </c>
      <c r="D82" s="15" t="s">
        <v>33</v>
      </c>
      <c r="E82" s="15" t="s">
        <v>33</v>
      </c>
      <c r="F82" s="3">
        <v>3849.4679999999998</v>
      </c>
      <c r="G82" s="3">
        <v>6223.8459999999995</v>
      </c>
      <c r="H82" s="3">
        <v>8968.5049999999992</v>
      </c>
      <c r="I82" s="3">
        <v>8807.9779999999992</v>
      </c>
      <c r="J82" s="3">
        <v>10480.611999999999</v>
      </c>
      <c r="K82" s="3">
        <v>9742.9609999999993</v>
      </c>
      <c r="L82" s="3">
        <v>7071.5569999999998</v>
      </c>
      <c r="M82" s="3">
        <v>6357.6570000000002</v>
      </c>
      <c r="N82" s="3"/>
      <c r="P82" s="3"/>
    </row>
    <row r="83" spans="2:16" x14ac:dyDescent="0.25">
      <c r="B83" t="s">
        <v>62</v>
      </c>
      <c r="C83" s="15" t="s">
        <v>33</v>
      </c>
      <c r="D83" s="15" t="s">
        <v>33</v>
      </c>
      <c r="E83" s="15" t="s">
        <v>33</v>
      </c>
      <c r="F83" s="3">
        <v>0</v>
      </c>
      <c r="G83" s="3">
        <v>0</v>
      </c>
      <c r="H83" s="12">
        <v>0</v>
      </c>
      <c r="I83" s="3">
        <v>0</v>
      </c>
      <c r="J83" s="3">
        <v>0</v>
      </c>
      <c r="K83" s="3">
        <v>0</v>
      </c>
      <c r="L83" s="3">
        <v>88453.873000000007</v>
      </c>
      <c r="M83" s="3">
        <v>95113.123999999996</v>
      </c>
      <c r="N83" s="12">
        <v>0</v>
      </c>
      <c r="P83" s="3"/>
    </row>
    <row r="84" spans="2:16" x14ac:dyDescent="0.25">
      <c r="B84" t="s">
        <v>55</v>
      </c>
      <c r="C84" s="15" t="s">
        <v>33</v>
      </c>
      <c r="D84" s="15" t="s">
        <v>33</v>
      </c>
      <c r="E84" s="15" t="s">
        <v>33</v>
      </c>
      <c r="F84" s="3">
        <v>85.111000000000004</v>
      </c>
      <c r="G84" s="3">
        <v>373.95499999999998</v>
      </c>
      <c r="H84" s="3">
        <v>266.65499999999997</v>
      </c>
      <c r="I84" s="3">
        <v>290.471</v>
      </c>
      <c r="J84" s="3">
        <v>39.832999999999998</v>
      </c>
      <c r="K84" s="3">
        <v>12.65</v>
      </c>
      <c r="L84" s="3">
        <v>40.744999999999997</v>
      </c>
      <c r="M84" s="3">
        <v>61.514000000000003</v>
      </c>
      <c r="N84" s="3"/>
      <c r="P84" s="3"/>
    </row>
    <row r="85" spans="2:16" x14ac:dyDescent="0.25">
      <c r="B85" t="s">
        <v>65</v>
      </c>
      <c r="C85" s="15" t="s">
        <v>33</v>
      </c>
      <c r="D85" s="15" t="s">
        <v>33</v>
      </c>
      <c r="E85" s="15" t="s">
        <v>33</v>
      </c>
      <c r="F85" s="3">
        <v>0</v>
      </c>
      <c r="G85" s="3">
        <v>0</v>
      </c>
      <c r="H85" s="3">
        <v>366.99099999999999</v>
      </c>
      <c r="I85" s="3">
        <v>445.17200000000003</v>
      </c>
      <c r="J85" s="3">
        <v>439.55900000000003</v>
      </c>
      <c r="K85" s="3">
        <v>647.96</v>
      </c>
      <c r="L85" s="3">
        <v>457.399</v>
      </c>
      <c r="M85" s="3">
        <v>298.101</v>
      </c>
      <c r="N85" s="3"/>
      <c r="P85" s="3"/>
    </row>
    <row r="86" spans="2:16" x14ac:dyDescent="0.25">
      <c r="B86" t="s">
        <v>56</v>
      </c>
      <c r="C86" s="15" t="s">
        <v>33</v>
      </c>
      <c r="D86" s="15" t="s">
        <v>33</v>
      </c>
      <c r="E86" s="15" t="s">
        <v>33</v>
      </c>
      <c r="F86" s="3">
        <v>271.303</v>
      </c>
      <c r="G86" s="3">
        <v>543.82000000000005</v>
      </c>
      <c r="H86" s="3">
        <v>30.933</v>
      </c>
      <c r="I86" s="3">
        <v>31.853999999999999</v>
      </c>
      <c r="J86" s="3">
        <v>426.66500000000002</v>
      </c>
      <c r="K86" s="3">
        <v>485.56400000000002</v>
      </c>
      <c r="L86" s="3">
        <v>136.548</v>
      </c>
      <c r="M86" s="3">
        <v>209.678</v>
      </c>
      <c r="N86" s="3"/>
      <c r="P86" s="3"/>
    </row>
    <row r="87" spans="2:16" x14ac:dyDescent="0.25">
      <c r="B87" t="s">
        <v>66</v>
      </c>
      <c r="C87" s="15" t="s">
        <v>33</v>
      </c>
      <c r="D87" s="15" t="s">
        <v>33</v>
      </c>
      <c r="E87" s="15" t="s">
        <v>33</v>
      </c>
      <c r="F87" s="3">
        <v>25.27</v>
      </c>
      <c r="G87" s="3">
        <v>29.695</v>
      </c>
      <c r="H87" s="3">
        <v>44.48</v>
      </c>
      <c r="I87" s="3">
        <v>39.683999999999997</v>
      </c>
      <c r="J87" s="3">
        <v>32.366</v>
      </c>
      <c r="K87" s="3">
        <v>32.688000000000002</v>
      </c>
      <c r="L87" s="3">
        <v>34.173999999999999</v>
      </c>
      <c r="M87" s="12">
        <v>33.024999999999999</v>
      </c>
      <c r="N87" s="3"/>
      <c r="P87" s="3"/>
    </row>
    <row r="88" spans="2:16" x14ac:dyDescent="0.25">
      <c r="B88" t="s">
        <v>67</v>
      </c>
      <c r="C88" s="15" t="s">
        <v>33</v>
      </c>
      <c r="D88" s="15" t="s">
        <v>33</v>
      </c>
      <c r="E88" s="15" t="s">
        <v>33</v>
      </c>
      <c r="F88" s="3">
        <v>82.507999999999996</v>
      </c>
      <c r="G88" s="3">
        <v>88.519000000000005</v>
      </c>
      <c r="H88" s="3">
        <v>82.292000000000002</v>
      </c>
      <c r="I88" s="3">
        <v>81.602000000000004</v>
      </c>
      <c r="J88" s="3">
        <v>74.078000000000003</v>
      </c>
      <c r="K88" s="3">
        <v>66.424999999999997</v>
      </c>
      <c r="L88" s="3">
        <v>59.317</v>
      </c>
      <c r="M88" s="3">
        <v>50.167000000000002</v>
      </c>
      <c r="N88" s="3"/>
      <c r="P88" s="3"/>
    </row>
    <row r="89" spans="2:16" x14ac:dyDescent="0.25">
      <c r="B89" t="s">
        <v>64</v>
      </c>
      <c r="C89" s="15" t="s">
        <v>33</v>
      </c>
      <c r="D89" s="15" t="s">
        <v>33</v>
      </c>
      <c r="E89" s="15" t="s">
        <v>33</v>
      </c>
      <c r="F89" s="3">
        <v>0</v>
      </c>
      <c r="G89" s="3">
        <v>0</v>
      </c>
      <c r="H89" s="3">
        <v>1406.9269999999999</v>
      </c>
      <c r="I89" s="3">
        <v>3382.1849999999999</v>
      </c>
      <c r="J89" s="3">
        <v>3384.7950000000001</v>
      </c>
      <c r="K89" s="3">
        <v>3386.8649999999998</v>
      </c>
      <c r="L89" s="3">
        <v>3389.0329999999999</v>
      </c>
      <c r="M89" s="3">
        <v>3391.2370000000001</v>
      </c>
      <c r="P89" s="3"/>
    </row>
    <row r="90" spans="2:16" x14ac:dyDescent="0.25">
      <c r="B90" t="s">
        <v>52</v>
      </c>
      <c r="C90" s="15" t="s">
        <v>33</v>
      </c>
      <c r="D90" s="15" t="s">
        <v>33</v>
      </c>
      <c r="E90" s="15" t="s">
        <v>33</v>
      </c>
      <c r="F90" s="3">
        <v>15.702999999999999</v>
      </c>
      <c r="G90" s="3">
        <v>84.831999999999994</v>
      </c>
      <c r="H90" s="3">
        <v>0</v>
      </c>
      <c r="I90" s="3">
        <v>14.827999999999999</v>
      </c>
      <c r="J90" s="3">
        <v>14.827999999999999</v>
      </c>
      <c r="K90" s="3">
        <v>23.988</v>
      </c>
      <c r="L90" s="3">
        <v>12.208</v>
      </c>
      <c r="M90" s="3">
        <v>27.545000000000002</v>
      </c>
      <c r="P90" s="3"/>
    </row>
    <row r="91" spans="2:16" x14ac:dyDescent="0.25">
      <c r="B91" s="2" t="s">
        <v>57</v>
      </c>
      <c r="C91" s="15" t="s">
        <v>33</v>
      </c>
      <c r="D91" s="15" t="s">
        <v>33</v>
      </c>
      <c r="E91" s="15" t="s">
        <v>33</v>
      </c>
      <c r="F91" s="4">
        <f t="shared" ref="F91:L91" si="70">SUM(F82:F90)</f>
        <v>4329.3630000000003</v>
      </c>
      <c r="G91" s="4">
        <f t="shared" si="70"/>
        <v>7344.6669999999995</v>
      </c>
      <c r="H91" s="4">
        <f t="shared" si="70"/>
        <v>11166.782999999999</v>
      </c>
      <c r="I91" s="4">
        <f t="shared" si="70"/>
        <v>13093.773999999998</v>
      </c>
      <c r="J91" s="4">
        <f t="shared" si="70"/>
        <v>14892.735999999999</v>
      </c>
      <c r="K91" s="4">
        <f t="shared" si="70"/>
        <v>14399.100999999999</v>
      </c>
      <c r="L91" s="4">
        <f t="shared" si="70"/>
        <v>99654.853999999992</v>
      </c>
      <c r="M91" s="4">
        <f>SUM(M82:M90)</f>
        <v>105542.04799999998</v>
      </c>
      <c r="N91" s="4">
        <f t="shared" ref="N91" si="71">SUM(N82:N90)</f>
        <v>0</v>
      </c>
      <c r="P91" s="4"/>
    </row>
    <row r="92" spans="2:16" x14ac:dyDescent="0.25">
      <c r="B92" t="s">
        <v>59</v>
      </c>
      <c r="C92" s="15" t="s">
        <v>33</v>
      </c>
      <c r="D92" s="15" t="s">
        <v>33</v>
      </c>
      <c r="E92" s="15" t="s">
        <v>33</v>
      </c>
      <c r="F92" s="3">
        <v>562.46699999999998</v>
      </c>
      <c r="G92" s="3">
        <v>552.03700000000003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/>
      <c r="P92" s="3"/>
    </row>
    <row r="93" spans="2:16" x14ac:dyDescent="0.25">
      <c r="B93" t="s">
        <v>58</v>
      </c>
      <c r="C93" s="15" t="s">
        <v>33</v>
      </c>
      <c r="D93" s="15" t="s">
        <v>33</v>
      </c>
      <c r="E93" s="15" t="s">
        <v>33</v>
      </c>
      <c r="F93" s="3">
        <v>963.58399999999995</v>
      </c>
      <c r="G93" s="3">
        <v>2304.4079999999999</v>
      </c>
      <c r="H93" s="3">
        <v>4623.4250000000002</v>
      </c>
      <c r="I93" s="3">
        <v>5360.4970000000003</v>
      </c>
      <c r="J93" s="3">
        <v>6381.6890000000003</v>
      </c>
      <c r="K93" s="3">
        <v>6496.0929999999998</v>
      </c>
      <c r="L93" s="3">
        <v>5813.3890000000001</v>
      </c>
      <c r="M93" s="3">
        <v>5626.3149999999996</v>
      </c>
      <c r="N93" s="3"/>
      <c r="P93" s="3"/>
    </row>
    <row r="94" spans="2:16" x14ac:dyDescent="0.25">
      <c r="B94" s="2" t="s">
        <v>60</v>
      </c>
      <c r="C94" s="15" t="s">
        <v>33</v>
      </c>
      <c r="D94" s="15" t="s">
        <v>33</v>
      </c>
      <c r="E94" s="15" t="s">
        <v>33</v>
      </c>
      <c r="F94" s="4">
        <f>F91+F92+F93</f>
        <v>5855.4139999999998</v>
      </c>
      <c r="G94" s="4">
        <f t="shared" ref="G94:N94" si="72">G91+G92+G93</f>
        <v>10201.111999999999</v>
      </c>
      <c r="H94" s="4">
        <f t="shared" si="72"/>
        <v>15790.207999999999</v>
      </c>
      <c r="I94" s="4">
        <f t="shared" si="72"/>
        <v>18454.270999999997</v>
      </c>
      <c r="J94" s="4">
        <f t="shared" si="72"/>
        <v>21274.424999999999</v>
      </c>
      <c r="K94" s="4">
        <f t="shared" si="72"/>
        <v>20895.194</v>
      </c>
      <c r="L94" s="4">
        <f t="shared" si="72"/>
        <v>105468.24299999999</v>
      </c>
      <c r="M94" s="4">
        <f t="shared" si="72"/>
        <v>111168.36299999998</v>
      </c>
      <c r="N94" s="4">
        <f t="shared" si="72"/>
        <v>0</v>
      </c>
      <c r="P94" s="4"/>
    </row>
    <row r="97" spans="2:13" x14ac:dyDescent="0.25">
      <c r="B97" s="1" t="s">
        <v>68</v>
      </c>
    </row>
    <row r="98" spans="2:13" x14ac:dyDescent="0.25">
      <c r="B98" s="2" t="s">
        <v>69</v>
      </c>
      <c r="C98" s="4">
        <v>0</v>
      </c>
      <c r="D98" s="4">
        <f t="shared" ref="D98:M98" si="73">SUM(A36:D36)</f>
        <v>64.232999999999947</v>
      </c>
      <c r="E98" s="4">
        <f t="shared" si="73"/>
        <v>144.32099999999991</v>
      </c>
      <c r="F98" s="4">
        <f t="shared" si="73"/>
        <v>573.31599999999969</v>
      </c>
      <c r="G98" s="4">
        <f t="shared" si="73"/>
        <v>1312.806</v>
      </c>
      <c r="H98" s="4">
        <f t="shared" si="73"/>
        <v>2886.8950000000004</v>
      </c>
      <c r="I98" s="4">
        <f t="shared" si="73"/>
        <v>3212.9070000000002</v>
      </c>
      <c r="J98" s="4">
        <f t="shared" si="73"/>
        <v>3625.3990000000008</v>
      </c>
      <c r="K98" s="4">
        <f t="shared" si="73"/>
        <v>2424.241</v>
      </c>
      <c r="L98" s="4">
        <f t="shared" si="73"/>
        <v>-275.76199999999994</v>
      </c>
      <c r="M98" s="4">
        <f t="shared" si="73"/>
        <v>-1226.4970000000001</v>
      </c>
    </row>
    <row r="99" spans="2:13" x14ac:dyDescent="0.25">
      <c r="B99" t="s">
        <v>70</v>
      </c>
      <c r="F99" s="7">
        <f t="shared" ref="F99:M99" si="74">F98/F93</f>
        <v>0.59498289718384667</v>
      </c>
      <c r="G99" s="7">
        <f t="shared" si="74"/>
        <v>0.56969338762927402</v>
      </c>
      <c r="H99" s="7">
        <f t="shared" si="74"/>
        <v>0.62440614912105208</v>
      </c>
      <c r="I99" s="7">
        <f t="shared" si="74"/>
        <v>0.59936737209255042</v>
      </c>
      <c r="J99" s="7">
        <f t="shared" si="74"/>
        <v>0.56809396383935362</v>
      </c>
      <c r="K99" s="7">
        <f t="shared" si="74"/>
        <v>0.37318446641696784</v>
      </c>
      <c r="L99" s="7">
        <f t="shared" si="74"/>
        <v>-4.7435669624035129E-2</v>
      </c>
      <c r="M99" s="7">
        <f t="shared" si="74"/>
        <v>-0.21799294920387505</v>
      </c>
    </row>
    <row r="100" spans="2:13" x14ac:dyDescent="0.25">
      <c r="B100" t="s">
        <v>71</v>
      </c>
      <c r="F100" s="7">
        <f>F98/F79</f>
        <v>9.7912120304388325E-2</v>
      </c>
      <c r="G100" s="7">
        <f t="shared" ref="G100:M100" si="75">G98/G79</f>
        <v>0.12869244058882995</v>
      </c>
      <c r="H100" s="7">
        <f t="shared" si="75"/>
        <v>0.18282818060408076</v>
      </c>
      <c r="I100" s="7">
        <f t="shared" si="75"/>
        <v>0.17410099808331633</v>
      </c>
      <c r="J100" s="7">
        <f t="shared" si="75"/>
        <v>0.17041113919647657</v>
      </c>
      <c r="K100" s="7">
        <f t="shared" si="75"/>
        <v>0.11601907117971721</v>
      </c>
      <c r="L100" s="7">
        <f t="shared" si="75"/>
        <v>-2.6146448651846784E-3</v>
      </c>
      <c r="M100" s="7">
        <f t="shared" si="75"/>
        <v>-1.1032788168338865E-2</v>
      </c>
    </row>
    <row r="101" spans="2:13" x14ac:dyDescent="0.25">
      <c r="B101" t="s">
        <v>72</v>
      </c>
      <c r="F101" s="7">
        <f>F98/(F93-F75)</f>
        <v>0.62703125991158559</v>
      </c>
      <c r="G101" s="7">
        <f t="shared" ref="G101:M101" si="76">G98/(G93-G75)</f>
        <v>0.58241399916684311</v>
      </c>
      <c r="H101" s="7">
        <f t="shared" si="76"/>
        <v>0.63153295050587921</v>
      </c>
      <c r="I101" s="7">
        <f t="shared" si="76"/>
        <v>0.60565292424972161</v>
      </c>
      <c r="J101" s="7">
        <f t="shared" si="76"/>
        <v>0.57341597628391117</v>
      </c>
      <c r="K101" s="7">
        <f t="shared" si="76"/>
        <v>0.37700677051776671</v>
      </c>
      <c r="L101" s="7">
        <f t="shared" si="76"/>
        <v>-4.8625153848052771E-2</v>
      </c>
      <c r="M101" s="7">
        <f t="shared" si="76"/>
        <v>-0.22482284960955151</v>
      </c>
    </row>
    <row r="102" spans="2:13" x14ac:dyDescent="0.25">
      <c r="B102" t="s">
        <v>73</v>
      </c>
      <c r="F102" s="7">
        <f t="shared" ref="F102:M102" si="77">F98/(F70+F71+F72+F73+F74+F75+F77+F78)</f>
        <v>0.65654262598269608</v>
      </c>
      <c r="G102" s="7">
        <f t="shared" si="77"/>
        <v>1.0008584410831911</v>
      </c>
      <c r="H102" s="7">
        <f t="shared" si="77"/>
        <v>1.6170182376268685</v>
      </c>
      <c r="I102" s="7">
        <f t="shared" si="77"/>
        <v>1.3091895706768906</v>
      </c>
      <c r="J102" s="7">
        <f t="shared" si="77"/>
        <v>1.2641262327361156</v>
      </c>
      <c r="K102" s="7">
        <f t="shared" si="77"/>
        <v>0.69898124384956195</v>
      </c>
      <c r="L102" s="7">
        <f t="shared" si="77"/>
        <v>-0.10264455968423698</v>
      </c>
      <c r="M102" s="7">
        <f t="shared" si="77"/>
        <v>-0.40986930266908617</v>
      </c>
    </row>
  </sheetData>
  <conditionalFormatting sqref="C25:C32">
    <cfRule type="cellIs" dxfId="10" priority="11" operator="equal">
      <formula>$C$44</formula>
    </cfRule>
  </conditionalFormatting>
  <conditionalFormatting sqref="D25:D32">
    <cfRule type="cellIs" dxfId="9" priority="10" operator="equal">
      <formula>$D$44</formula>
    </cfRule>
  </conditionalFormatting>
  <conditionalFormatting sqref="E25:E32">
    <cfRule type="cellIs" dxfId="8" priority="9" operator="equal">
      <formula>$E$44</formula>
    </cfRule>
  </conditionalFormatting>
  <conditionalFormatting sqref="F25:F32">
    <cfRule type="cellIs" dxfId="7" priority="8" operator="equal">
      <formula>$F$44</formula>
    </cfRule>
  </conditionalFormatting>
  <conditionalFormatting sqref="G25:G32">
    <cfRule type="cellIs" dxfId="6" priority="7" operator="equal">
      <formula>$G$44</formula>
    </cfRule>
  </conditionalFormatting>
  <conditionalFormatting sqref="H25:H32">
    <cfRule type="cellIs" dxfId="5" priority="6" operator="equal">
      <formula>$H$44</formula>
    </cfRule>
  </conditionalFormatting>
  <conditionalFormatting sqref="I25:I32">
    <cfRule type="cellIs" dxfId="4" priority="5" operator="equal">
      <formula>$I$44</formula>
    </cfRule>
  </conditionalFormatting>
  <conditionalFormatting sqref="J25:J32">
    <cfRule type="cellIs" dxfId="3" priority="4" operator="equal">
      <formula>$J$44</formula>
    </cfRule>
  </conditionalFormatting>
  <conditionalFormatting sqref="K25:K32">
    <cfRule type="cellIs" dxfId="2" priority="3" operator="equal">
      <formula>$K$44</formula>
    </cfRule>
  </conditionalFormatting>
  <conditionalFormatting sqref="L25:L32">
    <cfRule type="cellIs" dxfId="1" priority="2" operator="equal">
      <formula>$L$44</formula>
    </cfRule>
  </conditionalFormatting>
  <conditionalFormatting sqref="M25:M32">
    <cfRule type="cellIs" dxfId="0" priority="1" operator="equal">
      <formula>$M$44</formula>
    </cfRule>
  </conditionalFormatting>
  <hyperlinks>
    <hyperlink ref="A1" r:id="rId1" xr:uid="{DAE72FD3-880C-4B8E-874A-79FE826109EC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5FDA-9DF4-4A69-81DD-D0053D4F028D}">
  <dimension ref="A1:E9"/>
  <sheetViews>
    <sheetView workbookViewId="0"/>
  </sheetViews>
  <sheetFormatPr defaultRowHeight="15" x14ac:dyDescent="0.25"/>
  <cols>
    <col min="3" max="3" width="14.85546875" bestFit="1" customWidth="1"/>
    <col min="4" max="4" width="17.28515625" bestFit="1" customWidth="1"/>
    <col min="5" max="5" width="11.140625" bestFit="1" customWidth="1"/>
  </cols>
  <sheetData>
    <row r="1" spans="1:5" x14ac:dyDescent="0.25">
      <c r="A1" s="36" t="s">
        <v>119</v>
      </c>
    </row>
    <row r="3" spans="1:5" x14ac:dyDescent="0.25">
      <c r="B3" t="s">
        <v>3</v>
      </c>
      <c r="C3">
        <v>43.39</v>
      </c>
    </row>
    <row r="4" spans="1:5" x14ac:dyDescent="0.25">
      <c r="B4" t="s">
        <v>4</v>
      </c>
      <c r="C4" s="3">
        <v>178849467</v>
      </c>
      <c r="E4" s="3"/>
    </row>
    <row r="5" spans="1:5" x14ac:dyDescent="0.25">
      <c r="B5" t="s">
        <v>5</v>
      </c>
      <c r="C5" s="3">
        <f>C3*C4</f>
        <v>7760278373.1300001</v>
      </c>
    </row>
    <row r="6" spans="1:5" x14ac:dyDescent="0.25">
      <c r="B6" t="s">
        <v>6</v>
      </c>
      <c r="C6" s="3">
        <v>107679967000</v>
      </c>
    </row>
    <row r="7" spans="1:5" x14ac:dyDescent="0.25">
      <c r="B7" t="s">
        <v>7</v>
      </c>
      <c r="C7" s="3">
        <v>105542048000</v>
      </c>
    </row>
    <row r="8" spans="1:5" x14ac:dyDescent="0.25">
      <c r="B8" s="2" t="s">
        <v>8</v>
      </c>
      <c r="C8" s="4">
        <f>C5+C6-C7</f>
        <v>9898197373.1300049</v>
      </c>
    </row>
    <row r="9" spans="1:5" x14ac:dyDescent="0.25">
      <c r="D9" s="3"/>
    </row>
  </sheetData>
  <hyperlinks>
    <hyperlink ref="A1" r:id="rId1" xr:uid="{A3477AD6-4321-4B48-87CE-9201CE53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9817-27D3-451F-A7AB-6E270533D184}">
  <dimension ref="A1:B21"/>
  <sheetViews>
    <sheetView workbookViewId="0">
      <selection activeCell="B38" sqref="B38"/>
    </sheetView>
  </sheetViews>
  <sheetFormatPr defaultRowHeight="15" x14ac:dyDescent="0.25"/>
  <cols>
    <col min="2" max="2" width="151.42578125" bestFit="1" customWidth="1"/>
  </cols>
  <sheetData>
    <row r="1" spans="1:2" x14ac:dyDescent="0.25">
      <c r="A1" s="36" t="s">
        <v>119</v>
      </c>
    </row>
    <row r="2" spans="1:2" x14ac:dyDescent="0.25">
      <c r="B2" s="1" t="s">
        <v>78</v>
      </c>
    </row>
    <row r="3" spans="1:2" x14ac:dyDescent="0.25">
      <c r="B3" t="s">
        <v>79</v>
      </c>
    </row>
    <row r="7" spans="1:2" x14ac:dyDescent="0.25">
      <c r="B7" s="1" t="s">
        <v>105</v>
      </c>
    </row>
    <row r="8" spans="1:2" x14ac:dyDescent="0.25">
      <c r="B8" t="s">
        <v>106</v>
      </c>
    </row>
    <row r="9" spans="1:2" x14ac:dyDescent="0.25">
      <c r="B9" t="s">
        <v>107</v>
      </c>
    </row>
    <row r="10" spans="1:2" x14ac:dyDescent="0.25">
      <c r="B10" t="s">
        <v>108</v>
      </c>
    </row>
    <row r="11" spans="1:2" x14ac:dyDescent="0.25">
      <c r="B11" t="s">
        <v>109</v>
      </c>
    </row>
    <row r="12" spans="1:2" x14ac:dyDescent="0.25">
      <c r="B12" t="s">
        <v>113</v>
      </c>
    </row>
    <row r="13" spans="1:2" x14ac:dyDescent="0.25">
      <c r="B13" t="s">
        <v>112</v>
      </c>
    </row>
    <row r="14" spans="1:2" x14ac:dyDescent="0.25">
      <c r="B14" t="s">
        <v>114</v>
      </c>
    </row>
    <row r="15" spans="1:2" x14ac:dyDescent="0.25">
      <c r="B15" t="s">
        <v>115</v>
      </c>
    </row>
    <row r="19" spans="2:2" x14ac:dyDescent="0.25">
      <c r="B19" s="1" t="s">
        <v>117</v>
      </c>
    </row>
    <row r="20" spans="2:2" x14ac:dyDescent="0.25">
      <c r="B20" t="s">
        <v>116</v>
      </c>
    </row>
    <row r="21" spans="2:2" x14ac:dyDescent="0.25">
      <c r="B21" t="s">
        <v>118</v>
      </c>
    </row>
  </sheetData>
  <hyperlinks>
    <hyperlink ref="A1" r:id="rId1" xr:uid="{C5898C00-D3B2-4DB2-81B4-564AD487C9A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game</cp:lastModifiedBy>
  <dcterms:created xsi:type="dcterms:W3CDTF">2022-11-23T05:59:38Z</dcterms:created>
  <dcterms:modified xsi:type="dcterms:W3CDTF">2022-11-24T00:30:56Z</dcterms:modified>
</cp:coreProperties>
</file>