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Volumes/jnavarroSSD/Proyectos/UCM - Colbici/Teruel/experiments/teruel/data/"/>
    </mc:Choice>
  </mc:AlternateContent>
  <xr:revisionPtr revIDLastSave="0" documentId="8_{C9CD79AB-058F-764E-9AE3-4FB57C752B37}" xr6:coauthVersionLast="47" xr6:coauthVersionMax="47" xr10:uidLastSave="{00000000-0000-0000-0000-000000000000}"/>
  <bookViews>
    <workbookView xWindow="3280" yWindow="520" windowWidth="52500" windowHeight="19400" xr2:uid="{E065E8CF-B28B-9D44-A743-5267CA9D5237}"/>
  </bookViews>
  <sheets>
    <sheet name="Main" sheetId="8" r:id="rId1"/>
    <sheet name="Datos principales" sheetId="17" r:id="rId2"/>
    <sheet name="Datos aburrimiento" sheetId="18" r:id="rId3"/>
    <sheet name="Aburrimiento" sheetId="16" r:id="rId4"/>
    <sheet name="Caracterización" sheetId="15" r:id="rId5"/>
    <sheet name="Tiempos torico" sheetId="2" r:id="rId6"/>
    <sheet name="Tiempos catedral" sheetId="10" r:id="rId7"/>
    <sheet name="Tiempos SanMartin" sheetId="11" r:id="rId8"/>
    <sheet name="Tiempos Salvador" sheetId="13" r:id="rId9"/>
    <sheet name="Tiempos Escalinata" sheetId="14" r:id="rId10"/>
    <sheet name="Tiempos Mausoleo" sheetId="12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0" i="16" l="1" a="1"/>
  <c r="AV10" i="16" s="1"/>
  <c r="AW10" i="16" a="1"/>
  <c r="AW10" i="16" s="1"/>
  <c r="AX10" i="16" a="1"/>
  <c r="AX10" i="16" s="1"/>
  <c r="AY10" i="16" a="1"/>
  <c r="AY10" i="16" s="1"/>
  <c r="AZ10" i="16" a="1"/>
  <c r="AZ10" i="16" s="1"/>
  <c r="BA10" i="16" a="1"/>
  <c r="BA10" i="16" s="1"/>
  <c r="BB10" i="16" a="1"/>
  <c r="BB10" i="16" s="1"/>
  <c r="BC10" i="16" a="1"/>
  <c r="BC10" i="16" s="1"/>
  <c r="BD10" i="16" a="1"/>
  <c r="BD10" i="16" s="1"/>
  <c r="BE10" i="16" a="1"/>
  <c r="BE10" i="16" s="1"/>
  <c r="BF10" i="16" a="1"/>
  <c r="BF10" i="16" s="1"/>
  <c r="BG10" i="16" a="1"/>
  <c r="BG10" i="16" s="1"/>
  <c r="BH10" i="16" a="1"/>
  <c r="BH10" i="16" s="1"/>
  <c r="BI10" i="16" a="1"/>
  <c r="BI10" i="16" s="1"/>
  <c r="BJ10" i="16" a="1"/>
  <c r="BJ10" i="16" s="1"/>
  <c r="AV9" i="16" a="1"/>
  <c r="AV9" i="16" s="1"/>
  <c r="AW9" i="16" a="1"/>
  <c r="AW9" i="16" s="1"/>
  <c r="AX9" i="16" a="1"/>
  <c r="AX9" i="16" s="1"/>
  <c r="AY9" i="16" a="1"/>
  <c r="AY9" i="16" s="1"/>
  <c r="AZ9" i="16" a="1"/>
  <c r="AZ9" i="16" s="1"/>
  <c r="BA9" i="16" a="1"/>
  <c r="BA9" i="16" s="1"/>
  <c r="BB9" i="16" a="1"/>
  <c r="BB9" i="16" s="1"/>
  <c r="BC9" i="16" a="1"/>
  <c r="BC9" i="16" s="1"/>
  <c r="BD9" i="16" a="1"/>
  <c r="BD9" i="16" s="1"/>
  <c r="BE9" i="16" a="1"/>
  <c r="BE9" i="16" s="1"/>
  <c r="BF9" i="16" a="1"/>
  <c r="BF9" i="16" s="1"/>
  <c r="BG9" i="16" a="1"/>
  <c r="BG9" i="16" s="1"/>
  <c r="BH9" i="16" a="1"/>
  <c r="BH9" i="16" s="1"/>
  <c r="BI9" i="16" a="1"/>
  <c r="BI9" i="16" s="1"/>
  <c r="BJ9" i="16" a="1"/>
  <c r="BJ9" i="16" s="1"/>
  <c r="AV8" i="16" a="1"/>
  <c r="AV8" i="16" s="1"/>
  <c r="AW8" i="16" a="1"/>
  <c r="AW8" i="16" s="1"/>
  <c r="AX8" i="16" a="1"/>
  <c r="AX8" i="16" s="1"/>
  <c r="AY8" i="16" a="1"/>
  <c r="AY8" i="16" s="1"/>
  <c r="AZ8" i="16" a="1"/>
  <c r="AZ8" i="16" s="1"/>
  <c r="BA8" i="16" a="1"/>
  <c r="BA8" i="16" s="1"/>
  <c r="BB8" i="16" a="1"/>
  <c r="BB8" i="16" s="1"/>
  <c r="BC8" i="16" a="1"/>
  <c r="BC8" i="16" s="1"/>
  <c r="BD8" i="16" a="1"/>
  <c r="BD8" i="16" s="1"/>
  <c r="BE8" i="16" a="1"/>
  <c r="BE8" i="16" s="1"/>
  <c r="BF8" i="16" a="1"/>
  <c r="BF8" i="16" s="1"/>
  <c r="BG8" i="16" a="1"/>
  <c r="BG8" i="16" s="1"/>
  <c r="BH8" i="16" a="1"/>
  <c r="BH8" i="16" s="1"/>
  <c r="BI8" i="16" a="1"/>
  <c r="BI8" i="16" s="1"/>
  <c r="BJ8" i="16" a="1"/>
  <c r="BJ8" i="16" s="1"/>
  <c r="AV7" i="16" a="1"/>
  <c r="AV7" i="16" s="1"/>
  <c r="AW7" i="16" a="1"/>
  <c r="AW7" i="16" s="1"/>
  <c r="AX7" i="16" a="1"/>
  <c r="AX7" i="16" s="1"/>
  <c r="AY7" i="16" a="1"/>
  <c r="AY7" i="16" s="1"/>
  <c r="AZ7" i="16" a="1"/>
  <c r="AZ7" i="16" s="1"/>
  <c r="BA7" i="16" a="1"/>
  <c r="BA7" i="16" s="1"/>
  <c r="BB7" i="16" a="1"/>
  <c r="BB7" i="16" s="1"/>
  <c r="BC7" i="16" a="1"/>
  <c r="BC7" i="16" s="1"/>
  <c r="BD7" i="16" a="1"/>
  <c r="BD7" i="16" s="1"/>
  <c r="BE7" i="16" a="1"/>
  <c r="BE7" i="16" s="1"/>
  <c r="BF7" i="16" a="1"/>
  <c r="BF7" i="16" s="1"/>
  <c r="BG7" i="16" a="1"/>
  <c r="BG7" i="16" s="1"/>
  <c r="BH7" i="16" a="1"/>
  <c r="BH7" i="16" s="1"/>
  <c r="BI7" i="16" a="1"/>
  <c r="BI7" i="16" s="1"/>
  <c r="BJ7" i="16" a="1"/>
  <c r="BJ7" i="16" s="1"/>
  <c r="AV6" i="16" a="1"/>
  <c r="AV6" i="16" s="1"/>
  <c r="AW6" i="16" a="1"/>
  <c r="AW6" i="16" s="1"/>
  <c r="AX6" i="16" a="1"/>
  <c r="AX6" i="16" s="1"/>
  <c r="AY6" i="16" a="1"/>
  <c r="AY6" i="16" s="1"/>
  <c r="AZ6" i="16" a="1"/>
  <c r="AZ6" i="16" s="1"/>
  <c r="BA6" i="16" a="1"/>
  <c r="BA6" i="16" s="1"/>
  <c r="BB6" i="16" a="1"/>
  <c r="BB6" i="16" s="1"/>
  <c r="BC6" i="16" a="1"/>
  <c r="BC6" i="16" s="1"/>
  <c r="BD6" i="16" a="1"/>
  <c r="BD6" i="16" s="1"/>
  <c r="BE6" i="16" a="1"/>
  <c r="BE6" i="16" s="1"/>
  <c r="BF6" i="16" a="1"/>
  <c r="BF6" i="16" s="1"/>
  <c r="BG6" i="16" a="1"/>
  <c r="BG6" i="16" s="1"/>
  <c r="BH6" i="16" a="1"/>
  <c r="BH6" i="16" s="1"/>
  <c r="BI6" i="16" a="1"/>
  <c r="BI6" i="16" s="1"/>
  <c r="BJ6" i="16" a="1"/>
  <c r="BJ6" i="16" s="1"/>
  <c r="AU10" i="16" a="1"/>
  <c r="AU10" i="16" s="1"/>
  <c r="AU9" i="16" a="1"/>
  <c r="AU9" i="16" s="1"/>
  <c r="AU8" i="16" a="1"/>
  <c r="AU8" i="16" s="1"/>
  <c r="AU7" i="16" a="1"/>
  <c r="AU7" i="16" s="1"/>
  <c r="AU5" i="16" a="1"/>
  <c r="AU5" i="16" s="1"/>
  <c r="AU6" i="16" a="1"/>
  <c r="AU6" i="16" s="1"/>
  <c r="AV5" i="16" a="1"/>
  <c r="AV5" i="16" s="1"/>
  <c r="AW5" i="16" a="1"/>
  <c r="AW5" i="16" s="1"/>
  <c r="AX5" i="16" a="1"/>
  <c r="AX5" i="16" s="1"/>
  <c r="AY5" i="16" a="1"/>
  <c r="AY5" i="16" s="1"/>
  <c r="AZ5" i="16" a="1"/>
  <c r="AZ5" i="16" s="1"/>
  <c r="BA5" i="16" a="1"/>
  <c r="BA5" i="16" s="1"/>
  <c r="BB5" i="16" a="1"/>
  <c r="BB5" i="16" s="1"/>
  <c r="BC5" i="16" a="1"/>
  <c r="BC5" i="16" s="1"/>
  <c r="BD5" i="16" a="1"/>
  <c r="BD5" i="16" s="1"/>
  <c r="BE5" i="16" a="1"/>
  <c r="BE5" i="16" s="1"/>
  <c r="BF5" i="16" a="1"/>
  <c r="BF5" i="16" s="1"/>
  <c r="BG5" i="16" a="1"/>
  <c r="BG5" i="16" s="1"/>
  <c r="BH5" i="16" a="1"/>
  <c r="BH5" i="16" s="1"/>
  <c r="BI5" i="16" a="1"/>
  <c r="BI5" i="16" s="1"/>
  <c r="BJ5" i="16" a="1"/>
  <c r="BJ5" i="16" s="1"/>
  <c r="AD10" i="16" a="1"/>
  <c r="AD10" i="16" s="1"/>
  <c r="AE10" i="16" a="1"/>
  <c r="AE10" i="16" s="1"/>
  <c r="AF10" i="16" a="1"/>
  <c r="AF10" i="16" s="1"/>
  <c r="AG10" i="16" a="1"/>
  <c r="AG10" i="16"/>
  <c r="AH10" i="16" a="1"/>
  <c r="AH10" i="16" s="1"/>
  <c r="AI10" i="16" a="1"/>
  <c r="AI10" i="16" s="1"/>
  <c r="AJ10" i="16" a="1"/>
  <c r="AJ10" i="16" s="1"/>
  <c r="AK10" i="16" a="1"/>
  <c r="AK10" i="16" s="1"/>
  <c r="AL10" i="16" a="1"/>
  <c r="AL10" i="16" s="1"/>
  <c r="AM10" i="16" a="1"/>
  <c r="AM10" i="16" s="1"/>
  <c r="AN10" i="16" a="1"/>
  <c r="AN10" i="16" s="1"/>
  <c r="AO10" i="16" a="1"/>
  <c r="AO10" i="16" s="1"/>
  <c r="AP10" i="16" a="1"/>
  <c r="AP10" i="16" s="1"/>
  <c r="AQ10" i="16" a="1"/>
  <c r="AQ10" i="16" s="1"/>
  <c r="AR10" i="16" a="1"/>
  <c r="AR10" i="16" s="1"/>
  <c r="AC10" i="16" a="1"/>
  <c r="AC10" i="16" s="1"/>
  <c r="AD9" i="16" a="1"/>
  <c r="AD9" i="16" s="1"/>
  <c r="AE9" i="16" a="1"/>
  <c r="AE9" i="16" s="1"/>
  <c r="AF9" i="16" a="1"/>
  <c r="AF9" i="16"/>
  <c r="AG9" i="16" a="1"/>
  <c r="AG9" i="16" s="1"/>
  <c r="AH9" i="16" a="1"/>
  <c r="AH9" i="16" s="1"/>
  <c r="AI9" i="16" a="1"/>
  <c r="AI9" i="16" s="1"/>
  <c r="AJ9" i="16" a="1"/>
  <c r="AJ9" i="16" s="1"/>
  <c r="AK9" i="16" a="1"/>
  <c r="AK9" i="16" s="1"/>
  <c r="AL9" i="16" a="1"/>
  <c r="AL9" i="16" s="1"/>
  <c r="AM9" i="16" a="1"/>
  <c r="AM9" i="16" s="1"/>
  <c r="AN9" i="16" a="1"/>
  <c r="AN9" i="16" s="1"/>
  <c r="AO9" i="16" a="1"/>
  <c r="AO9" i="16" s="1"/>
  <c r="AP9" i="16" a="1"/>
  <c r="AP9" i="16" s="1"/>
  <c r="AQ9" i="16" a="1"/>
  <c r="AQ9" i="16" s="1"/>
  <c r="AR9" i="16" a="1"/>
  <c r="AR9" i="16" s="1"/>
  <c r="AC9" i="16" a="1"/>
  <c r="AC9" i="16" s="1"/>
  <c r="AD8" i="16" a="1"/>
  <c r="AD8" i="16" s="1"/>
  <c r="AE8" i="16" a="1"/>
  <c r="AE8" i="16" s="1"/>
  <c r="AF8" i="16" a="1"/>
  <c r="AF8" i="16" s="1"/>
  <c r="AG8" i="16" a="1"/>
  <c r="AG8" i="16" s="1"/>
  <c r="AH8" i="16" a="1"/>
  <c r="AH8" i="16" s="1"/>
  <c r="AI8" i="16" a="1"/>
  <c r="AI8" i="16" s="1"/>
  <c r="AJ8" i="16" a="1"/>
  <c r="AJ8" i="16" s="1"/>
  <c r="AK8" i="16" a="1"/>
  <c r="AK8" i="16"/>
  <c r="AL8" i="16" a="1"/>
  <c r="AL8" i="16" s="1"/>
  <c r="AM8" i="16" a="1"/>
  <c r="AM8" i="16" s="1"/>
  <c r="AN8" i="16" a="1"/>
  <c r="AN8" i="16" s="1"/>
  <c r="AO8" i="16" a="1"/>
  <c r="AO8" i="16" s="1"/>
  <c r="AP8" i="16" a="1"/>
  <c r="AP8" i="16" s="1"/>
  <c r="AQ8" i="16" a="1"/>
  <c r="AQ8" i="16" s="1"/>
  <c r="AR8" i="16" a="1"/>
  <c r="AR8" i="16" s="1"/>
  <c r="AC8" i="16" a="1"/>
  <c r="AC8" i="16" s="1"/>
  <c r="AD7" i="16" a="1"/>
  <c r="AD7" i="16" s="1"/>
  <c r="AE7" i="16" a="1"/>
  <c r="AE7" i="16" s="1"/>
  <c r="AF7" i="16" a="1"/>
  <c r="AF7" i="16" s="1"/>
  <c r="AG7" i="16" a="1"/>
  <c r="AG7" i="16" s="1"/>
  <c r="AH7" i="16" a="1"/>
  <c r="AH7" i="16" s="1"/>
  <c r="AI7" i="16" a="1"/>
  <c r="AI7" i="16" s="1"/>
  <c r="AJ7" i="16" a="1"/>
  <c r="AJ7" i="16" s="1"/>
  <c r="AK7" i="16" a="1"/>
  <c r="AK7" i="16" s="1"/>
  <c r="AL7" i="16" a="1"/>
  <c r="AL7" i="16" s="1"/>
  <c r="AM7" i="16" a="1"/>
  <c r="AM7" i="16" s="1"/>
  <c r="AN7" i="16" a="1"/>
  <c r="AN7" i="16" s="1"/>
  <c r="AO7" i="16" a="1"/>
  <c r="AO7" i="16" s="1"/>
  <c r="AP7" i="16" a="1"/>
  <c r="AP7" i="16" s="1"/>
  <c r="AQ7" i="16" a="1"/>
  <c r="AQ7" i="16" s="1"/>
  <c r="AR7" i="16" a="1"/>
  <c r="AR7" i="16" s="1"/>
  <c r="AD6" i="16" a="1"/>
  <c r="AD6" i="16" s="1"/>
  <c r="AE6" i="16" a="1"/>
  <c r="AE6" i="16" s="1"/>
  <c r="AF6" i="16" a="1"/>
  <c r="AF6" i="16" s="1"/>
  <c r="AG6" i="16" a="1"/>
  <c r="AG6" i="16" s="1"/>
  <c r="AH6" i="16" a="1"/>
  <c r="AH6" i="16" s="1"/>
  <c r="AI6" i="16" a="1"/>
  <c r="AI6" i="16" s="1"/>
  <c r="AJ6" i="16" a="1"/>
  <c r="AJ6" i="16" s="1"/>
  <c r="AK6" i="16" a="1"/>
  <c r="AK6" i="16" s="1"/>
  <c r="AL6" i="16" a="1"/>
  <c r="AL6" i="16" s="1"/>
  <c r="AM6" i="16" a="1"/>
  <c r="AM6" i="16" s="1"/>
  <c r="AN6" i="16" a="1"/>
  <c r="AN6" i="16" s="1"/>
  <c r="AO6" i="16" a="1"/>
  <c r="AO6" i="16" s="1"/>
  <c r="AP6" i="16" a="1"/>
  <c r="AP6" i="16" s="1"/>
  <c r="AQ6" i="16" a="1"/>
  <c r="AQ6" i="16" s="1"/>
  <c r="AR6" i="16" a="1"/>
  <c r="AR6" i="16" s="1"/>
  <c r="AD5" i="16" a="1"/>
  <c r="AD5" i="16" s="1"/>
  <c r="AE5" i="16" a="1"/>
  <c r="AE5" i="16" s="1"/>
  <c r="AF5" i="16" a="1"/>
  <c r="AF5" i="16" s="1"/>
  <c r="AG5" i="16" a="1"/>
  <c r="AG5" i="16" s="1"/>
  <c r="AH5" i="16" a="1"/>
  <c r="AH5" i="16" s="1"/>
  <c r="AI5" i="16" a="1"/>
  <c r="AI5" i="16" s="1"/>
  <c r="AJ5" i="16" a="1"/>
  <c r="AJ5" i="16" s="1"/>
  <c r="AK5" i="16" a="1"/>
  <c r="AK5" i="16" s="1"/>
  <c r="AL5" i="16" a="1"/>
  <c r="AL5" i="16" s="1"/>
  <c r="AM5" i="16" a="1"/>
  <c r="AM5" i="16" s="1"/>
  <c r="AN5" i="16" a="1"/>
  <c r="AN5" i="16" s="1"/>
  <c r="AO5" i="16" a="1"/>
  <c r="AO5" i="16" s="1"/>
  <c r="AP5" i="16" a="1"/>
  <c r="AP5" i="16" s="1"/>
  <c r="AQ5" i="16" a="1"/>
  <c r="AQ5" i="16" s="1"/>
  <c r="AR5" i="16" a="1"/>
  <c r="AR5" i="16" s="1"/>
  <c r="AC5" i="16" a="1"/>
  <c r="AC5" i="16" s="1"/>
  <c r="AC6" i="16" a="1"/>
  <c r="AC6" i="16" s="1"/>
  <c r="AC7" i="16" a="1"/>
  <c r="AC7" i="16" s="1"/>
  <c r="L10" i="16" a="1"/>
  <c r="L10" i="16" s="1"/>
  <c r="M10" i="16" a="1"/>
  <c r="M10" i="16" s="1"/>
  <c r="N10" i="16" a="1"/>
  <c r="N10" i="16" s="1"/>
  <c r="O10" i="16" a="1"/>
  <c r="O10" i="16" s="1"/>
  <c r="P10" i="16" a="1"/>
  <c r="P10" i="16" s="1"/>
  <c r="Q10" i="16" a="1"/>
  <c r="Q10" i="16" s="1"/>
  <c r="R10" i="16" a="1"/>
  <c r="R10" i="16" s="1"/>
  <c r="S10" i="16" a="1"/>
  <c r="S10" i="16" s="1"/>
  <c r="T10" i="16" a="1"/>
  <c r="T10" i="16" s="1"/>
  <c r="U10" i="16" a="1"/>
  <c r="U10" i="16" s="1"/>
  <c r="V10" i="16" a="1"/>
  <c r="V10" i="16" s="1"/>
  <c r="W10" i="16" a="1"/>
  <c r="W10" i="16" s="1"/>
  <c r="X10" i="16" a="1"/>
  <c r="X10" i="16" s="1"/>
  <c r="Y10" i="16" a="1"/>
  <c r="Y10" i="16" s="1"/>
  <c r="Z10" i="16" a="1"/>
  <c r="Z10" i="16" s="1"/>
  <c r="K10" i="16" a="1"/>
  <c r="K10" i="16" s="1"/>
  <c r="L9" i="16" a="1"/>
  <c r="L9" i="16" s="1"/>
  <c r="M9" i="16" a="1"/>
  <c r="M9" i="16" s="1"/>
  <c r="N9" i="16" a="1"/>
  <c r="N9" i="16" s="1"/>
  <c r="O9" i="16" a="1"/>
  <c r="O9" i="16" s="1"/>
  <c r="P9" i="16" a="1"/>
  <c r="P9" i="16" s="1"/>
  <c r="Q9" i="16" a="1"/>
  <c r="Q9" i="16" s="1"/>
  <c r="R9" i="16" a="1"/>
  <c r="R9" i="16" s="1"/>
  <c r="S9" i="16" a="1"/>
  <c r="S9" i="16" s="1"/>
  <c r="T9" i="16" a="1"/>
  <c r="T9" i="16" s="1"/>
  <c r="U9" i="16" a="1"/>
  <c r="U9" i="16" s="1"/>
  <c r="V9" i="16" a="1"/>
  <c r="V9" i="16" s="1"/>
  <c r="W9" i="16" a="1"/>
  <c r="W9" i="16" s="1"/>
  <c r="X9" i="16" a="1"/>
  <c r="X9" i="16" s="1"/>
  <c r="Y9" i="16" a="1"/>
  <c r="Y9" i="16" s="1"/>
  <c r="Z9" i="16" a="1"/>
  <c r="Z9" i="16" s="1"/>
  <c r="K9" i="16" a="1"/>
  <c r="K9" i="16" s="1"/>
  <c r="L8" i="16" a="1"/>
  <c r="L8" i="16" s="1"/>
  <c r="M8" i="16" a="1"/>
  <c r="M8" i="16" s="1"/>
  <c r="N8" i="16" a="1"/>
  <c r="N8" i="16" s="1"/>
  <c r="O8" i="16" a="1"/>
  <c r="O8" i="16" s="1"/>
  <c r="P8" i="16" a="1"/>
  <c r="P8" i="16" s="1"/>
  <c r="Q8" i="16" a="1"/>
  <c r="Q8" i="16" s="1"/>
  <c r="R8" i="16" a="1"/>
  <c r="R8" i="16" s="1"/>
  <c r="S8" i="16" a="1"/>
  <c r="S8" i="16" s="1"/>
  <c r="T8" i="16" a="1"/>
  <c r="T8" i="16" s="1"/>
  <c r="U8" i="16" a="1"/>
  <c r="U8" i="16" s="1"/>
  <c r="V8" i="16" a="1"/>
  <c r="V8" i="16" s="1"/>
  <c r="W8" i="16" a="1"/>
  <c r="W8" i="16" s="1"/>
  <c r="X8" i="16" a="1"/>
  <c r="X8" i="16" s="1"/>
  <c r="Y8" i="16" a="1"/>
  <c r="Y8" i="16" s="1"/>
  <c r="Z8" i="16" a="1"/>
  <c r="Z8" i="16" s="1"/>
  <c r="K8" i="16" a="1"/>
  <c r="K8" i="16" s="1"/>
  <c r="L7" i="16" a="1"/>
  <c r="L7" i="16" s="1"/>
  <c r="M7" i="16" a="1"/>
  <c r="M7" i="16" s="1"/>
  <c r="N7" i="16" a="1"/>
  <c r="N7" i="16" s="1"/>
  <c r="O7" i="16" a="1"/>
  <c r="O7" i="16" s="1"/>
  <c r="P7" i="16" a="1"/>
  <c r="P7" i="16" s="1"/>
  <c r="Q7" i="16" a="1"/>
  <c r="Q7" i="16" s="1"/>
  <c r="R7" i="16" a="1"/>
  <c r="R7" i="16" s="1"/>
  <c r="S7" i="16" a="1"/>
  <c r="S7" i="16" s="1"/>
  <c r="T7" i="16" a="1"/>
  <c r="T7" i="16" s="1"/>
  <c r="U7" i="16" a="1"/>
  <c r="U7" i="16" s="1"/>
  <c r="V7" i="16" a="1"/>
  <c r="V7" i="16" s="1"/>
  <c r="W7" i="16" a="1"/>
  <c r="W7" i="16" s="1"/>
  <c r="X7" i="16" a="1"/>
  <c r="X7" i="16" s="1"/>
  <c r="Y7" i="16" a="1"/>
  <c r="Y7" i="16" s="1"/>
  <c r="Z7" i="16" a="1"/>
  <c r="Z7" i="16" s="1"/>
  <c r="K7" i="16" a="1"/>
  <c r="K7" i="16" s="1"/>
  <c r="L6" i="16" a="1"/>
  <c r="L6" i="16" s="1"/>
  <c r="M6" i="16" a="1"/>
  <c r="M6" i="16" s="1"/>
  <c r="N6" i="16" a="1"/>
  <c r="N6" i="16" s="1"/>
  <c r="O6" i="16" a="1"/>
  <c r="O6" i="16" s="1"/>
  <c r="P6" i="16" a="1"/>
  <c r="P6" i="16" s="1"/>
  <c r="Q6" i="16" a="1"/>
  <c r="Q6" i="16" s="1"/>
  <c r="R6" i="16" a="1"/>
  <c r="R6" i="16" s="1"/>
  <c r="S6" i="16" a="1"/>
  <c r="S6" i="16" s="1"/>
  <c r="T6" i="16" a="1"/>
  <c r="T6" i="16" s="1"/>
  <c r="U6" i="16" a="1"/>
  <c r="U6" i="16" s="1"/>
  <c r="V6" i="16" a="1"/>
  <c r="V6" i="16" s="1"/>
  <c r="W6" i="16" a="1"/>
  <c r="W6" i="16" s="1"/>
  <c r="X6" i="16" a="1"/>
  <c r="X6" i="16" s="1"/>
  <c r="Y6" i="16" a="1"/>
  <c r="Y6" i="16" s="1"/>
  <c r="Z6" i="16" a="1"/>
  <c r="Z6" i="16" s="1"/>
  <c r="K6" i="16" a="1"/>
  <c r="K6" i="16" s="1"/>
  <c r="L5" i="16" a="1"/>
  <c r="L5" i="16" s="1"/>
  <c r="M5" i="16" a="1"/>
  <c r="M5" i="16" s="1"/>
  <c r="N5" i="16" a="1"/>
  <c r="N5" i="16" s="1"/>
  <c r="O5" i="16" a="1"/>
  <c r="O5" i="16" s="1"/>
  <c r="P5" i="16" a="1"/>
  <c r="P5" i="16" s="1"/>
  <c r="Q5" i="16" a="1"/>
  <c r="Q5" i="16" s="1"/>
  <c r="R5" i="16" a="1"/>
  <c r="R5" i="16" s="1"/>
  <c r="S5" i="16" a="1"/>
  <c r="S5" i="16" s="1"/>
  <c r="T5" i="16" a="1"/>
  <c r="T5" i="16" s="1"/>
  <c r="U5" i="16" a="1"/>
  <c r="U5" i="16" s="1"/>
  <c r="V5" i="16" a="1"/>
  <c r="V5" i="16" s="1"/>
  <c r="W5" i="16" a="1"/>
  <c r="W5" i="16" s="1"/>
  <c r="X5" i="16" a="1"/>
  <c r="X5" i="16" s="1"/>
  <c r="Y5" i="16" a="1"/>
  <c r="Y5" i="16" s="1"/>
  <c r="Z5" i="16" a="1"/>
  <c r="Z5" i="16" s="1"/>
  <c r="K5" i="16" a="1"/>
  <c r="K5" i="16" s="1"/>
  <c r="N17" i="16"/>
  <c r="D4" i="16" a="1"/>
  <c r="D4" i="16" s="1"/>
  <c r="D5" i="16" a="1"/>
  <c r="D5" i="16" s="1"/>
  <c r="D6" i="16" a="1"/>
  <c r="D6" i="16" s="1"/>
  <c r="D7" i="16" a="1"/>
  <c r="D7" i="16" s="1"/>
  <c r="D8" i="16" a="1"/>
  <c r="D8" i="16" s="1"/>
  <c r="D9" i="16" a="1"/>
  <c r="D9" i="16" s="1"/>
  <c r="D10" i="16" a="1"/>
  <c r="D10" i="16" s="1"/>
  <c r="I22" i="18"/>
  <c r="F22" i="18"/>
  <c r="G22" i="18"/>
  <c r="H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Z22" i="18"/>
  <c r="AA22" i="18"/>
  <c r="AB22" i="18"/>
  <c r="AC22" i="18"/>
  <c r="AD22" i="18"/>
  <c r="AE22" i="18"/>
  <c r="AF22" i="18"/>
  <c r="AG22" i="18"/>
  <c r="AH22" i="18"/>
  <c r="AI22" i="18"/>
  <c r="AJ22" i="18"/>
  <c r="AK22" i="18"/>
  <c r="AL22" i="18"/>
  <c r="AM22" i="18"/>
  <c r="AN22" i="18"/>
  <c r="E22" i="18"/>
  <c r="F6" i="16" a="1"/>
  <c r="F6" i="16" s="1"/>
  <c r="F7" i="16" a="1"/>
  <c r="F7" i="16" s="1"/>
  <c r="F8" i="16" a="1"/>
  <c r="F8" i="16" s="1"/>
  <c r="F9" i="16" a="1"/>
  <c r="F9" i="16" s="1"/>
  <c r="F10" i="16" a="1"/>
  <c r="F10" i="16" s="1"/>
  <c r="F5" i="16" a="1"/>
  <c r="F5" i="16" s="1"/>
  <c r="E6" i="16" a="1"/>
  <c r="E6" i="16" s="1"/>
  <c r="E7" i="16" a="1"/>
  <c r="E7" i="16" s="1"/>
  <c r="E8" i="16" a="1"/>
  <c r="E8" i="16" s="1"/>
  <c r="E9" i="16" a="1"/>
  <c r="E9" i="16" s="1"/>
  <c r="E10" i="16" a="1"/>
  <c r="E10" i="16" s="1"/>
  <c r="E5" i="16" a="1"/>
  <c r="E5" i="16" s="1"/>
  <c r="F4" i="16" a="1"/>
  <c r="F4" i="16" s="1"/>
  <c r="E4" i="16" a="1"/>
  <c r="E4" i="16" s="1"/>
  <c r="C4" i="12" a="1"/>
  <c r="C4" i="12" s="1"/>
  <c r="C5" i="12" a="1"/>
  <c r="C5" i="12" s="1"/>
  <c r="C6" i="12" a="1"/>
  <c r="C6" i="12" s="1"/>
  <c r="C7" i="12" a="1"/>
  <c r="C7" i="12" s="1"/>
  <c r="C8" i="12" a="1"/>
  <c r="C8" i="12" s="1"/>
  <c r="C9" i="12" a="1"/>
  <c r="C9" i="12" s="1"/>
  <c r="C10" i="12" a="1"/>
  <c r="C10" i="12" s="1"/>
  <c r="C11" i="12" a="1"/>
  <c r="C11" i="12" s="1"/>
  <c r="C12" i="12" a="1"/>
  <c r="C12" i="12" s="1"/>
  <c r="C13" i="12" a="1"/>
  <c r="C13" i="12" s="1"/>
  <c r="C14" i="12" a="1"/>
  <c r="C14" i="12" s="1"/>
  <c r="C15" i="12" a="1"/>
  <c r="C15" i="12" s="1"/>
  <c r="C16" i="12" a="1"/>
  <c r="C16" i="12" s="1"/>
  <c r="C17" i="12" a="1"/>
  <c r="C17" i="12" s="1"/>
  <c r="C18" i="12" a="1"/>
  <c r="C18" i="12" s="1"/>
  <c r="C19" i="12" a="1"/>
  <c r="C19" i="12" s="1"/>
  <c r="C20" i="12" a="1"/>
  <c r="C20" i="12" s="1"/>
  <c r="C21" i="12" a="1"/>
  <c r="C21" i="12" s="1"/>
  <c r="C22" i="12" a="1"/>
  <c r="C22" i="12" s="1"/>
  <c r="C23" i="12" a="1"/>
  <c r="C23" i="12" s="1"/>
  <c r="D4" i="12" a="1"/>
  <c r="D4" i="12" s="1"/>
  <c r="D5" i="12" a="1"/>
  <c r="D5" i="12" s="1"/>
  <c r="D6" i="12" a="1"/>
  <c r="D6" i="12" s="1"/>
  <c r="D7" i="12" a="1"/>
  <c r="D7" i="12" s="1"/>
  <c r="D8" i="12" a="1"/>
  <c r="D8" i="12" s="1"/>
  <c r="D9" i="12" a="1"/>
  <c r="D9" i="12" s="1"/>
  <c r="D10" i="12" a="1"/>
  <c r="D10" i="12" s="1"/>
  <c r="D11" i="12" a="1"/>
  <c r="D11" i="12" s="1"/>
  <c r="D12" i="12" a="1"/>
  <c r="D12" i="12" s="1"/>
  <c r="D13" i="12" a="1"/>
  <c r="D13" i="12" s="1"/>
  <c r="D14" i="12" a="1"/>
  <c r="D14" i="12" s="1"/>
  <c r="D15" i="12" a="1"/>
  <c r="D15" i="12" s="1"/>
  <c r="D16" i="12" a="1"/>
  <c r="D16" i="12" s="1"/>
  <c r="D17" i="12" a="1"/>
  <c r="D17" i="12" s="1"/>
  <c r="D18" i="12" a="1"/>
  <c r="D18" i="12" s="1"/>
  <c r="D19" i="12" a="1"/>
  <c r="D19" i="12" s="1"/>
  <c r="D20" i="12" a="1"/>
  <c r="D20" i="12" s="1"/>
  <c r="D21" i="12" a="1"/>
  <c r="D21" i="12" s="1"/>
  <c r="D22" i="12" a="1"/>
  <c r="D22" i="12" s="1"/>
  <c r="D23" i="12" a="1"/>
  <c r="D23" i="12" s="1"/>
  <c r="E4" i="12" a="1"/>
  <c r="E4" i="12" s="1"/>
  <c r="E5" i="12" a="1"/>
  <c r="E5" i="12" s="1"/>
  <c r="E6" i="12" a="1"/>
  <c r="E6" i="12" s="1"/>
  <c r="E7" i="12" a="1"/>
  <c r="E7" i="12" s="1"/>
  <c r="E8" i="12" a="1"/>
  <c r="E8" i="12" s="1"/>
  <c r="E9" i="12" a="1"/>
  <c r="E9" i="12" s="1"/>
  <c r="E10" i="12" a="1"/>
  <c r="E10" i="12" s="1"/>
  <c r="E11" i="12" a="1"/>
  <c r="E11" i="12" s="1"/>
  <c r="E12" i="12" a="1"/>
  <c r="E12" i="12" s="1"/>
  <c r="E13" i="12" a="1"/>
  <c r="E13" i="12" s="1"/>
  <c r="E14" i="12" a="1"/>
  <c r="E14" i="12" s="1"/>
  <c r="E15" i="12" a="1"/>
  <c r="E15" i="12" s="1"/>
  <c r="E16" i="12" a="1"/>
  <c r="E16" i="12" s="1"/>
  <c r="E17" i="12" a="1"/>
  <c r="E17" i="12" s="1"/>
  <c r="E18" i="12" a="1"/>
  <c r="E18" i="12" s="1"/>
  <c r="E19" i="12" a="1"/>
  <c r="E19" i="12" s="1"/>
  <c r="E20" i="12" a="1"/>
  <c r="E20" i="12" s="1"/>
  <c r="E21" i="12" a="1"/>
  <c r="E21" i="12" s="1"/>
  <c r="E22" i="12" a="1"/>
  <c r="E22" i="12" s="1"/>
  <c r="E23" i="12" a="1"/>
  <c r="E23" i="12" s="1"/>
  <c r="F4" i="12" a="1"/>
  <c r="F4" i="12" s="1"/>
  <c r="F5" i="12" a="1"/>
  <c r="F5" i="12" s="1"/>
  <c r="F6" i="12" a="1"/>
  <c r="F6" i="12" s="1"/>
  <c r="F7" i="12" a="1"/>
  <c r="F7" i="12" s="1"/>
  <c r="F8" i="12" a="1"/>
  <c r="F8" i="12" s="1"/>
  <c r="F9" i="12" a="1"/>
  <c r="F9" i="12" s="1"/>
  <c r="F10" i="12" a="1"/>
  <c r="F10" i="12" s="1"/>
  <c r="F11" i="12" a="1"/>
  <c r="F11" i="12" s="1"/>
  <c r="F12" i="12" a="1"/>
  <c r="F12" i="12" s="1"/>
  <c r="F13" i="12" a="1"/>
  <c r="F13" i="12" s="1"/>
  <c r="F14" i="12" a="1"/>
  <c r="F14" i="12" s="1"/>
  <c r="F15" i="12" a="1"/>
  <c r="F15" i="12" s="1"/>
  <c r="F16" i="12" a="1"/>
  <c r="F16" i="12" s="1"/>
  <c r="F17" i="12" a="1"/>
  <c r="F17" i="12" s="1"/>
  <c r="F18" i="12" a="1"/>
  <c r="F18" i="12" s="1"/>
  <c r="F19" i="12" a="1"/>
  <c r="F19" i="12" s="1"/>
  <c r="F20" i="12" a="1"/>
  <c r="F20" i="12" s="1"/>
  <c r="F21" i="12" a="1"/>
  <c r="F21" i="12" s="1"/>
  <c r="F22" i="12" a="1"/>
  <c r="F22" i="12" s="1"/>
  <c r="F23" i="12" a="1"/>
  <c r="F23" i="12" s="1"/>
  <c r="G4" i="12" a="1"/>
  <c r="G4" i="12" s="1"/>
  <c r="G5" i="12" a="1"/>
  <c r="G5" i="12" s="1"/>
  <c r="G6" i="12" a="1"/>
  <c r="G6" i="12" s="1"/>
  <c r="G7" i="12" a="1"/>
  <c r="G7" i="12" s="1"/>
  <c r="G8" i="12" a="1"/>
  <c r="G8" i="12" s="1"/>
  <c r="G9" i="12" a="1"/>
  <c r="G9" i="12" s="1"/>
  <c r="G10" i="12" a="1"/>
  <c r="G10" i="12" s="1"/>
  <c r="G11" i="12" a="1"/>
  <c r="G11" i="12" s="1"/>
  <c r="G12" i="12" a="1"/>
  <c r="G12" i="12" s="1"/>
  <c r="G13" i="12" a="1"/>
  <c r="G13" i="12" s="1"/>
  <c r="G14" i="12" a="1"/>
  <c r="G14" i="12" s="1"/>
  <c r="G15" i="12" a="1"/>
  <c r="G15" i="12" s="1"/>
  <c r="G16" i="12" a="1"/>
  <c r="G16" i="12" s="1"/>
  <c r="G17" i="12" a="1"/>
  <c r="G17" i="12" s="1"/>
  <c r="G18" i="12" a="1"/>
  <c r="G18" i="12" s="1"/>
  <c r="G19" i="12" a="1"/>
  <c r="G19" i="12" s="1"/>
  <c r="G20" i="12" a="1"/>
  <c r="G20" i="12" s="1"/>
  <c r="G21" i="12" a="1"/>
  <c r="G21" i="12" s="1"/>
  <c r="G22" i="12" a="1"/>
  <c r="G22" i="12" s="1"/>
  <c r="G23" i="12" a="1"/>
  <c r="G23" i="12" s="1"/>
  <c r="H4" i="12" a="1"/>
  <c r="H4" i="12" s="1"/>
  <c r="H5" i="12" a="1"/>
  <c r="H5" i="12" s="1"/>
  <c r="H6" i="12" a="1"/>
  <c r="H6" i="12" s="1"/>
  <c r="H7" i="12" a="1"/>
  <c r="H7" i="12" s="1"/>
  <c r="H8" i="12" a="1"/>
  <c r="H8" i="12" s="1"/>
  <c r="H9" i="12" a="1"/>
  <c r="H9" i="12" s="1"/>
  <c r="H10" i="12" a="1"/>
  <c r="H10" i="12" s="1"/>
  <c r="H11" i="12" a="1"/>
  <c r="H11" i="12" s="1"/>
  <c r="H12" i="12" a="1"/>
  <c r="H12" i="12" s="1"/>
  <c r="H13" i="12" a="1"/>
  <c r="H13" i="12" s="1"/>
  <c r="H14" i="12" a="1"/>
  <c r="H14" i="12" s="1"/>
  <c r="H15" i="12" a="1"/>
  <c r="H15" i="12" s="1"/>
  <c r="H16" i="12" a="1"/>
  <c r="H16" i="12" s="1"/>
  <c r="H17" i="12" a="1"/>
  <c r="H17" i="12" s="1"/>
  <c r="H18" i="12" a="1"/>
  <c r="H18" i="12" s="1"/>
  <c r="H19" i="12" a="1"/>
  <c r="H19" i="12" s="1"/>
  <c r="H20" i="12" a="1"/>
  <c r="H20" i="12" s="1"/>
  <c r="H21" i="12" a="1"/>
  <c r="H21" i="12" s="1"/>
  <c r="H22" i="12" a="1"/>
  <c r="H22" i="12" s="1"/>
  <c r="H23" i="12" a="1"/>
  <c r="H23" i="12" s="1"/>
  <c r="I4" i="12" a="1"/>
  <c r="I4" i="12" s="1"/>
  <c r="I5" i="12" a="1"/>
  <c r="I5" i="12" s="1"/>
  <c r="I6" i="12" a="1"/>
  <c r="I6" i="12" s="1"/>
  <c r="I7" i="12" a="1"/>
  <c r="I7" i="12" s="1"/>
  <c r="I8" i="12" a="1"/>
  <c r="I8" i="12" s="1"/>
  <c r="I9" i="12" a="1"/>
  <c r="I9" i="12" s="1"/>
  <c r="I10" i="12" a="1"/>
  <c r="I10" i="12" s="1"/>
  <c r="I11" i="12" a="1"/>
  <c r="I11" i="12" s="1"/>
  <c r="I12" i="12" a="1"/>
  <c r="I12" i="12" s="1"/>
  <c r="I13" i="12" a="1"/>
  <c r="I13" i="12" s="1"/>
  <c r="I14" i="12" a="1"/>
  <c r="I14" i="12" s="1"/>
  <c r="I15" i="12" a="1"/>
  <c r="I15" i="12" s="1"/>
  <c r="I16" i="12" a="1"/>
  <c r="I16" i="12" s="1"/>
  <c r="I17" i="12" a="1"/>
  <c r="I17" i="12" s="1"/>
  <c r="I18" i="12" a="1"/>
  <c r="I18" i="12" s="1"/>
  <c r="I19" i="12" a="1"/>
  <c r="I19" i="12" s="1"/>
  <c r="I20" i="12" a="1"/>
  <c r="I20" i="12" s="1"/>
  <c r="I21" i="12" a="1"/>
  <c r="I21" i="12" s="1"/>
  <c r="I22" i="12" a="1"/>
  <c r="I22" i="12" s="1"/>
  <c r="I23" i="12" a="1"/>
  <c r="I23" i="12" s="1"/>
  <c r="J4" i="12" a="1"/>
  <c r="J4" i="12" s="1"/>
  <c r="J5" i="12" a="1"/>
  <c r="J5" i="12" s="1"/>
  <c r="J6" i="12" a="1"/>
  <c r="J6" i="12" s="1"/>
  <c r="J7" i="12" a="1"/>
  <c r="J7" i="12" s="1"/>
  <c r="J8" i="12" a="1"/>
  <c r="J8" i="12" s="1"/>
  <c r="J9" i="12" a="1"/>
  <c r="J9" i="12" s="1"/>
  <c r="J10" i="12" a="1"/>
  <c r="J10" i="12" s="1"/>
  <c r="J11" i="12" a="1"/>
  <c r="J11" i="12" s="1"/>
  <c r="J12" i="12" a="1"/>
  <c r="J12" i="12" s="1"/>
  <c r="J13" i="12" a="1"/>
  <c r="J13" i="12" s="1"/>
  <c r="J14" i="12" a="1"/>
  <c r="J14" i="12" s="1"/>
  <c r="J15" i="12" a="1"/>
  <c r="J15" i="12" s="1"/>
  <c r="J16" i="12" a="1"/>
  <c r="J16" i="12" s="1"/>
  <c r="J17" i="12" a="1"/>
  <c r="J17" i="12" s="1"/>
  <c r="J18" i="12" a="1"/>
  <c r="J18" i="12" s="1"/>
  <c r="J19" i="12" a="1"/>
  <c r="J19" i="12" s="1"/>
  <c r="J20" i="12" a="1"/>
  <c r="J20" i="12" s="1"/>
  <c r="J21" i="12" a="1"/>
  <c r="J21" i="12" s="1"/>
  <c r="J22" i="12" a="1"/>
  <c r="J22" i="12" s="1"/>
  <c r="J23" i="12" a="1"/>
  <c r="J23" i="12" s="1"/>
  <c r="K4" i="12" a="1"/>
  <c r="K4" i="12" s="1"/>
  <c r="K5" i="12" a="1"/>
  <c r="K5" i="12" s="1"/>
  <c r="K6" i="12" a="1"/>
  <c r="K6" i="12" s="1"/>
  <c r="K7" i="12" a="1"/>
  <c r="K7" i="12" s="1"/>
  <c r="K8" i="12" a="1"/>
  <c r="K8" i="12" s="1"/>
  <c r="K9" i="12" a="1"/>
  <c r="K9" i="12" s="1"/>
  <c r="K10" i="12" a="1"/>
  <c r="K10" i="12" s="1"/>
  <c r="K11" i="12" a="1"/>
  <c r="K11" i="12" s="1"/>
  <c r="K12" i="12" a="1"/>
  <c r="K12" i="12" s="1"/>
  <c r="K13" i="12" a="1"/>
  <c r="K13" i="12" s="1"/>
  <c r="K14" i="12" a="1"/>
  <c r="K14" i="12" s="1"/>
  <c r="K15" i="12" a="1"/>
  <c r="K15" i="12" s="1"/>
  <c r="K16" i="12" a="1"/>
  <c r="K16" i="12" s="1"/>
  <c r="K17" i="12" a="1"/>
  <c r="K17" i="12" s="1"/>
  <c r="K18" i="12" a="1"/>
  <c r="K18" i="12" s="1"/>
  <c r="K19" i="12" a="1"/>
  <c r="K19" i="12" s="1"/>
  <c r="K20" i="12" a="1"/>
  <c r="K20" i="12" s="1"/>
  <c r="K21" i="12" a="1"/>
  <c r="K21" i="12" s="1"/>
  <c r="K22" i="12" a="1"/>
  <c r="K22" i="12" s="1"/>
  <c r="K23" i="12" a="1"/>
  <c r="K23" i="12" s="1"/>
  <c r="L4" i="12" a="1"/>
  <c r="L4" i="12" s="1"/>
  <c r="L5" i="12" a="1"/>
  <c r="L5" i="12" s="1"/>
  <c r="L6" i="12" a="1"/>
  <c r="L6" i="12" s="1"/>
  <c r="L7" i="12" a="1"/>
  <c r="L7" i="12" s="1"/>
  <c r="L8" i="12" a="1"/>
  <c r="L8" i="12" s="1"/>
  <c r="L9" i="12" a="1"/>
  <c r="L9" i="12" s="1"/>
  <c r="L10" i="12" a="1"/>
  <c r="L10" i="12" s="1"/>
  <c r="L11" i="12" a="1"/>
  <c r="L11" i="12" s="1"/>
  <c r="L12" i="12" a="1"/>
  <c r="L12" i="12" s="1"/>
  <c r="L13" i="12" a="1"/>
  <c r="L13" i="12" s="1"/>
  <c r="L14" i="12" a="1"/>
  <c r="L14" i="12" s="1"/>
  <c r="L15" i="12" a="1"/>
  <c r="L15" i="12" s="1"/>
  <c r="L16" i="12" a="1"/>
  <c r="L16" i="12" s="1"/>
  <c r="L17" i="12" a="1"/>
  <c r="L17" i="12" s="1"/>
  <c r="L18" i="12" a="1"/>
  <c r="L18" i="12" s="1"/>
  <c r="L19" i="12" a="1"/>
  <c r="L19" i="12" s="1"/>
  <c r="L20" i="12" a="1"/>
  <c r="L20" i="12" s="1"/>
  <c r="L21" i="12" a="1"/>
  <c r="L21" i="12" s="1"/>
  <c r="L22" i="12" a="1"/>
  <c r="L22" i="12" s="1"/>
  <c r="L23" i="12" a="1"/>
  <c r="L23" i="12" s="1"/>
  <c r="M4" i="12" a="1"/>
  <c r="M4" i="12" s="1"/>
  <c r="M5" i="12" a="1"/>
  <c r="M5" i="12" s="1"/>
  <c r="M6" i="12" a="1"/>
  <c r="M6" i="12" s="1"/>
  <c r="M7" i="12" a="1"/>
  <c r="M7" i="12" s="1"/>
  <c r="M8" i="12" a="1"/>
  <c r="M8" i="12" s="1"/>
  <c r="M9" i="12" a="1"/>
  <c r="M9" i="12" s="1"/>
  <c r="M10" i="12" a="1"/>
  <c r="M10" i="12" s="1"/>
  <c r="M11" i="12" a="1"/>
  <c r="M11" i="12" s="1"/>
  <c r="M12" i="12" a="1"/>
  <c r="M12" i="12" s="1"/>
  <c r="M13" i="12" a="1"/>
  <c r="M13" i="12" s="1"/>
  <c r="M14" i="12" a="1"/>
  <c r="M14" i="12" s="1"/>
  <c r="M15" i="12" a="1"/>
  <c r="M15" i="12" s="1"/>
  <c r="M16" i="12" a="1"/>
  <c r="M16" i="12" s="1"/>
  <c r="M17" i="12" a="1"/>
  <c r="M17" i="12" s="1"/>
  <c r="M18" i="12" a="1"/>
  <c r="M18" i="12" s="1"/>
  <c r="M19" i="12" a="1"/>
  <c r="M19" i="12" s="1"/>
  <c r="M20" i="12" a="1"/>
  <c r="M20" i="12" s="1"/>
  <c r="M21" i="12" a="1"/>
  <c r="M21" i="12" s="1"/>
  <c r="M22" i="12" a="1"/>
  <c r="M22" i="12" s="1"/>
  <c r="M23" i="12" a="1"/>
  <c r="M23" i="12" s="1"/>
  <c r="N4" i="12" a="1"/>
  <c r="N4" i="12" s="1"/>
  <c r="N5" i="12" a="1"/>
  <c r="N5" i="12" s="1"/>
  <c r="N6" i="12" a="1"/>
  <c r="N6" i="12" s="1"/>
  <c r="N7" i="12" a="1"/>
  <c r="N7" i="12" s="1"/>
  <c r="N8" i="12" a="1"/>
  <c r="N8" i="12" s="1"/>
  <c r="N9" i="12" a="1"/>
  <c r="N9" i="12" s="1"/>
  <c r="N10" i="12" a="1"/>
  <c r="N10" i="12" s="1"/>
  <c r="N11" i="12" a="1"/>
  <c r="N11" i="12" s="1"/>
  <c r="N12" i="12" a="1"/>
  <c r="N12" i="12" s="1"/>
  <c r="N13" i="12" a="1"/>
  <c r="N13" i="12" s="1"/>
  <c r="N14" i="12" a="1"/>
  <c r="N14" i="12" s="1"/>
  <c r="N15" i="12" a="1"/>
  <c r="N15" i="12" s="1"/>
  <c r="N16" i="12" a="1"/>
  <c r="N16" i="12" s="1"/>
  <c r="N17" i="12" a="1"/>
  <c r="N17" i="12" s="1"/>
  <c r="N18" i="12" a="1"/>
  <c r="N18" i="12" s="1"/>
  <c r="N19" i="12" a="1"/>
  <c r="N19" i="12" s="1"/>
  <c r="N20" i="12" a="1"/>
  <c r="N20" i="12" s="1"/>
  <c r="N21" i="12" a="1"/>
  <c r="N21" i="12" s="1"/>
  <c r="N22" i="12" a="1"/>
  <c r="N22" i="12" s="1"/>
  <c r="N23" i="12" a="1"/>
  <c r="N23" i="12" s="1"/>
  <c r="O4" i="12" a="1"/>
  <c r="O4" i="12" s="1"/>
  <c r="O5" i="12" a="1"/>
  <c r="O5" i="12" s="1"/>
  <c r="O6" i="12" a="1"/>
  <c r="O6" i="12" s="1"/>
  <c r="O7" i="12" a="1"/>
  <c r="O7" i="12" s="1"/>
  <c r="O8" i="12" a="1"/>
  <c r="O8" i="12" s="1"/>
  <c r="O9" i="12" a="1"/>
  <c r="O9" i="12" s="1"/>
  <c r="O10" i="12" a="1"/>
  <c r="O10" i="12" s="1"/>
  <c r="O11" i="12" a="1"/>
  <c r="O11" i="12" s="1"/>
  <c r="O12" i="12" a="1"/>
  <c r="O12" i="12" s="1"/>
  <c r="O13" i="12" a="1"/>
  <c r="O13" i="12" s="1"/>
  <c r="O14" i="12" a="1"/>
  <c r="O14" i="12" s="1"/>
  <c r="O15" i="12" a="1"/>
  <c r="O15" i="12" s="1"/>
  <c r="O16" i="12" a="1"/>
  <c r="O16" i="12" s="1"/>
  <c r="O17" i="12" a="1"/>
  <c r="O17" i="12" s="1"/>
  <c r="O18" i="12" a="1"/>
  <c r="O18" i="12" s="1"/>
  <c r="O19" i="12" a="1"/>
  <c r="O19" i="12" s="1"/>
  <c r="O20" i="12" a="1"/>
  <c r="O20" i="12" s="1"/>
  <c r="O21" i="12" a="1"/>
  <c r="O21" i="12" s="1"/>
  <c r="O22" i="12" a="1"/>
  <c r="O22" i="12" s="1"/>
  <c r="O23" i="12" a="1"/>
  <c r="O23" i="12" s="1"/>
  <c r="C4" i="14" a="1"/>
  <c r="C4" i="14" s="1"/>
  <c r="C5" i="14" a="1"/>
  <c r="C5" i="14" s="1"/>
  <c r="C6" i="14" a="1"/>
  <c r="C6" i="14" s="1"/>
  <c r="C7" i="14" a="1"/>
  <c r="C7" i="14" s="1"/>
  <c r="C8" i="14" a="1"/>
  <c r="C8" i="14" s="1"/>
  <c r="C9" i="14" a="1"/>
  <c r="C9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17" i="14" a="1"/>
  <c r="C17" i="14" s="1"/>
  <c r="C18" i="14" a="1"/>
  <c r="C18" i="14" s="1"/>
  <c r="C19" i="14" a="1"/>
  <c r="C19" i="14" s="1"/>
  <c r="C20" i="14" a="1"/>
  <c r="C20" i="14" s="1"/>
  <c r="C21" i="14" a="1"/>
  <c r="C21" i="14" s="1"/>
  <c r="C22" i="14" a="1"/>
  <c r="C22" i="14" s="1"/>
  <c r="C23" i="14" a="1"/>
  <c r="C23" i="14" s="1"/>
  <c r="D4" i="14" a="1"/>
  <c r="D4" i="14" s="1"/>
  <c r="D5" i="14" a="1"/>
  <c r="D5" i="14" s="1"/>
  <c r="D6" i="14" a="1"/>
  <c r="D6" i="14" s="1"/>
  <c r="D7" i="14" a="1"/>
  <c r="D7" i="14" s="1"/>
  <c r="D8" i="14" a="1"/>
  <c r="D8" i="14" s="1"/>
  <c r="D9" i="14" a="1"/>
  <c r="D9" i="14" s="1"/>
  <c r="D10" i="14" a="1"/>
  <c r="D10" i="14" s="1"/>
  <c r="D11" i="14" a="1"/>
  <c r="D11" i="14" s="1"/>
  <c r="D12" i="14" a="1"/>
  <c r="D12" i="14" s="1"/>
  <c r="D13" i="14" a="1"/>
  <c r="D13" i="14" s="1"/>
  <c r="D14" i="14" a="1"/>
  <c r="D14" i="14" s="1"/>
  <c r="D15" i="14" a="1"/>
  <c r="D15" i="14" s="1"/>
  <c r="D16" i="14" a="1"/>
  <c r="D16" i="14" s="1"/>
  <c r="D17" i="14" a="1"/>
  <c r="D17" i="14" s="1"/>
  <c r="D18" i="14" a="1"/>
  <c r="D18" i="14" s="1"/>
  <c r="D19" i="14" a="1"/>
  <c r="D19" i="14" s="1"/>
  <c r="D20" i="14" a="1"/>
  <c r="D20" i="14" s="1"/>
  <c r="D21" i="14" a="1"/>
  <c r="D21" i="14" s="1"/>
  <c r="D22" i="14" a="1"/>
  <c r="D22" i="14" s="1"/>
  <c r="D23" i="14" a="1"/>
  <c r="D23" i="14" s="1"/>
  <c r="E4" i="14" a="1"/>
  <c r="E4" i="14" s="1"/>
  <c r="E5" i="14" a="1"/>
  <c r="E5" i="14" s="1"/>
  <c r="E6" i="14" a="1"/>
  <c r="E6" i="14" s="1"/>
  <c r="E7" i="14" a="1"/>
  <c r="E7" i="14" s="1"/>
  <c r="E8" i="14" a="1"/>
  <c r="E8" i="14" s="1"/>
  <c r="E9" i="14" a="1"/>
  <c r="E9" i="14" s="1"/>
  <c r="E10" i="14" a="1"/>
  <c r="E10" i="14" s="1"/>
  <c r="E11" i="14" a="1"/>
  <c r="E11" i="14" s="1"/>
  <c r="E12" i="14" a="1"/>
  <c r="E12" i="14" s="1"/>
  <c r="E13" i="14" a="1"/>
  <c r="E13" i="14" s="1"/>
  <c r="E14" i="14" a="1"/>
  <c r="E14" i="14" s="1"/>
  <c r="E15" i="14" a="1"/>
  <c r="E15" i="14" s="1"/>
  <c r="E16" i="14" a="1"/>
  <c r="E16" i="14" s="1"/>
  <c r="E17" i="14" a="1"/>
  <c r="E17" i="14" s="1"/>
  <c r="E18" i="14" a="1"/>
  <c r="E18" i="14" s="1"/>
  <c r="E19" i="14" a="1"/>
  <c r="E19" i="14" s="1"/>
  <c r="E20" i="14" a="1"/>
  <c r="E20" i="14" s="1"/>
  <c r="E21" i="14" a="1"/>
  <c r="E21" i="14" s="1"/>
  <c r="E22" i="14" a="1"/>
  <c r="E22" i="14" s="1"/>
  <c r="E23" i="14" a="1"/>
  <c r="E23" i="14" s="1"/>
  <c r="F4" i="14" a="1"/>
  <c r="F4" i="14" s="1"/>
  <c r="F5" i="14" a="1"/>
  <c r="F5" i="14" s="1"/>
  <c r="F6" i="14" a="1"/>
  <c r="F6" i="14" s="1"/>
  <c r="F7" i="14" a="1"/>
  <c r="F7" i="14" s="1"/>
  <c r="F8" i="14" a="1"/>
  <c r="F8" i="14" s="1"/>
  <c r="F9" i="14" a="1"/>
  <c r="F9" i="14" s="1"/>
  <c r="F10" i="14" a="1"/>
  <c r="F10" i="14" s="1"/>
  <c r="F11" i="14" a="1"/>
  <c r="F11" i="14" s="1"/>
  <c r="F12" i="14" a="1"/>
  <c r="F12" i="14" s="1"/>
  <c r="F13" i="14" a="1"/>
  <c r="F13" i="14" s="1"/>
  <c r="F14" i="14" a="1"/>
  <c r="F14" i="14" s="1"/>
  <c r="F15" i="14" a="1"/>
  <c r="F15" i="14" s="1"/>
  <c r="F16" i="14" a="1"/>
  <c r="F16" i="14" s="1"/>
  <c r="F17" i="14" a="1"/>
  <c r="F17" i="14" s="1"/>
  <c r="F18" i="14" a="1"/>
  <c r="F18" i="14" s="1"/>
  <c r="F19" i="14" a="1"/>
  <c r="F19" i="14" s="1"/>
  <c r="F20" i="14" a="1"/>
  <c r="F20" i="14" s="1"/>
  <c r="F21" i="14" a="1"/>
  <c r="F21" i="14" s="1"/>
  <c r="F22" i="14" a="1"/>
  <c r="F22" i="14" s="1"/>
  <c r="F23" i="14" a="1"/>
  <c r="F23" i="14" s="1"/>
  <c r="G4" i="14" a="1"/>
  <c r="G4" i="14" s="1"/>
  <c r="G5" i="14" a="1"/>
  <c r="G5" i="14" s="1"/>
  <c r="G6" i="14" a="1"/>
  <c r="G6" i="14" s="1"/>
  <c r="G7" i="14" a="1"/>
  <c r="G7" i="14" s="1"/>
  <c r="G8" i="14" a="1"/>
  <c r="G8" i="14" s="1"/>
  <c r="G9" i="14" a="1"/>
  <c r="G9" i="14" s="1"/>
  <c r="G10" i="14" a="1"/>
  <c r="G10" i="14" s="1"/>
  <c r="G11" i="14" a="1"/>
  <c r="G11" i="14" s="1"/>
  <c r="G12" i="14" a="1"/>
  <c r="G12" i="14" s="1"/>
  <c r="G13" i="14" a="1"/>
  <c r="G13" i="14" s="1"/>
  <c r="G14" i="14" a="1"/>
  <c r="G14" i="14" s="1"/>
  <c r="G15" i="14" a="1"/>
  <c r="G15" i="14" s="1"/>
  <c r="G16" i="14" a="1"/>
  <c r="G16" i="14" s="1"/>
  <c r="G17" i="14" a="1"/>
  <c r="G17" i="14" s="1"/>
  <c r="G18" i="14" a="1"/>
  <c r="G18" i="14" s="1"/>
  <c r="G19" i="14" a="1"/>
  <c r="G19" i="14" s="1"/>
  <c r="G20" i="14" a="1"/>
  <c r="G20" i="14" s="1"/>
  <c r="G21" i="14" a="1"/>
  <c r="G21" i="14" s="1"/>
  <c r="G22" i="14" a="1"/>
  <c r="G22" i="14" s="1"/>
  <c r="G23" i="14" a="1"/>
  <c r="G23" i="14" s="1"/>
  <c r="H4" i="14" a="1"/>
  <c r="H4" i="14" s="1"/>
  <c r="H5" i="14" a="1"/>
  <c r="H5" i="14" s="1"/>
  <c r="H6" i="14" a="1"/>
  <c r="H6" i="14" s="1"/>
  <c r="H7" i="14" a="1"/>
  <c r="H7" i="14" s="1"/>
  <c r="H8" i="14" a="1"/>
  <c r="H8" i="14" s="1"/>
  <c r="H9" i="14" a="1"/>
  <c r="H9" i="14" s="1"/>
  <c r="H10" i="14" a="1"/>
  <c r="H10" i="14" s="1"/>
  <c r="H11" i="14" a="1"/>
  <c r="H11" i="14" s="1"/>
  <c r="H12" i="14" a="1"/>
  <c r="H12" i="14" s="1"/>
  <c r="H13" i="14" a="1"/>
  <c r="H13" i="14" s="1"/>
  <c r="H14" i="14" a="1"/>
  <c r="H14" i="14" s="1"/>
  <c r="H15" i="14" a="1"/>
  <c r="H15" i="14" s="1"/>
  <c r="H16" i="14" a="1"/>
  <c r="H16" i="14" s="1"/>
  <c r="H17" i="14" a="1"/>
  <c r="H17" i="14" s="1"/>
  <c r="H18" i="14" a="1"/>
  <c r="H18" i="14" s="1"/>
  <c r="H19" i="14" a="1"/>
  <c r="H19" i="14" s="1"/>
  <c r="H20" i="14" a="1"/>
  <c r="H20" i="14" s="1"/>
  <c r="H21" i="14" a="1"/>
  <c r="H21" i="14" s="1"/>
  <c r="H22" i="14" a="1"/>
  <c r="H22" i="14" s="1"/>
  <c r="H23" i="14" a="1"/>
  <c r="H23" i="14" s="1"/>
  <c r="I4" i="14" a="1"/>
  <c r="I4" i="14" s="1"/>
  <c r="I5" i="14" a="1"/>
  <c r="I5" i="14" s="1"/>
  <c r="I6" i="14" a="1"/>
  <c r="I6" i="14" s="1"/>
  <c r="I7" i="14" a="1"/>
  <c r="I7" i="14" s="1"/>
  <c r="I8" i="14" a="1"/>
  <c r="I8" i="14" s="1"/>
  <c r="I9" i="14" a="1"/>
  <c r="I9" i="14" s="1"/>
  <c r="I10" i="14" a="1"/>
  <c r="I10" i="14" s="1"/>
  <c r="I11" i="14" a="1"/>
  <c r="I11" i="14" s="1"/>
  <c r="I12" i="14" a="1"/>
  <c r="I12" i="14" s="1"/>
  <c r="I13" i="14" a="1"/>
  <c r="I13" i="14" s="1"/>
  <c r="I14" i="14" a="1"/>
  <c r="I14" i="14" s="1"/>
  <c r="I15" i="14" a="1"/>
  <c r="I15" i="14" s="1"/>
  <c r="I16" i="14" a="1"/>
  <c r="I16" i="14" s="1"/>
  <c r="I17" i="14" a="1"/>
  <c r="I17" i="14" s="1"/>
  <c r="I18" i="14" a="1"/>
  <c r="I18" i="14" s="1"/>
  <c r="I19" i="14" a="1"/>
  <c r="I19" i="14" s="1"/>
  <c r="I20" i="14" a="1"/>
  <c r="I20" i="14" s="1"/>
  <c r="I21" i="14" a="1"/>
  <c r="I21" i="14" s="1"/>
  <c r="I22" i="14" a="1"/>
  <c r="I22" i="14" s="1"/>
  <c r="I23" i="14" a="1"/>
  <c r="I23" i="14" s="1"/>
  <c r="J4" i="14" a="1"/>
  <c r="J4" i="14" s="1"/>
  <c r="J5" i="14" a="1"/>
  <c r="J5" i="14" s="1"/>
  <c r="J6" i="14" a="1"/>
  <c r="J6" i="14" s="1"/>
  <c r="J7" i="14" a="1"/>
  <c r="J7" i="14" s="1"/>
  <c r="J8" i="14" a="1"/>
  <c r="J8" i="14" s="1"/>
  <c r="J9" i="14" a="1"/>
  <c r="J9" i="14" s="1"/>
  <c r="J10" i="14" a="1"/>
  <c r="J10" i="14" s="1"/>
  <c r="J11" i="14" a="1"/>
  <c r="J11" i="14" s="1"/>
  <c r="J12" i="14" a="1"/>
  <c r="J12" i="14" s="1"/>
  <c r="J13" i="14" a="1"/>
  <c r="J13" i="14" s="1"/>
  <c r="J14" i="14" a="1"/>
  <c r="J14" i="14" s="1"/>
  <c r="J15" i="14" a="1"/>
  <c r="J15" i="14" s="1"/>
  <c r="J16" i="14" a="1"/>
  <c r="J16" i="14" s="1"/>
  <c r="J17" i="14" a="1"/>
  <c r="J17" i="14" s="1"/>
  <c r="J18" i="14" a="1"/>
  <c r="J18" i="14" s="1"/>
  <c r="J19" i="14" a="1"/>
  <c r="J19" i="14" s="1"/>
  <c r="J20" i="14" a="1"/>
  <c r="J20" i="14" s="1"/>
  <c r="J21" i="14" a="1"/>
  <c r="J21" i="14" s="1"/>
  <c r="J22" i="14" a="1"/>
  <c r="J22" i="14" s="1"/>
  <c r="J23" i="14" a="1"/>
  <c r="J23" i="14" s="1"/>
  <c r="K4" i="14" a="1"/>
  <c r="K4" i="14" s="1"/>
  <c r="K5" i="14" a="1"/>
  <c r="K5" i="14" s="1"/>
  <c r="K6" i="14" a="1"/>
  <c r="K6" i="14" s="1"/>
  <c r="K7" i="14" a="1"/>
  <c r="K7" i="14" s="1"/>
  <c r="K8" i="14" a="1"/>
  <c r="K8" i="14" s="1"/>
  <c r="K9" i="14" a="1"/>
  <c r="K9" i="14" s="1"/>
  <c r="K10" i="14" a="1"/>
  <c r="K10" i="14" s="1"/>
  <c r="K11" i="14" a="1"/>
  <c r="K11" i="14" s="1"/>
  <c r="K12" i="14" a="1"/>
  <c r="K12" i="14" s="1"/>
  <c r="K13" i="14" a="1"/>
  <c r="K13" i="14" s="1"/>
  <c r="K14" i="14" a="1"/>
  <c r="K14" i="14" s="1"/>
  <c r="K15" i="14" a="1"/>
  <c r="K15" i="14" s="1"/>
  <c r="K16" i="14" a="1"/>
  <c r="K16" i="14" s="1"/>
  <c r="K17" i="14" a="1"/>
  <c r="K17" i="14" s="1"/>
  <c r="K18" i="14" a="1"/>
  <c r="K18" i="14" s="1"/>
  <c r="K19" i="14" a="1"/>
  <c r="K19" i="14" s="1"/>
  <c r="K20" i="14" a="1"/>
  <c r="K20" i="14" s="1"/>
  <c r="K21" i="14" a="1"/>
  <c r="K21" i="14" s="1"/>
  <c r="K22" i="14" a="1"/>
  <c r="K22" i="14" s="1"/>
  <c r="K23" i="14" a="1"/>
  <c r="K23" i="14" s="1"/>
  <c r="L4" i="14" a="1"/>
  <c r="L4" i="14" s="1"/>
  <c r="L5" i="14" a="1"/>
  <c r="L5" i="14" s="1"/>
  <c r="L6" i="14" a="1"/>
  <c r="L6" i="14" s="1"/>
  <c r="L7" i="14" a="1"/>
  <c r="L7" i="14" s="1"/>
  <c r="L8" i="14" a="1"/>
  <c r="L8" i="14" s="1"/>
  <c r="L9" i="14" a="1"/>
  <c r="L9" i="14" s="1"/>
  <c r="L10" i="14" a="1"/>
  <c r="L10" i="14" s="1"/>
  <c r="L11" i="14" a="1"/>
  <c r="L11" i="14" s="1"/>
  <c r="L12" i="14" a="1"/>
  <c r="L12" i="14" s="1"/>
  <c r="L13" i="14" a="1"/>
  <c r="L13" i="14" s="1"/>
  <c r="L14" i="14" a="1"/>
  <c r="L14" i="14" s="1"/>
  <c r="L15" i="14" a="1"/>
  <c r="L15" i="14" s="1"/>
  <c r="L16" i="14" a="1"/>
  <c r="L16" i="14" s="1"/>
  <c r="L17" i="14" a="1"/>
  <c r="L17" i="14" s="1"/>
  <c r="L18" i="14" a="1"/>
  <c r="L18" i="14" s="1"/>
  <c r="L19" i="14" a="1"/>
  <c r="L19" i="14" s="1"/>
  <c r="L20" i="14" a="1"/>
  <c r="L20" i="14" s="1"/>
  <c r="L21" i="14" a="1"/>
  <c r="L21" i="14" s="1"/>
  <c r="L22" i="14" a="1"/>
  <c r="L22" i="14" s="1"/>
  <c r="L23" i="14" a="1"/>
  <c r="L23" i="14" s="1"/>
  <c r="M4" i="14" a="1"/>
  <c r="M4" i="14" s="1"/>
  <c r="M5" i="14" a="1"/>
  <c r="M5" i="14" s="1"/>
  <c r="M6" i="14" a="1"/>
  <c r="M6" i="14" s="1"/>
  <c r="M7" i="14" a="1"/>
  <c r="M7" i="14" s="1"/>
  <c r="M8" i="14" a="1"/>
  <c r="M8" i="14" s="1"/>
  <c r="M9" i="14" a="1"/>
  <c r="M9" i="14" s="1"/>
  <c r="M10" i="14" a="1"/>
  <c r="M10" i="14" s="1"/>
  <c r="M11" i="14" a="1"/>
  <c r="M11" i="14" s="1"/>
  <c r="M12" i="14" a="1"/>
  <c r="M12" i="14" s="1"/>
  <c r="M13" i="14" a="1"/>
  <c r="M13" i="14" s="1"/>
  <c r="M14" i="14" a="1"/>
  <c r="M14" i="14" s="1"/>
  <c r="M15" i="14" a="1"/>
  <c r="M15" i="14" s="1"/>
  <c r="M16" i="14" a="1"/>
  <c r="M16" i="14" s="1"/>
  <c r="M17" i="14" a="1"/>
  <c r="M17" i="14" s="1"/>
  <c r="M18" i="14" a="1"/>
  <c r="M18" i="14" s="1"/>
  <c r="M19" i="14" a="1"/>
  <c r="M19" i="14" s="1"/>
  <c r="M20" i="14" a="1"/>
  <c r="M20" i="14" s="1"/>
  <c r="M21" i="14" a="1"/>
  <c r="M21" i="14" s="1"/>
  <c r="M22" i="14" a="1"/>
  <c r="M22" i="14" s="1"/>
  <c r="M23" i="14" a="1"/>
  <c r="M23" i="14" s="1"/>
  <c r="N4" i="14" a="1"/>
  <c r="N4" i="14" s="1"/>
  <c r="N5" i="14" a="1"/>
  <c r="N5" i="14" s="1"/>
  <c r="N6" i="14" a="1"/>
  <c r="N6" i="14" s="1"/>
  <c r="N7" i="14" a="1"/>
  <c r="N7" i="14" s="1"/>
  <c r="N8" i="14" a="1"/>
  <c r="N8" i="14" s="1"/>
  <c r="N9" i="14" a="1"/>
  <c r="N9" i="14" s="1"/>
  <c r="N10" i="14" a="1"/>
  <c r="N10" i="14" s="1"/>
  <c r="N11" i="14" a="1"/>
  <c r="N11" i="14" s="1"/>
  <c r="N12" i="14" a="1"/>
  <c r="N12" i="14" s="1"/>
  <c r="N13" i="14" a="1"/>
  <c r="N13" i="14" s="1"/>
  <c r="N14" i="14" a="1"/>
  <c r="N14" i="14" s="1"/>
  <c r="N15" i="14" a="1"/>
  <c r="N15" i="14" s="1"/>
  <c r="N16" i="14" a="1"/>
  <c r="N16" i="14" s="1"/>
  <c r="N17" i="14" a="1"/>
  <c r="N17" i="14" s="1"/>
  <c r="N18" i="14" a="1"/>
  <c r="N18" i="14" s="1"/>
  <c r="N19" i="14" a="1"/>
  <c r="N19" i="14" s="1"/>
  <c r="N20" i="14" a="1"/>
  <c r="N20" i="14" s="1"/>
  <c r="N21" i="14" a="1"/>
  <c r="N21" i="14" s="1"/>
  <c r="N22" i="14" a="1"/>
  <c r="N22" i="14" s="1"/>
  <c r="N23" i="14" a="1"/>
  <c r="N23" i="14" s="1"/>
  <c r="O4" i="14" a="1"/>
  <c r="O4" i="14" s="1"/>
  <c r="O5" i="14" a="1"/>
  <c r="O5" i="14" s="1"/>
  <c r="O6" i="14" a="1"/>
  <c r="O6" i="14" s="1"/>
  <c r="O7" i="14" a="1"/>
  <c r="O7" i="14" s="1"/>
  <c r="O8" i="14" a="1"/>
  <c r="O8" i="14" s="1"/>
  <c r="O9" i="14" a="1"/>
  <c r="O9" i="14" s="1"/>
  <c r="O10" i="14" a="1"/>
  <c r="O10" i="14" s="1"/>
  <c r="O11" i="14" a="1"/>
  <c r="O11" i="14" s="1"/>
  <c r="O12" i="14" a="1"/>
  <c r="O12" i="14" s="1"/>
  <c r="O13" i="14" a="1"/>
  <c r="O13" i="14" s="1"/>
  <c r="O14" i="14" a="1"/>
  <c r="O14" i="14" s="1"/>
  <c r="O15" i="14" a="1"/>
  <c r="O15" i="14" s="1"/>
  <c r="O16" i="14" a="1"/>
  <c r="O16" i="14" s="1"/>
  <c r="O17" i="14" a="1"/>
  <c r="O17" i="14" s="1"/>
  <c r="O18" i="14" a="1"/>
  <c r="O18" i="14" s="1"/>
  <c r="O19" i="14" a="1"/>
  <c r="O19" i="14" s="1"/>
  <c r="O20" i="14" a="1"/>
  <c r="O20" i="14" s="1"/>
  <c r="O21" i="14" a="1"/>
  <c r="O21" i="14" s="1"/>
  <c r="O22" i="14" a="1"/>
  <c r="O22" i="14" s="1"/>
  <c r="O23" i="14" a="1"/>
  <c r="O23" i="14" s="1"/>
  <c r="P4" i="14" a="1"/>
  <c r="P4" i="14" s="1"/>
  <c r="P5" i="14" a="1"/>
  <c r="P5" i="14" s="1"/>
  <c r="P6" i="14" a="1"/>
  <c r="P6" i="14" s="1"/>
  <c r="P7" i="14" a="1"/>
  <c r="P7" i="14" s="1"/>
  <c r="P8" i="14" a="1"/>
  <c r="P8" i="14" s="1"/>
  <c r="P9" i="14" a="1"/>
  <c r="P9" i="14" s="1"/>
  <c r="P10" i="14" a="1"/>
  <c r="P10" i="14" s="1"/>
  <c r="P11" i="14" a="1"/>
  <c r="P11" i="14" s="1"/>
  <c r="P12" i="14" a="1"/>
  <c r="P12" i="14" s="1"/>
  <c r="P13" i="14" a="1"/>
  <c r="P13" i="14" s="1"/>
  <c r="P14" i="14" a="1"/>
  <c r="P14" i="14" s="1"/>
  <c r="P15" i="14" a="1"/>
  <c r="P15" i="14" s="1"/>
  <c r="P16" i="14" a="1"/>
  <c r="P16" i="14" s="1"/>
  <c r="P17" i="14" a="1"/>
  <c r="P17" i="14" s="1"/>
  <c r="P18" i="14" a="1"/>
  <c r="P18" i="14" s="1"/>
  <c r="P19" i="14" a="1"/>
  <c r="P19" i="14" s="1"/>
  <c r="P20" i="14" a="1"/>
  <c r="P20" i="14" s="1"/>
  <c r="P21" i="14" a="1"/>
  <c r="P21" i="14" s="1"/>
  <c r="P22" i="14" a="1"/>
  <c r="P22" i="14" s="1"/>
  <c r="P23" i="14" a="1"/>
  <c r="P23" i="14" s="1"/>
  <c r="Q4" i="14" a="1"/>
  <c r="Q4" i="14" s="1"/>
  <c r="Q5" i="14" a="1"/>
  <c r="Q5" i="14" s="1"/>
  <c r="Q6" i="14" a="1"/>
  <c r="Q6" i="14" s="1"/>
  <c r="Q7" i="14" a="1"/>
  <c r="Q7" i="14" s="1"/>
  <c r="Q8" i="14" a="1"/>
  <c r="Q8" i="14" s="1"/>
  <c r="Q9" i="14" a="1"/>
  <c r="Q9" i="14" s="1"/>
  <c r="Q10" i="14" a="1"/>
  <c r="Q10" i="14" s="1"/>
  <c r="Q11" i="14" a="1"/>
  <c r="Q11" i="14" s="1"/>
  <c r="Q12" i="14" a="1"/>
  <c r="Q12" i="14" s="1"/>
  <c r="Q13" i="14" a="1"/>
  <c r="Q13" i="14" s="1"/>
  <c r="Q14" i="14" a="1"/>
  <c r="Q14" i="14" s="1"/>
  <c r="Q15" i="14" a="1"/>
  <c r="Q15" i="14" s="1"/>
  <c r="Q16" i="14" a="1"/>
  <c r="Q16" i="14" s="1"/>
  <c r="Q17" i="14" a="1"/>
  <c r="Q17" i="14" s="1"/>
  <c r="Q18" i="14" a="1"/>
  <c r="Q18" i="14" s="1"/>
  <c r="Q19" i="14" a="1"/>
  <c r="Q19" i="14" s="1"/>
  <c r="Q20" i="14" a="1"/>
  <c r="Q20" i="14" s="1"/>
  <c r="Q21" i="14" a="1"/>
  <c r="Q21" i="14" s="1"/>
  <c r="Q22" i="14" a="1"/>
  <c r="Q22" i="14" s="1"/>
  <c r="Q23" i="14" a="1"/>
  <c r="Q23" i="14" s="1"/>
  <c r="R4" i="14" a="1"/>
  <c r="R4" i="14" s="1"/>
  <c r="R5" i="14" a="1"/>
  <c r="R5" i="14" s="1"/>
  <c r="R6" i="14" a="1"/>
  <c r="R6" i="14" s="1"/>
  <c r="R7" i="14" a="1"/>
  <c r="R7" i="14" s="1"/>
  <c r="R8" i="14" a="1"/>
  <c r="R8" i="14" s="1"/>
  <c r="R9" i="14" a="1"/>
  <c r="R9" i="14" s="1"/>
  <c r="R10" i="14" a="1"/>
  <c r="R10" i="14" s="1"/>
  <c r="R11" i="14" a="1"/>
  <c r="R11" i="14" s="1"/>
  <c r="R12" i="14" a="1"/>
  <c r="R12" i="14" s="1"/>
  <c r="R13" i="14" a="1"/>
  <c r="R13" i="14" s="1"/>
  <c r="R14" i="14" a="1"/>
  <c r="R14" i="14" s="1"/>
  <c r="R15" i="14" a="1"/>
  <c r="R15" i="14" s="1"/>
  <c r="R16" i="14" a="1"/>
  <c r="R16" i="14" s="1"/>
  <c r="R17" i="14" a="1"/>
  <c r="R17" i="14" s="1"/>
  <c r="R18" i="14" a="1"/>
  <c r="R18" i="14" s="1"/>
  <c r="R19" i="14" a="1"/>
  <c r="R19" i="14" s="1"/>
  <c r="R20" i="14" a="1"/>
  <c r="R20" i="14" s="1"/>
  <c r="R21" i="14" a="1"/>
  <c r="R21" i="14" s="1"/>
  <c r="R22" i="14" a="1"/>
  <c r="R22" i="14" s="1"/>
  <c r="R23" i="14" a="1"/>
  <c r="R23" i="14" s="1"/>
  <c r="C4" i="13" a="1"/>
  <c r="C4" i="13" s="1"/>
  <c r="C5" i="13" a="1"/>
  <c r="C5" i="13" s="1"/>
  <c r="C6" i="13" a="1"/>
  <c r="C6" i="13" s="1"/>
  <c r="C7" i="13" a="1"/>
  <c r="C7" i="13" s="1"/>
  <c r="C8" i="13" a="1"/>
  <c r="C8" i="13" s="1"/>
  <c r="C9" i="13" a="1"/>
  <c r="C9" i="13" s="1"/>
  <c r="C10" i="13" a="1"/>
  <c r="C10" i="13" s="1"/>
  <c r="C11" i="13" a="1"/>
  <c r="C11" i="13" s="1"/>
  <c r="C12" i="13" a="1"/>
  <c r="C12" i="13" s="1"/>
  <c r="C13" i="13" a="1"/>
  <c r="C13" i="13" s="1"/>
  <c r="C14" i="13" a="1"/>
  <c r="C14" i="13" s="1"/>
  <c r="C15" i="13" a="1"/>
  <c r="C15" i="13" s="1"/>
  <c r="C16" i="13" a="1"/>
  <c r="C16" i="13" s="1"/>
  <c r="C17" i="13" a="1"/>
  <c r="C17" i="13" s="1"/>
  <c r="C18" i="13" a="1"/>
  <c r="C18" i="13" s="1"/>
  <c r="C19" i="13" a="1"/>
  <c r="C19" i="13" s="1"/>
  <c r="C20" i="13" a="1"/>
  <c r="C20" i="13" s="1"/>
  <c r="C21" i="13" a="1"/>
  <c r="C21" i="13" s="1"/>
  <c r="C22" i="13" a="1"/>
  <c r="C22" i="13" s="1"/>
  <c r="C23" i="13" a="1"/>
  <c r="C23" i="13" s="1"/>
  <c r="D4" i="13" a="1"/>
  <c r="D4" i="13" s="1"/>
  <c r="D5" i="13" a="1"/>
  <c r="D5" i="13" s="1"/>
  <c r="D6" i="13" a="1"/>
  <c r="D6" i="13" s="1"/>
  <c r="D7" i="13" a="1"/>
  <c r="D7" i="13" s="1"/>
  <c r="D8" i="13" a="1"/>
  <c r="D8" i="13" s="1"/>
  <c r="D9" i="13" a="1"/>
  <c r="D9" i="13" s="1"/>
  <c r="D10" i="13" a="1"/>
  <c r="D10" i="13" s="1"/>
  <c r="D11" i="13" a="1"/>
  <c r="D11" i="13" s="1"/>
  <c r="D12" i="13" a="1"/>
  <c r="D12" i="13" s="1"/>
  <c r="D13" i="13" a="1"/>
  <c r="D13" i="13" s="1"/>
  <c r="D14" i="13" a="1"/>
  <c r="D14" i="13" s="1"/>
  <c r="D15" i="13" a="1"/>
  <c r="D15" i="13" s="1"/>
  <c r="D16" i="13" a="1"/>
  <c r="D16" i="13" s="1"/>
  <c r="D17" i="13" a="1"/>
  <c r="D17" i="13" s="1"/>
  <c r="D18" i="13" a="1"/>
  <c r="D18" i="13" s="1"/>
  <c r="D19" i="13" a="1"/>
  <c r="D19" i="13" s="1"/>
  <c r="D20" i="13" a="1"/>
  <c r="D20" i="13" s="1"/>
  <c r="D21" i="13" a="1"/>
  <c r="D21" i="13" s="1"/>
  <c r="D22" i="13" a="1"/>
  <c r="D22" i="13" s="1"/>
  <c r="D23" i="13" a="1"/>
  <c r="D23" i="13" s="1"/>
  <c r="E4" i="13" a="1"/>
  <c r="E4" i="13" s="1"/>
  <c r="E5" i="13" a="1"/>
  <c r="E5" i="13" s="1"/>
  <c r="E6" i="13" a="1"/>
  <c r="E6" i="13" s="1"/>
  <c r="E7" i="13" a="1"/>
  <c r="E7" i="13" s="1"/>
  <c r="E8" i="13" a="1"/>
  <c r="E8" i="13" s="1"/>
  <c r="E9" i="13" a="1"/>
  <c r="E9" i="13" s="1"/>
  <c r="E10" i="13" a="1"/>
  <c r="E10" i="13" s="1"/>
  <c r="E11" i="13" a="1"/>
  <c r="E11" i="13" s="1"/>
  <c r="E12" i="13" a="1"/>
  <c r="E12" i="13" s="1"/>
  <c r="E13" i="13" a="1"/>
  <c r="E13" i="13" s="1"/>
  <c r="E14" i="13" a="1"/>
  <c r="E14" i="13" s="1"/>
  <c r="E15" i="13" a="1"/>
  <c r="E15" i="13" s="1"/>
  <c r="E16" i="13" a="1"/>
  <c r="E16" i="13" s="1"/>
  <c r="E17" i="13" a="1"/>
  <c r="E17" i="13" s="1"/>
  <c r="E18" i="13" a="1"/>
  <c r="E18" i="13" s="1"/>
  <c r="E19" i="13" a="1"/>
  <c r="E19" i="13" s="1"/>
  <c r="E20" i="13" a="1"/>
  <c r="E20" i="13" s="1"/>
  <c r="E21" i="13" a="1"/>
  <c r="E21" i="13" s="1"/>
  <c r="E22" i="13" a="1"/>
  <c r="E22" i="13" s="1"/>
  <c r="E23" i="13" a="1"/>
  <c r="E23" i="13" s="1"/>
  <c r="F4" i="13" a="1"/>
  <c r="F4" i="13" s="1"/>
  <c r="F5" i="13" a="1"/>
  <c r="F5" i="13" s="1"/>
  <c r="F6" i="13" a="1"/>
  <c r="F6" i="13" s="1"/>
  <c r="F7" i="13" a="1"/>
  <c r="F7" i="13" s="1"/>
  <c r="F8" i="13" a="1"/>
  <c r="F8" i="13" s="1"/>
  <c r="F9" i="13" a="1"/>
  <c r="F9" i="13" s="1"/>
  <c r="F10" i="13" a="1"/>
  <c r="F10" i="13" s="1"/>
  <c r="F11" i="13" a="1"/>
  <c r="F11" i="13" s="1"/>
  <c r="F12" i="13" a="1"/>
  <c r="F12" i="13" s="1"/>
  <c r="F13" i="13" a="1"/>
  <c r="F13" i="13" s="1"/>
  <c r="F14" i="13" a="1"/>
  <c r="F14" i="13" s="1"/>
  <c r="F15" i="13" a="1"/>
  <c r="F15" i="13" s="1"/>
  <c r="F16" i="13" a="1"/>
  <c r="F16" i="13" s="1"/>
  <c r="F17" i="13" a="1"/>
  <c r="F17" i="13"/>
  <c r="F18" i="13" a="1"/>
  <c r="F18" i="13" s="1"/>
  <c r="F19" i="13" a="1"/>
  <c r="F19" i="13" s="1"/>
  <c r="F20" i="13" a="1"/>
  <c r="F20" i="13" s="1"/>
  <c r="F21" i="13" a="1"/>
  <c r="F21" i="13" s="1"/>
  <c r="F22" i="13" a="1"/>
  <c r="F22" i="13" s="1"/>
  <c r="F23" i="13" a="1"/>
  <c r="F23" i="13" s="1"/>
  <c r="G4" i="13" a="1"/>
  <c r="G4" i="13"/>
  <c r="G5" i="13" a="1"/>
  <c r="G5" i="13" s="1"/>
  <c r="G6" i="13" a="1"/>
  <c r="G6" i="13" s="1"/>
  <c r="G7" i="13" a="1"/>
  <c r="G7" i="13" s="1"/>
  <c r="G8" i="13" a="1"/>
  <c r="G8" i="13" s="1"/>
  <c r="G9" i="13" a="1"/>
  <c r="G9" i="13" s="1"/>
  <c r="G10" i="13" a="1"/>
  <c r="G10" i="13" s="1"/>
  <c r="G11" i="13" a="1"/>
  <c r="G11" i="13" s="1"/>
  <c r="G12" i="13" a="1"/>
  <c r="G12" i="13" s="1"/>
  <c r="G13" i="13" a="1"/>
  <c r="G13" i="13" s="1"/>
  <c r="G14" i="13" a="1"/>
  <c r="G14" i="13" s="1"/>
  <c r="G15" i="13" a="1"/>
  <c r="G15" i="13" s="1"/>
  <c r="G16" i="13" a="1"/>
  <c r="G16" i="13" s="1"/>
  <c r="G17" i="13" a="1"/>
  <c r="G17" i="13" s="1"/>
  <c r="G18" i="13" a="1"/>
  <c r="G18" i="13" s="1"/>
  <c r="G19" i="13" a="1"/>
  <c r="G19" i="13" s="1"/>
  <c r="G20" i="13" a="1"/>
  <c r="G20" i="13" s="1"/>
  <c r="G21" i="13" a="1"/>
  <c r="G21" i="13" s="1"/>
  <c r="G22" i="13" a="1"/>
  <c r="G22" i="13" s="1"/>
  <c r="G23" i="13" a="1"/>
  <c r="G23" i="13" s="1"/>
  <c r="H4" i="13" a="1"/>
  <c r="H4" i="13" s="1"/>
  <c r="H5" i="13" a="1"/>
  <c r="H5" i="13" s="1"/>
  <c r="H6" i="13" a="1"/>
  <c r="H6" i="13" s="1"/>
  <c r="H7" i="13" a="1"/>
  <c r="H7" i="13" s="1"/>
  <c r="H8" i="13" a="1"/>
  <c r="H8" i="13" s="1"/>
  <c r="H9" i="13" a="1"/>
  <c r="H9" i="13" s="1"/>
  <c r="H10" i="13" a="1"/>
  <c r="H10" i="13" s="1"/>
  <c r="H11" i="13" a="1"/>
  <c r="H11" i="13" s="1"/>
  <c r="H12" i="13" a="1"/>
  <c r="H12" i="13" s="1"/>
  <c r="H13" i="13" a="1"/>
  <c r="H13" i="13" s="1"/>
  <c r="H14" i="13" a="1"/>
  <c r="H14" i="13" s="1"/>
  <c r="H15" i="13" a="1"/>
  <c r="H15" i="13" s="1"/>
  <c r="H16" i="13" a="1"/>
  <c r="H16" i="13" s="1"/>
  <c r="H17" i="13" a="1"/>
  <c r="H17" i="13" s="1"/>
  <c r="H18" i="13" a="1"/>
  <c r="H18" i="13" s="1"/>
  <c r="H19" i="13" a="1"/>
  <c r="H19" i="13" s="1"/>
  <c r="H20" i="13" a="1"/>
  <c r="H20" i="13" s="1"/>
  <c r="H21" i="13" a="1"/>
  <c r="H21" i="13" s="1"/>
  <c r="H22" i="13" a="1"/>
  <c r="H22" i="13" s="1"/>
  <c r="H23" i="13" a="1"/>
  <c r="H23" i="13" s="1"/>
  <c r="I4" i="13" a="1"/>
  <c r="I4" i="13" s="1"/>
  <c r="I5" i="13" a="1"/>
  <c r="I5" i="13" s="1"/>
  <c r="I6" i="13" a="1"/>
  <c r="I6" i="13" s="1"/>
  <c r="I7" i="13" a="1"/>
  <c r="I7" i="13" s="1"/>
  <c r="I8" i="13" a="1"/>
  <c r="I8" i="13" s="1"/>
  <c r="I9" i="13" a="1"/>
  <c r="I9" i="13" s="1"/>
  <c r="I10" i="13" a="1"/>
  <c r="I10" i="13" s="1"/>
  <c r="I11" i="13" a="1"/>
  <c r="I11" i="13" s="1"/>
  <c r="I12" i="13" a="1"/>
  <c r="I12" i="13" s="1"/>
  <c r="I13" i="13" a="1"/>
  <c r="I13" i="13" s="1"/>
  <c r="I14" i="13" a="1"/>
  <c r="I14" i="13" s="1"/>
  <c r="I15" i="13" a="1"/>
  <c r="I15" i="13" s="1"/>
  <c r="I16" i="13" a="1"/>
  <c r="I16" i="13" s="1"/>
  <c r="I17" i="13" a="1"/>
  <c r="I17" i="13" s="1"/>
  <c r="I18" i="13" a="1"/>
  <c r="I18" i="13" s="1"/>
  <c r="I19" i="13" a="1"/>
  <c r="I19" i="13" s="1"/>
  <c r="I20" i="13" a="1"/>
  <c r="I20" i="13" s="1"/>
  <c r="I21" i="13" a="1"/>
  <c r="I21" i="13" s="1"/>
  <c r="I22" i="13" a="1"/>
  <c r="I22" i="13" s="1"/>
  <c r="I23" i="13" a="1"/>
  <c r="I23" i="13" s="1"/>
  <c r="J4" i="13" a="1"/>
  <c r="J4" i="13" s="1"/>
  <c r="J5" i="13" a="1"/>
  <c r="J5" i="13" s="1"/>
  <c r="J6" i="13" a="1"/>
  <c r="J6" i="13" s="1"/>
  <c r="J7" i="13" a="1"/>
  <c r="J7" i="13" s="1"/>
  <c r="J8" i="13" a="1"/>
  <c r="J8" i="13" s="1"/>
  <c r="J9" i="13" a="1"/>
  <c r="J9" i="13" s="1"/>
  <c r="J10" i="13" a="1"/>
  <c r="J10" i="13" s="1"/>
  <c r="J11" i="13" a="1"/>
  <c r="J11" i="13" s="1"/>
  <c r="J12" i="13" a="1"/>
  <c r="J12" i="13" s="1"/>
  <c r="J13" i="13" a="1"/>
  <c r="J13" i="13" s="1"/>
  <c r="J14" i="13" a="1"/>
  <c r="J14" i="13" s="1"/>
  <c r="J15" i="13" a="1"/>
  <c r="J15" i="13" s="1"/>
  <c r="J16" i="13" a="1"/>
  <c r="J16" i="13" s="1"/>
  <c r="J17" i="13" a="1"/>
  <c r="J17" i="13" s="1"/>
  <c r="J18" i="13" a="1"/>
  <c r="J18" i="13" s="1"/>
  <c r="J19" i="13" a="1"/>
  <c r="J19" i="13" s="1"/>
  <c r="J20" i="13" a="1"/>
  <c r="J20" i="13" s="1"/>
  <c r="J21" i="13" a="1"/>
  <c r="J21" i="13" s="1"/>
  <c r="J22" i="13" a="1"/>
  <c r="J22" i="13" s="1"/>
  <c r="J23" i="13" a="1"/>
  <c r="J23" i="13" s="1"/>
  <c r="K4" i="13" a="1"/>
  <c r="K4" i="13" s="1"/>
  <c r="K5" i="13" a="1"/>
  <c r="K5" i="13" s="1"/>
  <c r="K6" i="13" a="1"/>
  <c r="K6" i="13" s="1"/>
  <c r="K7" i="13" a="1"/>
  <c r="K7" i="13" s="1"/>
  <c r="K8" i="13" a="1"/>
  <c r="K8" i="13" s="1"/>
  <c r="K9" i="13" a="1"/>
  <c r="K9" i="13" s="1"/>
  <c r="K10" i="13" a="1"/>
  <c r="K10" i="13" s="1"/>
  <c r="K11" i="13" a="1"/>
  <c r="K11" i="13" s="1"/>
  <c r="K12" i="13" a="1"/>
  <c r="K12" i="13" s="1"/>
  <c r="K13" i="13" a="1"/>
  <c r="K13" i="13" s="1"/>
  <c r="K14" i="13" a="1"/>
  <c r="K14" i="13" s="1"/>
  <c r="K15" i="13" a="1"/>
  <c r="K15" i="13" s="1"/>
  <c r="K16" i="13" a="1"/>
  <c r="K16" i="13" s="1"/>
  <c r="K17" i="13" a="1"/>
  <c r="K17" i="13" s="1"/>
  <c r="K18" i="13" a="1"/>
  <c r="K18" i="13" s="1"/>
  <c r="K19" i="13" a="1"/>
  <c r="K19" i="13" s="1"/>
  <c r="K20" i="13" a="1"/>
  <c r="K20" i="13" s="1"/>
  <c r="K21" i="13" a="1"/>
  <c r="K21" i="13" s="1"/>
  <c r="K22" i="13" a="1"/>
  <c r="K22" i="13" s="1"/>
  <c r="K23" i="13" a="1"/>
  <c r="K23" i="13" s="1"/>
  <c r="L4" i="13" a="1"/>
  <c r="L4" i="13" s="1"/>
  <c r="L5" i="13" a="1"/>
  <c r="L5" i="13" s="1"/>
  <c r="L6" i="13" a="1"/>
  <c r="L6" i="13" s="1"/>
  <c r="L7" i="13" a="1"/>
  <c r="L7" i="13" s="1"/>
  <c r="L8" i="13" a="1"/>
  <c r="L8" i="13" s="1"/>
  <c r="L9" i="13" a="1"/>
  <c r="L9" i="13" s="1"/>
  <c r="L10" i="13" a="1"/>
  <c r="L10" i="13" s="1"/>
  <c r="L11" i="13" a="1"/>
  <c r="L11" i="13" s="1"/>
  <c r="L12" i="13" a="1"/>
  <c r="L12" i="13" s="1"/>
  <c r="L13" i="13" a="1"/>
  <c r="L13" i="13" s="1"/>
  <c r="L14" i="13" a="1"/>
  <c r="L14" i="13" s="1"/>
  <c r="L15" i="13" a="1"/>
  <c r="L15" i="13" s="1"/>
  <c r="L16" i="13" a="1"/>
  <c r="L16" i="13" s="1"/>
  <c r="L17" i="13" a="1"/>
  <c r="L17" i="13" s="1"/>
  <c r="L18" i="13" a="1"/>
  <c r="L18" i="13" s="1"/>
  <c r="L19" i="13" a="1"/>
  <c r="L19" i="13" s="1"/>
  <c r="L20" i="13" a="1"/>
  <c r="L20" i="13" s="1"/>
  <c r="L21" i="13" a="1"/>
  <c r="L21" i="13" s="1"/>
  <c r="L22" i="13" a="1"/>
  <c r="L22" i="13" s="1"/>
  <c r="L23" i="13" a="1"/>
  <c r="L23" i="13" s="1"/>
  <c r="M4" i="13" a="1"/>
  <c r="M4" i="13" s="1"/>
  <c r="M5" i="13" a="1"/>
  <c r="M5" i="13" s="1"/>
  <c r="M6" i="13" a="1"/>
  <c r="M6" i="13" s="1"/>
  <c r="M7" i="13" a="1"/>
  <c r="M7" i="13" s="1"/>
  <c r="M8" i="13" a="1"/>
  <c r="M8" i="13" s="1"/>
  <c r="M9" i="13" a="1"/>
  <c r="M9" i="13" s="1"/>
  <c r="M10" i="13" a="1"/>
  <c r="M10" i="13" s="1"/>
  <c r="M11" i="13" a="1"/>
  <c r="M11" i="13" s="1"/>
  <c r="M12" i="13" a="1"/>
  <c r="M12" i="13" s="1"/>
  <c r="M13" i="13" a="1"/>
  <c r="M13" i="13" s="1"/>
  <c r="M14" i="13" a="1"/>
  <c r="M14" i="13" s="1"/>
  <c r="M15" i="13" a="1"/>
  <c r="M15" i="13" s="1"/>
  <c r="M16" i="13" a="1"/>
  <c r="M16" i="13" s="1"/>
  <c r="M17" i="13" a="1"/>
  <c r="M17" i="13" s="1"/>
  <c r="M18" i="13" a="1"/>
  <c r="M18" i="13" s="1"/>
  <c r="M19" i="13" a="1"/>
  <c r="M19" i="13" s="1"/>
  <c r="M20" i="13" a="1"/>
  <c r="M20" i="13" s="1"/>
  <c r="M21" i="13" a="1"/>
  <c r="M21" i="13" s="1"/>
  <c r="M22" i="13" a="1"/>
  <c r="M22" i="13" s="1"/>
  <c r="M23" i="13" a="1"/>
  <c r="M23" i="13" s="1"/>
  <c r="N4" i="13" a="1"/>
  <c r="N4" i="13" s="1"/>
  <c r="N5" i="13" a="1"/>
  <c r="N5" i="13" s="1"/>
  <c r="N6" i="13" a="1"/>
  <c r="N6" i="13" s="1"/>
  <c r="N7" i="13" a="1"/>
  <c r="N7" i="13" s="1"/>
  <c r="N8" i="13" a="1"/>
  <c r="N8" i="13" s="1"/>
  <c r="N9" i="13" a="1"/>
  <c r="N9" i="13" s="1"/>
  <c r="N10" i="13" a="1"/>
  <c r="N10" i="13" s="1"/>
  <c r="N11" i="13" a="1"/>
  <c r="N11" i="13" s="1"/>
  <c r="N12" i="13" a="1"/>
  <c r="N12" i="13" s="1"/>
  <c r="N13" i="13" a="1"/>
  <c r="N13" i="13" s="1"/>
  <c r="N14" i="13" a="1"/>
  <c r="N14" i="13" s="1"/>
  <c r="N15" i="13" a="1"/>
  <c r="N15" i="13" s="1"/>
  <c r="N16" i="13" a="1"/>
  <c r="N16" i="13" s="1"/>
  <c r="N17" i="13" a="1"/>
  <c r="N17" i="13" s="1"/>
  <c r="N18" i="13" a="1"/>
  <c r="N18" i="13" s="1"/>
  <c r="N19" i="13" a="1"/>
  <c r="N19" i="13" s="1"/>
  <c r="N20" i="13" a="1"/>
  <c r="N20" i="13" s="1"/>
  <c r="N21" i="13" a="1"/>
  <c r="N21" i="13" s="1"/>
  <c r="N22" i="13" a="1"/>
  <c r="N22" i="13" s="1"/>
  <c r="N23" i="13" a="1"/>
  <c r="N23" i="13" s="1"/>
  <c r="O4" i="13" a="1"/>
  <c r="O4" i="13" s="1"/>
  <c r="O5" i="13" a="1"/>
  <c r="O5" i="13" s="1"/>
  <c r="O6" i="13" a="1"/>
  <c r="O6" i="13" s="1"/>
  <c r="O7" i="13" a="1"/>
  <c r="O7" i="13" s="1"/>
  <c r="O8" i="13" a="1"/>
  <c r="O8" i="13" s="1"/>
  <c r="O9" i="13" a="1"/>
  <c r="O9" i="13" s="1"/>
  <c r="O10" i="13" a="1"/>
  <c r="O10" i="13" s="1"/>
  <c r="O11" i="13" a="1"/>
  <c r="O11" i="13" s="1"/>
  <c r="O12" i="13" a="1"/>
  <c r="O12" i="13" s="1"/>
  <c r="O13" i="13" a="1"/>
  <c r="O13" i="13" s="1"/>
  <c r="O14" i="13" a="1"/>
  <c r="O14" i="13" s="1"/>
  <c r="O15" i="13" a="1"/>
  <c r="O15" i="13" s="1"/>
  <c r="O16" i="13" a="1"/>
  <c r="O16" i="13" s="1"/>
  <c r="O17" i="13" a="1"/>
  <c r="O17" i="13" s="1"/>
  <c r="O18" i="13" a="1"/>
  <c r="O18" i="13" s="1"/>
  <c r="O19" i="13" a="1"/>
  <c r="O19" i="13" s="1"/>
  <c r="O20" i="13" a="1"/>
  <c r="O20" i="13" s="1"/>
  <c r="O21" i="13" a="1"/>
  <c r="O21" i="13" s="1"/>
  <c r="O22" i="13" a="1"/>
  <c r="O22" i="13" s="1"/>
  <c r="O23" i="13" a="1"/>
  <c r="O23" i="13" s="1"/>
  <c r="P4" i="13" a="1"/>
  <c r="P4" i="13" s="1"/>
  <c r="P5" i="13" a="1"/>
  <c r="P5" i="13" s="1"/>
  <c r="P6" i="13" a="1"/>
  <c r="P6" i="13" s="1"/>
  <c r="P7" i="13" a="1"/>
  <c r="P7" i="13" s="1"/>
  <c r="P8" i="13" a="1"/>
  <c r="P8" i="13" s="1"/>
  <c r="P9" i="13" a="1"/>
  <c r="P9" i="13" s="1"/>
  <c r="P10" i="13" a="1"/>
  <c r="P10" i="13" s="1"/>
  <c r="P11" i="13" a="1"/>
  <c r="P11" i="13" s="1"/>
  <c r="P12" i="13" a="1"/>
  <c r="P12" i="13" s="1"/>
  <c r="P13" i="13" a="1"/>
  <c r="P13" i="13" s="1"/>
  <c r="P14" i="13" a="1"/>
  <c r="P14" i="13" s="1"/>
  <c r="P15" i="13" a="1"/>
  <c r="P15" i="13" s="1"/>
  <c r="P16" i="13" a="1"/>
  <c r="P16" i="13" s="1"/>
  <c r="P17" i="13" a="1"/>
  <c r="P17" i="13" s="1"/>
  <c r="P18" i="13" a="1"/>
  <c r="P18" i="13" s="1"/>
  <c r="P19" i="13" a="1"/>
  <c r="P19" i="13" s="1"/>
  <c r="P20" i="13" a="1"/>
  <c r="P20" i="13" s="1"/>
  <c r="P21" i="13" a="1"/>
  <c r="P21" i="13" s="1"/>
  <c r="P22" i="13" a="1"/>
  <c r="P22" i="13" s="1"/>
  <c r="P23" i="13" a="1"/>
  <c r="P23" i="13" s="1"/>
  <c r="Q4" i="13" a="1"/>
  <c r="Q4" i="13" s="1"/>
  <c r="Q5" i="13" a="1"/>
  <c r="Q5" i="13" s="1"/>
  <c r="Q6" i="13" a="1"/>
  <c r="Q6" i="13" s="1"/>
  <c r="Q7" i="13" a="1"/>
  <c r="Q7" i="13" s="1"/>
  <c r="Q8" i="13" a="1"/>
  <c r="Q8" i="13" s="1"/>
  <c r="Q9" i="13" a="1"/>
  <c r="Q9" i="13" s="1"/>
  <c r="Q10" i="13" a="1"/>
  <c r="Q10" i="13" s="1"/>
  <c r="Q11" i="13" a="1"/>
  <c r="Q11" i="13" s="1"/>
  <c r="Q12" i="13" a="1"/>
  <c r="Q12" i="13" s="1"/>
  <c r="Q13" i="13" a="1"/>
  <c r="Q13" i="13" s="1"/>
  <c r="Q14" i="13" a="1"/>
  <c r="Q14" i="13" s="1"/>
  <c r="Q15" i="13" a="1"/>
  <c r="Q15" i="13" s="1"/>
  <c r="Q16" i="13" a="1"/>
  <c r="Q16" i="13" s="1"/>
  <c r="Q17" i="13" a="1"/>
  <c r="Q17" i="13" s="1"/>
  <c r="Q18" i="13" a="1"/>
  <c r="Q18" i="13" s="1"/>
  <c r="Q19" i="13" a="1"/>
  <c r="Q19" i="13" s="1"/>
  <c r="Q20" i="13" a="1"/>
  <c r="Q20" i="13" s="1"/>
  <c r="Q21" i="13" a="1"/>
  <c r="Q21" i="13" s="1"/>
  <c r="Q22" i="13" a="1"/>
  <c r="Q22" i="13" s="1"/>
  <c r="Q23" i="13" a="1"/>
  <c r="Q23" i="13" s="1"/>
  <c r="R4" i="13" a="1"/>
  <c r="R4" i="13" s="1"/>
  <c r="R5" i="13" a="1"/>
  <c r="R5" i="13" s="1"/>
  <c r="R6" i="13" a="1"/>
  <c r="R6" i="13" s="1"/>
  <c r="R7" i="13" a="1"/>
  <c r="R7" i="13" s="1"/>
  <c r="R8" i="13" a="1"/>
  <c r="R8" i="13" s="1"/>
  <c r="R9" i="13" a="1"/>
  <c r="R9" i="13" s="1"/>
  <c r="R10" i="13" a="1"/>
  <c r="R10" i="13" s="1"/>
  <c r="R11" i="13" a="1"/>
  <c r="R11" i="13" s="1"/>
  <c r="R12" i="13" a="1"/>
  <c r="R12" i="13" s="1"/>
  <c r="R13" i="13" a="1"/>
  <c r="R13" i="13" s="1"/>
  <c r="R14" i="13" a="1"/>
  <c r="R14" i="13" s="1"/>
  <c r="R15" i="13" a="1"/>
  <c r="R15" i="13" s="1"/>
  <c r="R16" i="13" a="1"/>
  <c r="R16" i="13" s="1"/>
  <c r="R17" i="13" a="1"/>
  <c r="R17" i="13" s="1"/>
  <c r="R18" i="13" a="1"/>
  <c r="R18" i="13" s="1"/>
  <c r="R19" i="13" a="1"/>
  <c r="R19" i="13" s="1"/>
  <c r="R20" i="13" a="1"/>
  <c r="R20" i="13" s="1"/>
  <c r="R21" i="13" a="1"/>
  <c r="R21" i="13" s="1"/>
  <c r="R22" i="13" a="1"/>
  <c r="R22" i="13" s="1"/>
  <c r="R23" i="13" a="1"/>
  <c r="R23" i="13" s="1"/>
  <c r="S4" i="13" a="1"/>
  <c r="S4" i="13" s="1"/>
  <c r="S5" i="13" a="1"/>
  <c r="S5" i="13" s="1"/>
  <c r="S6" i="13" a="1"/>
  <c r="S6" i="13" s="1"/>
  <c r="S7" i="13" a="1"/>
  <c r="S7" i="13" s="1"/>
  <c r="S8" i="13" a="1"/>
  <c r="S8" i="13" s="1"/>
  <c r="S9" i="13" a="1"/>
  <c r="S9" i="13" s="1"/>
  <c r="S10" i="13" a="1"/>
  <c r="S10" i="13" s="1"/>
  <c r="S11" i="13" a="1"/>
  <c r="S11" i="13" s="1"/>
  <c r="S12" i="13" a="1"/>
  <c r="S12" i="13" s="1"/>
  <c r="S13" i="13" a="1"/>
  <c r="S13" i="13" s="1"/>
  <c r="S14" i="13" a="1"/>
  <c r="S14" i="13" s="1"/>
  <c r="S15" i="13" a="1"/>
  <c r="S15" i="13" s="1"/>
  <c r="S16" i="13" a="1"/>
  <c r="S16" i="13" s="1"/>
  <c r="S17" i="13" a="1"/>
  <c r="S17" i="13" s="1"/>
  <c r="S18" i="13" a="1"/>
  <c r="S18" i="13" s="1"/>
  <c r="S19" i="13" a="1"/>
  <c r="S19" i="13" s="1"/>
  <c r="S20" i="13" a="1"/>
  <c r="S20" i="13" s="1"/>
  <c r="S21" i="13" a="1"/>
  <c r="S21" i="13" s="1"/>
  <c r="S22" i="13" a="1"/>
  <c r="S22" i="13" s="1"/>
  <c r="S23" i="13" a="1"/>
  <c r="S23" i="13" s="1"/>
  <c r="C4" i="11" a="1"/>
  <c r="C4" i="11" s="1"/>
  <c r="C5" i="11" a="1"/>
  <c r="C5" i="11" s="1"/>
  <c r="C6" i="11" a="1"/>
  <c r="C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12" i="11" a="1"/>
  <c r="C12" i="11" s="1"/>
  <c r="C13" i="11" a="1"/>
  <c r="C13" i="11" s="1"/>
  <c r="C14" i="11" a="1"/>
  <c r="C14" i="11" s="1"/>
  <c r="C15" i="11" a="1"/>
  <c r="C15" i="11" s="1"/>
  <c r="C16" i="11" a="1"/>
  <c r="C16" i="11" s="1"/>
  <c r="C17" i="11" a="1"/>
  <c r="C17" i="11" s="1"/>
  <c r="C18" i="11" a="1"/>
  <c r="C18" i="11" s="1"/>
  <c r="C19" i="11" a="1"/>
  <c r="C19" i="11" s="1"/>
  <c r="C20" i="11" a="1"/>
  <c r="C20" i="11" s="1"/>
  <c r="C21" i="11" a="1"/>
  <c r="C21" i="11" s="1"/>
  <c r="C22" i="11" a="1"/>
  <c r="C22" i="11" s="1"/>
  <c r="C23" i="11" a="1"/>
  <c r="C23" i="11" s="1"/>
  <c r="D4" i="11" a="1"/>
  <c r="D4" i="11" s="1"/>
  <c r="D5" i="11" a="1"/>
  <c r="D5" i="11" s="1"/>
  <c r="D6" i="11" a="1"/>
  <c r="D6" i="11" s="1"/>
  <c r="D7" i="11" a="1"/>
  <c r="D7" i="11" s="1"/>
  <c r="D8" i="11" a="1"/>
  <c r="D8" i="11" s="1"/>
  <c r="D9" i="11" a="1"/>
  <c r="D9" i="11" s="1"/>
  <c r="D10" i="11" a="1"/>
  <c r="D10" i="11" s="1"/>
  <c r="D11" i="11" a="1"/>
  <c r="D11" i="11" s="1"/>
  <c r="D12" i="11" a="1"/>
  <c r="D12" i="11" s="1"/>
  <c r="D13" i="11" a="1"/>
  <c r="D13" i="11" s="1"/>
  <c r="D14" i="11" a="1"/>
  <c r="D14" i="11" s="1"/>
  <c r="D15" i="11" a="1"/>
  <c r="D15" i="11" s="1"/>
  <c r="D16" i="11" a="1"/>
  <c r="D16" i="11" s="1"/>
  <c r="D17" i="11" a="1"/>
  <c r="D17" i="11" s="1"/>
  <c r="D18" i="11" a="1"/>
  <c r="D18" i="11" s="1"/>
  <c r="D19" i="11" a="1"/>
  <c r="D19" i="11" s="1"/>
  <c r="D20" i="11" a="1"/>
  <c r="D20" i="11" s="1"/>
  <c r="D21" i="11" a="1"/>
  <c r="D21" i="11" s="1"/>
  <c r="D22" i="11" a="1"/>
  <c r="D22" i="11" s="1"/>
  <c r="D23" i="11" a="1"/>
  <c r="D23" i="11" s="1"/>
  <c r="E4" i="11" a="1"/>
  <c r="E4" i="11" s="1"/>
  <c r="E5" i="11" a="1"/>
  <c r="E5" i="11" s="1"/>
  <c r="E6" i="11" a="1"/>
  <c r="E6" i="11" s="1"/>
  <c r="E7" i="11" a="1"/>
  <c r="E7" i="11" s="1"/>
  <c r="E8" i="11" a="1"/>
  <c r="E8" i="11" s="1"/>
  <c r="E9" i="11" a="1"/>
  <c r="E9" i="11" s="1"/>
  <c r="E10" i="11" a="1"/>
  <c r="E10" i="11" s="1"/>
  <c r="E11" i="11" a="1"/>
  <c r="E11" i="11" s="1"/>
  <c r="E12" i="11" a="1"/>
  <c r="E12" i="11" s="1"/>
  <c r="E13" i="11" a="1"/>
  <c r="E13" i="11" s="1"/>
  <c r="E14" i="11" a="1"/>
  <c r="E14" i="11" s="1"/>
  <c r="E15" i="11" a="1"/>
  <c r="E15" i="11" s="1"/>
  <c r="E16" i="11" a="1"/>
  <c r="E16" i="11" s="1"/>
  <c r="E17" i="11" a="1"/>
  <c r="E17" i="11" s="1"/>
  <c r="E18" i="11" a="1"/>
  <c r="E18" i="11" s="1"/>
  <c r="E19" i="11" a="1"/>
  <c r="E19" i="11" s="1"/>
  <c r="E20" i="11" a="1"/>
  <c r="E20" i="11" s="1"/>
  <c r="E21" i="11" a="1"/>
  <c r="E21" i="11" s="1"/>
  <c r="E22" i="11" a="1"/>
  <c r="E22" i="11" s="1"/>
  <c r="E23" i="11" a="1"/>
  <c r="E23" i="11" s="1"/>
  <c r="F4" i="11" a="1"/>
  <c r="F4" i="11" s="1"/>
  <c r="F5" i="11" a="1"/>
  <c r="F5" i="11" s="1"/>
  <c r="F6" i="11" a="1"/>
  <c r="F6" i="11" s="1"/>
  <c r="F7" i="11" a="1"/>
  <c r="F7" i="11" s="1"/>
  <c r="F8" i="11" a="1"/>
  <c r="F8" i="11" s="1"/>
  <c r="F9" i="11" a="1"/>
  <c r="F9" i="11" s="1"/>
  <c r="F10" i="11" a="1"/>
  <c r="F10" i="11" s="1"/>
  <c r="F11" i="11" a="1"/>
  <c r="F11" i="11" s="1"/>
  <c r="F12" i="11" a="1"/>
  <c r="F12" i="11" s="1"/>
  <c r="F13" i="11" a="1"/>
  <c r="F13" i="11" s="1"/>
  <c r="F14" i="11" a="1"/>
  <c r="F14" i="11" s="1"/>
  <c r="F15" i="11" a="1"/>
  <c r="F15" i="11" s="1"/>
  <c r="F16" i="11" a="1"/>
  <c r="F16" i="11" s="1"/>
  <c r="F17" i="11" a="1"/>
  <c r="F17" i="11" s="1"/>
  <c r="F18" i="11" a="1"/>
  <c r="F18" i="11" s="1"/>
  <c r="F19" i="11" a="1"/>
  <c r="F19" i="11" s="1"/>
  <c r="F20" i="11" a="1"/>
  <c r="F20" i="11" s="1"/>
  <c r="F21" i="11" a="1"/>
  <c r="F21" i="11" s="1"/>
  <c r="F22" i="11" a="1"/>
  <c r="F22" i="11" s="1"/>
  <c r="F23" i="11" a="1"/>
  <c r="F23" i="11" s="1"/>
  <c r="G4" i="11" a="1"/>
  <c r="G4" i="11" s="1"/>
  <c r="G5" i="11" a="1"/>
  <c r="G5" i="11" s="1"/>
  <c r="G6" i="11" a="1"/>
  <c r="G6" i="11" s="1"/>
  <c r="G7" i="11" a="1"/>
  <c r="G7" i="11" s="1"/>
  <c r="G8" i="11" a="1"/>
  <c r="G8" i="11" s="1"/>
  <c r="G9" i="11" a="1"/>
  <c r="G9" i="11" s="1"/>
  <c r="G10" i="11" a="1"/>
  <c r="G10" i="11" s="1"/>
  <c r="G11" i="11" a="1"/>
  <c r="G11" i="11" s="1"/>
  <c r="G12" i="11" a="1"/>
  <c r="G12" i="11" s="1"/>
  <c r="G13" i="11" a="1"/>
  <c r="G13" i="11" s="1"/>
  <c r="G14" i="11" a="1"/>
  <c r="G14" i="11" s="1"/>
  <c r="G15" i="11" a="1"/>
  <c r="G15" i="11" s="1"/>
  <c r="G16" i="11" a="1"/>
  <c r="G16" i="11" s="1"/>
  <c r="G17" i="11" a="1"/>
  <c r="G17" i="11" s="1"/>
  <c r="G18" i="11" a="1"/>
  <c r="G18" i="11" s="1"/>
  <c r="G19" i="11" a="1"/>
  <c r="G19" i="11" s="1"/>
  <c r="G20" i="11" a="1"/>
  <c r="G20" i="11" s="1"/>
  <c r="G21" i="11" a="1"/>
  <c r="G21" i="11" s="1"/>
  <c r="G22" i="11" a="1"/>
  <c r="G22" i="11" s="1"/>
  <c r="G23" i="11" a="1"/>
  <c r="G23" i="11" s="1"/>
  <c r="H4" i="11" a="1"/>
  <c r="H4" i="11" s="1"/>
  <c r="H5" i="11" a="1"/>
  <c r="H5" i="11" s="1"/>
  <c r="H6" i="11" a="1"/>
  <c r="H6" i="11" s="1"/>
  <c r="H7" i="11" a="1"/>
  <c r="H7" i="11" s="1"/>
  <c r="H8" i="11" a="1"/>
  <c r="H8" i="11" s="1"/>
  <c r="H9" i="11" a="1"/>
  <c r="H9" i="11" s="1"/>
  <c r="H10" i="11" a="1"/>
  <c r="H10" i="11" s="1"/>
  <c r="H11" i="11" a="1"/>
  <c r="H11" i="11" s="1"/>
  <c r="H12" i="11" a="1"/>
  <c r="H12" i="11" s="1"/>
  <c r="H13" i="11" a="1"/>
  <c r="H13" i="11" s="1"/>
  <c r="H14" i="11" a="1"/>
  <c r="H14" i="11" s="1"/>
  <c r="H15" i="11" a="1"/>
  <c r="H15" i="11" s="1"/>
  <c r="H16" i="11" a="1"/>
  <c r="H16" i="11" s="1"/>
  <c r="H17" i="11" a="1"/>
  <c r="H17" i="11" s="1"/>
  <c r="H18" i="11" a="1"/>
  <c r="H18" i="11" s="1"/>
  <c r="H19" i="11" a="1"/>
  <c r="H19" i="11" s="1"/>
  <c r="H20" i="11" a="1"/>
  <c r="H20" i="11" s="1"/>
  <c r="H21" i="11" a="1"/>
  <c r="H21" i="11" s="1"/>
  <c r="H22" i="11" a="1"/>
  <c r="H22" i="11" s="1"/>
  <c r="H23" i="11" a="1"/>
  <c r="H23" i="11" s="1"/>
  <c r="I4" i="11" a="1"/>
  <c r="I4" i="11" s="1"/>
  <c r="I5" i="11" a="1"/>
  <c r="I5" i="11" s="1"/>
  <c r="I6" i="11" a="1"/>
  <c r="I6" i="11" s="1"/>
  <c r="I7" i="11" a="1"/>
  <c r="I7" i="11" s="1"/>
  <c r="I8" i="11" a="1"/>
  <c r="I8" i="11" s="1"/>
  <c r="I9" i="11" a="1"/>
  <c r="I9" i="11" s="1"/>
  <c r="I10" i="11" a="1"/>
  <c r="I10" i="11" s="1"/>
  <c r="I11" i="11" a="1"/>
  <c r="I11" i="11" s="1"/>
  <c r="I12" i="11" a="1"/>
  <c r="I12" i="11" s="1"/>
  <c r="I13" i="11" a="1"/>
  <c r="I13" i="11" s="1"/>
  <c r="I14" i="11" a="1"/>
  <c r="I14" i="11" s="1"/>
  <c r="I15" i="11" a="1"/>
  <c r="I15" i="11" s="1"/>
  <c r="I16" i="11" a="1"/>
  <c r="I16" i="11" s="1"/>
  <c r="I17" i="11" a="1"/>
  <c r="I17" i="11" s="1"/>
  <c r="I18" i="11" a="1"/>
  <c r="I18" i="11" s="1"/>
  <c r="I19" i="11" a="1"/>
  <c r="I19" i="11" s="1"/>
  <c r="I20" i="11" a="1"/>
  <c r="I20" i="11" s="1"/>
  <c r="I21" i="11" a="1"/>
  <c r="I21" i="11" s="1"/>
  <c r="I22" i="11" a="1"/>
  <c r="I22" i="11" s="1"/>
  <c r="I23" i="11" a="1"/>
  <c r="I23" i="11" s="1"/>
  <c r="J4" i="11" a="1"/>
  <c r="J4" i="11" s="1"/>
  <c r="J5" i="11" a="1"/>
  <c r="J5" i="11" s="1"/>
  <c r="J6" i="11" a="1"/>
  <c r="J6" i="11" s="1"/>
  <c r="J7" i="11" a="1"/>
  <c r="J7" i="11" s="1"/>
  <c r="J8" i="11" a="1"/>
  <c r="J8" i="11" s="1"/>
  <c r="J9" i="11" a="1"/>
  <c r="J9" i="11" s="1"/>
  <c r="J10" i="11" a="1"/>
  <c r="J10" i="11" s="1"/>
  <c r="J11" i="11" a="1"/>
  <c r="J11" i="11" s="1"/>
  <c r="J12" i="11" a="1"/>
  <c r="J12" i="11" s="1"/>
  <c r="J13" i="11" a="1"/>
  <c r="J13" i="11" s="1"/>
  <c r="J14" i="11" a="1"/>
  <c r="J14" i="11" s="1"/>
  <c r="J15" i="11" a="1"/>
  <c r="J15" i="11" s="1"/>
  <c r="J16" i="11" a="1"/>
  <c r="J16" i="11" s="1"/>
  <c r="J17" i="11" a="1"/>
  <c r="J17" i="11" s="1"/>
  <c r="J18" i="11" a="1"/>
  <c r="J18" i="11" s="1"/>
  <c r="J19" i="11" a="1"/>
  <c r="J19" i="11" s="1"/>
  <c r="J20" i="11" a="1"/>
  <c r="J20" i="11" s="1"/>
  <c r="J21" i="11" a="1"/>
  <c r="J21" i="11" s="1"/>
  <c r="J22" i="11" a="1"/>
  <c r="J22" i="11" s="1"/>
  <c r="J23" i="11" a="1"/>
  <c r="J23" i="11" s="1"/>
  <c r="K4" i="11" a="1"/>
  <c r="K4" i="11" s="1"/>
  <c r="K5" i="11" a="1"/>
  <c r="K5" i="11" s="1"/>
  <c r="K6" i="11" a="1"/>
  <c r="K6" i="11" s="1"/>
  <c r="K7" i="11" a="1"/>
  <c r="K7" i="11" s="1"/>
  <c r="K8" i="11" a="1"/>
  <c r="K8" i="11" s="1"/>
  <c r="K9" i="11" a="1"/>
  <c r="K9" i="11" s="1"/>
  <c r="K10" i="11" a="1"/>
  <c r="K10" i="11" s="1"/>
  <c r="K11" i="11" a="1"/>
  <c r="K11" i="11" s="1"/>
  <c r="K12" i="11" a="1"/>
  <c r="K12" i="11" s="1"/>
  <c r="K13" i="11" a="1"/>
  <c r="K13" i="11" s="1"/>
  <c r="K14" i="11" a="1"/>
  <c r="K14" i="11" s="1"/>
  <c r="K15" i="11" a="1"/>
  <c r="K15" i="11" s="1"/>
  <c r="K16" i="11" a="1"/>
  <c r="K16" i="11" s="1"/>
  <c r="K17" i="11" a="1"/>
  <c r="K17" i="11" s="1"/>
  <c r="K18" i="11" a="1"/>
  <c r="K18" i="11" s="1"/>
  <c r="K19" i="11" a="1"/>
  <c r="K19" i="11" s="1"/>
  <c r="K20" i="11" a="1"/>
  <c r="K20" i="11" s="1"/>
  <c r="K21" i="11" a="1"/>
  <c r="K21" i="11" s="1"/>
  <c r="K22" i="11" a="1"/>
  <c r="K22" i="11" s="1"/>
  <c r="K23" i="11" a="1"/>
  <c r="K23" i="11" s="1"/>
  <c r="L4" i="11" a="1"/>
  <c r="L4" i="11" s="1"/>
  <c r="L5" i="11" a="1"/>
  <c r="L5" i="11" s="1"/>
  <c r="L6" i="11" a="1"/>
  <c r="L6" i="11" s="1"/>
  <c r="L7" i="11" a="1"/>
  <c r="L7" i="11" s="1"/>
  <c r="L8" i="11" a="1"/>
  <c r="L8" i="11" s="1"/>
  <c r="L9" i="11" a="1"/>
  <c r="L9" i="11" s="1"/>
  <c r="L10" i="11" a="1"/>
  <c r="L10" i="11" s="1"/>
  <c r="L11" i="11" a="1"/>
  <c r="L11" i="11" s="1"/>
  <c r="L12" i="11" a="1"/>
  <c r="L12" i="11" s="1"/>
  <c r="L13" i="11" a="1"/>
  <c r="L13" i="11" s="1"/>
  <c r="L14" i="11" a="1"/>
  <c r="L14" i="11" s="1"/>
  <c r="L15" i="11" a="1"/>
  <c r="L15" i="11" s="1"/>
  <c r="L16" i="11" a="1"/>
  <c r="L16" i="11" s="1"/>
  <c r="L17" i="11" a="1"/>
  <c r="L17" i="11" s="1"/>
  <c r="L18" i="11" a="1"/>
  <c r="L18" i="11" s="1"/>
  <c r="L19" i="11" a="1"/>
  <c r="L19" i="11" s="1"/>
  <c r="L20" i="11" a="1"/>
  <c r="L20" i="11" s="1"/>
  <c r="L21" i="11" a="1"/>
  <c r="L21" i="11" s="1"/>
  <c r="L22" i="11" a="1"/>
  <c r="L22" i="11" s="1"/>
  <c r="L23" i="11" a="1"/>
  <c r="L23" i="11" s="1"/>
  <c r="M4" i="11" a="1"/>
  <c r="M4" i="11" s="1"/>
  <c r="M5" i="11" a="1"/>
  <c r="M5" i="11" s="1"/>
  <c r="M6" i="11" a="1"/>
  <c r="M6" i="11" s="1"/>
  <c r="M7" i="11" a="1"/>
  <c r="M7" i="11" s="1"/>
  <c r="M8" i="11" a="1"/>
  <c r="M8" i="11" s="1"/>
  <c r="M9" i="11" a="1"/>
  <c r="M9" i="11" s="1"/>
  <c r="M10" i="11" a="1"/>
  <c r="M10" i="11" s="1"/>
  <c r="M11" i="11" a="1"/>
  <c r="M11" i="11" s="1"/>
  <c r="M12" i="11" a="1"/>
  <c r="M12" i="11" s="1"/>
  <c r="M13" i="11" a="1"/>
  <c r="M13" i="11" s="1"/>
  <c r="M14" i="11" a="1"/>
  <c r="M14" i="11" s="1"/>
  <c r="M15" i="11" a="1"/>
  <c r="M15" i="11" s="1"/>
  <c r="M16" i="11" a="1"/>
  <c r="M16" i="11" s="1"/>
  <c r="M17" i="11" a="1"/>
  <c r="M17" i="11" s="1"/>
  <c r="M18" i="11" a="1"/>
  <c r="M18" i="11" s="1"/>
  <c r="M19" i="11" a="1"/>
  <c r="M19" i="11" s="1"/>
  <c r="M20" i="11" a="1"/>
  <c r="M20" i="11" s="1"/>
  <c r="M21" i="11" a="1"/>
  <c r="M21" i="11" s="1"/>
  <c r="M22" i="11" a="1"/>
  <c r="M22" i="11" s="1"/>
  <c r="M23" i="11" a="1"/>
  <c r="M23" i="11" s="1"/>
  <c r="C4" i="10" a="1"/>
  <c r="C4" i="10" s="1"/>
  <c r="C5" i="10" a="1"/>
  <c r="C5" i="10" s="1"/>
  <c r="C6" i="10" a="1"/>
  <c r="C6" i="10" s="1"/>
  <c r="C7" i="10" a="1"/>
  <c r="C7" i="10" s="1"/>
  <c r="C8" i="10" a="1"/>
  <c r="C8" i="10" s="1"/>
  <c r="C9" i="10" a="1"/>
  <c r="C9" i="10" s="1"/>
  <c r="C10" i="10" a="1"/>
  <c r="C10" i="10" s="1"/>
  <c r="C11" i="10" a="1"/>
  <c r="C11" i="10" s="1"/>
  <c r="C12" i="10" a="1"/>
  <c r="C12" i="10" s="1"/>
  <c r="C13" i="10" a="1"/>
  <c r="C13" i="10" s="1"/>
  <c r="C14" i="10" a="1"/>
  <c r="C14" i="10" s="1"/>
  <c r="C15" i="10" a="1"/>
  <c r="C15" i="10" s="1"/>
  <c r="C16" i="10" a="1"/>
  <c r="C16" i="10" s="1"/>
  <c r="C17" i="10" a="1"/>
  <c r="C17" i="10" s="1"/>
  <c r="C18" i="10" a="1"/>
  <c r="C18" i="10" s="1"/>
  <c r="C19" i="10" a="1"/>
  <c r="C19" i="10" s="1"/>
  <c r="C20" i="10" a="1"/>
  <c r="C20" i="10" s="1"/>
  <c r="C21" i="10" a="1"/>
  <c r="C21" i="10" s="1"/>
  <c r="C22" i="10" a="1"/>
  <c r="C22" i="10" s="1"/>
  <c r="C23" i="10" a="1"/>
  <c r="C23" i="10" s="1"/>
  <c r="D4" i="10" a="1"/>
  <c r="D4" i="10" s="1"/>
  <c r="D5" i="10" a="1"/>
  <c r="D5" i="10" s="1"/>
  <c r="D6" i="10" a="1"/>
  <c r="D6" i="10" s="1"/>
  <c r="D7" i="10" a="1"/>
  <c r="D7" i="10" s="1"/>
  <c r="D8" i="10" a="1"/>
  <c r="D8" i="10" s="1"/>
  <c r="D9" i="10" a="1"/>
  <c r="D9" i="10" s="1"/>
  <c r="D10" i="10" a="1"/>
  <c r="D10" i="10" s="1"/>
  <c r="D11" i="10" a="1"/>
  <c r="D11" i="10" s="1"/>
  <c r="D12" i="10" a="1"/>
  <c r="D12" i="10" s="1"/>
  <c r="D13" i="10" a="1"/>
  <c r="D13" i="10" s="1"/>
  <c r="D14" i="10" a="1"/>
  <c r="D14" i="10" s="1"/>
  <c r="D15" i="10" a="1"/>
  <c r="D15" i="10" s="1"/>
  <c r="D16" i="10" a="1"/>
  <c r="D16" i="10" s="1"/>
  <c r="D17" i="10" a="1"/>
  <c r="D17" i="10" s="1"/>
  <c r="D18" i="10" a="1"/>
  <c r="D18" i="10" s="1"/>
  <c r="D19" i="10" a="1"/>
  <c r="D19" i="10" s="1"/>
  <c r="D20" i="10" a="1"/>
  <c r="D20" i="10" s="1"/>
  <c r="D21" i="10" a="1"/>
  <c r="D21" i="10" s="1"/>
  <c r="D22" i="10" a="1"/>
  <c r="D22" i="10" s="1"/>
  <c r="D23" i="10" a="1"/>
  <c r="D23" i="10" s="1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F4" i="10" a="1"/>
  <c r="F4" i="10" s="1"/>
  <c r="F5" i="10" a="1"/>
  <c r="F5" i="10" s="1"/>
  <c r="F6" i="10" a="1"/>
  <c r="F6" i="10" s="1"/>
  <c r="F7" i="10" a="1"/>
  <c r="F7" i="10" s="1"/>
  <c r="F8" i="10" a="1"/>
  <c r="F8" i="10" s="1"/>
  <c r="F9" i="10" a="1"/>
  <c r="F9" i="10" s="1"/>
  <c r="F10" i="10" a="1"/>
  <c r="F10" i="10" s="1"/>
  <c r="F11" i="10" a="1"/>
  <c r="F11" i="10" s="1"/>
  <c r="F12" i="10" a="1"/>
  <c r="F12" i="10" s="1"/>
  <c r="F13" i="10" a="1"/>
  <c r="F13" i="10" s="1"/>
  <c r="F14" i="10" a="1"/>
  <c r="F14" i="10" s="1"/>
  <c r="F15" i="10" a="1"/>
  <c r="F15" i="10" s="1"/>
  <c r="F16" i="10" a="1"/>
  <c r="F16" i="10" s="1"/>
  <c r="F17" i="10" a="1"/>
  <c r="F17" i="10" s="1"/>
  <c r="F18" i="10" a="1"/>
  <c r="F18" i="10" s="1"/>
  <c r="F19" i="10" a="1"/>
  <c r="F19" i="10" s="1"/>
  <c r="F20" i="10" a="1"/>
  <c r="F20" i="10" s="1"/>
  <c r="F21" i="10" a="1"/>
  <c r="F21" i="10" s="1"/>
  <c r="F22" i="10" a="1"/>
  <c r="F22" i="10" s="1"/>
  <c r="F23" i="10" a="1"/>
  <c r="F23" i="10" s="1"/>
  <c r="G4" i="10" a="1"/>
  <c r="G4" i="10" s="1"/>
  <c r="G5" i="10" a="1"/>
  <c r="G5" i="10" s="1"/>
  <c r="G6" i="10" a="1"/>
  <c r="G6" i="10" s="1"/>
  <c r="G7" i="10" a="1"/>
  <c r="G7" i="10" s="1"/>
  <c r="G8" i="10" a="1"/>
  <c r="G8" i="10" s="1"/>
  <c r="G9" i="10" a="1"/>
  <c r="G9" i="10" s="1"/>
  <c r="G10" i="10" a="1"/>
  <c r="G10" i="10" s="1"/>
  <c r="G11" i="10" a="1"/>
  <c r="G11" i="10" s="1"/>
  <c r="G12" i="10" a="1"/>
  <c r="G12" i="10" s="1"/>
  <c r="G13" i="10" a="1"/>
  <c r="G13" i="10" s="1"/>
  <c r="G14" i="10" a="1"/>
  <c r="G14" i="10" s="1"/>
  <c r="G15" i="10" a="1"/>
  <c r="G15" i="10" s="1"/>
  <c r="G16" i="10" a="1"/>
  <c r="G16" i="10" s="1"/>
  <c r="G17" i="10" a="1"/>
  <c r="G17" i="10" s="1"/>
  <c r="G18" i="10" a="1"/>
  <c r="G18" i="10" s="1"/>
  <c r="G19" i="10" a="1"/>
  <c r="G19" i="10" s="1"/>
  <c r="G20" i="10" a="1"/>
  <c r="G20" i="10" s="1"/>
  <c r="G21" i="10" a="1"/>
  <c r="G21" i="10" s="1"/>
  <c r="G22" i="10" a="1"/>
  <c r="G22" i="10" s="1"/>
  <c r="G23" i="10" a="1"/>
  <c r="G23" i="10" s="1"/>
  <c r="H4" i="10" a="1"/>
  <c r="H4" i="10" s="1"/>
  <c r="H5" i="10" a="1"/>
  <c r="H5" i="10" s="1"/>
  <c r="H6" i="10" a="1"/>
  <c r="H6" i="10" s="1"/>
  <c r="H7" i="10" a="1"/>
  <c r="H7" i="10" s="1"/>
  <c r="H8" i="10" a="1"/>
  <c r="H8" i="10" s="1"/>
  <c r="H9" i="10" a="1"/>
  <c r="H9" i="10" s="1"/>
  <c r="H10" i="10" a="1"/>
  <c r="H10" i="10" s="1"/>
  <c r="H11" i="10" a="1"/>
  <c r="H11" i="10" s="1"/>
  <c r="H12" i="10" a="1"/>
  <c r="H12" i="10" s="1"/>
  <c r="H13" i="10" a="1"/>
  <c r="H13" i="10" s="1"/>
  <c r="H14" i="10" a="1"/>
  <c r="H14" i="10" s="1"/>
  <c r="H15" i="10" a="1"/>
  <c r="H15" i="10" s="1"/>
  <c r="H16" i="10" a="1"/>
  <c r="H16" i="10" s="1"/>
  <c r="H17" i="10" a="1"/>
  <c r="H17" i="10" s="1"/>
  <c r="H18" i="10" a="1"/>
  <c r="H18" i="10" s="1"/>
  <c r="H19" i="10" a="1"/>
  <c r="H19" i="10" s="1"/>
  <c r="H20" i="10" a="1"/>
  <c r="H20" i="10" s="1"/>
  <c r="H21" i="10" a="1"/>
  <c r="H21" i="10" s="1"/>
  <c r="H22" i="10" a="1"/>
  <c r="H22" i="10" s="1"/>
  <c r="H23" i="10" a="1"/>
  <c r="H23" i="10" s="1"/>
  <c r="I4" i="10" a="1"/>
  <c r="I4" i="10" s="1"/>
  <c r="I5" i="10" a="1"/>
  <c r="I5" i="10" s="1"/>
  <c r="I6" i="10" a="1"/>
  <c r="I6" i="10" s="1"/>
  <c r="I7" i="10" a="1"/>
  <c r="I7" i="10" s="1"/>
  <c r="I8" i="10" a="1"/>
  <c r="I8" i="10" s="1"/>
  <c r="I9" i="10" a="1"/>
  <c r="I9" i="10" s="1"/>
  <c r="I10" i="10" a="1"/>
  <c r="I10" i="10" s="1"/>
  <c r="I11" i="10" a="1"/>
  <c r="I11" i="10" s="1"/>
  <c r="I12" i="10" a="1"/>
  <c r="I12" i="10" s="1"/>
  <c r="I13" i="10" a="1"/>
  <c r="I13" i="10" s="1"/>
  <c r="I14" i="10" a="1"/>
  <c r="I14" i="10" s="1"/>
  <c r="I15" i="10" a="1"/>
  <c r="I15" i="10" s="1"/>
  <c r="I16" i="10" a="1"/>
  <c r="I16" i="10" s="1"/>
  <c r="I17" i="10" a="1"/>
  <c r="I17" i="10" s="1"/>
  <c r="I18" i="10" a="1"/>
  <c r="I18" i="10" s="1"/>
  <c r="I19" i="10" a="1"/>
  <c r="I19" i="10" s="1"/>
  <c r="I20" i="10" a="1"/>
  <c r="I20" i="10" s="1"/>
  <c r="I21" i="10" a="1"/>
  <c r="I21" i="10" s="1"/>
  <c r="I22" i="10" a="1"/>
  <c r="I22" i="10" s="1"/>
  <c r="I23" i="10" a="1"/>
  <c r="I23" i="10" s="1"/>
  <c r="J4" i="10" a="1"/>
  <c r="J4" i="10" s="1"/>
  <c r="J5" i="10" a="1"/>
  <c r="J5" i="10" s="1"/>
  <c r="J6" i="10" a="1"/>
  <c r="J6" i="10" s="1"/>
  <c r="J7" i="10" a="1"/>
  <c r="J7" i="10" s="1"/>
  <c r="J8" i="10" a="1"/>
  <c r="J8" i="10" s="1"/>
  <c r="J9" i="10" a="1"/>
  <c r="J9" i="10" s="1"/>
  <c r="J10" i="10" a="1"/>
  <c r="J10" i="10" s="1"/>
  <c r="J11" i="10" a="1"/>
  <c r="J11" i="10" s="1"/>
  <c r="J12" i="10" a="1"/>
  <c r="J12" i="10" s="1"/>
  <c r="J13" i="10" a="1"/>
  <c r="J13" i="10" s="1"/>
  <c r="J14" i="10" a="1"/>
  <c r="J14" i="10" s="1"/>
  <c r="J15" i="10" a="1"/>
  <c r="J15" i="10" s="1"/>
  <c r="J16" i="10" a="1"/>
  <c r="J16" i="10" s="1"/>
  <c r="J17" i="10" a="1"/>
  <c r="J17" i="10" s="1"/>
  <c r="J18" i="10" a="1"/>
  <c r="J18" i="10" s="1"/>
  <c r="J19" i="10" a="1"/>
  <c r="J19" i="10" s="1"/>
  <c r="J20" i="10" a="1"/>
  <c r="J20" i="10" s="1"/>
  <c r="J21" i="10" a="1"/>
  <c r="J21" i="10" s="1"/>
  <c r="J22" i="10" a="1"/>
  <c r="J22" i="10" s="1"/>
  <c r="J23" i="10" a="1"/>
  <c r="J23" i="10" s="1"/>
  <c r="E4" i="15" a="1"/>
  <c r="E4" i="15" s="1"/>
  <c r="E3" i="15" a="1"/>
  <c r="E3" i="15" s="1"/>
  <c r="D4" i="15"/>
  <c r="D3" i="15"/>
  <c r="C4" i="15"/>
  <c r="C3" i="15"/>
  <c r="G6" i="16" l="1"/>
  <c r="H5" i="16"/>
  <c r="H10" i="16"/>
  <c r="G5" i="16"/>
  <c r="H9" i="16"/>
  <c r="G10" i="16"/>
  <c r="H8" i="16"/>
  <c r="G9" i="16"/>
  <c r="H7" i="16"/>
  <c r="G8" i="16"/>
  <c r="H6" i="16"/>
  <c r="G7" i="16"/>
  <c r="H4" i="16"/>
  <c r="L12" i="2" a="1"/>
  <c r="L12" i="2" s="1"/>
  <c r="L20" i="2" a="1"/>
  <c r="L20" i="2" s="1"/>
  <c r="N12" i="2" a="1"/>
  <c r="N12" i="2" s="1"/>
  <c r="O16" i="2" a="1"/>
  <c r="O16" i="2" s="1"/>
  <c r="P4" i="2" a="1"/>
  <c r="P4" i="2" s="1"/>
  <c r="P12" i="2" a="1"/>
  <c r="P12" i="2" s="1"/>
  <c r="C9" i="2" a="1"/>
  <c r="C9" i="2" s="1"/>
  <c r="D13" i="2" a="1"/>
  <c r="D13" i="2" s="1"/>
  <c r="D21" i="2" a="1"/>
  <c r="D21" i="2" s="1"/>
  <c r="E9" i="2" a="1"/>
  <c r="E9" i="2" s="1"/>
  <c r="E17" i="2" a="1"/>
  <c r="E17" i="2" s="1"/>
  <c r="F5" i="2" a="1"/>
  <c r="F5" i="2" s="1"/>
  <c r="F13" i="2" a="1"/>
  <c r="F13" i="2" s="1"/>
  <c r="G17" i="2" a="1"/>
  <c r="G17" i="2" s="1"/>
  <c r="H5" i="2" a="1"/>
  <c r="H5" i="2" s="1"/>
  <c r="H13" i="2" a="1"/>
  <c r="H13" i="2" s="1"/>
  <c r="H21" i="2" a="1"/>
  <c r="H21" i="2" s="1"/>
  <c r="I9" i="2" a="1"/>
  <c r="I9" i="2" s="1"/>
  <c r="I17" i="2" a="1"/>
  <c r="I17" i="2" s="1"/>
  <c r="J21" i="2" a="1"/>
  <c r="J21" i="2" s="1"/>
  <c r="K9" i="2" a="1"/>
  <c r="K9" i="2" s="1"/>
  <c r="K17" i="2" a="1"/>
  <c r="K17" i="2" s="1"/>
  <c r="L5" i="2" a="1"/>
  <c r="L5" i="2" s="1"/>
  <c r="L13" i="2" a="1"/>
  <c r="L13" i="2" s="1"/>
  <c r="L21" i="2" a="1"/>
  <c r="L21" i="2" s="1"/>
  <c r="N5" i="2" a="1"/>
  <c r="N5" i="2" s="1"/>
  <c r="N13" i="2" a="1"/>
  <c r="N13" i="2" s="1"/>
  <c r="N21" i="2" a="1"/>
  <c r="N21" i="2" s="1"/>
  <c r="O9" i="2" a="1"/>
  <c r="O9" i="2" s="1"/>
  <c r="O17" i="2" a="1"/>
  <c r="O17" i="2" s="1"/>
  <c r="P5" i="2" a="1"/>
  <c r="P5" i="2" s="1"/>
  <c r="C10" i="2" a="1"/>
  <c r="C10" i="2" s="1"/>
  <c r="C18" i="2" a="1"/>
  <c r="C18" i="2" s="1"/>
  <c r="D6" i="2" a="1"/>
  <c r="D6" i="2" s="1"/>
  <c r="D14" i="2" a="1"/>
  <c r="D14" i="2" s="1"/>
  <c r="D22" i="2" a="1"/>
  <c r="D22" i="2" s="1"/>
  <c r="E10" i="2" a="1"/>
  <c r="E10" i="2" s="1"/>
  <c r="F6" i="2" a="1"/>
  <c r="F6" i="2" s="1"/>
  <c r="F14" i="2" a="1"/>
  <c r="F14" i="2" s="1"/>
  <c r="F22" i="2" a="1"/>
  <c r="F22" i="2" s="1"/>
  <c r="G10" i="2" a="1"/>
  <c r="G10" i="2" s="1"/>
  <c r="G18" i="2" a="1"/>
  <c r="G18" i="2" s="1"/>
  <c r="H6" i="2" a="1"/>
  <c r="H6" i="2" s="1"/>
  <c r="H14" i="2" a="1"/>
  <c r="H14" i="2" s="1"/>
  <c r="I10" i="2" a="1"/>
  <c r="I10" i="2" s="1"/>
  <c r="I18" i="2" a="1"/>
  <c r="I18" i="2" s="1"/>
  <c r="J6" i="2" a="1"/>
  <c r="J6" i="2" s="1"/>
  <c r="J14" i="2" a="1"/>
  <c r="J14" i="2" s="1"/>
  <c r="J22" i="2" a="1"/>
  <c r="J22" i="2" s="1"/>
  <c r="K10" i="2" a="1"/>
  <c r="K10" i="2" s="1"/>
  <c r="K18" i="2" a="1"/>
  <c r="K18" i="2" s="1"/>
  <c r="L6" i="2" a="1"/>
  <c r="L6" i="2" s="1"/>
  <c r="L14" i="2" a="1"/>
  <c r="L14" i="2" s="1"/>
  <c r="L22" i="2" a="1"/>
  <c r="L22" i="2" s="1"/>
  <c r="M10" i="2" a="1"/>
  <c r="M10" i="2" s="1"/>
  <c r="M18" i="2" a="1"/>
  <c r="M18" i="2" s="1"/>
  <c r="N6" i="2" a="1"/>
  <c r="N6" i="2" s="1"/>
  <c r="N14" i="2" a="1"/>
  <c r="N14" i="2" s="1"/>
  <c r="N22" i="2" a="1"/>
  <c r="N22" i="2" s="1"/>
  <c r="O10" i="2" a="1"/>
  <c r="O10" i="2" s="1"/>
  <c r="O18" i="2" a="1"/>
  <c r="O18" i="2" s="1"/>
  <c r="P6" i="2" a="1"/>
  <c r="P6" i="2" s="1"/>
  <c r="P14" i="2" a="1"/>
  <c r="P14" i="2" s="1"/>
  <c r="C11" i="2" a="1"/>
  <c r="C11" i="2" s="1"/>
  <c r="C19" i="2" a="1"/>
  <c r="C19" i="2" s="1"/>
  <c r="D7" i="2" a="1"/>
  <c r="D7" i="2" s="1"/>
  <c r="D15" i="2" a="1"/>
  <c r="D15" i="2" s="1"/>
  <c r="D23" i="2" a="1"/>
  <c r="D23" i="2" s="1"/>
  <c r="E11" i="2" a="1"/>
  <c r="E11" i="2" s="1"/>
  <c r="E19" i="2" a="1"/>
  <c r="E19" i="2" s="1"/>
  <c r="F7" i="2" a="1"/>
  <c r="F7" i="2" s="1"/>
  <c r="F15" i="2" a="1"/>
  <c r="F15" i="2" s="1"/>
  <c r="F23" i="2" a="1"/>
  <c r="F23" i="2" s="1"/>
  <c r="G11" i="2" a="1"/>
  <c r="G11" i="2" s="1"/>
  <c r="G19" i="2" a="1"/>
  <c r="G19" i="2" s="1"/>
  <c r="H7" i="2" a="1"/>
  <c r="H7" i="2" s="1"/>
  <c r="H15" i="2" a="1"/>
  <c r="H15" i="2" s="1"/>
  <c r="H23" i="2" a="1"/>
  <c r="H23" i="2" s="1"/>
  <c r="I11" i="2" a="1"/>
  <c r="I11" i="2" s="1"/>
  <c r="I19" i="2" a="1"/>
  <c r="I19" i="2" s="1"/>
  <c r="J7" i="2" a="1"/>
  <c r="J7" i="2" s="1"/>
  <c r="J15" i="2" a="1"/>
  <c r="J15" i="2" s="1"/>
  <c r="J23" i="2" a="1"/>
  <c r="J23" i="2" s="1"/>
  <c r="K11" i="2" a="1"/>
  <c r="K11" i="2" s="1"/>
  <c r="K19" i="2" a="1"/>
  <c r="K19" i="2" s="1"/>
  <c r="L7" i="2" a="1"/>
  <c r="L7" i="2" s="1"/>
  <c r="L15" i="2" a="1"/>
  <c r="L15" i="2" s="1"/>
  <c r="L23" i="2" a="1"/>
  <c r="L23" i="2" s="1"/>
  <c r="M11" i="2" a="1"/>
  <c r="M11" i="2" s="1"/>
  <c r="M19" i="2" a="1"/>
  <c r="M19" i="2" s="1"/>
  <c r="N7" i="2" a="1"/>
  <c r="N7" i="2" s="1"/>
  <c r="N15" i="2" a="1"/>
  <c r="N15" i="2" s="1"/>
  <c r="N23" i="2" a="1"/>
  <c r="N23" i="2" s="1"/>
  <c r="O11" i="2" a="1"/>
  <c r="O11" i="2" s="1"/>
  <c r="O19" i="2" a="1"/>
  <c r="O19" i="2" s="1"/>
  <c r="P7" i="2" a="1"/>
  <c r="P7" i="2" s="1"/>
  <c r="P15" i="2" a="1"/>
  <c r="P15" i="2" s="1"/>
  <c r="C4" i="2" a="1"/>
  <c r="C4" i="2" s="1"/>
  <c r="C12" i="2" a="1"/>
  <c r="C12" i="2" s="1"/>
  <c r="C20" i="2" a="1"/>
  <c r="C20" i="2" s="1"/>
  <c r="D8" i="2" a="1"/>
  <c r="D8" i="2" s="1"/>
  <c r="D16" i="2" a="1"/>
  <c r="D16" i="2" s="1"/>
  <c r="E4" i="2" a="1"/>
  <c r="E4" i="2" s="1"/>
  <c r="E12" i="2" a="1"/>
  <c r="E12" i="2" s="1"/>
  <c r="E20" i="2" a="1"/>
  <c r="E20" i="2" s="1"/>
  <c r="F8" i="2" a="1"/>
  <c r="F8" i="2" s="1"/>
  <c r="F16" i="2" a="1"/>
  <c r="F16" i="2" s="1"/>
  <c r="G4" i="2" a="1"/>
  <c r="G4" i="2" s="1"/>
  <c r="G12" i="2" a="1"/>
  <c r="G12" i="2" s="1"/>
  <c r="G20" i="2" a="1"/>
  <c r="G20" i="2" s="1"/>
  <c r="H8" i="2" a="1"/>
  <c r="H8" i="2" s="1"/>
  <c r="H16" i="2" a="1"/>
  <c r="H16" i="2" s="1"/>
  <c r="I4" i="2" a="1"/>
  <c r="I4" i="2" s="1"/>
  <c r="I12" i="2" a="1"/>
  <c r="I12" i="2" s="1"/>
  <c r="I20" i="2" a="1"/>
  <c r="I20" i="2" s="1"/>
  <c r="J8" i="2" a="1"/>
  <c r="J8" i="2" s="1"/>
  <c r="J16" i="2" a="1"/>
  <c r="J16" i="2" s="1"/>
  <c r="K4" i="2" a="1"/>
  <c r="K4" i="2" s="1"/>
  <c r="K12" i="2" a="1"/>
  <c r="K12" i="2" s="1"/>
  <c r="K20" i="2" a="1"/>
  <c r="K20" i="2" s="1"/>
  <c r="L8" i="2" a="1"/>
  <c r="L8" i="2" s="1"/>
  <c r="L16" i="2" a="1"/>
  <c r="L16" i="2" s="1"/>
  <c r="M4" i="2" a="1"/>
  <c r="M4" i="2" s="1"/>
  <c r="M12" i="2" a="1"/>
  <c r="M12" i="2" s="1"/>
  <c r="M20" i="2" a="1"/>
  <c r="M20" i="2" s="1"/>
  <c r="N8" i="2" a="1"/>
  <c r="N8" i="2" s="1"/>
  <c r="N16" i="2" a="1"/>
  <c r="N16" i="2" s="1"/>
  <c r="O4" i="2" a="1"/>
  <c r="O4" i="2" s="1"/>
  <c r="O12" i="2" a="1"/>
  <c r="O12" i="2" s="1"/>
  <c r="O20" i="2" a="1"/>
  <c r="O20" i="2" s="1"/>
  <c r="P8" i="2" a="1"/>
  <c r="P8" i="2" s="1"/>
  <c r="P16" i="2" a="1"/>
  <c r="P16" i="2" s="1"/>
  <c r="H17" i="2" a="1"/>
  <c r="H17" i="2" s="1"/>
  <c r="I5" i="2" a="1"/>
  <c r="I5" i="2" s="1"/>
  <c r="I13" i="2" a="1"/>
  <c r="I13" i="2" s="1"/>
  <c r="J9" i="2" a="1"/>
  <c r="J9" i="2" s="1"/>
  <c r="J17" i="2" a="1"/>
  <c r="J17" i="2" s="1"/>
  <c r="K5" i="2" a="1"/>
  <c r="K5" i="2" s="1"/>
  <c r="K21" i="2" a="1"/>
  <c r="K21" i="2" s="1"/>
  <c r="L9" i="2" a="1"/>
  <c r="L9" i="2" s="1"/>
  <c r="L17" i="2" a="1"/>
  <c r="L17" i="2" s="1"/>
  <c r="M13" i="2" a="1"/>
  <c r="M13" i="2" s="1"/>
  <c r="M21" i="2" a="1"/>
  <c r="M21" i="2" s="1"/>
  <c r="N17" i="2" a="1"/>
  <c r="N17" i="2" s="1"/>
  <c r="O5" i="2" a="1"/>
  <c r="O5" i="2" s="1"/>
  <c r="O13" i="2" a="1"/>
  <c r="O13" i="2" s="1"/>
  <c r="O21" i="2" a="1"/>
  <c r="O21" i="2" s="1"/>
  <c r="P17" i="2" a="1"/>
  <c r="P17" i="2" s="1"/>
  <c r="C5" i="2" a="1"/>
  <c r="C5" i="2" s="1"/>
  <c r="C13" i="2" a="1"/>
  <c r="C13" i="2" s="1"/>
  <c r="C21" i="2" a="1"/>
  <c r="C21" i="2" s="1"/>
  <c r="D9" i="2" a="1"/>
  <c r="D9" i="2" s="1"/>
  <c r="D17" i="2" a="1"/>
  <c r="D17" i="2" s="1"/>
  <c r="E5" i="2" a="1"/>
  <c r="E5" i="2" s="1"/>
  <c r="E13" i="2" a="1"/>
  <c r="E13" i="2" s="1"/>
  <c r="E21" i="2" a="1"/>
  <c r="E21" i="2" s="1"/>
  <c r="F9" i="2" a="1"/>
  <c r="F9" i="2" s="1"/>
  <c r="F17" i="2" a="1"/>
  <c r="F17" i="2" s="1"/>
  <c r="G5" i="2" a="1"/>
  <c r="G5" i="2" s="1"/>
  <c r="G13" i="2" a="1"/>
  <c r="G13" i="2" s="1"/>
  <c r="G21" i="2" a="1"/>
  <c r="G21" i="2" s="1"/>
  <c r="H9" i="2" a="1"/>
  <c r="H9" i="2" s="1"/>
  <c r="I21" i="2" a="1"/>
  <c r="I21" i="2" s="1"/>
  <c r="K13" i="2" a="1"/>
  <c r="K13" i="2" s="1"/>
  <c r="M5" i="2" a="1"/>
  <c r="M5" i="2" s="1"/>
  <c r="N9" i="2" a="1"/>
  <c r="N9" i="2" s="1"/>
  <c r="P9" i="2" a="1"/>
  <c r="P9" i="2" s="1"/>
  <c r="K22" i="2" a="1"/>
  <c r="K22" i="2" s="1"/>
  <c r="L10" i="2" a="1"/>
  <c r="L10" i="2" s="1"/>
  <c r="L18" i="2" a="1"/>
  <c r="L18" i="2" s="1"/>
  <c r="M6" i="2" a="1"/>
  <c r="M6" i="2" s="1"/>
  <c r="M14" i="2" a="1"/>
  <c r="M14" i="2" s="1"/>
  <c r="M22" i="2" a="1"/>
  <c r="M22" i="2" s="1"/>
  <c r="N10" i="2" a="1"/>
  <c r="N10" i="2" s="1"/>
  <c r="N18" i="2" a="1"/>
  <c r="N18" i="2" s="1"/>
  <c r="O6" i="2" a="1"/>
  <c r="O6" i="2" s="1"/>
  <c r="O14" i="2" a="1"/>
  <c r="O14" i="2" s="1"/>
  <c r="O22" i="2" a="1"/>
  <c r="O22" i="2" s="1"/>
  <c r="P10" i="2" a="1"/>
  <c r="P10" i="2" s="1"/>
  <c r="P18" i="2" a="1"/>
  <c r="P18" i="2" s="1"/>
  <c r="N11" i="2" a="1"/>
  <c r="N11" i="2" s="1"/>
  <c r="O7" i="2" a="1"/>
  <c r="O7" i="2" s="1"/>
  <c r="O15" i="2" a="1"/>
  <c r="O15" i="2" s="1"/>
  <c r="P11" i="2" a="1"/>
  <c r="P11" i="2" s="1"/>
  <c r="P22" i="2" a="1"/>
  <c r="P22" i="2" s="1"/>
  <c r="C6" i="2" a="1"/>
  <c r="C6" i="2" s="1"/>
  <c r="C14" i="2" a="1"/>
  <c r="C14" i="2" s="1"/>
  <c r="C22" i="2" a="1"/>
  <c r="C22" i="2" s="1"/>
  <c r="D10" i="2" a="1"/>
  <c r="D10" i="2" s="1"/>
  <c r="D18" i="2" a="1"/>
  <c r="D18" i="2" s="1"/>
  <c r="E6" i="2" a="1"/>
  <c r="E6" i="2" s="1"/>
  <c r="E14" i="2" a="1"/>
  <c r="E14" i="2" s="1"/>
  <c r="E22" i="2" a="1"/>
  <c r="E22" i="2" s="1"/>
  <c r="F10" i="2" a="1"/>
  <c r="F10" i="2" s="1"/>
  <c r="F18" i="2" a="1"/>
  <c r="F18" i="2" s="1"/>
  <c r="G6" i="2" a="1"/>
  <c r="G6" i="2" s="1"/>
  <c r="G14" i="2" a="1"/>
  <c r="G14" i="2" s="1"/>
  <c r="G22" i="2" a="1"/>
  <c r="G22" i="2" s="1"/>
  <c r="H10" i="2" a="1"/>
  <c r="H10" i="2" s="1"/>
  <c r="H18" i="2" a="1"/>
  <c r="H18" i="2" s="1"/>
  <c r="I6" i="2" a="1"/>
  <c r="I6" i="2" s="1"/>
  <c r="I14" i="2" a="1"/>
  <c r="I14" i="2" s="1"/>
  <c r="I22" i="2" a="1"/>
  <c r="I22" i="2" s="1"/>
  <c r="J10" i="2" a="1"/>
  <c r="J10" i="2" s="1"/>
  <c r="J18" i="2" a="1"/>
  <c r="J18" i="2" s="1"/>
  <c r="K6" i="2" a="1"/>
  <c r="K6" i="2" s="1"/>
  <c r="K14" i="2" a="1"/>
  <c r="K14" i="2" s="1"/>
  <c r="G4" i="16"/>
  <c r="I8" i="2" l="1" a="1"/>
  <c r="I8" i="2" s="1"/>
  <c r="F4" i="2" a="1"/>
  <c r="F4" i="2" s="1"/>
  <c r="P23" i="2" a="1"/>
  <c r="P23" i="2" s="1"/>
  <c r="L11" i="2" a="1"/>
  <c r="L11" i="2" s="1"/>
  <c r="I7" i="2" a="1"/>
  <c r="I7" i="2" s="1"/>
  <c r="E23" i="2" a="1"/>
  <c r="E23" i="2" s="1"/>
  <c r="M17" i="2" a="1"/>
  <c r="M17" i="2" s="1"/>
  <c r="J13" i="2" a="1"/>
  <c r="J13" i="2" s="1"/>
  <c r="G9" i="2" a="1"/>
  <c r="G9" i="2" s="1"/>
  <c r="D5" i="2" a="1"/>
  <c r="D5" i="2" s="1"/>
  <c r="O8" i="2" a="1"/>
  <c r="O8" i="2" s="1"/>
  <c r="L4" i="2" a="1"/>
  <c r="L4" i="2" s="1"/>
  <c r="H20" i="2" a="1"/>
  <c r="H20" i="2" s="1"/>
  <c r="E16" i="2" a="1"/>
  <c r="E16" i="2" s="1"/>
  <c r="P19" i="2" a="1"/>
  <c r="P19" i="2" s="1"/>
  <c r="K23" i="2" a="1"/>
  <c r="K23" i="2" s="1"/>
  <c r="H19" i="2" a="1"/>
  <c r="H19" i="2" s="1"/>
  <c r="E15" i="2" a="1"/>
  <c r="E15" i="2" s="1"/>
  <c r="H22" i="2" a="1"/>
  <c r="H22" i="2" s="1"/>
  <c r="E18" i="2" a="1"/>
  <c r="E18" i="2" s="1"/>
  <c r="P13" i="2" a="1"/>
  <c r="P13" i="2" s="1"/>
  <c r="M9" i="2" a="1"/>
  <c r="M9" i="2" s="1"/>
  <c r="J5" i="2" a="1"/>
  <c r="J5" i="2" s="1"/>
  <c r="F21" i="2" a="1"/>
  <c r="F21" i="2" s="1"/>
  <c r="C17" i="2" a="1"/>
  <c r="C17" i="2" s="1"/>
  <c r="N20" i="2" a="1"/>
  <c r="N20" i="2" s="1"/>
  <c r="K16" i="2" a="1"/>
  <c r="K16" i="2" s="1"/>
  <c r="H12" i="2" a="1"/>
  <c r="H12" i="2" s="1"/>
  <c r="E8" i="2" a="1"/>
  <c r="E8" i="2" s="1"/>
  <c r="O23" i="2" a="1"/>
  <c r="O23" i="2" s="1"/>
  <c r="K15" i="2" a="1"/>
  <c r="K15" i="2" s="1"/>
  <c r="H11" i="2" a="1"/>
  <c r="H11" i="2" s="1"/>
  <c r="E7" i="2" a="1"/>
  <c r="E7" i="2" s="1"/>
  <c r="K8" i="2" a="1"/>
  <c r="K8" i="2" s="1"/>
  <c r="H4" i="2" a="1"/>
  <c r="H4" i="2" s="1"/>
  <c r="D20" i="2" a="1"/>
  <c r="D20" i="2" s="1"/>
  <c r="N19" i="2" a="1"/>
  <c r="N19" i="2" s="1"/>
  <c r="K7" i="2" a="1"/>
  <c r="K7" i="2" s="1"/>
  <c r="G23" i="2" a="1"/>
  <c r="G23" i="2" s="1"/>
  <c r="D19" i="2" a="1"/>
  <c r="D19" i="2" s="1"/>
  <c r="P21" i="2" a="1"/>
  <c r="P21" i="2" s="1"/>
  <c r="N4" i="2" a="1"/>
  <c r="N4" i="2" s="1"/>
  <c r="J20" i="2" a="1"/>
  <c r="J20" i="2" s="1"/>
  <c r="G16" i="2" a="1"/>
  <c r="G16" i="2" s="1"/>
  <c r="D12" i="2" a="1"/>
  <c r="D12" i="2" s="1"/>
  <c r="M23" i="2" a="1"/>
  <c r="M23" i="2" s="1"/>
  <c r="J19" i="2" a="1"/>
  <c r="J19" i="2" s="1"/>
  <c r="G15" i="2" a="1"/>
  <c r="G15" i="2" s="1"/>
  <c r="D11" i="2" a="1"/>
  <c r="D11" i="2" s="1"/>
  <c r="P20" i="2" a="1"/>
  <c r="P20" i="2" s="1"/>
  <c r="M16" i="2" a="1"/>
  <c r="M16" i="2" s="1"/>
  <c r="J12" i="2" a="1"/>
  <c r="J12" i="2" s="1"/>
  <c r="G8" i="2" a="1"/>
  <c r="G8" i="2" s="1"/>
  <c r="D4" i="2" a="1"/>
  <c r="D4" i="2" s="1"/>
  <c r="M15" i="2" a="1"/>
  <c r="M15" i="2" s="1"/>
  <c r="J11" i="2" a="1"/>
  <c r="J11" i="2" s="1"/>
  <c r="G7" i="2" a="1"/>
  <c r="G7" i="2" s="1"/>
  <c r="C23" i="2" a="1"/>
  <c r="C23" i="2" s="1"/>
  <c r="M8" i="2" a="1"/>
  <c r="M8" i="2" s="1"/>
  <c r="J4" i="2" a="1"/>
  <c r="J4" i="2" s="1"/>
  <c r="F20" i="2" a="1"/>
  <c r="F20" i="2" s="1"/>
  <c r="C16" i="2" a="1"/>
  <c r="C16" i="2" s="1"/>
  <c r="M7" i="2" a="1"/>
  <c r="M7" i="2" s="1"/>
  <c r="I23" i="2" a="1"/>
  <c r="I23" i="2" s="1"/>
  <c r="F19" i="2" a="1"/>
  <c r="F19" i="2" s="1"/>
  <c r="C15" i="2" a="1"/>
  <c r="C15" i="2" s="1"/>
  <c r="I16" i="2" a="1"/>
  <c r="I16" i="2" s="1"/>
  <c r="F12" i="2" a="1"/>
  <c r="F12" i="2" s="1"/>
  <c r="C8" i="2" a="1"/>
  <c r="C8" i="2" s="1"/>
  <c r="L19" i="2" a="1"/>
  <c r="L19" i="2" s="1"/>
  <c r="I15" i="2" a="1"/>
  <c r="I15" i="2" s="1"/>
  <c r="F11" i="2" a="1"/>
  <c r="F11" i="2" s="1"/>
  <c r="C7" i="2" a="1"/>
  <c r="C7" i="2" s="1"/>
  <c r="E6" i="15"/>
  <c r="D6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<sst xmlns="http://schemas.openxmlformats.org/spreadsheetml/2006/main" count="1588" uniqueCount="258">
  <si>
    <t>token</t>
  </si>
  <si>
    <t>game</t>
  </si>
  <si>
    <t>edad</t>
  </si>
  <si>
    <t>genero</t>
  </si>
  <si>
    <t>locucion</t>
  </si>
  <si>
    <t>encuesta_locucion_time</t>
  </si>
  <si>
    <t>locucion_donde</t>
  </si>
  <si>
    <t>mausoleo_modif1</t>
  </si>
  <si>
    <t>mausoleo_modif2</t>
  </si>
  <si>
    <t>encuesta_mausoleo_modif_time</t>
  </si>
  <si>
    <t>mausoleo_modif_preferida</t>
  </si>
  <si>
    <t>conocidas_torico</t>
  </si>
  <si>
    <t>conocidas_catedral</t>
  </si>
  <si>
    <t>conocidas_sanmartin</t>
  </si>
  <si>
    <t>conocidas_salvador</t>
  </si>
  <si>
    <t>conocidas_escalinata</t>
  </si>
  <si>
    <t>conocidas_mausoleo</t>
  </si>
  <si>
    <t>tiempos_Torico0</t>
  </si>
  <si>
    <t>tiempos_Torico1</t>
  </si>
  <si>
    <t>tiempos_Torico2</t>
  </si>
  <si>
    <t>tiempos_Torico3</t>
  </si>
  <si>
    <t>tiempos_Torico4</t>
  </si>
  <si>
    <t>tiempos_Torico5</t>
  </si>
  <si>
    <t>tiempos_Torico6</t>
  </si>
  <si>
    <t>tiempos_Torico7</t>
  </si>
  <si>
    <t>tiempos_Torico8</t>
  </si>
  <si>
    <t>tiempos_SanMartin0</t>
  </si>
  <si>
    <t>tiempos_SanMartin1</t>
  </si>
  <si>
    <t>tiempos_SanMartin2</t>
  </si>
  <si>
    <t>tiempos_Salvador0</t>
  </si>
  <si>
    <t>tiempos_Salvador1</t>
  </si>
  <si>
    <t>tiempos_Salvador2</t>
  </si>
  <si>
    <t>tiempos_Salvador3</t>
  </si>
  <si>
    <t>tiempos_Salvador4</t>
  </si>
  <si>
    <t>tiempos_Salvador5</t>
  </si>
  <si>
    <t>tiempos_Salvador6</t>
  </si>
  <si>
    <t>tiempos_Salvador7</t>
  </si>
  <si>
    <t>tiempos_Salvador8</t>
  </si>
  <si>
    <t>tiempos_Salvador9</t>
  </si>
  <si>
    <t>tiempos_Salvador10</t>
  </si>
  <si>
    <t>tiempos_Salvador11</t>
  </si>
  <si>
    <t>tiempos_Salvador12</t>
  </si>
  <si>
    <t>tiempos_Salvador13</t>
  </si>
  <si>
    <t>tiempos_Salvador14</t>
  </si>
  <si>
    <t>tiempos_Salvador15</t>
  </si>
  <si>
    <t>tiempos_Salvador16</t>
  </si>
  <si>
    <t>tiempos_Escalinata0</t>
  </si>
  <si>
    <t>tiempos_Escalinata1</t>
  </si>
  <si>
    <t>tiempos_Escalinata2</t>
  </si>
  <si>
    <t>tiempos_Escalinata3</t>
  </si>
  <si>
    <t>tiempos_Escalinata4</t>
  </si>
  <si>
    <t>tiempos_Escalinata5</t>
  </si>
  <si>
    <t>tiempos_Mausoleo0</t>
  </si>
  <si>
    <t>tiempos_Mausoleo1</t>
  </si>
  <si>
    <t>tiempos_Mausoleo2</t>
  </si>
  <si>
    <t>tiempos_Mausoleo3</t>
  </si>
  <si>
    <t>tiempos_Mausoleo4</t>
  </si>
  <si>
    <t>tiempos_Mausoleo5</t>
  </si>
  <si>
    <t>tiempos_Mausoleo6</t>
  </si>
  <si>
    <t>tiempos_Mausoleo7</t>
  </si>
  <si>
    <t>tiempos_Mausoleo8</t>
  </si>
  <si>
    <t>tiempos_Mausoleo9</t>
  </si>
  <si>
    <t>tiempos_Mausoleo10</t>
  </si>
  <si>
    <t>tiempos_Mausoleo11</t>
  </si>
  <si>
    <t>tiempos_Mausoleo12</t>
  </si>
  <si>
    <t>orden_0</t>
  </si>
  <si>
    <t>orden_1</t>
  </si>
  <si>
    <t>orden_2</t>
  </si>
  <si>
    <t>orden_3</t>
  </si>
  <si>
    <t>orden_4</t>
  </si>
  <si>
    <t>orden_5</t>
  </si>
  <si>
    <t>detectados_Torico3</t>
  </si>
  <si>
    <t>aburrimiento_conocidas_Salvador12</t>
  </si>
  <si>
    <t>totalAburrido</t>
  </si>
  <si>
    <t>totalDetectado</t>
  </si>
  <si>
    <t>opinion_atencion</t>
  </si>
  <si>
    <t>opinion_concentrado</t>
  </si>
  <si>
    <t>opinion_consciente</t>
  </si>
  <si>
    <t>opinion_experimentando</t>
  </si>
  <si>
    <t>opinion_dejarlo</t>
  </si>
  <si>
    <t>opinion_interesado</t>
  </si>
  <si>
    <t>opinion_disfrutar</t>
  </si>
  <si>
    <t>opinion_hacer_otra</t>
  </si>
  <si>
    <t>encuesta_opinion_time</t>
  </si>
  <si>
    <t>opinion_interesante</t>
  </si>
  <si>
    <t>opinion_problemas</t>
  </si>
  <si>
    <t>tiempos_Torico9</t>
  </si>
  <si>
    <t>tiempos_Torico10</t>
  </si>
  <si>
    <t>tiempos_Torico11</t>
  </si>
  <si>
    <t>tiempos_Torico12</t>
  </si>
  <si>
    <t>tiempos_Torico13</t>
  </si>
  <si>
    <t>tiempos_Catedral0</t>
  </si>
  <si>
    <t>tiempos_Catedral1</t>
  </si>
  <si>
    <t>tiempos_Catedral2</t>
  </si>
  <si>
    <t>tiempos_Catedral3</t>
  </si>
  <si>
    <t>tiempos_Catedral4</t>
  </si>
  <si>
    <t>tiempos_Catedral5</t>
  </si>
  <si>
    <t>tiempos_Catedral6</t>
  </si>
  <si>
    <t>tiempos_Catedral7</t>
  </si>
  <si>
    <t>tiempos_SanMartin3</t>
  </si>
  <si>
    <t>tiempos_SanMartin4</t>
  </si>
  <si>
    <t>tiempos_SanMartin5</t>
  </si>
  <si>
    <t>tiempos_SanMartin6</t>
  </si>
  <si>
    <t>tiempos_SanMartin7</t>
  </si>
  <si>
    <t>tiempos_SanMartin8</t>
  </si>
  <si>
    <t>tiempos_SanMartin9</t>
  </si>
  <si>
    <t>tiempos_SanMartin10</t>
  </si>
  <si>
    <t>detectados_Torico9</t>
  </si>
  <si>
    <t>detectados_Torico12</t>
  </si>
  <si>
    <t>detectados_Salvador6</t>
  </si>
  <si>
    <t>detectados_Escalinata6</t>
  </si>
  <si>
    <t>detectados_Mausoleo3</t>
  </si>
  <si>
    <t>detectados_Mausoleo6</t>
  </si>
  <si>
    <t>detectados_Mausoleo9</t>
  </si>
  <si>
    <t>detectados_Mausoleo13</t>
  </si>
  <si>
    <t>confirmados_Salvador6</t>
  </si>
  <si>
    <t>confirmados_Escalinata6</t>
  </si>
  <si>
    <t>escalinata_modif</t>
  </si>
  <si>
    <t>escalinata_modif_ok</t>
  </si>
  <si>
    <t>escalinata_mural</t>
  </si>
  <si>
    <t>escalinata_mural_ok</t>
  </si>
  <si>
    <t>encuesta_escalinata_modif_time</t>
  </si>
  <si>
    <t>escalinata_mejor_opcion</t>
  </si>
  <si>
    <t>tiempos_Escalinata6</t>
  </si>
  <si>
    <t>tiempos_Escalinata7</t>
  </si>
  <si>
    <t>tiempos_Escalinata8</t>
  </si>
  <si>
    <t>tiempos_Escalinata9</t>
  </si>
  <si>
    <t>tiempos_Escalinata10</t>
  </si>
  <si>
    <t>tiempos_Escalinata11</t>
  </si>
  <si>
    <t>tiempos_Escalinata12</t>
  </si>
  <si>
    <t>tiempos_Escalinata13</t>
  </si>
  <si>
    <t>tiempos_Escalinata14</t>
  </si>
  <si>
    <t>tiempos_Escalinata15</t>
  </si>
  <si>
    <t>aburrimiento_conocidas_Torico12</t>
  </si>
  <si>
    <t>finished</t>
  </si>
  <si>
    <t>app_time</t>
  </si>
  <si>
    <t>detectados_SanMartin11</t>
  </si>
  <si>
    <t>aburrimiento_conocidas_SanMartin11</t>
  </si>
  <si>
    <t>aburrimiento_conocidas_Escalinata6</t>
  </si>
  <si>
    <t>b119e216-3b89-4d18-873b-cdf9f8575d45:1663575266968</t>
  </si>
  <si>
    <t>teruel</t>
  </si>
  <si>
    <t>2. Mujer</t>
  </si>
  <si>
    <t>locucion_si</t>
  </si>
  <si>
    <t>locucion_movil</t>
  </si>
  <si>
    <t>mausoleo_modif1_si</t>
  </si>
  <si>
    <t>mausoleo_modif2_si</t>
  </si>
  <si>
    <t>mausoleo_modif_derecha</t>
  </si>
  <si>
    <t>True</t>
  </si>
  <si>
    <t>Torico</t>
  </si>
  <si>
    <t>Catedral</t>
  </si>
  <si>
    <t>SanMartin</t>
  </si>
  <si>
    <t>Salvador</t>
  </si>
  <si>
    <t>Escalinata</t>
  </si>
  <si>
    <t>Mausoleo</t>
  </si>
  <si>
    <t>5. Totalmente de acuerdo</t>
  </si>
  <si>
    <t>6. NSNC</t>
  </si>
  <si>
    <t>2. En desacuerdo</t>
  </si>
  <si>
    <t>modif_rampa</t>
  </si>
  <si>
    <t>escalinata_modif_si</t>
  </si>
  <si>
    <t>mural_abajo</t>
  </si>
  <si>
    <t>mural_si</t>
  </si>
  <si>
    <t>mural_mejor</t>
  </si>
  <si>
    <t>17b6481f-e6ca-41ef-87a4-0e2dbdb07543:1663574228228</t>
  </si>
  <si>
    <t>locucion_no</t>
  </si>
  <si>
    <t>mausoleo_modif1_no</t>
  </si>
  <si>
    <t>mausoleo_modif_izquierda</t>
  </si>
  <si>
    <t>False</t>
  </si>
  <si>
    <t>4. De acuerdo</t>
  </si>
  <si>
    <t>1. Totalmente en desacuerdo</t>
  </si>
  <si>
    <t>Es interesante conocer los lugares que se pueden visitar en la ciudad y conocer su historia. Ver si puedes o no acceder a ellos y poder opinar para mejorar el acceso a ellos.</t>
  </si>
  <si>
    <t>Ninguno</t>
  </si>
  <si>
    <t>modif_salvaescaleras</t>
  </si>
  <si>
    <t>18150520-1dbb-45ae-bc88-0a89021a06f5:1663515648177</t>
  </si>
  <si>
    <t>1. Hombre</t>
  </si>
  <si>
    <t>mausoleo_modif_ambas</t>
  </si>
  <si>
    <t>2d22ee8d-b7bc-4862-a842-c1f00275e952:1663161737161</t>
  </si>
  <si>
    <t>De acuerdo</t>
  </si>
  <si>
    <t>Totalmente de acuerdo</t>
  </si>
  <si>
    <t>Totalmente en desacuerdo</t>
  </si>
  <si>
    <t>En desacuerdo</t>
  </si>
  <si>
    <t>fa51bf86-2d87-4ede-afb1-f49c7108407c:1662632417823</t>
  </si>
  <si>
    <t>Neutral</t>
  </si>
  <si>
    <t>La información es interesante</t>
  </si>
  <si>
    <t>02b2ded7-acaf-4afb-9312-e8f9feeb9508:1663699520307</t>
  </si>
  <si>
    <t>3. Neutral</t>
  </si>
  <si>
    <t>La historia de mi ciudad</t>
  </si>
  <si>
    <t>Al iniciar el tour </t>
  </si>
  <si>
    <t>e8683b58-81c4-4707-b541-eb9500ba6cd9:1663745476938</t>
  </si>
  <si>
    <t>escalinata_modif_no</t>
  </si>
  <si>
    <t>mural_arriba</t>
  </si>
  <si>
    <t>Es interesante la forma de contarlo, puede ser una alternativa para las guías presenciales.</t>
  </si>
  <si>
    <t>detectados_Escalinata3</t>
  </si>
  <si>
    <t>aburrimiento_conocidas_Escalinata3</t>
  </si>
  <si>
    <t>detectados_Torico6</t>
  </si>
  <si>
    <t>detectados_Torico14</t>
  </si>
  <si>
    <t>detectados_Catedral3</t>
  </si>
  <si>
    <t>detectados_Catedral6</t>
  </si>
  <si>
    <t>detectados_SanMartin6</t>
  </si>
  <si>
    <t>detectados_SanMartin8</t>
  </si>
  <si>
    <t>aburrimiento_conocidas_Torico9</t>
  </si>
  <si>
    <t>Género</t>
  </si>
  <si>
    <t>Media edad</t>
  </si>
  <si>
    <t>Edad (Media)</t>
  </si>
  <si>
    <t>SD edad</t>
  </si>
  <si>
    <t>detectados</t>
  </si>
  <si>
    <t>confirmados</t>
  </si>
  <si>
    <t>Secciones detectadas</t>
  </si>
  <si>
    <t>detectados_Escalinata9</t>
  </si>
  <si>
    <t>detectados_Escalinata12</t>
  </si>
  <si>
    <t>confirmados_Escalinata12</t>
  </si>
  <si>
    <t>confirmados_Mausoleo3</t>
  </si>
  <si>
    <t>aburrimiento_conocidas_Catedral3</t>
  </si>
  <si>
    <t>aburrimiento_conocidas_Escalinata12</t>
  </si>
  <si>
    <t>aburrimiento_conocidas_Mausoleo3</t>
  </si>
  <si>
    <t>detectados_Escalinata16</t>
  </si>
  <si>
    <t>aburrimiento_conocidas_Escalinata16</t>
  </si>
  <si>
    <t>aburrimiento_conocidas_Mausoleo6</t>
  </si>
  <si>
    <t>aburrimiento_conocidas_SanMartin8</t>
  </si>
  <si>
    <t>554a1970-d0f5-496b-b4b3-5b4a2232ec64:1664227973836</t>
  </si>
  <si>
    <t>mausoleo_modif2_no</t>
  </si>
  <si>
    <t>371e874a-79bf-4d96-b6c5-1ee285bf0608:1664122957239</t>
  </si>
  <si>
    <t>5e941cee-883d-425d-a977-c4e95bfff103:1664120793037</t>
  </si>
  <si>
    <t>967da3e0-3b94-4a0a-93f8-d0d604161dea:1664111278908</t>
  </si>
  <si>
    <t>d635cf7f-3052-4ece-9c9e-105208d39a79:1664111100918</t>
  </si>
  <si>
    <t>d9891cf4-154a-4e9c-a696-1f897b1f5785:1664109878651</t>
  </si>
  <si>
    <t>mural_no</t>
  </si>
  <si>
    <t>7379dbab-a32d-4da7-9f69-11865cfa6d2c:1663961348892</t>
  </si>
  <si>
    <t>ff9fb1ae-f1d8-4b9d-a477-7fe93df24c55:1663932844366</t>
  </si>
  <si>
    <t>2bb2af27-1532-494b-87c1-eb7f1d0318ab:1663877521795</t>
  </si>
  <si>
    <t>25a8b669-f475-47eb-8306-0fc9d59d98c0:1663876757716</t>
  </si>
  <si>
    <t>f90183d6-e9ae-4925-bb14-ed00f4067fc4:1663874125322</t>
  </si>
  <si>
    <t>locucion_altavoz</t>
  </si>
  <si>
    <t>mural_peor</t>
  </si>
  <si>
    <t>f61c159c-5b2e-432a-8f52-adeead0711af:1663871783322</t>
  </si>
  <si>
    <t>56132b7d-6c7c-4821-b9b4-b30834ba213a:1663870033470</t>
  </si>
  <si>
    <t>Secciones confirmadas</t>
  </si>
  <si>
    <t>Secciones conocidas</t>
  </si>
  <si>
    <t>aburrimiento_conocidas</t>
  </si>
  <si>
    <t>% confirmadas</t>
  </si>
  <si>
    <t>% conocidas</t>
  </si>
  <si>
    <t>Todas</t>
  </si>
  <si>
    <t>Sección</t>
  </si>
  <si>
    <t>1</t>
  </si>
  <si>
    <t>2</t>
  </si>
  <si>
    <t>3</t>
  </si>
  <si>
    <t>4</t>
  </si>
  <si>
    <t>5</t>
  </si>
  <si>
    <t>12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</si>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</sst>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5" borderId="7" applyNumberFormat="0" applyFont="0" applyAlignment="0" applyProtection="0"/>
  </cellStyleXfs>
  <cellXfs count="37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4" fillId="3" borderId="1" xfId="0" applyFont="1" applyFill="1" applyBorder="1"/>
    <xf numFmtId="0" fontId="2" fillId="2" borderId="3" xfId="1" applyBorder="1" applyAlignment="1">
      <alignment horizontal="center" vertical="center"/>
    </xf>
    <xf numFmtId="0" fontId="4" fillId="3" borderId="2" xfId="0" applyFont="1" applyFill="1" applyBorder="1"/>
    <xf numFmtId="0" fontId="1" fillId="2" borderId="3" xfId="1" applyFont="1" applyBorder="1" applyAlignment="1">
      <alignment horizontal="center" vertical="center"/>
    </xf>
    <xf numFmtId="0" fontId="1" fillId="2" borderId="4" xfId="1" applyFont="1" applyBorder="1" applyAlignment="1">
      <alignment horizontal="center" vertical="center"/>
    </xf>
    <xf numFmtId="0" fontId="7" fillId="0" borderId="0" xfId="0" applyFont="1"/>
    <xf numFmtId="2" fontId="0" fillId="0" borderId="0" xfId="2" applyNumberFormat="1" applyFont="1"/>
    <xf numFmtId="2" fontId="0" fillId="0" borderId="0" xfId="0" applyNumberFormat="1"/>
    <xf numFmtId="9" fontId="0" fillId="0" borderId="0" xfId="3" applyFont="1" applyAlignment="1">
      <alignment wrapText="1"/>
    </xf>
    <xf numFmtId="11" fontId="4" fillId="0" borderId="0" xfId="0" applyNumberFormat="1" applyFont="1"/>
    <xf numFmtId="0" fontId="3" fillId="3" borderId="2" xfId="0" applyFont="1" applyFill="1" applyBorder="1"/>
    <xf numFmtId="0" fontId="3" fillId="0" borderId="2" xfId="0" applyFont="1" applyBorder="1"/>
    <xf numFmtId="11" fontId="4" fillId="3" borderId="1" xfId="0" applyNumberFormat="1" applyFont="1" applyFill="1" applyBorder="1"/>
    <xf numFmtId="0" fontId="5" fillId="3" borderId="2" xfId="0" applyFont="1" applyFill="1" applyBorder="1"/>
    <xf numFmtId="0" fontId="5" fillId="0" borderId="2" xfId="0" applyFont="1" applyBorder="1"/>
    <xf numFmtId="11" fontId="4" fillId="0" borderId="2" xfId="0" applyNumberFormat="1" applyFont="1" applyBorder="1"/>
    <xf numFmtId="11" fontId="4" fillId="3" borderId="2" xfId="0" applyNumberFormat="1" applyFont="1" applyFill="1" applyBorder="1"/>
    <xf numFmtId="0" fontId="4" fillId="0" borderId="2" xfId="0" applyFont="1" applyBorder="1"/>
    <xf numFmtId="0" fontId="4" fillId="4" borderId="3" xfId="0" applyFont="1" applyFill="1" applyBorder="1"/>
    <xf numFmtId="0" fontId="4" fillId="0" borderId="6" xfId="0" applyFont="1" applyBorder="1"/>
    <xf numFmtId="0" fontId="3" fillId="0" borderId="6" xfId="0" applyFont="1" applyBorder="1"/>
    <xf numFmtId="0" fontId="5" fillId="0" borderId="6" xfId="0" applyFont="1" applyBorder="1"/>
    <xf numFmtId="0" fontId="4" fillId="3" borderId="5" xfId="0" applyFont="1" applyFill="1" applyBorder="1"/>
    <xf numFmtId="0" fontId="4" fillId="3" borderId="6" xfId="0" applyFont="1" applyFill="1" applyBorder="1"/>
    <xf numFmtId="0" fontId="0" fillId="0" borderId="3" xfId="0" applyBorder="1"/>
    <xf numFmtId="0" fontId="0" fillId="0" borderId="0" xfId="0" applyBorder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4" borderId="4" xfId="0" applyFont="1" applyFill="1" applyBorder="1"/>
    <xf numFmtId="0" fontId="1" fillId="4" borderId="3" xfId="0" applyFont="1" applyFill="1" applyBorder="1"/>
    <xf numFmtId="0" fontId="1" fillId="4" borderId="8" xfId="0" applyFont="1" applyFill="1" applyBorder="1"/>
    <xf numFmtId="0" fontId="0" fillId="5" borderId="7" xfId="4" applyFont="1"/>
  </cellXfs>
  <cellStyles count="5">
    <cellStyle name="Énfasis1" xfId="1" builtinId="29"/>
    <cellStyle name="Millares" xfId="2" builtinId="3"/>
    <cellStyle name="Normal" xfId="0" builtinId="0"/>
    <cellStyle name="Notas" xfId="4" builtinId="10"/>
    <cellStyle name="Porcentaje" xfId="3" builtinId="5"/>
  </cellStyles>
  <dxfs count="462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4564E3-4795-6A45-84CD-FF1332B7E80E}" name="MainTable" displayName="MainTable" ref="B2:ES9" totalsRowShown="0" headerRowDxfId="461" dataDxfId="459" headerRowBorderDxfId="460" headerRowCellStyle="Énfasis1">
  <autoFilter ref="B2:ES9" xr:uid="{644564E3-4795-6A45-84CD-FF1332B7E80E}"/>
  <tableColumns count="148">
    <tableColumn id="1" xr3:uid="{12CF7B5F-5892-A842-966D-13B2AA640DA2}" name="token" dataDxfId="458"/>
    <tableColumn id="2" xr3:uid="{9C351A40-E141-5E4A-94E2-FB62A74A4784}" name="game" dataDxfId="457"/>
    <tableColumn id="3" xr3:uid="{AE6E9A4A-A78C-B54C-B6D0-DFB343C879DB}" name="edad" dataDxfId="456"/>
    <tableColumn id="4" xr3:uid="{87F56D4E-ABAC-0041-8CFD-2917F8F13672}" name="genero" dataDxfId="455"/>
    <tableColumn id="5" xr3:uid="{354C283A-A404-704B-A070-2AB2CDFC6FC7}" name="locucion" dataDxfId="454"/>
    <tableColumn id="6" xr3:uid="{BEBF3770-3722-804A-80CD-14A38B270BD2}" name="encuesta_locucion_time" dataDxfId="453"/>
    <tableColumn id="7" xr3:uid="{E20D88B8-9803-764E-A7AF-B2D4F8BF81CD}" name="locucion_donde" dataDxfId="452"/>
    <tableColumn id="8" xr3:uid="{D470F3B2-6315-FA4D-BE35-C91C826E6391}" name="escalinata_modif" dataDxfId="451"/>
    <tableColumn id="9" xr3:uid="{5F3A1EC7-DF88-3C44-8EEF-5E095AE730DF}" name="escalinata_modif_ok" dataDxfId="450"/>
    <tableColumn id="10" xr3:uid="{1F69E348-1D19-0841-BF24-919D542E7AD5}" name="escalinata_mural" dataDxfId="449"/>
    <tableColumn id="11" xr3:uid="{A69FB7A8-1FF8-A845-AB1B-6B66CB78A54C}" name="escalinata_mural_ok" dataDxfId="448"/>
    <tableColumn id="12" xr3:uid="{D33C52F9-33AF-8B4B-AAD4-A62B8D746AC4}" name="encuesta_escalinata_modif_time" dataDxfId="447"/>
    <tableColumn id="13" xr3:uid="{3F4FE010-65C5-6044-8D66-211C4F666BA4}" name="escalinata_mejor_opcion" dataDxfId="446"/>
    <tableColumn id="14" xr3:uid="{BB6123E0-EB93-C44A-84D3-FDB381B67F15}" name="mausoleo_modif1" dataDxfId="445"/>
    <tableColumn id="15" xr3:uid="{50143F3F-EDF7-B947-83D9-010DB7764FED}" name="mausoleo_modif2" dataDxfId="444"/>
    <tableColumn id="16" xr3:uid="{08B57422-A196-CC4D-A7FA-05345214EE6A}" name="encuesta_mausoleo_modif_time" dataDxfId="443"/>
    <tableColumn id="17" xr3:uid="{508EAD11-470E-9A46-978A-D2B4B5EB7115}" name="mausoleo_modif_preferida" dataDxfId="442"/>
    <tableColumn id="18" xr3:uid="{7A75258F-66A9-8949-8462-BA26AA842843}" name="conocidas_torico" dataDxfId="441"/>
    <tableColumn id="19" xr3:uid="{460CA436-AFA9-124E-BD55-7BCAFFD34306}" name="conocidas_catedral" dataDxfId="440"/>
    <tableColumn id="20" xr3:uid="{97417952-4C75-0F47-A9FF-364EF6263A01}" name="conocidas_sanmartin" dataDxfId="439"/>
    <tableColumn id="21" xr3:uid="{D50EC358-6051-B242-9423-E30A150D3D6A}" name="conocidas_salvador" dataDxfId="438"/>
    <tableColumn id="22" xr3:uid="{0A052928-2C18-614B-B5BE-74284E310236}" name="conocidas_escalinata" dataDxfId="437"/>
    <tableColumn id="23" xr3:uid="{4C377F53-9420-C348-9575-D00AF94CF36B}" name="conocidas_mausoleo" dataDxfId="436"/>
    <tableColumn id="24" xr3:uid="{3FF93504-DAF2-F148-A82C-6359C1143EB0}" name="tiempos_Torico0" dataDxfId="435"/>
    <tableColumn id="25" xr3:uid="{1E3F8FBD-14BA-FF4E-ADCB-EE3B3A7BC990}" name="tiempos_Torico1" dataDxfId="434"/>
    <tableColumn id="26" xr3:uid="{04E92F24-9762-CF40-AAF5-BB8C8968D04E}" name="tiempos_Torico2" dataDxfId="433"/>
    <tableColumn id="27" xr3:uid="{4545B82C-EBC4-CD49-9458-7667E1A7EEDB}" name="tiempos_Torico3" dataDxfId="432"/>
    <tableColumn id="28" xr3:uid="{421E6D25-19A5-EC41-9F80-894AC8579758}" name="tiempos_Torico4" dataDxfId="431"/>
    <tableColumn id="29" xr3:uid="{A9DA6648-1E90-134A-9D88-EB0356FBF898}" name="tiempos_Torico5" dataDxfId="430"/>
    <tableColumn id="30" xr3:uid="{EF1F6F1E-2323-1C4E-8305-012288EA0AC5}" name="tiempos_Torico6" dataDxfId="429"/>
    <tableColumn id="31" xr3:uid="{DD51645C-FD03-934D-924F-E9F1FF15FFAB}" name="tiempos_Torico7" dataDxfId="428"/>
    <tableColumn id="32" xr3:uid="{8A57704F-E014-1E49-9C4F-4669141EE1AB}" name="tiempos_Torico8" dataDxfId="427"/>
    <tableColumn id="33" xr3:uid="{03BA7F80-CE49-024D-8B23-8D4B7039A72D}" name="tiempos_Torico9" dataDxfId="426"/>
    <tableColumn id="34" xr3:uid="{4AE39880-A114-0A4F-91C9-397542DAE508}" name="tiempos_Torico10" dataDxfId="425"/>
    <tableColumn id="35" xr3:uid="{591AFB53-810D-A44D-A868-81CF302EB812}" name="tiempos_Torico11" dataDxfId="424"/>
    <tableColumn id="36" xr3:uid="{7F0419B9-DC6E-AC46-A718-D8D67C304A37}" name="tiempos_Torico12" dataDxfId="423"/>
    <tableColumn id="37" xr3:uid="{2435FE2C-E666-8045-8C20-3530E29D8BDA}" name="tiempos_Torico13" dataDxfId="422"/>
    <tableColumn id="38" xr3:uid="{B6C37C88-AD9B-124F-AE07-DE77BE8F4C7E}" name="tiempos_Catedral0" dataDxfId="421"/>
    <tableColumn id="39" xr3:uid="{E5E80E9E-886B-8C4B-82D8-A475E5EB4976}" name="tiempos_Catedral1" dataDxfId="420"/>
    <tableColumn id="40" xr3:uid="{D9655A06-1AD5-2C43-AC38-0115A43B6715}" name="tiempos_Catedral2" dataDxfId="419"/>
    <tableColumn id="41" xr3:uid="{9192FE37-B7F1-5848-B4A8-A923E43FD032}" name="tiempos_Catedral3" dataDxfId="418"/>
    <tableColumn id="42" xr3:uid="{A8A02B59-D9D7-F34B-A06E-87640C8C3779}" name="tiempos_Catedral4" dataDxfId="417"/>
    <tableColumn id="43" xr3:uid="{F8BE4515-A217-4140-8B68-8DDFE6A19B74}" name="tiempos_Catedral5" dataDxfId="416"/>
    <tableColumn id="44" xr3:uid="{49C45282-C980-8646-B4C8-523A9502023D}" name="tiempos_Catedral6" dataDxfId="415"/>
    <tableColumn id="45" xr3:uid="{468B64A7-84C6-0E4B-9A19-16DB22DC521C}" name="tiempos_Catedral7" dataDxfId="414"/>
    <tableColumn id="46" xr3:uid="{AAC5D82F-97AF-0B41-8946-C8809CB58B7A}" name="tiempos_SanMartin0" dataDxfId="413"/>
    <tableColumn id="47" xr3:uid="{BF85883F-EDC9-A947-9262-12EC7E222CC8}" name="tiempos_SanMartin1" dataDxfId="412"/>
    <tableColumn id="48" xr3:uid="{58063F42-89D5-6543-9940-538320D2DDF5}" name="tiempos_SanMartin2" dataDxfId="411"/>
    <tableColumn id="49" xr3:uid="{34F4BB9D-D58E-A54C-AEA8-B33CAB9DC618}" name="tiempos_SanMartin3" dataDxfId="410"/>
    <tableColumn id="50" xr3:uid="{AC09CC6E-C57E-2342-95CD-4F34062A6979}" name="tiempos_SanMartin4" dataDxfId="409"/>
    <tableColumn id="51" xr3:uid="{AC3159FA-5088-F541-B852-63E1CD96F399}" name="tiempos_SanMartin5" dataDxfId="408"/>
    <tableColumn id="52" xr3:uid="{6B346517-538C-F94D-8061-7284EE17BBE5}" name="tiempos_SanMartin6" dataDxfId="407"/>
    <tableColumn id="53" xr3:uid="{75FFB941-85EB-1B44-A3D4-719AD36E8ACE}" name="tiempos_SanMartin7" dataDxfId="406"/>
    <tableColumn id="54" xr3:uid="{5908669A-5AB8-4B4B-B372-9CF82EDCA9D5}" name="tiempos_SanMartin8" dataDxfId="405"/>
    <tableColumn id="55" xr3:uid="{F027639C-E278-594C-80AF-1D0FF9FFECA4}" name="tiempos_SanMartin9" dataDxfId="404"/>
    <tableColumn id="56" xr3:uid="{CEB5B14D-5EB7-8C46-B564-B6E3CEB160F5}" name="tiempos_SanMartin10" dataDxfId="403"/>
    <tableColumn id="57" xr3:uid="{591C68BF-22A7-9E47-AAA1-D49A67863071}" name="tiempos_Salvador0" dataDxfId="402"/>
    <tableColumn id="58" xr3:uid="{286F2FBE-B0C7-A444-A2B5-BF899AF398B3}" name="tiempos_Salvador1" dataDxfId="401"/>
    <tableColumn id="59" xr3:uid="{87E81874-EDD9-C64F-9951-CE7E8851AD71}" name="tiempos_Salvador2" dataDxfId="400"/>
    <tableColumn id="60" xr3:uid="{926F7D07-8DE5-0A49-9025-F5BDC8100801}" name="tiempos_Salvador3" dataDxfId="399"/>
    <tableColumn id="61" xr3:uid="{A139D9F7-5125-F245-8B97-E051E19C9A58}" name="tiempos_Salvador4" dataDxfId="398"/>
    <tableColumn id="62" xr3:uid="{6BB3F8AC-EB2A-EC41-A917-29DF48F18591}" name="tiempos_Salvador5" dataDxfId="397"/>
    <tableColumn id="63" xr3:uid="{09AC750A-9F5D-8146-AE01-65BBC07433A5}" name="tiempos_Salvador6" dataDxfId="396"/>
    <tableColumn id="64" xr3:uid="{D9958A5C-0536-5A41-8546-11CD1D5F5719}" name="tiempos_Salvador7" dataDxfId="395"/>
    <tableColumn id="65" xr3:uid="{8005A273-C0C0-1D47-A2B6-033C169A35FE}" name="tiempos_Salvador8" dataDxfId="394"/>
    <tableColumn id="66" xr3:uid="{7D246DF6-12FA-B541-8E9B-A2480B71319A}" name="tiempos_Salvador9" dataDxfId="393"/>
    <tableColumn id="67" xr3:uid="{0BAF9011-285D-D04D-8BA8-85FE703D0376}" name="tiempos_Salvador10" dataDxfId="392"/>
    <tableColumn id="68" xr3:uid="{7785C35A-EECF-474F-82FA-57E14A6F02A1}" name="tiempos_Salvador11" dataDxfId="391"/>
    <tableColumn id="69" xr3:uid="{634C109F-908E-F84E-ADE8-CD39D9C3EF25}" name="tiempos_Salvador12" dataDxfId="390"/>
    <tableColumn id="70" xr3:uid="{941352A0-583C-7042-AE72-1674049F59CD}" name="tiempos_Salvador13" dataDxfId="389"/>
    <tableColumn id="71" xr3:uid="{A85A3881-F5FD-964D-8CAE-AB1CF1862F54}" name="tiempos_Salvador14" dataDxfId="388"/>
    <tableColumn id="72" xr3:uid="{66A6BB93-AB2E-344C-AF9B-92A1768C83E7}" name="tiempos_Salvador15" dataDxfId="387"/>
    <tableColumn id="73" xr3:uid="{D074BF8B-D63D-1049-A651-AC5481D11B31}" name="tiempos_Salvador16" dataDxfId="386"/>
    <tableColumn id="74" xr3:uid="{3AFBC5D7-3C79-A544-A8BF-8ECE567457C6}" name="tiempos_Escalinata0" dataDxfId="385"/>
    <tableColumn id="75" xr3:uid="{2C519F06-C018-BA49-A284-C2797485B925}" name="tiempos_Escalinata1" dataDxfId="384"/>
    <tableColumn id="76" xr3:uid="{32DD979B-ABF3-0B47-A205-527DD59CF115}" name="tiempos_Escalinata2" dataDxfId="383"/>
    <tableColumn id="77" xr3:uid="{A9367F5E-0D23-2748-8C21-A976C7793A55}" name="tiempos_Escalinata3" dataDxfId="382"/>
    <tableColumn id="78" xr3:uid="{AC605DB5-3E9F-9C4F-A55A-51DB00017EE5}" name="tiempos_Escalinata4" dataDxfId="381"/>
    <tableColumn id="79" xr3:uid="{FBC4089E-6397-DF4F-9AAF-37D56A1371AB}" name="tiempos_Escalinata5" dataDxfId="380"/>
    <tableColumn id="80" xr3:uid="{9CC8A9CD-AA51-C841-8843-A8EB7E69C141}" name="tiempos_Escalinata6" dataDxfId="379"/>
    <tableColumn id="81" xr3:uid="{2EF2EFC2-91A5-E147-8F03-066F51572267}" name="tiempos_Escalinata7" dataDxfId="378"/>
    <tableColumn id="82" xr3:uid="{CA129C24-9152-2246-87F2-7E5DDA9D4484}" name="tiempos_Escalinata8" dataDxfId="377"/>
    <tableColumn id="83" xr3:uid="{F2668131-FF63-084D-A82F-1D0966960178}" name="tiempos_Escalinata9" dataDxfId="376"/>
    <tableColumn id="84" xr3:uid="{8CB53146-9D6C-1943-9552-6CD824E5C45D}" name="tiempos_Escalinata10" dataDxfId="375"/>
    <tableColumn id="85" xr3:uid="{16FFDE9E-BD86-9E4C-B451-3CA19A802D82}" name="tiempos_Escalinata11" dataDxfId="374"/>
    <tableColumn id="86" xr3:uid="{E2316BF4-2D44-D74E-BAC8-14D7ADCA1927}" name="tiempos_Escalinata12" dataDxfId="373"/>
    <tableColumn id="87" xr3:uid="{FAF52FF8-3C1A-474B-AE60-25FF3CD456A7}" name="tiempos_Escalinata13" dataDxfId="372"/>
    <tableColumn id="88" xr3:uid="{D6ABA640-AF49-2C41-93EF-0679802E519B}" name="tiempos_Escalinata14" dataDxfId="371"/>
    <tableColumn id="89" xr3:uid="{874725BA-32DC-1649-9565-BBD352F05024}" name="tiempos_Escalinata15" dataDxfId="370"/>
    <tableColumn id="90" xr3:uid="{8CD54E9E-3B59-724D-B03F-83BA5C21051A}" name="tiempos_Mausoleo0" dataDxfId="369"/>
    <tableColumn id="91" xr3:uid="{E554D1D6-5515-D045-A737-3B890D534B31}" name="tiempos_Mausoleo1" dataDxfId="368"/>
    <tableColumn id="92" xr3:uid="{AA7854C4-EEA5-764C-8D11-B94F2921DA36}" name="tiempos_Mausoleo2" dataDxfId="367"/>
    <tableColumn id="93" xr3:uid="{E474B374-50B0-1F47-A034-C148A3514AEA}" name="tiempos_Mausoleo3" dataDxfId="366"/>
    <tableColumn id="94" xr3:uid="{0ED83DD9-DB74-6D46-B52F-498443822594}" name="tiempos_Mausoleo4" dataDxfId="365"/>
    <tableColumn id="95" xr3:uid="{1F3B8286-B90D-9842-8B5A-96B3F69E29BC}" name="tiempos_Mausoleo5" dataDxfId="364"/>
    <tableColumn id="96" xr3:uid="{B545C767-6263-914B-A121-3CA949E20ED6}" name="tiempos_Mausoleo6" dataDxfId="363"/>
    <tableColumn id="97" xr3:uid="{261F90EC-E508-DD49-99FA-B87FE8600C10}" name="tiempos_Mausoleo7" dataDxfId="362"/>
    <tableColumn id="98" xr3:uid="{BE56A9F6-DD7E-9144-9C44-66B74F49BC84}" name="tiempos_Mausoleo8" dataDxfId="361"/>
    <tableColumn id="99" xr3:uid="{791034BE-A6C9-D845-9EA4-B99E1476C3C4}" name="tiempos_Mausoleo9" dataDxfId="360"/>
    <tableColumn id="100" xr3:uid="{C155AF57-E03F-5B42-BFFE-4670CEB5223D}" name="tiempos_Mausoleo10" dataDxfId="359"/>
    <tableColumn id="101" xr3:uid="{D19059D6-654B-7644-92D4-405B74CD0B56}" name="tiempos_Mausoleo11" dataDxfId="358"/>
    <tableColumn id="102" xr3:uid="{134086EB-405D-1344-90A9-CE3432817230}" name="tiempos_Mausoleo12" dataDxfId="357"/>
    <tableColumn id="103" xr3:uid="{10C4D674-6C73-B640-AA04-235558DD64B1}" name="orden_0" dataDxfId="356"/>
    <tableColumn id="104" xr3:uid="{5216EB34-B9D8-4249-BD75-2E8A5A78957A}" name="orden_1" dataDxfId="355"/>
    <tableColumn id="105" xr3:uid="{00F71A7F-0B31-6C4F-9782-D586D5A7600C}" name="orden_2" dataDxfId="354"/>
    <tableColumn id="106" xr3:uid="{099C5ADF-FCF0-6446-A815-456FB11637C2}" name="orden_3" dataDxfId="353"/>
    <tableColumn id="107" xr3:uid="{F8C62E9A-20B4-F845-84E5-7BB1C1EA2D04}" name="orden_4" dataDxfId="352"/>
    <tableColumn id="108" xr3:uid="{6AE5E9FE-0F14-3846-9A27-7E3FFD0C518F}" name="orden_5" dataDxfId="351"/>
    <tableColumn id="109" xr3:uid="{626EBBB0-4897-EC49-8081-6A51D03A00C6}" name="detectados_Escalinata3" dataDxfId="350"/>
    <tableColumn id="110" xr3:uid="{1777932D-F8B8-AC4E-8089-CADE6F8EF7E3}" name="aburrimiento_conocidas_Escalinata3" dataDxfId="349"/>
    <tableColumn id="111" xr3:uid="{AE1FA07C-5A10-E248-A4CC-A7630B2BD045}" name="totalAburrido" dataDxfId="348"/>
    <tableColumn id="112" xr3:uid="{95AC1DAF-BEAC-8748-B441-F23BAC4CAFAC}" name="totalDetectado" dataDxfId="347"/>
    <tableColumn id="113" xr3:uid="{1DB67236-BB10-B743-892D-FC64341ADA46}" name="opinion_atencion" dataDxfId="346"/>
    <tableColumn id="114" xr3:uid="{6B2C5809-7FF8-3842-8AA8-2B185777596D}" name="opinion_concentrado" dataDxfId="345"/>
    <tableColumn id="115" xr3:uid="{42A9EF23-B9CF-6E4A-9895-86F45EBD906D}" name="opinion_consciente" dataDxfId="344"/>
    <tableColumn id="116" xr3:uid="{2C4F78D5-8A2F-3E4D-A564-56DED678A282}" name="opinion_experimentando" dataDxfId="343"/>
    <tableColumn id="117" xr3:uid="{87DBAEEE-25E5-0B47-A30B-800451F3190F}" name="opinion_dejarlo" dataDxfId="342"/>
    <tableColumn id="118" xr3:uid="{641913B2-F513-E14C-804A-524C6F2C3A8B}" name="opinion_interesado" dataDxfId="341"/>
    <tableColumn id="119" xr3:uid="{9CD04AD3-2FAC-514E-99DA-FADE8632E482}" name="opinion_disfrutar" dataDxfId="340"/>
    <tableColumn id="120" xr3:uid="{DAD20F2F-08BB-3E42-B582-7A9E1C6C8DC6}" name="opinion_hacer_otra" dataDxfId="339"/>
    <tableColumn id="121" xr3:uid="{67CADBF4-392E-384A-B4E2-D7C6A7E3DE96}" name="encuesta_opinion_time" dataDxfId="338"/>
    <tableColumn id="122" xr3:uid="{ACFEC0CB-4070-E145-AC11-91EE45B857B7}" name="opinion_interesante" dataDxfId="337"/>
    <tableColumn id="123" xr3:uid="{D9112CC9-03AE-D448-ACC5-C975E1D39C3C}" name="opinion_problemas" dataDxfId="336"/>
    <tableColumn id="124" xr3:uid="{E95A6998-3780-864D-96E0-F92E723E4E5C}" name="finished" dataDxfId="335"/>
    <tableColumn id="125" xr3:uid="{313485DF-E467-DD4E-BF5F-B8707963BAE1}" name="app_time" dataDxfId="334"/>
    <tableColumn id="126" xr3:uid="{120DB737-316F-F440-B049-EFD4F30D8BE8}" name="detectados_Torico3" dataDxfId="333"/>
    <tableColumn id="127" xr3:uid="{0EC40037-B787-A44A-8C9E-9056476C39ED}" name="aburrimiento_conocidas_Salvador12" dataDxfId="332"/>
    <tableColumn id="128" xr3:uid="{95CFFE7F-7420-6743-BCCE-AA18002D3074}" name="detectados_Torico9" dataDxfId="331"/>
    <tableColumn id="129" xr3:uid="{EA9C5429-E975-194A-A2BA-05E2E3BD789E}" name="detectados_Torico12" dataDxfId="330"/>
    <tableColumn id="130" xr3:uid="{123CF799-E749-D042-AEEC-A1FCF45C62EE}" name="detectados_Salvador6" dataDxfId="329"/>
    <tableColumn id="131" xr3:uid="{735FD47D-BEBC-CE4C-9E64-6512144D639A}" name="detectados_Escalinata6" dataDxfId="328"/>
    <tableColumn id="132" xr3:uid="{55ABB116-765D-E94B-B3A7-03A922061FAC}" name="detectados_Mausoleo3" dataDxfId="327"/>
    <tableColumn id="133" xr3:uid="{6B451A73-8AD5-0341-8E40-42D5C36B97AE}" name="detectados_Mausoleo6" dataDxfId="326"/>
    <tableColumn id="134" xr3:uid="{8F450C4D-9D0B-C741-8B06-6FB524423AC5}" name="detectados_Mausoleo9" dataDxfId="325"/>
    <tableColumn id="135" xr3:uid="{8D8B2F88-F687-8E46-B25F-056F65F90FC3}" name="detectados_Mausoleo13" dataDxfId="324"/>
    <tableColumn id="136" xr3:uid="{439E20A0-F6B3-2840-BED4-921166314DD5}" name="confirmados_Salvador6" dataDxfId="323"/>
    <tableColumn id="137" xr3:uid="{62C4BDC8-327D-7A45-8DAA-8294625127A2}" name="confirmados_Escalinata6" dataDxfId="322"/>
    <tableColumn id="138" xr3:uid="{74D77DFF-7CB9-F949-8492-C566B10E22F4}" name="aburrimiento_conocidas_Torico12" dataDxfId="321"/>
    <tableColumn id="139" xr3:uid="{42BB25CC-F3F4-6D49-A1CC-4B5B8235CF40}" name="detectados_SanMartin11" dataDxfId="320"/>
    <tableColumn id="140" xr3:uid="{E2EB44B2-E694-5C4C-AD6B-4BE85441A12F}" name="aburrimiento_conocidas_SanMartin11" dataDxfId="319"/>
    <tableColumn id="141" xr3:uid="{74D725CF-859B-3748-802E-C61B18563217}" name="aburrimiento_conocidas_Escalinata6" dataDxfId="318"/>
    <tableColumn id="142" xr3:uid="{F160A897-7586-D24C-87AB-53521E202B47}" name="detectados_Torico6" dataDxfId="317"/>
    <tableColumn id="143" xr3:uid="{11FFCBF2-CC1C-9D48-9E19-7967F6621204}" name="detectados_Torico14" dataDxfId="316"/>
    <tableColumn id="144" xr3:uid="{7006F611-05F7-0545-86FA-2A9D1D382D9C}" name="detectados_Catedral3" dataDxfId="315"/>
    <tableColumn id="145" xr3:uid="{BFCF2352-A0B9-3E41-89C8-43F75D903354}" name="detectados_Catedral6" dataDxfId="314"/>
    <tableColumn id="146" xr3:uid="{12339C7D-63CA-094F-AD89-B4C7255EB363}" name="detectados_SanMartin6" dataDxfId="313"/>
    <tableColumn id="147" xr3:uid="{0AD42DA5-DDA0-4547-BA2D-85C4C793022C}" name="detectados_SanMartin8" dataDxfId="312"/>
    <tableColumn id="148" xr3:uid="{F95DD9BC-7AE5-B84E-A40F-EF42866DC594}" name="aburrimiento_conocidas_Torico9" dataDxfId="3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2569AD-57F9-D04A-ADED-13B464807E27}" name="DB" displayName="DB" ref="A1:DS21" totalsRowShown="0" headerRowDxfId="310" dataDxfId="309">
  <autoFilter ref="A1:DS21" xr:uid="{992569AD-57F9-D04A-ADED-13B464807E27}"/>
  <tableColumns count="123">
    <tableColumn id="1" xr3:uid="{F866EE16-92F0-814F-83B4-F0AFF718CFD5}" name="token" dataDxfId="308"/>
    <tableColumn id="2" xr3:uid="{A2898478-2F06-964B-937F-134DC188F4F9}" name="game" dataDxfId="307"/>
    <tableColumn id="3" xr3:uid="{20AAAC4D-0E61-134A-B2FF-9D0F6061949C}" name="edad" dataDxfId="306"/>
    <tableColumn id="4" xr3:uid="{5202AE76-7083-0842-AF7B-31B0D4700B24}" name="genero" dataDxfId="305"/>
    <tableColumn id="5" xr3:uid="{A5E899F6-AEBB-E44F-9B89-AC2A4ED9E49E}" name="locucion" dataDxfId="304"/>
    <tableColumn id="6" xr3:uid="{1F5E341A-C9EE-824D-9E79-D24888E0A5B7}" name="encuesta_locucion_time" dataDxfId="303"/>
    <tableColumn id="7" xr3:uid="{D376F52B-3194-D746-9687-70A5B4A27618}" name="locucion_donde" dataDxfId="302"/>
    <tableColumn id="8" xr3:uid="{C25DAAF7-7B1F-A34C-B3C2-67248C5F6CBD}" name="escalinata_modif" dataDxfId="301"/>
    <tableColumn id="9" xr3:uid="{1935B88C-0354-4A41-BE1B-E2827EDE9C87}" name="escalinata_modif_ok" dataDxfId="300"/>
    <tableColumn id="10" xr3:uid="{FDF37480-BDBE-1441-A4D2-8D1C14CF23E2}" name="escalinata_mural" dataDxfId="299"/>
    <tableColumn id="11" xr3:uid="{239EF204-9A92-BD4E-A52B-E99144F6342E}" name="escalinata_mural_ok" dataDxfId="298"/>
    <tableColumn id="12" xr3:uid="{7F0AB7D8-832B-C04B-84D7-D15BF3133537}" name="encuesta_escalinata_modif_time" dataDxfId="297"/>
    <tableColumn id="13" xr3:uid="{14C05CE6-2955-8D44-8AC9-DA8DBEB25084}" name="escalinata_mejor_opcion" dataDxfId="296"/>
    <tableColumn id="14" xr3:uid="{B891FBC4-BB4C-9843-A56C-5E750E20B638}" name="mausoleo_modif1" dataDxfId="295"/>
    <tableColumn id="15" xr3:uid="{29D809D5-89C6-B741-BBF7-9380C9789F9F}" name="mausoleo_modif2" dataDxfId="294"/>
    <tableColumn id="16" xr3:uid="{EC0269A1-5512-8F41-B808-E111BF4DC996}" name="encuesta_mausoleo_modif_time" dataDxfId="293"/>
    <tableColumn id="17" xr3:uid="{9E6462C8-C9C1-7F4B-8E1A-823E6E645730}" name="mausoleo_modif_preferida" dataDxfId="292"/>
    <tableColumn id="18" xr3:uid="{7CE01D00-8540-0D43-9589-BAD03C477C6E}" name="conocidas_torico" dataDxfId="291"/>
    <tableColumn id="19" xr3:uid="{21E07DB2-BDC6-6145-B0C6-082FA7FC0E70}" name="conocidas_catedral" dataDxfId="290"/>
    <tableColumn id="20" xr3:uid="{A431FEFF-352B-6C46-AA2F-3335B137D61D}" name="conocidas_sanmartin" dataDxfId="289"/>
    <tableColumn id="21" xr3:uid="{222841BD-E836-4E46-AD84-C949C5B207AD}" name="conocidas_salvador" dataDxfId="288"/>
    <tableColumn id="22" xr3:uid="{9E74B452-5A07-A348-BE2A-E6D1CF5676AE}" name="conocidas_escalinata" dataDxfId="287"/>
    <tableColumn id="23" xr3:uid="{390D3373-F4D2-CF43-80AB-A397B1CDC491}" name="conocidas_mausoleo" dataDxfId="286"/>
    <tableColumn id="24" xr3:uid="{C96E8BFE-9508-D44F-B14C-FDCF2D40D9E0}" name="tiempos_Torico0" dataDxfId="285"/>
    <tableColumn id="25" xr3:uid="{BD03250B-3BFF-B64B-8F41-CDDECF5E64AA}" name="tiempos_Torico1" dataDxfId="284"/>
    <tableColumn id="26" xr3:uid="{52F353D1-23E2-F147-9B2A-279B1D8A0CA1}" name="tiempos_Torico2" dataDxfId="283"/>
    <tableColumn id="27" xr3:uid="{DB96BA10-3198-8445-BF71-F2356483F0CC}" name="tiempos_Torico3" dataDxfId="282"/>
    <tableColumn id="28" xr3:uid="{F14B0061-6F8A-8C44-8458-3D4A0B51BBF0}" name="tiempos_Torico4" dataDxfId="281"/>
    <tableColumn id="29" xr3:uid="{85E1D0F8-9ECA-4D46-935C-DF50B4E395A4}" name="tiempos_Torico5" dataDxfId="280"/>
    <tableColumn id="30" xr3:uid="{99ED2A53-F7F9-C44B-B5DE-B39D910A7A4C}" name="tiempos_Torico6" dataDxfId="279"/>
    <tableColumn id="31" xr3:uid="{0C1A8851-81A2-D344-BF77-CC8506644B97}" name="tiempos_Torico7" dataDxfId="278"/>
    <tableColumn id="32" xr3:uid="{2557B78A-07B9-D04A-95C5-DF8BE09E943F}" name="tiempos_Torico8" dataDxfId="277"/>
    <tableColumn id="33" xr3:uid="{F4F4664D-61EE-6D45-A6C6-949D5B9A1BEB}" name="tiempos_Torico9" dataDxfId="276"/>
    <tableColumn id="34" xr3:uid="{85643F8B-160D-B44E-A282-47E9B5BFFDA9}" name="tiempos_Torico10" dataDxfId="275"/>
    <tableColumn id="35" xr3:uid="{898E6168-8BD9-8544-A0E3-5896A50B286D}" name="tiempos_Torico11" dataDxfId="274"/>
    <tableColumn id="36" xr3:uid="{CDB5A753-AA84-774B-93CB-B24A35C5E791}" name="tiempos_Torico12" dataDxfId="273"/>
    <tableColumn id="37" xr3:uid="{DD8AC6F1-C603-8E47-897E-A0194CE65E64}" name="tiempos_Torico13" dataDxfId="272"/>
    <tableColumn id="38" xr3:uid="{7C45BBF6-8E3B-7443-949E-551667529117}" name="tiempos_Catedral0" dataDxfId="271"/>
    <tableColumn id="39" xr3:uid="{04AA64E2-29C5-744E-B75B-91019756ECFA}" name="tiempos_Catedral1" dataDxfId="270"/>
    <tableColumn id="40" xr3:uid="{D31397A6-DCA3-A24A-94F9-842A14F8E22D}" name="tiempos_Catedral2" dataDxfId="269"/>
    <tableColumn id="41" xr3:uid="{90C98605-7C26-6B47-9EA1-0CC94674D4B9}" name="tiempos_Catedral3" dataDxfId="268"/>
    <tableColumn id="42" xr3:uid="{152AD0C4-9C87-8749-9A87-B443BF518AA3}" name="tiempos_Catedral4" dataDxfId="267"/>
    <tableColumn id="43" xr3:uid="{FE9426A0-C8A3-DF45-A01C-3B1CEC6A49A1}" name="tiempos_Catedral5" dataDxfId="266"/>
    <tableColumn id="44" xr3:uid="{CEB40CE6-8859-0A48-877A-A665C5F2F468}" name="tiempos_Catedral6" dataDxfId="265"/>
    <tableColumn id="45" xr3:uid="{D1F2EF6B-DBC2-6E4D-B3CA-C2187477250C}" name="tiempos_Catedral7" dataDxfId="264"/>
    <tableColumn id="46" xr3:uid="{3FEA1D54-8231-8849-BEC3-46D719AD7001}" name="tiempos_SanMartin0" dataDxfId="263"/>
    <tableColumn id="47" xr3:uid="{B30DE2CC-6AB0-FE49-8286-5E315927D094}" name="tiempos_SanMartin1" dataDxfId="262"/>
    <tableColumn id="48" xr3:uid="{BB056470-A1B7-1D4A-83C9-7B1C1A9455C0}" name="tiempos_SanMartin2" dataDxfId="261"/>
    <tableColumn id="49" xr3:uid="{44E53506-BC8F-B744-9CFB-158B328A796E}" name="tiempos_SanMartin3" dataDxfId="260"/>
    <tableColumn id="50" xr3:uid="{1E66200C-52AF-9C43-8DF0-BA3C5118AEBA}" name="tiempos_SanMartin4" dataDxfId="259"/>
    <tableColumn id="51" xr3:uid="{3C314CC9-4133-034D-8719-7CAE1FA079DB}" name="tiempos_SanMartin5" dataDxfId="258"/>
    <tableColumn id="52" xr3:uid="{98026EEA-B1EC-8144-B3F2-7F5F5C3452DB}" name="tiempos_SanMartin6" dataDxfId="257"/>
    <tableColumn id="53" xr3:uid="{93317C0B-2132-AD42-BC1B-C1C55EC694BA}" name="tiempos_SanMartin7" dataDxfId="256"/>
    <tableColumn id="54" xr3:uid="{8A401D86-7786-BA4B-9D69-E5F1EED2B61E}" name="tiempos_SanMartin8" dataDxfId="255"/>
    <tableColumn id="55" xr3:uid="{012CA36A-D674-9840-AA86-918F90335951}" name="tiempos_SanMartin9" dataDxfId="254"/>
    <tableColumn id="56" xr3:uid="{E8BEE448-00FF-0D49-9A37-D57DBED5029A}" name="tiempos_SanMartin10" dataDxfId="253"/>
    <tableColumn id="57" xr3:uid="{AD217420-47DF-4340-AF7A-5149D5978C5A}" name="tiempos_Salvador0" dataDxfId="252"/>
    <tableColumn id="58" xr3:uid="{23A45139-1F6B-5948-90FF-05D262DA2AD8}" name="tiempos_Salvador1" dataDxfId="251"/>
    <tableColumn id="59" xr3:uid="{C4609C83-940C-EB46-ADF4-C18A41ECF3EF}" name="tiempos_Salvador2" dataDxfId="250"/>
    <tableColumn id="60" xr3:uid="{E270E2A5-4A27-4E4D-BF38-B559C2FB601D}" name="tiempos_Salvador3" dataDxfId="249"/>
    <tableColumn id="61" xr3:uid="{929E6FE5-2AD6-1C4D-A765-2D0E2A47878E}" name="tiempos_Salvador4" dataDxfId="248"/>
    <tableColumn id="62" xr3:uid="{50CE789C-999A-1A4B-A24B-240C2B41DCC4}" name="tiempos_Salvador5" dataDxfId="247"/>
    <tableColumn id="63" xr3:uid="{A27BD6C9-AC21-9345-9F2B-ECE15EAE1CA8}" name="tiempos_Salvador6" dataDxfId="246"/>
    <tableColumn id="64" xr3:uid="{636ECC0B-B2C6-A849-874C-BFF9A1B29623}" name="tiempos_Salvador7" dataDxfId="245"/>
    <tableColumn id="65" xr3:uid="{EDB2A451-386E-B341-BEE0-C236B58E7CB0}" name="tiempos_Salvador8" dataDxfId="244"/>
    <tableColumn id="66" xr3:uid="{9BD8BF62-D85F-3243-9D1D-33759E956E4D}" name="tiempos_Salvador9" dataDxfId="243"/>
    <tableColumn id="67" xr3:uid="{4C6F01C7-9B93-9D42-977B-7530330E918D}" name="tiempos_Salvador10" dataDxfId="242"/>
    <tableColumn id="68" xr3:uid="{11629CB0-1EE5-3B42-B096-A48065618A29}" name="tiempos_Salvador11" dataDxfId="241"/>
    <tableColumn id="69" xr3:uid="{2CCCCEE3-8DBE-7F44-A6A3-2F2CE3622CE2}" name="tiempos_Salvador12" dataDxfId="240"/>
    <tableColumn id="70" xr3:uid="{883F50D2-010A-8344-98E4-7D375D0B7E58}" name="tiempos_Salvador13" dataDxfId="239"/>
    <tableColumn id="71" xr3:uid="{93CC3A6C-75C0-6743-AA9B-37EC14EBB3B9}" name="tiempos_Salvador14" dataDxfId="238"/>
    <tableColumn id="72" xr3:uid="{16E9CB1E-A8F7-8E4A-A635-D0EB9C086354}" name="tiempos_Salvador15" dataDxfId="237"/>
    <tableColumn id="73" xr3:uid="{3DB6EA63-906F-5847-AB2C-DE038708126E}" name="tiempos_Salvador16" dataDxfId="236"/>
    <tableColumn id="74" xr3:uid="{1A36C62A-0BE0-F44D-9490-F0830629FC55}" name="tiempos_Escalinata0" dataDxfId="235"/>
    <tableColumn id="75" xr3:uid="{033B0EF4-D9A9-0546-9109-A886EAB14407}" name="tiempos_Escalinata1" dataDxfId="234"/>
    <tableColumn id="76" xr3:uid="{CB6D1059-B521-5C47-BBC3-99EA72F7B516}" name="tiempos_Escalinata2" dataDxfId="233"/>
    <tableColumn id="77" xr3:uid="{44C1D643-24BB-5349-9ED3-B9EEE72728DD}" name="tiempos_Escalinata3" dataDxfId="232"/>
    <tableColumn id="78" xr3:uid="{3F0D7011-4B22-FF46-83C2-392FD6B4EDDF}" name="tiempos_Escalinata4" dataDxfId="231"/>
    <tableColumn id="79" xr3:uid="{54B12ACE-5296-6744-9C73-5AA0857AF3F5}" name="tiempos_Escalinata5" dataDxfId="230"/>
    <tableColumn id="80" xr3:uid="{9FF65013-8518-D843-8136-73E5DD01C147}" name="tiempos_Escalinata6" dataDxfId="229"/>
    <tableColumn id="81" xr3:uid="{EEAC089F-3186-5E4B-AA26-DDBEB978FCD9}" name="tiempos_Escalinata7" dataDxfId="228"/>
    <tableColumn id="82" xr3:uid="{3FE12B9D-5484-6644-9F0C-EF7AE0D6653D}" name="tiempos_Escalinata8" dataDxfId="227"/>
    <tableColumn id="83" xr3:uid="{F25AAF94-7B80-8142-9865-4D7752C58D5B}" name="tiempos_Escalinata9" dataDxfId="226"/>
    <tableColumn id="84" xr3:uid="{5954D888-8DB4-684A-9595-4CA67A977476}" name="tiempos_Escalinata10" dataDxfId="225"/>
    <tableColumn id="85" xr3:uid="{29CE64B3-1C8B-BA44-AF50-2B55D2E2B800}" name="tiempos_Escalinata11" dataDxfId="224"/>
    <tableColumn id="86" xr3:uid="{4F8F3CE8-A890-834C-9DDC-A484B99715AC}" name="tiempos_Escalinata12" dataDxfId="223"/>
    <tableColumn id="87" xr3:uid="{F1796B6B-AD44-E340-90C9-A6863CBBEDE3}" name="tiempos_Escalinata13" dataDxfId="222"/>
    <tableColumn id="88" xr3:uid="{60739279-8547-3B4F-83B4-B4F388D597AE}" name="tiempos_Escalinata14" dataDxfId="221"/>
    <tableColumn id="89" xr3:uid="{1680BB6D-18A1-484F-BDB4-7BC74B355F4D}" name="tiempos_Escalinata15" dataDxfId="220"/>
    <tableColumn id="90" xr3:uid="{A7D85A37-6C37-CF47-B1C5-2D3AB4D819AC}" name="tiempos_Mausoleo0" dataDxfId="219"/>
    <tableColumn id="91" xr3:uid="{5843697B-8433-2643-9CE7-5B5EDF426706}" name="tiempos_Mausoleo1" dataDxfId="218"/>
    <tableColumn id="92" xr3:uid="{C04699CC-70C7-8243-8BE6-F26169E45711}" name="tiempos_Mausoleo2" dataDxfId="217"/>
    <tableColumn id="93" xr3:uid="{7303ABBF-21AF-C44E-AF97-F02618457FC4}" name="tiempos_Mausoleo3" dataDxfId="216"/>
    <tableColumn id="94" xr3:uid="{CE9F0076-846A-D440-B421-46F638916FA2}" name="tiempos_Mausoleo4" dataDxfId="215"/>
    <tableColumn id="95" xr3:uid="{ACB4BAC5-6910-DA43-B5DC-A0DF0925F885}" name="tiempos_Mausoleo5" dataDxfId="214"/>
    <tableColumn id="96" xr3:uid="{92514C3A-A8CF-CC47-A54E-70A98273EB21}" name="tiempos_Mausoleo6" dataDxfId="213"/>
    <tableColumn id="97" xr3:uid="{16668B25-FAA6-7E49-BB1B-6DACA76504A7}" name="tiempos_Mausoleo7" dataDxfId="212"/>
    <tableColumn id="98" xr3:uid="{50219EB5-7B8A-174E-A845-D71DD1018FEA}" name="tiempos_Mausoleo8" dataDxfId="211"/>
    <tableColumn id="99" xr3:uid="{918B827B-9B3F-CC47-A54B-F4184155EE26}" name="tiempos_Mausoleo9" dataDxfId="210"/>
    <tableColumn id="100" xr3:uid="{0C8E0CDE-AB25-8849-B19B-DAC96B9D58C5}" name="tiempos_Mausoleo10" dataDxfId="209"/>
    <tableColumn id="101" xr3:uid="{8E2B4895-A611-8046-ACDF-40417C65B8FD}" name="tiempos_Mausoleo11" dataDxfId="208"/>
    <tableColumn id="102" xr3:uid="{753FFB34-8125-7648-BEBD-080376E0689B}" name="tiempos_Mausoleo12" dataDxfId="207"/>
    <tableColumn id="103" xr3:uid="{9C87AA4C-497B-D445-9FC6-B504B275C68C}" name="orden_0" dataDxfId="206"/>
    <tableColumn id="104" xr3:uid="{474213AA-C999-344F-9142-221257A7F078}" name="orden_1" dataDxfId="205"/>
    <tableColumn id="105" xr3:uid="{364A4565-AA68-D941-9F60-7EA243B413B5}" name="orden_2" dataDxfId="204"/>
    <tableColumn id="106" xr3:uid="{624EDA2D-A2CB-2743-BF24-65ADC3F82728}" name="orden_3" dataDxfId="203"/>
    <tableColumn id="107" xr3:uid="{9CD1B2E4-B580-8349-B05D-0CA37CF20174}" name="orden_4" dataDxfId="202"/>
    <tableColumn id="108" xr3:uid="{E8D50911-F4DD-7143-8A84-5A716EA5840A}" name="orden_5" dataDxfId="201"/>
    <tableColumn id="111" xr3:uid="{CA046F1E-0BBB-2847-812A-40457DFE785C}" name="totalAburrido" dataDxfId="200"/>
    <tableColumn id="112" xr3:uid="{239AF73C-EAC6-294B-A0AD-62B01ECA072D}" name="totalDetectado" dataDxfId="199"/>
    <tableColumn id="113" xr3:uid="{F81EEC82-91A2-3644-9477-76E983C6DDEF}" name="opinion_atencion" dataDxfId="198"/>
    <tableColumn id="114" xr3:uid="{441877BE-D67A-3840-89FB-9CAED12641D3}" name="opinion_concentrado" dataDxfId="197"/>
    <tableColumn id="115" xr3:uid="{A6672776-0AAA-D641-B8F5-8AF9D43B2E3E}" name="opinion_consciente" dataDxfId="196"/>
    <tableColumn id="116" xr3:uid="{F8B04ABF-2C5E-1D41-910C-8583FAF1598B}" name="opinion_experimentando" dataDxfId="195"/>
    <tableColumn id="117" xr3:uid="{957A0F47-A2D8-024C-A819-C98BC28513A0}" name="opinion_dejarlo" dataDxfId="194"/>
    <tableColumn id="118" xr3:uid="{CDFDA993-13BF-C64B-9D10-AF309FC94FAC}" name="opinion_interesado" dataDxfId="193"/>
    <tableColumn id="119" xr3:uid="{E68DADB6-2C5E-BB46-B0F6-E9803FDE4219}" name="opinion_disfrutar" dataDxfId="192"/>
    <tableColumn id="120" xr3:uid="{EDCF4748-C959-1148-81CE-BBF84D418C5C}" name="opinion_hacer_otra" dataDxfId="191"/>
    <tableColumn id="161" xr3:uid="{506E533C-6AFB-024D-895E-B5983B1B7C65}" name="opinion_interesante" dataDxfId="190"/>
    <tableColumn id="162" xr3:uid="{6D58C5CC-D812-2446-B2F1-03D05BA8B08F}" name="opinion_problemas" dataDxfId="189"/>
    <tableColumn id="121" xr3:uid="{8E8FC132-5F53-DD40-84DD-655F89C3C584}" name="encuesta_opinion_time" dataDxfId="188"/>
    <tableColumn id="122" xr3:uid="{A45BE9A6-7000-4F4A-BF6C-BC359CDE3368}" name="finished" dataDxfId="187"/>
    <tableColumn id="123" xr3:uid="{EC133C61-5F8F-AF44-B27C-9F14473715C0}" name="app_time" dataDxfId="1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0679C7-4350-2748-A285-A3BC989952B8}" name="DBAburrimiento" displayName="DBAburrimiento" ref="A1:AN22" totalsRowCount="1" headerRowDxfId="185" dataDxfId="183" headerRowBorderDxfId="184" tableBorderDxfId="182" totalsRowBorderDxfId="181">
  <autoFilter ref="A1:AN21" xr:uid="{730679C7-4350-2748-A285-A3BC989952B8}"/>
  <tableColumns count="40">
    <tableColumn id="1" xr3:uid="{8C3D28CA-A3D9-124D-A1D3-5EF34B43CF50}" name="token" dataDxfId="180" totalsRowDxfId="62"/>
    <tableColumn id="2" xr3:uid="{8AD5A6CF-092B-4E44-8421-BECFAA99B311}" name="game" dataDxfId="179" totalsRowDxfId="61"/>
    <tableColumn id="3" xr3:uid="{BAA028F6-5422-5846-88A7-C264D26AB0F1}" name="edad" dataDxfId="178" totalsRowDxfId="60"/>
    <tableColumn id="4" xr3:uid="{9821AE30-C2DB-5B43-85D7-456A0E5469D2}" name="genero" dataDxfId="177" totalsRowDxfId="59"/>
    <tableColumn id="5" xr3:uid="{614FEF09-4096-134E-8E95-8F1C80AFC725}" name="detectados_Escalinata3" totalsRowFunction="count" totalsRowDxfId="58"/>
    <tableColumn id="6" xr3:uid="{77D702CE-AF4E-4A4D-9002-0B4386ACE63D}" name="aburrimiento_conocidas_Escalinata3" totalsRowFunction="count" totalsRowDxfId="57"/>
    <tableColumn id="7" xr3:uid="{54F49E7A-DE14-AD4A-B682-20426670518B}" name="detectados_Torico3" totalsRowFunction="count" dataDxfId="176" totalsRowDxfId="56"/>
    <tableColumn id="8" xr3:uid="{FFD45206-F95E-8B4F-812C-31014C15A59A}" name="aburrimiento_conocidas_Salvador12" totalsRowFunction="count" dataDxfId="175" totalsRowDxfId="55"/>
    <tableColumn id="9" xr3:uid="{2FAC0FA2-5371-DB4D-89B7-5F93B7AE125C}" name="detectados_Torico9" totalsRowFunction="count" totalsRowDxfId="54"/>
    <tableColumn id="10" xr3:uid="{F53AD12D-C872-134F-84AC-8F5C1CA03F0E}" name="detectados_Torico12" totalsRowFunction="count" totalsRowDxfId="53"/>
    <tableColumn id="11" xr3:uid="{B16E03D3-AFE3-2F4D-BB6B-366C4BAD8D40}" name="detectados_Salvador6" totalsRowFunction="count" totalsRowDxfId="52"/>
    <tableColumn id="12" xr3:uid="{E218AFBB-03CF-584D-86C3-52F70C39E014}" name="detectados_Escalinata6" totalsRowFunction="count" totalsRowDxfId="51"/>
    <tableColumn id="13" xr3:uid="{FB77329E-1FB0-024C-AAB7-F5882B9FECA3}" name="detectados_Mausoleo3" totalsRowFunction="count" totalsRowDxfId="50"/>
    <tableColumn id="14" xr3:uid="{A67A2060-91BF-4A44-94EF-647405F64947}" name="detectados_Mausoleo6" totalsRowFunction="count" totalsRowDxfId="49"/>
    <tableColumn id="15" xr3:uid="{03FB8DAC-D046-8148-9074-0BF37200CC55}" name="detectados_Mausoleo9" totalsRowFunction="count" totalsRowDxfId="48"/>
    <tableColumn id="16" xr3:uid="{44B620F3-FD88-D649-AEA9-0943B49E8FDB}" name="detectados_Mausoleo13" totalsRowFunction="count" totalsRowDxfId="47"/>
    <tableColumn id="17" xr3:uid="{F69F1414-C6FC-944B-A55F-0658E3848E03}" name="confirmados_Salvador6" totalsRowFunction="count" totalsRowDxfId="46"/>
    <tableColumn id="18" xr3:uid="{0883DE18-FEC9-1742-B230-B5250678E4AC}" name="confirmados_Escalinata6" totalsRowFunction="count" totalsRowDxfId="45"/>
    <tableColumn id="19" xr3:uid="{E88C7DFE-F5FC-9E46-BDE0-0E4DD698381B}" name="aburrimiento_conocidas_Torico12" totalsRowFunction="count" dataDxfId="174" totalsRowDxfId="44"/>
    <tableColumn id="22" xr3:uid="{ECD274AB-8D9F-1D4A-AEB9-167669735441}" name="detectados_SanMartin11" totalsRowFunction="count" totalsRowDxfId="43"/>
    <tableColumn id="23" xr3:uid="{0379E043-23D4-E346-941A-756B53C505CE}" name="aburrimiento_conocidas_SanMartin11" totalsRowFunction="count" totalsRowDxfId="42"/>
    <tableColumn id="24" xr3:uid="{3A24E5F2-6DCD-924C-9ED1-A64FBCDB93D6}" name="aburrimiento_conocidas_Escalinata6" totalsRowFunction="count" totalsRowDxfId="41"/>
    <tableColumn id="25" xr3:uid="{10931929-11AA-4B43-BC15-80E825ACC0B3}" name="detectados_Torico6" totalsRowFunction="count" dataDxfId="173" totalsRowDxfId="40"/>
    <tableColumn id="26" xr3:uid="{CF78ACD1-4A3C-8346-949B-AAE0F4473355}" name="detectados_Torico14" totalsRowFunction="count" dataDxfId="172" totalsRowDxfId="39"/>
    <tableColumn id="27" xr3:uid="{8D26A709-8818-B34F-BD58-400293FAB107}" name="detectados_Catedral3" totalsRowFunction="count" dataDxfId="171" totalsRowDxfId="38"/>
    <tableColumn id="28" xr3:uid="{9AF7FF92-1ED9-5949-BF11-FF56512BA1E2}" name="detectados_Catedral6" totalsRowFunction="count" dataDxfId="170" totalsRowDxfId="37"/>
    <tableColumn id="29" xr3:uid="{46ED58EB-4B2B-5D4D-AE73-8E4F8BF8B5CB}" name="detectados_SanMartin6" totalsRowFunction="count" dataDxfId="169" totalsRowDxfId="36"/>
    <tableColumn id="30" xr3:uid="{584BE0DE-81BE-3F48-A7B2-C06F350F58A1}" name="detectados_SanMartin8" totalsRowFunction="count" dataDxfId="168" totalsRowDxfId="35"/>
    <tableColumn id="31" xr3:uid="{2F7063FA-5EDE-C041-AD87-7725E9489D88}" name="aburrimiento_conocidas_Torico9" totalsRowFunction="count" dataDxfId="167" totalsRowDxfId="34"/>
    <tableColumn id="32" xr3:uid="{B01B7AB1-90F5-8046-9B55-4439D688D1B9}" name="detectados_Escalinata9" totalsRowFunction="count" dataDxfId="166" totalsRowDxfId="33"/>
    <tableColumn id="33" xr3:uid="{05169A0D-8AA7-244E-BCB7-149C56103F6A}" name="detectados_Escalinata12" totalsRowFunction="count" dataDxfId="165" totalsRowDxfId="32"/>
    <tableColumn id="34" xr3:uid="{4EEE3015-66D5-5F40-B2DC-EEC26FEC4E43}" name="confirmados_Escalinata12" totalsRowFunction="count" dataDxfId="164" totalsRowDxfId="31"/>
    <tableColumn id="35" xr3:uid="{E2683EEB-0616-724A-8195-6BBC7044CA3C}" name="confirmados_Mausoleo3" totalsRowFunction="count" dataDxfId="163" totalsRowDxfId="30"/>
    <tableColumn id="36" xr3:uid="{8A1E8190-C3A7-4C48-997D-5FDCAEF9BBAD}" name="aburrimiento_conocidas_Catedral3" totalsRowFunction="count" dataDxfId="162" totalsRowDxfId="29"/>
    <tableColumn id="37" xr3:uid="{B3B13166-E388-1741-85B4-13A4DA6ED870}" name="aburrimiento_conocidas_Escalinata12" totalsRowFunction="count" dataDxfId="161" totalsRowDxfId="28"/>
    <tableColumn id="38" xr3:uid="{B04C3909-B8DF-5F42-9A94-B5C04278453D}" name="aburrimiento_conocidas_Mausoleo3" totalsRowFunction="count" dataDxfId="160" totalsRowDxfId="27"/>
    <tableColumn id="39" xr3:uid="{2EA96EFC-D52D-5E46-954A-FE50F7884974}" name="detectados_Escalinata16" totalsRowFunction="count" dataDxfId="159" totalsRowDxfId="26"/>
    <tableColumn id="40" xr3:uid="{EC80E431-27BA-6142-9679-9C28A4827BDF}" name="aburrimiento_conocidas_Escalinata16" totalsRowFunction="count" dataDxfId="158" totalsRowDxfId="25"/>
    <tableColumn id="41" xr3:uid="{77968C62-98FD-8C42-A558-B61045675E8F}" name="aburrimiento_conocidas_Mausoleo6" totalsRowFunction="count" dataDxfId="157" totalsRowDxfId="24"/>
    <tableColumn id="42" xr3:uid="{2A508351-F61B-884E-B7A5-7725DA0FF4D4}" name="aburrimiento_conocidas_SanMartin8" totalsRowFunction="count" dataDxfId="156" totalsRow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E8D95E-99D9-B54D-BBFB-EB3B911F77CC}" name="Tabla3" displayName="Tabla3" ref="C3:H10" totalsRowShown="0">
  <autoFilter ref="C3:H10" xr:uid="{C2E8D95E-99D9-B54D-BBFB-EB3B911F77CC}"/>
  <tableColumns count="6">
    <tableColumn id="1" xr3:uid="{778A6A33-BA1B-F646-9A10-2DAA91AB07C0}" name="Sección"/>
    <tableColumn id="2" xr3:uid="{AD1E3E9A-F191-6149-9ED7-785C85838EEE}" name="Secciones detectadas">
      <calculatedColumnFormula array="1">SUM(IF(LEFT(DBAburrimiento[#Headers],LEN(_xlfn.CONCAT($K$3,"_",C4)))=_xlfn.CONCAT($K$3,"_",C4),1,0))</calculatedColumnFormula>
    </tableColumn>
    <tableColumn id="3" xr3:uid="{CF41E9DE-C1E6-984F-BAC2-DAEC3E96F661}" name="Secciones confirmadas">
      <calculatedColumnFormula array="1">SUM(IF(LEFT(DBAburrimiento[#Headers],LEN(_xlfn.CONCAT($AC$3,"_",C4)))=_xlfn.CONCAT($AC$3,"_",C4),1,0))</calculatedColumnFormula>
    </tableColumn>
    <tableColumn id="4" xr3:uid="{B1CB9C42-7ECA-5F4E-AB9D-86F2B123CB8C}" name="Secciones conocidas">
      <calculatedColumnFormula array="1">SUM(IF(LEFT(DBAburrimiento[#Headers],LEN(_xlfn.CONCAT($AU$3,"_",C4)))=_xlfn.CONCAT($AU$3,"_",C4),1,0))</calculatedColumnFormula>
    </tableColumn>
    <tableColumn id="5" xr3:uid="{91C0C97E-A16A-3D47-9F57-4324ACAC9BC7}" name="% confirmadas" dataDxfId="155" dataCellStyle="Porcentaje">
      <calculatedColumnFormula>(E4*100/D4)/100</calculatedColumnFormula>
    </tableColumn>
    <tableColumn id="6" xr3:uid="{2A9E1887-4445-DD49-8DDD-E13FACCD8CA7}" name="% conocidas" dataDxfId="22" dataCellStyle="Porcentaje">
      <calculatedColumnFormula>(F4*100/D4)/100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23C6FF0-E605-6E43-9A8F-1A51149A47D3}" name="TablaDetectados" displayName="TablaDetectados" ref="K4:Z10" totalsRowShown="0">
  <autoFilter ref="K4:Z10" xr:uid="{F23C6FF0-E605-6E43-9A8F-1A51149A47D3}"/>
  <tableColumns count="16">
    <tableColumn id="1" xr3:uid="{150F4DD7-4D65-6B43-A714-14DBB1E2A32C}" name="1" dataDxfId="21"/>
    <tableColumn id="2" xr3:uid="{16008B57-6EAC-B345-AFF7-2D4482669D7B}" name="2" dataDxfId="20"/>
    <tableColumn id="3" xr3:uid="{EBC9F99C-858D-4642-8BD8-1D285438C976}" name="3" dataDxfId="19"/>
    <tableColumn id="4" xr3:uid="{F82E351D-9396-D34E-B11F-FAAFF4C05424}" name="4" dataDxfId="18"/>
    <tableColumn id="5" xr3:uid="{375FB099-9559-6C46-8979-BE99C72EBA9E}" name="5" dataDxfId="17"/>
    <tableColumn id="6" xr3:uid="{7A1CAD7D-B978-4E49-AED5-6C39C57513E5}" name="6" dataDxfId="16"/>
    <tableColumn id="7" xr3:uid="{0695CA08-042A-F540-94B2-084DF6ECFC93}" name="7" dataDxfId="15"/>
    <tableColumn id="8" xr3:uid="{163DC5A4-EE5C-2142-BA16-C8FF93E077C6}" name="8" dataDxfId="14"/>
    <tableColumn id="9" xr3:uid="{91C731FD-7834-7947-A324-FFDC2149F81B}" name="9" dataDxfId="13"/>
    <tableColumn id="10" xr3:uid="{4F5642C1-72A1-DE44-89ED-18B1A1212F1E}" name="10" dataDxfId="12"/>
    <tableColumn id="11" xr3:uid="{4A027160-AE37-D04C-A01A-F7C569D4CA31}" name="11" dataDxfId="11"/>
    <tableColumn id="12" xr3:uid="{2631CF50-3E47-CB40-828C-792DDB45CFA0}" name="12" dataDxfId="10"/>
    <tableColumn id="13" xr3:uid="{15203BAB-AB01-5D42-84CF-D029D89F5372}" name="13" dataDxfId="9"/>
    <tableColumn id="14" xr3:uid="{A94513A8-AB48-FB41-B937-5309CC03AC07}" name="14" dataDxfId="8"/>
    <tableColumn id="15" xr3:uid="{A39A1BD8-66E8-4B46-9946-C26262102013}" name="15" dataDxfId="7"/>
    <tableColumn id="16" xr3:uid="{5D8EBA23-96F4-4049-A5CC-C756C07AD51A}" name="16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2F04B1-DBD0-1C45-B863-30EF53C9BC77}" name="TablaConfirmados" displayName="TablaConfirmados" ref="AC4:AR10" totalsRowShown="0" headerRowDxfId="5" headerRowBorderDxfId="3" tableBorderDxfId="4">
  <autoFilter ref="AC4:AR10" xr:uid="{3F2F04B1-DBD0-1C45-B863-30EF53C9BC77}"/>
  <tableColumns count="16">
    <tableColumn id="1" xr3:uid="{DC1CD560-8F98-0F43-9531-A30FEF200AD3}" name="1"/>
    <tableColumn id="2" xr3:uid="{C2D6B67D-755F-3B48-98A2-580AEAFA2AF8}" name="2"/>
    <tableColumn id="3" xr3:uid="{925C3437-D8A6-4A43-BB86-F6554FE7D6BA}" name="3"/>
    <tableColumn id="4" xr3:uid="{37BD9F43-FC76-0949-9F53-04A120B26A03}" name="4"/>
    <tableColumn id="5" xr3:uid="{7AAEA041-CB7C-FB44-A426-3D116C693712}" name="5"/>
    <tableColumn id="6" xr3:uid="{638C0D7B-6E72-3C43-A48B-3B85F00862E1}" name="6"/>
    <tableColumn id="7" xr3:uid="{CDB4E149-3136-A34F-BD05-DD4FA52B4E1D}" name="7"/>
    <tableColumn id="8" xr3:uid="{1BFE8B3A-0652-B843-B436-7BD2C843F200}" name="8"/>
    <tableColumn id="9" xr3:uid="{52457010-0E57-6A49-9834-F901D7BCB151}" name="9"/>
    <tableColumn id="10" xr3:uid="{FD2E644B-1980-E546-8904-D3AE0F538BF8}" name="10"/>
    <tableColumn id="11" xr3:uid="{E9AE6841-A6B5-5D4A-9D34-8A44DDB27752}" name="11"/>
    <tableColumn id="12" xr3:uid="{F31D7EEE-9C65-104D-8BA6-67ED6B90B204}" name="12"/>
    <tableColumn id="13" xr3:uid="{34B27D56-EF67-8E4B-A650-42FE764C0719}" name="13"/>
    <tableColumn id="14" xr3:uid="{FB3AB72C-17DF-2249-ADDA-46B371ACC3F6}" name="14"/>
    <tableColumn id="15" xr3:uid="{CBFA6458-5B9E-9348-978C-D05D77DC04B0}" name="15"/>
    <tableColumn id="16" xr3:uid="{F6C0290A-8E34-3C4D-950F-CF617F9945E1}" name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7BBDC7-D5BD-D943-A8F1-7388A1FA2B02}" name="TablaConocidas" displayName="TablaConocidas" ref="AU4:BJ10" totalsRowShown="0" headerRowDxfId="2" headerRowBorderDxfId="0" tableBorderDxfId="1">
  <autoFilter ref="AU4:BJ10" xr:uid="{727BBDC7-D5BD-D943-A8F1-7388A1FA2B02}"/>
  <tableColumns count="16">
    <tableColumn id="1" xr3:uid="{821BC069-8F19-A94A-90DE-1FC9AF2A8F5E}" name="1"/>
    <tableColumn id="2" xr3:uid="{C9E0339C-E6E5-C943-90C0-CE65703BFDF5}" name="2"/>
    <tableColumn id="3" xr3:uid="{4B18D0B8-8498-764C-8C67-7D9B21FE022C}" name="3"/>
    <tableColumn id="4" xr3:uid="{EB99D77A-7E33-154F-8AD4-65CC9A64E78D}" name="4"/>
    <tableColumn id="5" xr3:uid="{3AAFDB81-30D0-A54A-9D7E-18BC8102AEE3}" name="5"/>
    <tableColumn id="6" xr3:uid="{294D3A3B-C2F9-AD47-A039-B611D9DF878B}" name="6"/>
    <tableColumn id="7" xr3:uid="{67D53673-742A-6D4B-9325-3DA7C21C0B06}" name="7"/>
    <tableColumn id="8" xr3:uid="{C8D88AFB-46E4-5F4A-909F-92492229DB34}" name="8"/>
    <tableColumn id="9" xr3:uid="{29DD0111-E352-D24C-9F6C-5B11D7DEA94C}" name="9"/>
    <tableColumn id="10" xr3:uid="{DA29D0C3-F57F-EF43-B154-6A33A748BF93}" name="10"/>
    <tableColumn id="11" xr3:uid="{9CD6A59E-3C52-8546-858D-E1CA211AC6B4}" name="11"/>
    <tableColumn id="12" xr3:uid="{01993434-D38E-314A-A68B-DEBF288C4232}" name="12"/>
    <tableColumn id="13" xr3:uid="{F54B3D21-880E-C841-A6CC-74215E0A23E9}" name="13"/>
    <tableColumn id="14" xr3:uid="{7AD5D33E-C78B-6844-AE47-67F062BAFDF6}" name="14"/>
    <tableColumn id="15" xr3:uid="{2AFF7A8F-FF09-5D45-847E-B67799E5A2BB}" name="15"/>
    <tableColumn id="16" xr3:uid="{F9DCC244-C3FB-3B4D-BB93-5DC2598AAC0E}" name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9999F3-9850-0141-A0DA-33972F6A9CFF}" name="ToricoTimeTable" displayName="ToricoTimeTable" ref="B3:P23" totalsRowShown="0" headerRowDxfId="154" dataDxfId="152" headerRowBorderDxfId="153" tableBorderDxfId="151" headerRowCellStyle="Énfasis1">
  <autoFilter ref="B3:P23" xr:uid="{F29999F3-9850-0141-A0DA-33972F6A9CFF}"/>
  <tableColumns count="15">
    <tableColumn id="1" xr3:uid="{3E010828-FD42-EA4C-998A-E15220929553}" name="token" dataDxfId="150" totalsRowDxfId="149"/>
    <tableColumn id="2" xr3:uid="{33A41EB0-F861-464B-8EB4-BBC3AD1CDEE2}" name="tiempos_Torico0" dataDxfId="148" totalsRowDxfId="147">
      <calculatedColumnFormula array="1">IF(VLOOKUP(ToricoTimeTable[[#This Row],[token]:[token]],DB[],MATCH(ToricoTimeTable[[#Headers],[tiempos_Torico0]],DB[#Headers],0),0) = 0,"",VLOOKUP(ToricoTimeTable[[#This Row],[token]:[token]],DB[],MATCH(ToricoTimeTable[[#Headers],[tiempos_Torico0]],MainTable[#Headers],0),0))</calculatedColumnFormula>
    </tableColumn>
    <tableColumn id="3" xr3:uid="{4CE8F1FA-92D1-D74F-911C-FCE3A2850FD7}" name="tiempos_Torico1" dataDxfId="146" totalsRowDxfId="145">
      <calculatedColumnFormula array="1">IF(VLOOKUP(ToricoTimeTable[[#This Row],[token]:[token]],DB[],MATCH(ToricoTimeTable[[#Headers],[tiempos_Torico1]],DB[#Headers],0),0) = 0,"",VLOOKUP(ToricoTimeTable[[#This Row],[token]:[token]],DB[],MATCH(ToricoTimeTable[[#Headers],[tiempos_Torico1]],MainTable[#Headers],0),0))</calculatedColumnFormula>
    </tableColumn>
    <tableColumn id="4" xr3:uid="{BFEE1F7C-151B-AF45-8E11-FDD755894035}" name="tiempos_Torico2" dataDxfId="144" totalsRowDxfId="143">
      <calculatedColumnFormula array="1">IF(VLOOKUP(ToricoTimeTable[[#This Row],[token]:[token]],DB[],MATCH(ToricoTimeTable[[#Headers],[tiempos_Torico2]],DB[#Headers],0),0) = 0,"",VLOOKUP(ToricoTimeTable[[#This Row],[token]:[token]],DB[],MATCH(ToricoTimeTable[[#Headers],[tiempos_Torico2]],MainTable[#Headers],0),0))</calculatedColumnFormula>
    </tableColumn>
    <tableColumn id="5" xr3:uid="{72B5150D-8271-5E4B-9554-A7C750622D1C}" name="tiempos_Torico3" dataDxfId="142" totalsRowDxfId="141">
      <calculatedColumnFormula array="1">IF(VLOOKUP(ToricoTimeTable[[#This Row],[token]:[token]],DB[],MATCH(ToricoTimeTable[[#Headers],[tiempos_Torico3]],DB[#Headers],0),0) = 0,"",VLOOKUP(ToricoTimeTable[[#This Row],[token]:[token]],DB[],MATCH(ToricoTimeTable[[#Headers],[tiempos_Torico3]],MainTable[#Headers],0),0))</calculatedColumnFormula>
    </tableColumn>
    <tableColumn id="6" xr3:uid="{BD6FBC61-7D78-9948-9757-DBDD05C9F5D2}" name="tiempos_Torico4" dataDxfId="140" totalsRowDxfId="139">
      <calculatedColumnFormula array="1">IF(VLOOKUP(ToricoTimeTable[[#This Row],[token]:[token]],DB[],MATCH(ToricoTimeTable[[#Headers],[tiempos_Torico4]],DB[#Headers],0),0) = 0,"",VLOOKUP(ToricoTimeTable[[#This Row],[token]:[token]],DB[],MATCH(ToricoTimeTable[[#Headers],[tiempos_Torico4]],MainTable[#Headers],0),0))</calculatedColumnFormula>
    </tableColumn>
    <tableColumn id="7" xr3:uid="{F736DA09-5E76-5F4D-9A88-7B591C88F279}" name="tiempos_Torico5" dataDxfId="138" totalsRowDxfId="137">
      <calculatedColumnFormula array="1">IF(VLOOKUP(ToricoTimeTable[[#This Row],[token]:[token]],DB[],MATCH(ToricoTimeTable[[#Headers],[tiempos_Torico5]],DB[#Headers],0),0) = 0,"",VLOOKUP(ToricoTimeTable[[#This Row],[token]:[token]],DB[],MATCH(ToricoTimeTable[[#Headers],[tiempos_Torico5]],MainTable[#Headers],0),0))</calculatedColumnFormula>
    </tableColumn>
    <tableColumn id="8" xr3:uid="{CEC69330-599D-2D46-B2A7-1FBA211F06C6}" name="tiempos_Torico6" dataDxfId="136" totalsRowDxfId="135">
      <calculatedColumnFormula array="1">IF(VLOOKUP(ToricoTimeTable[[#This Row],[token]:[token]],DB[],MATCH(ToricoTimeTable[[#Headers],[tiempos_Torico6]],DB[#Headers],0),0) = 0,"",VLOOKUP(ToricoTimeTable[[#This Row],[token]:[token]],DB[],MATCH(ToricoTimeTable[[#Headers],[tiempos_Torico6]],MainTable[#Headers],0),0))</calculatedColumnFormula>
    </tableColumn>
    <tableColumn id="9" xr3:uid="{811EBEBC-A77B-CF41-91DA-9B6D33D66B73}" name="tiempos_Torico7" dataDxfId="134" totalsRowDxfId="133">
      <calculatedColumnFormula array="1">IF(VLOOKUP(ToricoTimeTable[[#This Row],[token]:[token]],DB[],MATCH(ToricoTimeTable[[#Headers],[tiempos_Torico7]],DB[#Headers],0),0) = 0,"",VLOOKUP(ToricoTimeTable[[#This Row],[token]:[token]],DB[],MATCH(ToricoTimeTable[[#Headers],[tiempos_Torico7]],MainTable[#Headers],0),0))</calculatedColumnFormula>
    </tableColumn>
    <tableColumn id="10" xr3:uid="{D11B9582-084B-9043-B116-4D697D0B4991}" name="tiempos_Torico8" dataDxfId="132" totalsRowDxfId="131">
      <calculatedColumnFormula array="1">IF(VLOOKUP(ToricoTimeTable[[#This Row],[token]:[token]],DB[],MATCH(ToricoTimeTable[[#Headers],[tiempos_Torico8]],DB[#Headers],0),0) = 0,"",VLOOKUP(ToricoTimeTable[[#This Row],[token]:[token]],DB[],MATCH(ToricoTimeTable[[#Headers],[tiempos_Torico8]],MainTable[#Headers],0),0))</calculatedColumnFormula>
    </tableColumn>
    <tableColumn id="11" xr3:uid="{A058A53D-D841-704E-9396-886823CB3A32}" name="tiempos_Torico9" dataDxfId="130" totalsRowDxfId="129">
      <calculatedColumnFormula array="1">IF(VLOOKUP(ToricoTimeTable[[#This Row],[token]:[token]],DB[],MATCH(ToricoTimeTable[[#Headers],[tiempos_Torico9]],DB[#Headers],0),0) = 0,"",VLOOKUP(ToricoTimeTable[[#This Row],[token]:[token]],DB[],MATCH(ToricoTimeTable[[#Headers],[tiempos_Torico9]],MainTable[#Headers],0),0))</calculatedColumnFormula>
    </tableColumn>
    <tableColumn id="12" xr3:uid="{8CF1D205-F4A0-B841-84B5-598D25E04496}" name="tiempos_Torico10" dataDxfId="128" totalsRowDxfId="127">
      <calculatedColumnFormula array="1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calculatedColumnFormula>
    </tableColumn>
    <tableColumn id="13" xr3:uid="{E5817044-E16C-004E-A30E-F42F25D50F83}" name="tiempos_Torico11" dataDxfId="126" totalsRowDxfId="125">
      <calculatedColumnFormula array="1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calculatedColumnFormula>
    </tableColumn>
    <tableColumn id="14" xr3:uid="{A59E3701-09C6-DB44-947F-C6D0A07942F5}" name="tiempos_Torico12" dataDxfId="124" totalsRowDxfId="123">
      <calculatedColumnFormula array="1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calculatedColumnFormula>
    </tableColumn>
    <tableColumn id="15" xr3:uid="{C08C0D5F-EA0F-FC44-864E-59182CBC5DB9}" name="tiempos_Torico13" dataDxfId="122" totalsRowDxfId="121">
      <calculatedColumnFormula array="1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C99FA6-A149-C648-9DEA-85A18D3B75B2}" name="CatedralTimeTable" displayName="CatedralTimeTable" ref="B3:J23" totalsRowShown="0" headerRowDxfId="120" headerRowBorderDxfId="119" tableBorderDxfId="118" headerRowCellStyle="Énfasis1">
  <autoFilter ref="B3:J23" xr:uid="{CBC99FA6-A149-C648-9DEA-85A18D3B75B2}"/>
  <tableColumns count="9">
    <tableColumn id="1" xr3:uid="{A3D541E1-1B02-4C4C-98E1-0877A54E8C91}" name="token" dataDxfId="117" totalsRowDxfId="116"/>
    <tableColumn id="2" xr3:uid="{B0482389-C077-634A-87AC-54AD3D88951D}" name="tiempos_Catedral0" totalsRowDxfId="115">
      <calculatedColumnFormula array="1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calculatedColumnFormula>
    </tableColumn>
    <tableColumn id="3" xr3:uid="{4C6D5250-B79F-614E-9832-7C6A076A3A7E}" name="tiempos_Catedral1" totalsRowDxfId="114">
      <calculatedColumnFormula array="1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calculatedColumnFormula>
    </tableColumn>
    <tableColumn id="4" xr3:uid="{9D31D80A-F2B1-DD4D-AE13-5A497318B372}" name="tiempos_Catedral2" totalsRowDxfId="113">
      <calculatedColumnFormula array="1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calculatedColumnFormula>
    </tableColumn>
    <tableColumn id="5" xr3:uid="{29D30FDF-4960-9A4D-B11B-1FEC890A5216}" name="tiempos_Catedral3" totalsRowDxfId="112">
      <calculatedColumnFormula array="1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calculatedColumnFormula>
    </tableColumn>
    <tableColumn id="6" xr3:uid="{DB8325A4-E3BE-8B45-AB1B-0DD27244C932}" name="tiempos_Catedral4" totalsRowDxfId="111">
      <calculatedColumnFormula array="1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calculatedColumnFormula>
    </tableColumn>
    <tableColumn id="7" xr3:uid="{246BFBE7-4349-AD49-BA44-7FF32F8FE25E}" name="tiempos_Catedral5" totalsRowDxfId="110">
      <calculatedColumnFormula array="1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calculatedColumnFormula>
    </tableColumn>
    <tableColumn id="8" xr3:uid="{CD1C9EE2-96D2-4E46-A84D-9FCFC2E569B2}" name="tiempos_Catedral6" totalsRowDxfId="109">
      <calculatedColumnFormula array="1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calculatedColumnFormula>
    </tableColumn>
    <tableColumn id="9" xr3:uid="{3B95B36B-8BA0-A044-AA04-35309519E36A}" name="tiempos_Catedral7" totalsRowDxfId="108">
      <calculatedColumnFormula array="1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E81C9B-F632-5444-8841-95A6F6BB5966}" name="SanMartinTimeTable" displayName="SanMartinTimeTable" ref="B3:M23" totalsRowShown="0" headerRowDxfId="107" headerRowBorderDxfId="106" tableBorderDxfId="105" headerRowCellStyle="Énfasis1">
  <autoFilter ref="B3:M23" xr:uid="{1DE81C9B-F632-5444-8841-95A6F6BB5966}"/>
  <tableColumns count="12">
    <tableColumn id="1" xr3:uid="{E7DE1C60-D82E-CC4D-8B35-EB55A4EFF323}" name="token" dataDxfId="104" totalsRowDxfId="103"/>
    <tableColumn id="2" xr3:uid="{C73B41FE-2838-9F41-AF12-685FFD38B198}" name="tiempos_SanMartin0" totalsRowDxfId="102">
      <calculatedColumnFormula array="1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calculatedColumnFormula>
    </tableColumn>
    <tableColumn id="3" xr3:uid="{198D16D4-8091-2F45-9C60-D16C811AB836}" name="tiempos_SanMartin1" totalsRowDxfId="101">
      <calculatedColumnFormula array="1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calculatedColumnFormula>
    </tableColumn>
    <tableColumn id="4" xr3:uid="{92594D7E-DEA8-5142-9393-8E848A41D85C}" name="tiempos_SanMartin2" totalsRowDxfId="100">
      <calculatedColumnFormula array="1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calculatedColumnFormula>
    </tableColumn>
    <tableColumn id="5" xr3:uid="{D54723FB-76D2-D441-A278-BF07A56F6717}" name="tiempos_SanMartin3" totalsRowDxfId="99">
      <calculatedColumnFormula array="1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calculatedColumnFormula>
    </tableColumn>
    <tableColumn id="6" xr3:uid="{763866E8-0240-8944-9844-FD766B9872FE}" name="tiempos_SanMartin4" totalsRowDxfId="98">
      <calculatedColumnFormula array="1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calculatedColumnFormula>
    </tableColumn>
    <tableColumn id="7" xr3:uid="{5DE06AF7-A553-314B-8516-2E0C90F72FBB}" name="tiempos_SanMartin5" totalsRowDxfId="97">
      <calculatedColumnFormula array="1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calculatedColumnFormula>
    </tableColumn>
    <tableColumn id="8" xr3:uid="{232AB483-1465-1D4F-BB90-70FF4504FF87}" name="tiempos_SanMartin6" totalsRowDxfId="96">
      <calculatedColumnFormula array="1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calculatedColumnFormula>
    </tableColumn>
    <tableColumn id="9" xr3:uid="{9F417B4B-31BC-F64D-9E84-37F4E214A7B1}" name="tiempos_SanMartin7" totalsRowDxfId="95">
      <calculatedColumnFormula array="1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calculatedColumnFormula>
    </tableColumn>
    <tableColumn id="10" xr3:uid="{82613239-D7CF-694D-9520-E6999C9252C3}" name="tiempos_SanMartin8" totalsRowDxfId="94">
      <calculatedColumnFormula array="1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calculatedColumnFormula>
    </tableColumn>
    <tableColumn id="11" xr3:uid="{7D732554-BF6B-004E-B6FC-EBBE2225F6C3}" name="tiempos_SanMartin9" totalsRowDxfId="93">
      <calculatedColumnFormula array="1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calculatedColumnFormula>
    </tableColumn>
    <tableColumn id="12" xr3:uid="{89A466B1-94C4-E747-B5E2-306E0011D2DB}" name="tiempos_SanMartin10" totalsRowDxfId="92">
      <calculatedColumnFormula array="1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965CD5-9BA1-EA40-9F57-347B1CC1C67F}" name="SalvadorTimeTable" displayName="SalvadorTimeTable" ref="B3:S23" totalsRowShown="0" headerRowDxfId="91" headerRowBorderDxfId="90" tableBorderDxfId="89" headerRowCellStyle="Énfasis1">
  <autoFilter ref="B3:S23" xr:uid="{C2965CD5-9BA1-EA40-9F57-347B1CC1C67F}"/>
  <tableColumns count="18">
    <tableColumn id="1" xr3:uid="{65421B4F-F927-E04B-8575-00E410EAC6F1}" name="token" dataDxfId="88" totalsRowDxfId="87"/>
    <tableColumn id="2" xr3:uid="{787081F6-0F62-EE4F-9E59-3E43CD6EAE64}" name="tiempos_Salvador0" totalsRowDxfId="86">
      <calculatedColumnFormula array="1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calculatedColumnFormula>
    </tableColumn>
    <tableColumn id="3" xr3:uid="{DAE5C6DF-65A7-FA44-8F2C-A7233E7747C4}" name="tiempos_Salvador1" totalsRowDxfId="85">
      <calculatedColumnFormula array="1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calculatedColumnFormula>
    </tableColumn>
    <tableColumn id="4" xr3:uid="{51B51DEE-00FE-CF4A-A33E-D5A0CCFCAC58}" name="tiempos_Salvador2" totalsRowDxfId="84">
      <calculatedColumnFormula array="1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calculatedColumnFormula>
    </tableColumn>
    <tableColumn id="5" xr3:uid="{1F2AA080-D058-9D49-A5BB-BA807835EDC8}" name="tiempos_Salvador3" totalsRowDxfId="83">
      <calculatedColumnFormula array="1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calculatedColumnFormula>
    </tableColumn>
    <tableColumn id="6" xr3:uid="{10956385-03A6-F046-9A35-AA214FBA1E8E}" name="tiempos_Salvador4" totalsRowDxfId="82">
      <calculatedColumnFormula array="1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calculatedColumnFormula>
    </tableColumn>
    <tableColumn id="7" xr3:uid="{6864D828-3487-0447-9232-A18A4F5A7682}" name="tiempos_Salvador5" totalsRowDxfId="81">
      <calculatedColumnFormula array="1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calculatedColumnFormula>
    </tableColumn>
    <tableColumn id="8" xr3:uid="{235FD755-A947-3B44-B21D-2D4D35C96CF2}" name="tiempos_Salvador6" totalsRowDxfId="80">
      <calculatedColumnFormula array="1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calculatedColumnFormula>
    </tableColumn>
    <tableColumn id="9" xr3:uid="{A5D5242D-03E5-B147-9C6C-1EDE1CDBBCC6}" name="tiempos_Salvador7" totalsRowDxfId="79">
      <calculatedColumnFormula array="1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calculatedColumnFormula>
    </tableColumn>
    <tableColumn id="10" xr3:uid="{A686D45B-4BC3-7A41-805C-F10F89AA45BD}" name="tiempos_Salvador8" totalsRowDxfId="78">
      <calculatedColumnFormula array="1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calculatedColumnFormula>
    </tableColumn>
    <tableColumn id="11" xr3:uid="{990F6431-4656-E941-9D27-1EAB56D1CF27}" name="tiempos_Salvador9" totalsRowDxfId="77">
      <calculatedColumnFormula array="1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calculatedColumnFormula>
    </tableColumn>
    <tableColumn id="12" xr3:uid="{D48D21DC-33EF-5F4A-90F8-FE40D42150E7}" name="tiempos_Salvador10" totalsRowDxfId="76">
      <calculatedColumnFormula array="1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calculatedColumnFormula>
    </tableColumn>
    <tableColumn id="13" xr3:uid="{7D435F09-1561-0E43-B348-27FFCFE308F3}" name="tiempos_Salvador11" totalsRowDxfId="75">
      <calculatedColumnFormula array="1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calculatedColumnFormula>
    </tableColumn>
    <tableColumn id="14" xr3:uid="{AB07DC33-AAA2-504A-8924-2500A49A26BC}" name="tiempos_Salvador12" totalsRowDxfId="74">
      <calculatedColumnFormula array="1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calculatedColumnFormula>
    </tableColumn>
    <tableColumn id="15" xr3:uid="{4C124647-5BA7-7E4A-A937-85EDD5A35D69}" name="tiempos_Salvador13" totalsRowDxfId="73">
      <calculatedColumnFormula array="1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calculatedColumnFormula>
    </tableColumn>
    <tableColumn id="16" xr3:uid="{D9B25597-95C9-9447-A19C-6A3B6E07D278}" name="tiempos_Salvador14" totalsRowDxfId="72">
      <calculatedColumnFormula array="1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calculatedColumnFormula>
    </tableColumn>
    <tableColumn id="17" xr3:uid="{BF333BF0-C7B2-C544-B111-144F897A741C}" name="tiempos_Salvador15" totalsRowDxfId="71">
      <calculatedColumnFormula array="1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calculatedColumnFormula>
    </tableColumn>
    <tableColumn id="18" xr3:uid="{9E1452B6-F0DC-754C-B3D7-295DFE8FECFB}" name="tiempos_Salvador16" totalsRowDxfId="70">
      <calculatedColumnFormula array="1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5D9BE96-DDCC-9749-90C6-DFF51FB5FFF2}" name="EscalinataTimeTable" displayName="EscalinataTimeTable" ref="B3:R23" totalsRowShown="0" headerRowDxfId="69" headerRowBorderDxfId="68" headerRowCellStyle="Énfasis1">
  <autoFilter ref="B3:R23" xr:uid="{F5D9BE96-DDCC-9749-90C6-DFF51FB5FFF2}"/>
  <tableColumns count="17">
    <tableColumn id="1" xr3:uid="{B5122FFC-EB18-1E43-94E5-6D5B39EC8F72}" name="token" dataDxfId="67"/>
    <tableColumn id="2" xr3:uid="{FAA0438F-AF67-8A45-8B52-4350F692CCC4}" name="tiempos_Escalinata0">
      <calculatedColumnFormula array="1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calculatedColumnFormula>
    </tableColumn>
    <tableColumn id="3" xr3:uid="{AE40524E-84F5-AD4D-A88B-7A2B2916E6E2}" name="tiempos_Escalinata1">
      <calculatedColumnFormula array="1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calculatedColumnFormula>
    </tableColumn>
    <tableColumn id="4" xr3:uid="{AA25AE02-8A87-1E47-8D55-5F736848FDCA}" name="tiempos_Escalinata2">
      <calculatedColumnFormula array="1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calculatedColumnFormula>
    </tableColumn>
    <tableColumn id="5" xr3:uid="{EC55808B-0361-E547-9F18-2EBEA72E4106}" name="tiempos_Escalinata3">
      <calculatedColumnFormula array="1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calculatedColumnFormula>
    </tableColumn>
    <tableColumn id="6" xr3:uid="{B7189237-6911-9C4E-8CD8-EF48C5D4D3A7}" name="tiempos_Escalinata4">
      <calculatedColumnFormula array="1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calculatedColumnFormula>
    </tableColumn>
    <tableColumn id="7" xr3:uid="{8A82ACF7-DA25-9B47-8B7A-3DE32C32B81C}" name="tiempos_Escalinata5">
      <calculatedColumnFormula array="1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calculatedColumnFormula>
    </tableColumn>
    <tableColumn id="8" xr3:uid="{6A605FDC-2B33-C048-BC83-6D8CD3690733}" name="tiempos_Escalinata6">
      <calculatedColumnFormula array="1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calculatedColumnFormula>
    </tableColumn>
    <tableColumn id="9" xr3:uid="{CAB5092C-9954-9549-A7D0-DFECB2E37EDC}" name="tiempos_Escalinata7">
      <calculatedColumnFormula array="1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calculatedColumnFormula>
    </tableColumn>
    <tableColumn id="10" xr3:uid="{06C396C4-0055-F74E-AE63-44DBFBFA8D10}" name="tiempos_Escalinata8">
      <calculatedColumnFormula array="1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calculatedColumnFormula>
    </tableColumn>
    <tableColumn id="11" xr3:uid="{0F411094-F044-9D43-99EB-137D7DC87D03}" name="tiempos_Escalinata9">
      <calculatedColumnFormula array="1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calculatedColumnFormula>
    </tableColumn>
    <tableColumn id="12" xr3:uid="{8E483E73-B635-C74E-89B1-EE678E07A2A2}" name="tiempos_Escalinata10">
      <calculatedColumnFormula array="1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calculatedColumnFormula>
    </tableColumn>
    <tableColumn id="13" xr3:uid="{846327BA-6012-6944-9FBB-F658DBC53D2D}" name="tiempos_Escalinata11">
      <calculatedColumnFormula array="1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calculatedColumnFormula>
    </tableColumn>
    <tableColumn id="14" xr3:uid="{F9225A89-3471-4D48-8726-F82E758B6109}" name="tiempos_Escalinata12">
      <calculatedColumnFormula array="1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calculatedColumnFormula>
    </tableColumn>
    <tableColumn id="15" xr3:uid="{01AE4473-A7D0-C149-89F3-785C06F36619}" name="tiempos_Escalinata13">
      <calculatedColumnFormula array="1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calculatedColumnFormula>
    </tableColumn>
    <tableColumn id="16" xr3:uid="{7BF60463-7C4B-E841-A581-50A277D390CA}" name="tiempos_Escalinata14">
      <calculatedColumnFormula array="1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calculatedColumnFormula>
    </tableColumn>
    <tableColumn id="17" xr3:uid="{9BDEDC0F-7517-894B-B8F2-57BD4C65817C}" name="tiempos_Escalinata15">
      <calculatedColumnFormula array="1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10A8B64-DE84-384B-AC2F-72AF6B4692DA}" name="MausoleoTimeTable" displayName="MausoleoTimeTable" ref="B3:O23" totalsRowShown="0" headerRowDxfId="66" headerRowBorderDxfId="65" tableBorderDxfId="64" headerRowCellStyle="Énfasis1">
  <autoFilter ref="B3:O23" xr:uid="{F10A8B64-DE84-384B-AC2F-72AF6B4692DA}"/>
  <tableColumns count="14">
    <tableColumn id="1" xr3:uid="{DBDCADA6-0DFF-4B41-9D48-EF8FD5BC5A46}" name="token" dataDxfId="63"/>
    <tableColumn id="2" xr3:uid="{52FCB2FE-DD23-B34B-B82A-13BDCBD83117}" name="tiempos_Mausoleo0">
      <calculatedColumnFormula array="1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calculatedColumnFormula>
    </tableColumn>
    <tableColumn id="3" xr3:uid="{EE5B6332-3DFC-1848-B157-EAFD81AAB3B1}" name="tiempos_Mausoleo1">
      <calculatedColumnFormula array="1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calculatedColumnFormula>
    </tableColumn>
    <tableColumn id="4" xr3:uid="{668740BF-5F51-B844-8C16-A0B0AAEC7897}" name="tiempos_Mausoleo2">
      <calculatedColumnFormula array="1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calculatedColumnFormula>
    </tableColumn>
    <tableColumn id="5" xr3:uid="{AB0050C0-14D4-B34F-9EA6-208F72C572A1}" name="tiempos_Mausoleo3">
      <calculatedColumnFormula array="1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calculatedColumnFormula>
    </tableColumn>
    <tableColumn id="6" xr3:uid="{FAF082A4-699B-0448-AECB-18B99F724387}" name="tiempos_Mausoleo4">
      <calculatedColumnFormula array="1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calculatedColumnFormula>
    </tableColumn>
    <tableColumn id="7" xr3:uid="{9A52C2EF-D1E6-EE4D-A0AA-218C2688E020}" name="tiempos_Mausoleo5">
      <calculatedColumnFormula array="1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calculatedColumnFormula>
    </tableColumn>
    <tableColumn id="8" xr3:uid="{AFC8518C-F21E-F64E-8542-B7EFE4319A59}" name="tiempos_Mausoleo6">
      <calculatedColumnFormula array="1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calculatedColumnFormula>
    </tableColumn>
    <tableColumn id="9" xr3:uid="{F5B7BC1F-453A-BB4A-8CAC-E8A62C69F274}" name="tiempos_Mausoleo7">
      <calculatedColumnFormula array="1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calculatedColumnFormula>
    </tableColumn>
    <tableColumn id="10" xr3:uid="{98C01CE7-FB37-3A46-AF7D-D005904A63AA}" name="tiempos_Mausoleo8">
      <calculatedColumnFormula array="1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calculatedColumnFormula>
    </tableColumn>
    <tableColumn id="11" xr3:uid="{D1F5D73C-0075-D547-9B92-9C3E0A071CAD}" name="tiempos_Mausoleo9">
      <calculatedColumnFormula array="1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calculatedColumnFormula>
    </tableColumn>
    <tableColumn id="12" xr3:uid="{0C048C81-2559-774D-B538-DCA8FA76C6B2}" name="tiempos_Mausoleo10">
      <calculatedColumnFormula array="1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calculatedColumnFormula>
    </tableColumn>
    <tableColumn id="13" xr3:uid="{7525BF08-F825-3A42-A572-59841E45D835}" name="tiempos_Mausoleo11">
      <calculatedColumnFormula array="1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calculatedColumnFormula>
    </tableColumn>
    <tableColumn id="14" xr3:uid="{54F6F056-B93C-F64A-A259-C89424D8B4EF}" name="tiempos_Mausoleo12">
      <calculatedColumnFormula array="1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B1B9-459B-DF44-95B2-DA48E4D07876}">
  <dimension ref="B2:ET14"/>
  <sheetViews>
    <sheetView tabSelected="1" workbookViewId="0">
      <selection activeCell="N17" sqref="N17"/>
    </sheetView>
  </sheetViews>
  <sheetFormatPr baseColWidth="10" defaultRowHeight="16" x14ac:dyDescent="0.2"/>
  <cols>
    <col min="2" max="2" width="50.5" bestFit="1" customWidth="1"/>
    <col min="4" max="4" width="10.1640625" bestFit="1" customWidth="1"/>
    <col min="5" max="5" width="11.83203125" bestFit="1" customWidth="1"/>
    <col min="6" max="6" width="12.83203125" bestFit="1" customWidth="1"/>
    <col min="7" max="7" width="26.1640625" bestFit="1" customWidth="1"/>
    <col min="8" max="8" width="18.83203125" bestFit="1" customWidth="1"/>
    <col min="9" max="9" width="20.33203125" bestFit="1" customWidth="1"/>
    <col min="10" max="10" width="23.5" bestFit="1" customWidth="1"/>
    <col min="11" max="11" width="20.33203125" bestFit="1" customWidth="1"/>
    <col min="12" max="12" width="23.5" bestFit="1" customWidth="1"/>
    <col min="13" max="13" width="34" bestFit="1" customWidth="1"/>
    <col min="14" max="14" width="27" bestFit="1" customWidth="1"/>
    <col min="15" max="16" width="21" bestFit="1" customWidth="1"/>
    <col min="17" max="17" width="33.6640625" bestFit="1" customWidth="1"/>
    <col min="18" max="18" width="28.83203125" bestFit="1" customWidth="1"/>
    <col min="19" max="19" width="19.83203125" bestFit="1" customWidth="1"/>
    <col min="20" max="20" width="22" bestFit="1" customWidth="1"/>
    <col min="21" max="21" width="23.6640625" bestFit="1" customWidth="1"/>
    <col min="22" max="22" width="22.33203125" bestFit="1" customWidth="1"/>
    <col min="23" max="23" width="23.6640625" bestFit="1" customWidth="1"/>
    <col min="24" max="24" width="23.33203125" bestFit="1" customWidth="1"/>
    <col min="25" max="34" width="19.83203125" bestFit="1" customWidth="1"/>
    <col min="35" max="38" width="20.83203125" bestFit="1" customWidth="1"/>
    <col min="39" max="46" width="21.83203125" bestFit="1" customWidth="1"/>
    <col min="47" max="56" width="23.5" bestFit="1" customWidth="1"/>
    <col min="57" max="57" width="24.5" bestFit="1" customWidth="1"/>
    <col min="58" max="67" width="22.1640625" bestFit="1" customWidth="1"/>
    <col min="68" max="74" width="23.1640625" bestFit="1" customWidth="1"/>
    <col min="75" max="84" width="23.33203125" bestFit="1" customWidth="1"/>
    <col min="85" max="90" width="24.33203125" bestFit="1" customWidth="1"/>
    <col min="91" max="100" width="23" bestFit="1" customWidth="1"/>
    <col min="101" max="103" width="24" bestFit="1" customWidth="1"/>
    <col min="104" max="109" width="12.83203125" bestFit="1" customWidth="1"/>
    <col min="110" max="110" width="25.6640625" bestFit="1" customWidth="1"/>
    <col min="111" max="111" width="36.83203125" bestFit="1" customWidth="1"/>
    <col min="112" max="112" width="17" bestFit="1" customWidth="1"/>
    <col min="113" max="113" width="18.5" bestFit="1" customWidth="1"/>
    <col min="114" max="114" width="20.5" bestFit="1" customWidth="1"/>
    <col min="115" max="115" width="23.33203125" bestFit="1" customWidth="1"/>
    <col min="116" max="116" width="22" bestFit="1" customWidth="1"/>
    <col min="117" max="117" width="27" bestFit="1" customWidth="1"/>
    <col min="118" max="118" width="23.33203125" bestFit="1" customWidth="1"/>
    <col min="119" max="119" width="22" bestFit="1" customWidth="1"/>
    <col min="120" max="120" width="20.5" bestFit="1" customWidth="1"/>
    <col min="121" max="121" width="22.1640625" bestFit="1" customWidth="1"/>
    <col min="122" max="122" width="25.5" bestFit="1" customWidth="1"/>
    <col min="123" max="123" width="132.5" bestFit="1" customWidth="1"/>
    <col min="124" max="124" width="22" bestFit="1" customWidth="1"/>
    <col min="125" max="125" width="12.6640625" bestFit="1" customWidth="1"/>
    <col min="126" max="126" width="14" bestFit="1" customWidth="1"/>
    <col min="127" max="127" width="22.33203125" bestFit="1" customWidth="1"/>
    <col min="128" max="128" width="36.5" bestFit="1" customWidth="1"/>
    <col min="129" max="129" width="22.33203125" bestFit="1" customWidth="1"/>
    <col min="130" max="130" width="23.33203125" bestFit="1" customWidth="1"/>
    <col min="131" max="131" width="24.5" bestFit="1" customWidth="1"/>
    <col min="132" max="132" width="25.6640625" bestFit="1" customWidth="1"/>
    <col min="133" max="135" width="25.33203125" bestFit="1" customWidth="1"/>
    <col min="136" max="136" width="26.5" bestFit="1" customWidth="1"/>
    <col min="137" max="137" width="25.6640625" bestFit="1" customWidth="1"/>
    <col min="138" max="138" width="27" bestFit="1" customWidth="1"/>
    <col min="139" max="139" width="34.33203125" bestFit="1" customWidth="1"/>
    <col min="140" max="140" width="27" bestFit="1" customWidth="1"/>
    <col min="141" max="141" width="38" bestFit="1" customWidth="1"/>
    <col min="142" max="142" width="36.83203125" bestFit="1" customWidth="1"/>
    <col min="143" max="143" width="22.33203125" bestFit="1" customWidth="1"/>
    <col min="144" max="144" width="23.33203125" bestFit="1" customWidth="1"/>
    <col min="145" max="146" width="24.1640625" bestFit="1" customWidth="1"/>
    <col min="147" max="148" width="25.83203125" bestFit="1" customWidth="1"/>
    <col min="149" max="149" width="33.33203125" bestFit="1" customWidth="1"/>
  </cols>
  <sheetData>
    <row r="2" spans="2:150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117</v>
      </c>
      <c r="J2" s="5" t="s">
        <v>118</v>
      </c>
      <c r="K2" s="5" t="s">
        <v>119</v>
      </c>
      <c r="L2" s="5" t="s">
        <v>120</v>
      </c>
      <c r="M2" s="5" t="s">
        <v>121</v>
      </c>
      <c r="N2" s="5" t="s">
        <v>122</v>
      </c>
      <c r="O2" s="5" t="s">
        <v>7</v>
      </c>
      <c r="P2" s="5" t="s">
        <v>8</v>
      </c>
      <c r="Q2" s="5" t="s">
        <v>9</v>
      </c>
      <c r="R2" s="5" t="s">
        <v>10</v>
      </c>
      <c r="S2" s="5" t="s">
        <v>11</v>
      </c>
      <c r="T2" s="5" t="s">
        <v>12</v>
      </c>
      <c r="U2" s="5" t="s">
        <v>13</v>
      </c>
      <c r="V2" s="5" t="s">
        <v>14</v>
      </c>
      <c r="W2" s="5" t="s">
        <v>15</v>
      </c>
      <c r="X2" s="5" t="s">
        <v>16</v>
      </c>
      <c r="Y2" s="5" t="s">
        <v>17</v>
      </c>
      <c r="Z2" s="5" t="s">
        <v>18</v>
      </c>
      <c r="AA2" s="5" t="s">
        <v>19</v>
      </c>
      <c r="AB2" s="5" t="s">
        <v>20</v>
      </c>
      <c r="AC2" s="5" t="s">
        <v>21</v>
      </c>
      <c r="AD2" s="5" t="s">
        <v>22</v>
      </c>
      <c r="AE2" s="5" t="s">
        <v>23</v>
      </c>
      <c r="AF2" s="5" t="s">
        <v>24</v>
      </c>
      <c r="AG2" s="5" t="s">
        <v>25</v>
      </c>
      <c r="AH2" s="5" t="s">
        <v>86</v>
      </c>
      <c r="AI2" s="5" t="s">
        <v>87</v>
      </c>
      <c r="AJ2" s="5" t="s">
        <v>88</v>
      </c>
      <c r="AK2" s="5" t="s">
        <v>89</v>
      </c>
      <c r="AL2" s="5" t="s">
        <v>90</v>
      </c>
      <c r="AM2" s="5" t="s">
        <v>91</v>
      </c>
      <c r="AN2" s="5" t="s">
        <v>92</v>
      </c>
      <c r="AO2" s="5" t="s">
        <v>93</v>
      </c>
      <c r="AP2" s="5" t="s">
        <v>94</v>
      </c>
      <c r="AQ2" s="5" t="s">
        <v>95</v>
      </c>
      <c r="AR2" s="5" t="s">
        <v>96</v>
      </c>
      <c r="AS2" s="5" t="s">
        <v>97</v>
      </c>
      <c r="AT2" s="5" t="s">
        <v>98</v>
      </c>
      <c r="AU2" s="5" t="s">
        <v>26</v>
      </c>
      <c r="AV2" s="5" t="s">
        <v>27</v>
      </c>
      <c r="AW2" s="5" t="s">
        <v>28</v>
      </c>
      <c r="AX2" s="5" t="s">
        <v>99</v>
      </c>
      <c r="AY2" s="5" t="s">
        <v>100</v>
      </c>
      <c r="AZ2" s="5" t="s">
        <v>101</v>
      </c>
      <c r="BA2" s="5" t="s">
        <v>102</v>
      </c>
      <c r="BB2" s="5" t="s">
        <v>103</v>
      </c>
      <c r="BC2" s="5" t="s">
        <v>104</v>
      </c>
      <c r="BD2" s="5" t="s">
        <v>105</v>
      </c>
      <c r="BE2" s="5" t="s">
        <v>106</v>
      </c>
      <c r="BF2" s="5" t="s">
        <v>29</v>
      </c>
      <c r="BG2" s="5" t="s">
        <v>30</v>
      </c>
      <c r="BH2" s="5" t="s">
        <v>31</v>
      </c>
      <c r="BI2" s="5" t="s">
        <v>32</v>
      </c>
      <c r="BJ2" s="5" t="s">
        <v>33</v>
      </c>
      <c r="BK2" s="5" t="s">
        <v>34</v>
      </c>
      <c r="BL2" s="5" t="s">
        <v>35</v>
      </c>
      <c r="BM2" s="5" t="s">
        <v>36</v>
      </c>
      <c r="BN2" s="5" t="s">
        <v>37</v>
      </c>
      <c r="BO2" s="5" t="s">
        <v>38</v>
      </c>
      <c r="BP2" s="5" t="s">
        <v>39</v>
      </c>
      <c r="BQ2" s="5" t="s">
        <v>40</v>
      </c>
      <c r="BR2" s="5" t="s">
        <v>41</v>
      </c>
      <c r="BS2" s="5" t="s">
        <v>42</v>
      </c>
      <c r="BT2" s="5" t="s">
        <v>43</v>
      </c>
      <c r="BU2" s="5" t="s">
        <v>44</v>
      </c>
      <c r="BV2" s="5" t="s">
        <v>45</v>
      </c>
      <c r="BW2" s="5" t="s">
        <v>46</v>
      </c>
      <c r="BX2" s="5" t="s">
        <v>47</v>
      </c>
      <c r="BY2" s="5" t="s">
        <v>48</v>
      </c>
      <c r="BZ2" s="5" t="s">
        <v>49</v>
      </c>
      <c r="CA2" s="5" t="s">
        <v>50</v>
      </c>
      <c r="CB2" s="5" t="s">
        <v>51</v>
      </c>
      <c r="CC2" s="5" t="s">
        <v>123</v>
      </c>
      <c r="CD2" s="5" t="s">
        <v>124</v>
      </c>
      <c r="CE2" s="5" t="s">
        <v>125</v>
      </c>
      <c r="CF2" s="5" t="s">
        <v>126</v>
      </c>
      <c r="CG2" s="5" t="s">
        <v>127</v>
      </c>
      <c r="CH2" s="5" t="s">
        <v>128</v>
      </c>
      <c r="CI2" s="5" t="s">
        <v>129</v>
      </c>
      <c r="CJ2" s="5" t="s">
        <v>130</v>
      </c>
      <c r="CK2" s="5" t="s">
        <v>131</v>
      </c>
      <c r="CL2" s="5" t="s">
        <v>132</v>
      </c>
      <c r="CM2" s="5" t="s">
        <v>52</v>
      </c>
      <c r="CN2" s="5" t="s">
        <v>53</v>
      </c>
      <c r="CO2" s="5" t="s">
        <v>54</v>
      </c>
      <c r="CP2" s="5" t="s">
        <v>55</v>
      </c>
      <c r="CQ2" s="5" t="s">
        <v>56</v>
      </c>
      <c r="CR2" s="5" t="s">
        <v>57</v>
      </c>
      <c r="CS2" s="5" t="s">
        <v>58</v>
      </c>
      <c r="CT2" s="5" t="s">
        <v>59</v>
      </c>
      <c r="CU2" s="5" t="s">
        <v>60</v>
      </c>
      <c r="CV2" s="5" t="s">
        <v>61</v>
      </c>
      <c r="CW2" s="5" t="s">
        <v>62</v>
      </c>
      <c r="CX2" s="5" t="s">
        <v>63</v>
      </c>
      <c r="CY2" s="5" t="s">
        <v>64</v>
      </c>
      <c r="CZ2" s="5" t="s">
        <v>65</v>
      </c>
      <c r="DA2" s="5" t="s">
        <v>66</v>
      </c>
      <c r="DB2" s="5" t="s">
        <v>67</v>
      </c>
      <c r="DC2" s="5" t="s">
        <v>68</v>
      </c>
      <c r="DD2" s="5" t="s">
        <v>69</v>
      </c>
      <c r="DE2" s="5" t="s">
        <v>70</v>
      </c>
      <c r="DF2" s="5" t="s">
        <v>191</v>
      </c>
      <c r="DG2" s="5" t="s">
        <v>192</v>
      </c>
      <c r="DH2" s="5" t="s">
        <v>73</v>
      </c>
      <c r="DI2" s="5" t="s">
        <v>74</v>
      </c>
      <c r="DJ2" s="5" t="s">
        <v>75</v>
      </c>
      <c r="DK2" s="5" t="s">
        <v>76</v>
      </c>
      <c r="DL2" s="5" t="s">
        <v>77</v>
      </c>
      <c r="DM2" s="5" t="s">
        <v>78</v>
      </c>
      <c r="DN2" s="5" t="s">
        <v>79</v>
      </c>
      <c r="DO2" s="5" t="s">
        <v>80</v>
      </c>
      <c r="DP2" s="5" t="s">
        <v>81</v>
      </c>
      <c r="DQ2" s="5" t="s">
        <v>82</v>
      </c>
      <c r="DR2" s="5" t="s">
        <v>83</v>
      </c>
      <c r="DS2" s="5" t="s">
        <v>84</v>
      </c>
      <c r="DT2" s="5" t="s">
        <v>85</v>
      </c>
      <c r="DU2" s="5" t="s">
        <v>134</v>
      </c>
      <c r="DV2" s="5" t="s">
        <v>135</v>
      </c>
      <c r="DW2" s="5" t="s">
        <v>71</v>
      </c>
      <c r="DX2" s="5" t="s">
        <v>72</v>
      </c>
      <c r="DY2" s="5" t="s">
        <v>107</v>
      </c>
      <c r="DZ2" s="5" t="s">
        <v>108</v>
      </c>
      <c r="EA2" s="5" t="s">
        <v>109</v>
      </c>
      <c r="EB2" s="5" t="s">
        <v>110</v>
      </c>
      <c r="EC2" s="5" t="s">
        <v>111</v>
      </c>
      <c r="ED2" s="5" t="s">
        <v>112</v>
      </c>
      <c r="EE2" s="5" t="s">
        <v>113</v>
      </c>
      <c r="EF2" s="5" t="s">
        <v>114</v>
      </c>
      <c r="EG2" s="5" t="s">
        <v>115</v>
      </c>
      <c r="EH2" s="5" t="s">
        <v>116</v>
      </c>
      <c r="EI2" s="5" t="s">
        <v>133</v>
      </c>
      <c r="EJ2" s="5" t="s">
        <v>136</v>
      </c>
      <c r="EK2" s="5" t="s">
        <v>137</v>
      </c>
      <c r="EL2" s="5" t="s">
        <v>138</v>
      </c>
      <c r="EM2" s="5" t="s">
        <v>193</v>
      </c>
      <c r="EN2" s="5" t="s">
        <v>194</v>
      </c>
      <c r="EO2" s="5" t="s">
        <v>195</v>
      </c>
      <c r="EP2" s="5" t="s">
        <v>196</v>
      </c>
      <c r="EQ2" s="5" t="s">
        <v>197</v>
      </c>
      <c r="ER2" s="5" t="s">
        <v>198</v>
      </c>
      <c r="ES2" s="5" t="s">
        <v>199</v>
      </c>
    </row>
    <row r="3" spans="2:150" x14ac:dyDescent="0.2">
      <c r="B3" s="1" t="s">
        <v>183</v>
      </c>
      <c r="C3" s="2" t="s">
        <v>140</v>
      </c>
      <c r="D3" s="2">
        <v>23</v>
      </c>
      <c r="E3" s="2" t="s">
        <v>173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2" t="s">
        <v>166</v>
      </c>
      <c r="T3" s="2" t="s">
        <v>166</v>
      </c>
      <c r="U3" s="2" t="s">
        <v>166</v>
      </c>
      <c r="V3" s="2" t="s">
        <v>166</v>
      </c>
      <c r="W3" s="2" t="s">
        <v>166</v>
      </c>
      <c r="X3" s="2" t="s">
        <v>166</v>
      </c>
      <c r="Y3" s="2">
        <v>3</v>
      </c>
      <c r="Z3" s="2">
        <v>3</v>
      </c>
      <c r="AA3" s="2">
        <v>4</v>
      </c>
      <c r="AB3" s="2">
        <v>2</v>
      </c>
      <c r="AC3" s="2">
        <v>4</v>
      </c>
      <c r="AD3" s="2">
        <v>4</v>
      </c>
      <c r="AE3" s="2">
        <v>6</v>
      </c>
      <c r="AF3" s="2">
        <v>2</v>
      </c>
      <c r="AG3" s="2">
        <v>2</v>
      </c>
      <c r="AH3" s="2">
        <v>5</v>
      </c>
      <c r="AI3" s="2">
        <v>1</v>
      </c>
      <c r="AJ3" s="2">
        <v>2</v>
      </c>
      <c r="AK3" s="2">
        <v>6</v>
      </c>
      <c r="AL3" s="2">
        <v>2</v>
      </c>
      <c r="AM3" s="2">
        <v>2</v>
      </c>
      <c r="AN3" s="2">
        <v>4</v>
      </c>
      <c r="AO3" s="2">
        <v>4</v>
      </c>
      <c r="AP3" s="2">
        <v>4</v>
      </c>
      <c r="AQ3" s="2">
        <v>2</v>
      </c>
      <c r="AR3" s="2">
        <v>3</v>
      </c>
      <c r="AS3" s="2">
        <v>7</v>
      </c>
      <c r="AT3" s="2">
        <v>3</v>
      </c>
      <c r="AU3" s="2">
        <v>3</v>
      </c>
      <c r="AV3" s="2">
        <v>6</v>
      </c>
      <c r="AW3" s="2">
        <v>3</v>
      </c>
      <c r="AX3" s="2">
        <v>2</v>
      </c>
      <c r="AY3" s="2">
        <v>6</v>
      </c>
      <c r="AZ3" s="2">
        <v>2</v>
      </c>
      <c r="BA3" s="2">
        <v>3</v>
      </c>
      <c r="BB3" s="2">
        <v>2</v>
      </c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2" t="s">
        <v>148</v>
      </c>
      <c r="DA3" s="2" t="s">
        <v>149</v>
      </c>
      <c r="DB3" s="2" t="s">
        <v>150</v>
      </c>
      <c r="DC3" s="3"/>
      <c r="DD3" s="3"/>
      <c r="DE3" s="3"/>
      <c r="DF3" s="3"/>
      <c r="DG3" s="3"/>
      <c r="DH3" s="2">
        <v>1</v>
      </c>
      <c r="DI3" s="2">
        <v>8</v>
      </c>
      <c r="DJ3" s="2" t="s">
        <v>167</v>
      </c>
      <c r="DK3" s="2" t="s">
        <v>167</v>
      </c>
      <c r="DL3" s="2" t="s">
        <v>167</v>
      </c>
      <c r="DM3" s="2" t="s">
        <v>184</v>
      </c>
      <c r="DN3" s="2" t="s">
        <v>156</v>
      </c>
      <c r="DO3" s="2" t="s">
        <v>167</v>
      </c>
      <c r="DP3" s="2" t="s">
        <v>184</v>
      </c>
      <c r="DQ3" s="2" t="s">
        <v>184</v>
      </c>
      <c r="DR3" s="2">
        <v>77.783000000000001</v>
      </c>
      <c r="DS3" s="2" t="s">
        <v>185</v>
      </c>
      <c r="DT3" s="2" t="s">
        <v>186</v>
      </c>
      <c r="DU3" s="2" t="s">
        <v>147</v>
      </c>
      <c r="DV3" s="2">
        <v>203.983</v>
      </c>
      <c r="DW3" s="3"/>
      <c r="DX3" s="3"/>
      <c r="DY3" s="2" t="s">
        <v>147</v>
      </c>
      <c r="DZ3" s="2" t="s">
        <v>147</v>
      </c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2" t="s">
        <v>147</v>
      </c>
      <c r="EN3" s="2" t="s">
        <v>147</v>
      </c>
      <c r="EO3" s="2" t="s">
        <v>147</v>
      </c>
      <c r="EP3" s="2" t="s">
        <v>147</v>
      </c>
      <c r="EQ3" s="2" t="s">
        <v>147</v>
      </c>
      <c r="ER3" s="2" t="s">
        <v>147</v>
      </c>
      <c r="ES3" s="2" t="s">
        <v>147</v>
      </c>
    </row>
    <row r="4" spans="2:150" x14ac:dyDescent="0.2">
      <c r="B4" s="1" t="s">
        <v>139</v>
      </c>
      <c r="C4" s="2" t="s">
        <v>140</v>
      </c>
      <c r="D4" s="2">
        <v>68</v>
      </c>
      <c r="E4" s="2" t="s">
        <v>141</v>
      </c>
      <c r="F4" s="2" t="s">
        <v>142</v>
      </c>
      <c r="G4" s="2">
        <v>32.564999999999998</v>
      </c>
      <c r="H4" s="2" t="s">
        <v>143</v>
      </c>
      <c r="I4" s="2" t="s">
        <v>157</v>
      </c>
      <c r="J4" s="2" t="s">
        <v>158</v>
      </c>
      <c r="K4" s="2" t="s">
        <v>159</v>
      </c>
      <c r="L4" s="2" t="s">
        <v>160</v>
      </c>
      <c r="M4" s="2">
        <v>150.27000000000001</v>
      </c>
      <c r="N4" s="2" t="s">
        <v>161</v>
      </c>
      <c r="O4" s="2" t="s">
        <v>144</v>
      </c>
      <c r="P4" s="2" t="s">
        <v>145</v>
      </c>
      <c r="Q4" s="2">
        <v>47.899000000000001</v>
      </c>
      <c r="R4" s="2" t="s">
        <v>146</v>
      </c>
      <c r="S4" s="2" t="s">
        <v>147</v>
      </c>
      <c r="T4" s="2" t="s">
        <v>147</v>
      </c>
      <c r="U4" s="2" t="s">
        <v>147</v>
      </c>
      <c r="V4" s="2" t="s">
        <v>147</v>
      </c>
      <c r="W4" s="2" t="s">
        <v>147</v>
      </c>
      <c r="X4" s="2" t="s">
        <v>147</v>
      </c>
      <c r="Y4" s="2">
        <v>6</v>
      </c>
      <c r="Z4" s="2">
        <v>3</v>
      </c>
      <c r="AA4" s="2">
        <v>4</v>
      </c>
      <c r="AB4" s="2">
        <v>5</v>
      </c>
      <c r="AC4" s="2">
        <v>6</v>
      </c>
      <c r="AD4" s="2">
        <v>11</v>
      </c>
      <c r="AE4" s="2">
        <v>4</v>
      </c>
      <c r="AF4" s="2">
        <v>3</v>
      </c>
      <c r="AG4" s="2">
        <v>6</v>
      </c>
      <c r="AH4" s="2">
        <v>3</v>
      </c>
      <c r="AI4" s="2">
        <v>3</v>
      </c>
      <c r="AJ4" s="2">
        <v>8</v>
      </c>
      <c r="AK4" s="2">
        <v>5</v>
      </c>
      <c r="AL4" s="2">
        <v>5</v>
      </c>
      <c r="AM4" s="2">
        <v>6</v>
      </c>
      <c r="AN4" s="2">
        <v>13</v>
      </c>
      <c r="AO4" s="2">
        <v>7</v>
      </c>
      <c r="AP4" s="2">
        <v>7</v>
      </c>
      <c r="AQ4" s="2">
        <v>5</v>
      </c>
      <c r="AR4" s="2">
        <v>7</v>
      </c>
      <c r="AS4" s="2">
        <v>8</v>
      </c>
      <c r="AT4" s="2">
        <v>8</v>
      </c>
      <c r="AU4" s="2">
        <v>11</v>
      </c>
      <c r="AV4" s="2">
        <v>4</v>
      </c>
      <c r="AW4" s="2">
        <v>16</v>
      </c>
      <c r="AX4" s="2">
        <v>4</v>
      </c>
      <c r="AY4" s="2">
        <v>6</v>
      </c>
      <c r="AZ4" s="2">
        <v>5</v>
      </c>
      <c r="BA4" s="2">
        <v>8</v>
      </c>
      <c r="BB4" s="2">
        <v>5</v>
      </c>
      <c r="BC4" s="2">
        <v>4</v>
      </c>
      <c r="BD4" s="2">
        <v>6</v>
      </c>
      <c r="BE4" s="2">
        <v>7</v>
      </c>
      <c r="BF4" s="2">
        <v>6</v>
      </c>
      <c r="BG4" s="2">
        <v>7</v>
      </c>
      <c r="BH4" s="2">
        <v>9</v>
      </c>
      <c r="BI4" s="2">
        <v>6</v>
      </c>
      <c r="BJ4" s="2">
        <v>4</v>
      </c>
      <c r="BK4" s="2">
        <v>5</v>
      </c>
      <c r="BL4" s="2">
        <v>5</v>
      </c>
      <c r="BM4" s="2">
        <v>4</v>
      </c>
      <c r="BN4" s="2">
        <v>6</v>
      </c>
      <c r="BO4" s="2">
        <v>5</v>
      </c>
      <c r="BP4" s="2">
        <v>6</v>
      </c>
      <c r="BQ4" s="2">
        <v>5</v>
      </c>
      <c r="BR4" s="2">
        <v>4</v>
      </c>
      <c r="BS4" s="2">
        <v>4</v>
      </c>
      <c r="BT4" s="2">
        <v>5</v>
      </c>
      <c r="BU4" s="2">
        <v>5</v>
      </c>
      <c r="BV4" s="2">
        <v>7</v>
      </c>
      <c r="BW4" s="2">
        <v>18</v>
      </c>
      <c r="BX4" s="2">
        <v>5</v>
      </c>
      <c r="BY4" s="2">
        <v>11</v>
      </c>
      <c r="BZ4" s="2">
        <v>5</v>
      </c>
      <c r="CA4" s="2">
        <v>3</v>
      </c>
      <c r="CB4" s="2">
        <v>3</v>
      </c>
      <c r="CC4" s="2">
        <v>12</v>
      </c>
      <c r="CD4" s="2">
        <v>3</v>
      </c>
      <c r="CE4" s="2">
        <v>6</v>
      </c>
      <c r="CF4" s="2">
        <v>7</v>
      </c>
      <c r="CG4" s="2">
        <v>4</v>
      </c>
      <c r="CH4" s="2">
        <v>5</v>
      </c>
      <c r="CI4" s="2">
        <v>6</v>
      </c>
      <c r="CJ4" s="2">
        <v>7</v>
      </c>
      <c r="CK4" s="2">
        <v>6</v>
      </c>
      <c r="CL4" s="2">
        <v>4</v>
      </c>
      <c r="CM4" s="2">
        <v>82</v>
      </c>
      <c r="CN4" s="2">
        <v>10</v>
      </c>
      <c r="CO4" s="2">
        <v>4</v>
      </c>
      <c r="CP4" s="2">
        <v>6</v>
      </c>
      <c r="CQ4" s="2">
        <v>31</v>
      </c>
      <c r="CR4" s="2">
        <v>4</v>
      </c>
      <c r="CS4" s="2">
        <v>3</v>
      </c>
      <c r="CT4" s="2">
        <v>25</v>
      </c>
      <c r="CU4" s="2">
        <v>48</v>
      </c>
      <c r="CV4" s="2">
        <v>6</v>
      </c>
      <c r="CW4" s="2">
        <v>6</v>
      </c>
      <c r="CX4" s="2">
        <v>5</v>
      </c>
      <c r="CY4" s="2">
        <v>4</v>
      </c>
      <c r="CZ4" s="2" t="s">
        <v>148</v>
      </c>
      <c r="DA4" s="2" t="s">
        <v>149</v>
      </c>
      <c r="DB4" s="2" t="s">
        <v>150</v>
      </c>
      <c r="DC4" s="2" t="s">
        <v>151</v>
      </c>
      <c r="DD4" s="2" t="s">
        <v>152</v>
      </c>
      <c r="DE4" s="2" t="s">
        <v>153</v>
      </c>
      <c r="DF4" s="3"/>
      <c r="DG4" s="3"/>
      <c r="DH4" s="2">
        <v>0</v>
      </c>
      <c r="DI4" s="2">
        <v>0</v>
      </c>
      <c r="DJ4" s="2" t="s">
        <v>154</v>
      </c>
      <c r="DK4" s="2" t="s">
        <v>154</v>
      </c>
      <c r="DL4" s="2" t="s">
        <v>155</v>
      </c>
      <c r="DM4" s="2" t="s">
        <v>154</v>
      </c>
      <c r="DN4" s="2" t="s">
        <v>155</v>
      </c>
      <c r="DO4" s="2" t="s">
        <v>156</v>
      </c>
      <c r="DP4" s="2" t="s">
        <v>154</v>
      </c>
      <c r="DQ4" s="2" t="s">
        <v>155</v>
      </c>
      <c r="DR4" s="2">
        <v>219.13300000000001</v>
      </c>
      <c r="DS4" s="3"/>
      <c r="DT4" s="3"/>
      <c r="DU4" s="2" t="s">
        <v>147</v>
      </c>
      <c r="DV4" s="2">
        <v>1120.489</v>
      </c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</row>
    <row r="5" spans="2:150" x14ac:dyDescent="0.2">
      <c r="B5" s="1" t="s">
        <v>162</v>
      </c>
      <c r="C5" s="2" t="s">
        <v>140</v>
      </c>
      <c r="D5" s="2">
        <v>42</v>
      </c>
      <c r="E5" s="2" t="s">
        <v>141</v>
      </c>
      <c r="F5" s="2" t="s">
        <v>163</v>
      </c>
      <c r="G5" s="2">
        <v>22.495999999999999</v>
      </c>
      <c r="H5" s="2" t="s">
        <v>143</v>
      </c>
      <c r="I5" s="2" t="s">
        <v>171</v>
      </c>
      <c r="J5" s="2" t="s">
        <v>158</v>
      </c>
      <c r="K5" s="2" t="s">
        <v>159</v>
      </c>
      <c r="L5" s="2" t="s">
        <v>160</v>
      </c>
      <c r="M5" s="2">
        <v>50.386000000000003</v>
      </c>
      <c r="N5" s="2" t="s">
        <v>161</v>
      </c>
      <c r="O5" s="2" t="s">
        <v>164</v>
      </c>
      <c r="P5" s="2" t="s">
        <v>145</v>
      </c>
      <c r="Q5" s="2">
        <v>25.678999999999998</v>
      </c>
      <c r="R5" s="2" t="s">
        <v>165</v>
      </c>
      <c r="S5" s="2" t="s">
        <v>166</v>
      </c>
      <c r="T5" s="2" t="s">
        <v>166</v>
      </c>
      <c r="U5" s="2" t="s">
        <v>166</v>
      </c>
      <c r="V5" s="2" t="s">
        <v>166</v>
      </c>
      <c r="W5" s="2" t="s">
        <v>166</v>
      </c>
      <c r="X5" s="2" t="s">
        <v>166</v>
      </c>
      <c r="Y5" s="2">
        <v>5</v>
      </c>
      <c r="Z5" s="2">
        <v>3</v>
      </c>
      <c r="AA5" s="2">
        <v>5</v>
      </c>
      <c r="AB5" s="2">
        <v>4</v>
      </c>
      <c r="AC5" s="2">
        <v>11</v>
      </c>
      <c r="AD5" s="2">
        <v>9</v>
      </c>
      <c r="AE5" s="2">
        <v>7</v>
      </c>
      <c r="AF5" s="2">
        <v>3</v>
      </c>
      <c r="AG5" s="2">
        <v>12</v>
      </c>
      <c r="AH5" s="2">
        <v>3</v>
      </c>
      <c r="AI5" s="2">
        <v>3</v>
      </c>
      <c r="AJ5" s="2">
        <v>8</v>
      </c>
      <c r="AK5" s="2">
        <v>5</v>
      </c>
      <c r="AL5" s="2">
        <v>4</v>
      </c>
      <c r="AM5" s="2">
        <v>4</v>
      </c>
      <c r="AN5" s="2">
        <v>21</v>
      </c>
      <c r="AO5" s="2">
        <v>6</v>
      </c>
      <c r="AP5" s="2">
        <v>4</v>
      </c>
      <c r="AQ5" s="2">
        <v>5</v>
      </c>
      <c r="AR5" s="2">
        <v>7</v>
      </c>
      <c r="AS5" s="2">
        <v>7</v>
      </c>
      <c r="AT5" s="2">
        <v>6</v>
      </c>
      <c r="AU5" s="2">
        <v>3</v>
      </c>
      <c r="AV5" s="2">
        <v>7</v>
      </c>
      <c r="AW5" s="2">
        <v>6</v>
      </c>
      <c r="AX5" s="2">
        <v>4</v>
      </c>
      <c r="AY5" s="2">
        <v>18</v>
      </c>
      <c r="AZ5" s="2">
        <v>4</v>
      </c>
      <c r="BA5" s="2">
        <v>4</v>
      </c>
      <c r="BB5" s="2">
        <v>6</v>
      </c>
      <c r="BC5" s="2">
        <v>2</v>
      </c>
      <c r="BD5" s="2">
        <v>4</v>
      </c>
      <c r="BE5" s="2">
        <v>6</v>
      </c>
      <c r="BF5" s="2">
        <v>10</v>
      </c>
      <c r="BG5" s="2">
        <v>9</v>
      </c>
      <c r="BH5" s="2">
        <v>8</v>
      </c>
      <c r="BI5" s="2">
        <v>10</v>
      </c>
      <c r="BJ5" s="2">
        <v>5</v>
      </c>
      <c r="BK5" s="2">
        <v>6</v>
      </c>
      <c r="BL5" s="2">
        <v>5</v>
      </c>
      <c r="BM5" s="2">
        <v>4</v>
      </c>
      <c r="BN5" s="2">
        <v>8</v>
      </c>
      <c r="BO5" s="2">
        <v>6</v>
      </c>
      <c r="BP5" s="2">
        <v>6</v>
      </c>
      <c r="BQ5" s="2">
        <v>4</v>
      </c>
      <c r="BR5" s="2">
        <v>4</v>
      </c>
      <c r="BS5" s="2">
        <v>5</v>
      </c>
      <c r="BT5" s="2">
        <v>12</v>
      </c>
      <c r="BU5" s="2">
        <v>5</v>
      </c>
      <c r="BV5" s="2">
        <v>8</v>
      </c>
      <c r="BW5" s="2">
        <v>8</v>
      </c>
      <c r="BX5" s="2">
        <v>17</v>
      </c>
      <c r="BY5" s="2">
        <v>14</v>
      </c>
      <c r="BZ5" s="2">
        <v>6</v>
      </c>
      <c r="CA5" s="2">
        <v>16</v>
      </c>
      <c r="CB5" s="2">
        <v>2</v>
      </c>
      <c r="CC5" s="2">
        <v>18</v>
      </c>
      <c r="CD5" s="2">
        <v>5</v>
      </c>
      <c r="CE5" s="2">
        <v>10</v>
      </c>
      <c r="CF5" s="2">
        <v>5</v>
      </c>
      <c r="CG5" s="2">
        <v>7</v>
      </c>
      <c r="CH5" s="2">
        <v>9</v>
      </c>
      <c r="CI5" s="2">
        <v>8</v>
      </c>
      <c r="CJ5" s="2">
        <v>11</v>
      </c>
      <c r="CK5" s="2">
        <v>9</v>
      </c>
      <c r="CL5" s="2">
        <v>5</v>
      </c>
      <c r="CM5" s="2">
        <v>40</v>
      </c>
      <c r="CN5" s="2">
        <v>3</v>
      </c>
      <c r="CO5" s="2">
        <v>4</v>
      </c>
      <c r="CP5" s="2">
        <v>6</v>
      </c>
      <c r="CQ5" s="2">
        <v>7</v>
      </c>
      <c r="CR5" s="2">
        <v>4</v>
      </c>
      <c r="CS5" s="2">
        <v>4</v>
      </c>
      <c r="CT5" s="2">
        <v>8</v>
      </c>
      <c r="CU5" s="2">
        <v>7</v>
      </c>
      <c r="CV5" s="2">
        <v>7</v>
      </c>
      <c r="CW5" s="2">
        <v>6</v>
      </c>
      <c r="CX5" s="2">
        <v>9</v>
      </c>
      <c r="CY5" s="2">
        <v>4</v>
      </c>
      <c r="CZ5" s="2" t="s">
        <v>148</v>
      </c>
      <c r="DA5" s="2" t="s">
        <v>149</v>
      </c>
      <c r="DB5" s="2" t="s">
        <v>150</v>
      </c>
      <c r="DC5" s="2" t="s">
        <v>151</v>
      </c>
      <c r="DD5" s="2" t="s">
        <v>152</v>
      </c>
      <c r="DE5" s="2" t="s">
        <v>153</v>
      </c>
      <c r="DF5" s="3"/>
      <c r="DG5" s="3"/>
      <c r="DH5" s="2">
        <v>0</v>
      </c>
      <c r="DI5" s="2">
        <v>2</v>
      </c>
      <c r="DJ5" s="2" t="s">
        <v>167</v>
      </c>
      <c r="DK5" s="2" t="s">
        <v>154</v>
      </c>
      <c r="DL5" s="2" t="s">
        <v>167</v>
      </c>
      <c r="DM5" s="2" t="s">
        <v>154</v>
      </c>
      <c r="DN5" s="2" t="s">
        <v>168</v>
      </c>
      <c r="DO5" s="2" t="s">
        <v>154</v>
      </c>
      <c r="DP5" s="2" t="s">
        <v>167</v>
      </c>
      <c r="DQ5" s="2" t="s">
        <v>154</v>
      </c>
      <c r="DR5" s="2">
        <v>195.01599999999999</v>
      </c>
      <c r="DS5" s="2" t="s">
        <v>169</v>
      </c>
      <c r="DT5" s="2" t="s">
        <v>170</v>
      </c>
      <c r="DU5" s="2" t="s">
        <v>147</v>
      </c>
      <c r="DV5" s="2">
        <v>886.51700000000005</v>
      </c>
      <c r="DW5" s="3"/>
      <c r="DX5" s="3"/>
      <c r="DY5" s="3"/>
      <c r="DZ5" s="3"/>
      <c r="EA5" s="3"/>
      <c r="EB5" s="2" t="s">
        <v>147</v>
      </c>
      <c r="EC5" s="3"/>
      <c r="ED5" s="3"/>
      <c r="EE5" s="3"/>
      <c r="EF5" s="3"/>
      <c r="EG5" s="3"/>
      <c r="EH5" s="3"/>
      <c r="EI5" s="3"/>
      <c r="EJ5" s="2" t="s">
        <v>147</v>
      </c>
      <c r="EK5" s="2" t="s">
        <v>147</v>
      </c>
      <c r="EL5" s="2" t="s">
        <v>147</v>
      </c>
      <c r="EM5" s="3"/>
      <c r="EN5" s="3"/>
      <c r="EO5" s="3"/>
      <c r="EP5" s="3"/>
      <c r="EQ5" s="3"/>
      <c r="ER5" s="3"/>
      <c r="ES5" s="3"/>
    </row>
    <row r="6" spans="2:150" x14ac:dyDescent="0.2">
      <c r="B6" s="1" t="s">
        <v>172</v>
      </c>
      <c r="C6" s="2" t="s">
        <v>140</v>
      </c>
      <c r="D6" s="2">
        <v>65</v>
      </c>
      <c r="E6" s="2" t="s">
        <v>173</v>
      </c>
      <c r="F6" s="2" t="s">
        <v>142</v>
      </c>
      <c r="G6" s="2">
        <v>26.744</v>
      </c>
      <c r="H6" s="2" t="s">
        <v>143</v>
      </c>
      <c r="I6" s="2" t="s">
        <v>171</v>
      </c>
      <c r="J6" s="2" t="s">
        <v>158</v>
      </c>
      <c r="K6" s="2" t="s">
        <v>159</v>
      </c>
      <c r="L6" s="2" t="s">
        <v>160</v>
      </c>
      <c r="M6" s="2">
        <v>60.415999999999997</v>
      </c>
      <c r="N6" s="2" t="s">
        <v>161</v>
      </c>
      <c r="O6" s="2" t="s">
        <v>144</v>
      </c>
      <c r="P6" s="2" t="s">
        <v>145</v>
      </c>
      <c r="Q6" s="2">
        <v>24.776</v>
      </c>
      <c r="R6" s="2" t="s">
        <v>174</v>
      </c>
      <c r="S6" s="2" t="s">
        <v>166</v>
      </c>
      <c r="T6" s="2" t="s">
        <v>166</v>
      </c>
      <c r="U6" s="2" t="s">
        <v>166</v>
      </c>
      <c r="V6" s="2" t="s">
        <v>166</v>
      </c>
      <c r="W6" s="2" t="s">
        <v>166</v>
      </c>
      <c r="X6" s="2" t="s">
        <v>166</v>
      </c>
      <c r="Y6" s="2">
        <v>13</v>
      </c>
      <c r="Z6" s="2">
        <v>4</v>
      </c>
      <c r="AA6" s="2">
        <v>6</v>
      </c>
      <c r="AB6" s="2">
        <v>4</v>
      </c>
      <c r="AC6" s="2">
        <v>7</v>
      </c>
      <c r="AD6" s="2">
        <v>10</v>
      </c>
      <c r="AE6" s="2">
        <v>9</v>
      </c>
      <c r="AF6" s="2">
        <v>3</v>
      </c>
      <c r="AG6" s="2">
        <v>8</v>
      </c>
      <c r="AH6" s="2">
        <v>4</v>
      </c>
      <c r="AI6" s="2">
        <v>2</v>
      </c>
      <c r="AJ6" s="2">
        <v>7</v>
      </c>
      <c r="AK6" s="2">
        <v>17</v>
      </c>
      <c r="AL6" s="2">
        <v>4</v>
      </c>
      <c r="AM6" s="2">
        <v>5</v>
      </c>
      <c r="AN6" s="2">
        <v>7</v>
      </c>
      <c r="AO6" s="2">
        <v>7</v>
      </c>
      <c r="AP6" s="2">
        <v>5</v>
      </c>
      <c r="AQ6" s="2">
        <v>5</v>
      </c>
      <c r="AR6" s="2">
        <v>7</v>
      </c>
      <c r="AS6" s="2">
        <v>7</v>
      </c>
      <c r="AT6" s="2">
        <v>7</v>
      </c>
      <c r="AU6" s="2">
        <v>6</v>
      </c>
      <c r="AV6" s="2">
        <v>5</v>
      </c>
      <c r="AW6" s="2">
        <v>8</v>
      </c>
      <c r="AX6" s="2">
        <v>5</v>
      </c>
      <c r="AY6" s="2">
        <v>9</v>
      </c>
      <c r="AZ6" s="2">
        <v>4</v>
      </c>
      <c r="BA6" s="2">
        <v>5</v>
      </c>
      <c r="BB6" s="2">
        <v>6</v>
      </c>
      <c r="BC6" s="2">
        <v>5</v>
      </c>
      <c r="BD6" s="2">
        <v>5</v>
      </c>
      <c r="BE6" s="2">
        <v>7</v>
      </c>
      <c r="BF6" s="2">
        <v>8</v>
      </c>
      <c r="BG6" s="2">
        <v>6</v>
      </c>
      <c r="BH6" s="2">
        <v>8</v>
      </c>
      <c r="BI6" s="2">
        <v>8</v>
      </c>
      <c r="BJ6" s="2">
        <v>5</v>
      </c>
      <c r="BK6" s="2">
        <v>7</v>
      </c>
      <c r="BL6" s="2">
        <v>14</v>
      </c>
      <c r="BM6" s="2">
        <v>6</v>
      </c>
      <c r="BN6" s="2">
        <v>10</v>
      </c>
      <c r="BO6" s="2">
        <v>7</v>
      </c>
      <c r="BP6" s="2">
        <v>4</v>
      </c>
      <c r="BQ6" s="2">
        <v>6</v>
      </c>
      <c r="BR6" s="2">
        <v>4</v>
      </c>
      <c r="BS6" s="2">
        <v>6</v>
      </c>
      <c r="BT6" s="2">
        <v>8</v>
      </c>
      <c r="BU6" s="2">
        <v>5</v>
      </c>
      <c r="BV6" s="2">
        <v>7</v>
      </c>
      <c r="BW6" s="2">
        <v>5</v>
      </c>
      <c r="BX6" s="2">
        <v>4</v>
      </c>
      <c r="BY6" s="2">
        <v>9</v>
      </c>
      <c r="BZ6" s="2">
        <v>7</v>
      </c>
      <c r="CA6" s="2">
        <v>7</v>
      </c>
      <c r="CB6" s="2">
        <v>3</v>
      </c>
      <c r="CC6" s="2">
        <v>7</v>
      </c>
      <c r="CD6" s="2">
        <v>3</v>
      </c>
      <c r="CE6" s="2">
        <v>6</v>
      </c>
      <c r="CF6" s="2">
        <v>6</v>
      </c>
      <c r="CG6" s="2">
        <v>5</v>
      </c>
      <c r="CH6" s="2">
        <v>6</v>
      </c>
      <c r="CI6" s="2">
        <v>6</v>
      </c>
      <c r="CJ6" s="2">
        <v>7</v>
      </c>
      <c r="CK6" s="2">
        <v>9</v>
      </c>
      <c r="CL6" s="2">
        <v>6</v>
      </c>
      <c r="CM6" s="2">
        <v>42</v>
      </c>
      <c r="CN6" s="2">
        <v>3</v>
      </c>
      <c r="CO6" s="2">
        <v>3</v>
      </c>
      <c r="CP6" s="2">
        <v>5</v>
      </c>
      <c r="CQ6" s="2">
        <v>7</v>
      </c>
      <c r="CR6" s="2">
        <v>4</v>
      </c>
      <c r="CS6" s="2">
        <v>5</v>
      </c>
      <c r="CT6" s="2">
        <v>5</v>
      </c>
      <c r="CU6" s="2">
        <v>4</v>
      </c>
      <c r="CV6" s="2">
        <v>4</v>
      </c>
      <c r="CW6" s="2">
        <v>4</v>
      </c>
      <c r="CX6" s="2">
        <v>8</v>
      </c>
      <c r="CY6" s="2">
        <v>4</v>
      </c>
      <c r="CZ6" s="2" t="s">
        <v>148</v>
      </c>
      <c r="DA6" s="2" t="s">
        <v>149</v>
      </c>
      <c r="DB6" s="2" t="s">
        <v>150</v>
      </c>
      <c r="DC6" s="2" t="s">
        <v>151</v>
      </c>
      <c r="DD6" s="2" t="s">
        <v>152</v>
      </c>
      <c r="DE6" s="2" t="s">
        <v>153</v>
      </c>
      <c r="DF6" s="3"/>
      <c r="DG6" s="3"/>
      <c r="DH6" s="2">
        <v>0</v>
      </c>
      <c r="DI6" s="2">
        <v>1</v>
      </c>
      <c r="DJ6" s="2" t="s">
        <v>154</v>
      </c>
      <c r="DK6" s="2" t="s">
        <v>154</v>
      </c>
      <c r="DL6" s="2" t="s">
        <v>154</v>
      </c>
      <c r="DM6" s="2" t="s">
        <v>167</v>
      </c>
      <c r="DN6" s="2" t="s">
        <v>156</v>
      </c>
      <c r="DO6" s="2" t="s">
        <v>154</v>
      </c>
      <c r="DP6" s="2" t="s">
        <v>154</v>
      </c>
      <c r="DQ6" s="2" t="s">
        <v>167</v>
      </c>
      <c r="DR6" s="2">
        <v>215.49299999999999</v>
      </c>
      <c r="DS6" s="3"/>
      <c r="DT6" s="3"/>
      <c r="DU6" s="2" t="s">
        <v>147</v>
      </c>
      <c r="DV6" s="2">
        <v>900.49300000000005</v>
      </c>
      <c r="DW6" s="3"/>
      <c r="DX6" s="3"/>
      <c r="DY6" s="3"/>
      <c r="DZ6" s="2" t="s">
        <v>147</v>
      </c>
      <c r="EA6" s="3"/>
      <c r="EB6" s="3"/>
      <c r="EC6" s="3"/>
      <c r="ED6" s="3"/>
      <c r="EE6" s="3"/>
      <c r="EF6" s="3"/>
      <c r="EG6" s="3"/>
      <c r="EH6" s="3"/>
      <c r="EI6" s="2" t="s">
        <v>147</v>
      </c>
      <c r="EJ6" s="3"/>
      <c r="EK6" s="3"/>
      <c r="EL6" s="3"/>
      <c r="EM6" s="3"/>
      <c r="EN6" s="3"/>
      <c r="EO6" s="3"/>
      <c r="EP6" s="3"/>
      <c r="EQ6" s="3"/>
      <c r="ER6" s="3"/>
      <c r="ES6" s="3"/>
    </row>
    <row r="7" spans="2:150" x14ac:dyDescent="0.2">
      <c r="B7" s="1" t="s">
        <v>175</v>
      </c>
      <c r="C7" s="2" t="s">
        <v>140</v>
      </c>
      <c r="D7" s="2">
        <v>40</v>
      </c>
      <c r="E7" s="2" t="s">
        <v>173</v>
      </c>
      <c r="F7" s="3"/>
      <c r="G7" s="3"/>
      <c r="H7" s="3"/>
      <c r="I7" s="3"/>
      <c r="J7" s="3"/>
      <c r="K7" s="3"/>
      <c r="L7" s="3"/>
      <c r="M7" s="3"/>
      <c r="N7" s="3"/>
      <c r="O7" s="2" t="s">
        <v>164</v>
      </c>
      <c r="P7" s="2" t="s">
        <v>145</v>
      </c>
      <c r="Q7" s="2">
        <v>32.066000000000003</v>
      </c>
      <c r="R7" s="2" t="s">
        <v>165</v>
      </c>
      <c r="S7" s="2" t="s">
        <v>166</v>
      </c>
      <c r="T7" s="2" t="s">
        <v>166</v>
      </c>
      <c r="U7" s="2" t="s">
        <v>166</v>
      </c>
      <c r="V7" s="2" t="s">
        <v>166</v>
      </c>
      <c r="W7" s="2" t="s">
        <v>166</v>
      </c>
      <c r="X7" s="2" t="s">
        <v>166</v>
      </c>
      <c r="Y7" s="2">
        <v>4</v>
      </c>
      <c r="Z7" s="2">
        <v>4</v>
      </c>
      <c r="AA7" s="2">
        <v>5</v>
      </c>
      <c r="AB7" s="2">
        <v>3</v>
      </c>
      <c r="AC7" s="2">
        <v>5</v>
      </c>
      <c r="AD7" s="2">
        <v>9</v>
      </c>
      <c r="AE7" s="2">
        <v>4</v>
      </c>
      <c r="AF7" s="2">
        <v>2</v>
      </c>
      <c r="AG7" s="2">
        <v>5</v>
      </c>
      <c r="AH7" s="2">
        <v>9</v>
      </c>
      <c r="AI7" s="2">
        <v>2</v>
      </c>
      <c r="AJ7" s="2">
        <v>9</v>
      </c>
      <c r="AK7" s="2">
        <v>9</v>
      </c>
      <c r="AL7" s="2">
        <v>3</v>
      </c>
      <c r="AM7" s="2">
        <v>3</v>
      </c>
      <c r="AN7" s="2">
        <v>4</v>
      </c>
      <c r="AO7" s="2">
        <v>9</v>
      </c>
      <c r="AP7" s="2">
        <v>6</v>
      </c>
      <c r="AQ7" s="2">
        <v>3</v>
      </c>
      <c r="AR7" s="2">
        <v>5</v>
      </c>
      <c r="AS7" s="2">
        <v>5</v>
      </c>
      <c r="AT7" s="2">
        <v>16</v>
      </c>
      <c r="AU7" s="2">
        <v>3</v>
      </c>
      <c r="AV7" s="2">
        <v>4</v>
      </c>
      <c r="AW7" s="2">
        <v>8</v>
      </c>
      <c r="AX7" s="2">
        <v>8</v>
      </c>
      <c r="AY7" s="2">
        <v>6</v>
      </c>
      <c r="AZ7" s="2">
        <v>3</v>
      </c>
      <c r="BA7" s="2">
        <v>3</v>
      </c>
      <c r="BB7" s="2">
        <v>6</v>
      </c>
      <c r="BC7" s="2">
        <v>10</v>
      </c>
      <c r="BD7" s="2">
        <v>6</v>
      </c>
      <c r="BE7" s="2">
        <v>7</v>
      </c>
      <c r="BF7" s="2">
        <v>3</v>
      </c>
      <c r="BG7" s="2">
        <v>5</v>
      </c>
      <c r="BH7" s="2">
        <v>6</v>
      </c>
      <c r="BI7" s="2">
        <v>4</v>
      </c>
      <c r="BJ7" s="2">
        <v>2</v>
      </c>
      <c r="BK7" s="2">
        <v>4</v>
      </c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2">
        <v>3</v>
      </c>
      <c r="BX7" s="2">
        <v>3</v>
      </c>
      <c r="BY7" s="2">
        <v>4</v>
      </c>
      <c r="BZ7" s="2">
        <v>5</v>
      </c>
      <c r="CA7" s="2">
        <v>3</v>
      </c>
      <c r="CB7" s="2">
        <v>2</v>
      </c>
      <c r="CC7" s="3"/>
      <c r="CD7" s="3"/>
      <c r="CE7" s="3"/>
      <c r="CF7" s="3"/>
      <c r="CG7" s="3"/>
      <c r="CH7" s="3"/>
      <c r="CI7" s="3"/>
      <c r="CJ7" s="3"/>
      <c r="CK7" s="3"/>
      <c r="CL7" s="3"/>
      <c r="CM7" s="2">
        <v>41</v>
      </c>
      <c r="CN7" s="2">
        <v>2</v>
      </c>
      <c r="CO7" s="2">
        <v>1</v>
      </c>
      <c r="CP7" s="2">
        <v>16</v>
      </c>
      <c r="CQ7" s="2">
        <v>1</v>
      </c>
      <c r="CR7" s="2">
        <v>1</v>
      </c>
      <c r="CS7" s="2">
        <v>3</v>
      </c>
      <c r="CT7" s="2">
        <v>2</v>
      </c>
      <c r="CU7" s="2">
        <v>1</v>
      </c>
      <c r="CV7" s="2">
        <v>3</v>
      </c>
      <c r="CW7" s="2">
        <v>1</v>
      </c>
      <c r="CX7" s="2">
        <v>1</v>
      </c>
      <c r="CY7" s="2">
        <v>1</v>
      </c>
      <c r="CZ7" s="2" t="s">
        <v>148</v>
      </c>
      <c r="DA7" s="2" t="s">
        <v>149</v>
      </c>
      <c r="DB7" s="2" t="s">
        <v>150</v>
      </c>
      <c r="DC7" s="2" t="s">
        <v>151</v>
      </c>
      <c r="DD7" s="2" t="s">
        <v>152</v>
      </c>
      <c r="DE7" s="2" t="s">
        <v>153</v>
      </c>
      <c r="DF7" s="3"/>
      <c r="DG7" s="3"/>
      <c r="DH7" s="2">
        <v>3</v>
      </c>
      <c r="DI7" s="2">
        <v>8</v>
      </c>
      <c r="DJ7" s="2" t="s">
        <v>176</v>
      </c>
      <c r="DK7" s="2" t="s">
        <v>177</v>
      </c>
      <c r="DL7" s="2" t="s">
        <v>178</v>
      </c>
      <c r="DM7" s="2" t="s">
        <v>176</v>
      </c>
      <c r="DN7" s="2" t="s">
        <v>179</v>
      </c>
      <c r="DO7" s="2" t="s">
        <v>176</v>
      </c>
      <c r="DP7" s="2" t="s">
        <v>176</v>
      </c>
      <c r="DQ7" s="2" t="s">
        <v>176</v>
      </c>
      <c r="DR7" s="3"/>
      <c r="DS7" s="3"/>
      <c r="DT7" s="3"/>
      <c r="DU7" s="3"/>
      <c r="DV7" s="3"/>
      <c r="DW7" s="3"/>
      <c r="DX7" s="3"/>
      <c r="DY7" s="2" t="s">
        <v>147</v>
      </c>
      <c r="DZ7" s="2" t="s">
        <v>147</v>
      </c>
      <c r="EA7" s="2" t="s">
        <v>147</v>
      </c>
      <c r="EB7" s="2" t="s">
        <v>147</v>
      </c>
      <c r="EC7" s="2" t="s">
        <v>147</v>
      </c>
      <c r="ED7" s="2" t="s">
        <v>147</v>
      </c>
      <c r="EE7" s="2" t="s">
        <v>147</v>
      </c>
      <c r="EF7" s="2" t="s">
        <v>147</v>
      </c>
      <c r="EG7" s="2" t="s">
        <v>147</v>
      </c>
      <c r="EH7" s="2" t="s">
        <v>147</v>
      </c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</row>
    <row r="8" spans="2:150" x14ac:dyDescent="0.2">
      <c r="B8" s="1" t="s">
        <v>180</v>
      </c>
      <c r="C8" s="2" t="s">
        <v>140</v>
      </c>
      <c r="D8" s="2">
        <v>45</v>
      </c>
      <c r="E8" s="2" t="s">
        <v>141</v>
      </c>
      <c r="F8" s="2" t="s">
        <v>142</v>
      </c>
      <c r="G8" s="2">
        <v>9.7780000000000005</v>
      </c>
      <c r="H8" s="2" t="s">
        <v>143</v>
      </c>
      <c r="I8" s="3"/>
      <c r="J8" s="3"/>
      <c r="K8" s="3"/>
      <c r="L8" s="3"/>
      <c r="M8" s="3"/>
      <c r="N8" s="3"/>
      <c r="O8" s="2" t="s">
        <v>164</v>
      </c>
      <c r="P8" s="2" t="s">
        <v>145</v>
      </c>
      <c r="Q8" s="2">
        <v>26.526</v>
      </c>
      <c r="R8" s="2" t="s">
        <v>165</v>
      </c>
      <c r="S8" s="2" t="s">
        <v>166</v>
      </c>
      <c r="T8" s="2" t="s">
        <v>166</v>
      </c>
      <c r="U8" s="2" t="s">
        <v>166</v>
      </c>
      <c r="V8" s="2" t="s">
        <v>166</v>
      </c>
      <c r="W8" s="2" t="s">
        <v>166</v>
      </c>
      <c r="X8" s="2" t="s">
        <v>166</v>
      </c>
      <c r="Y8" s="2">
        <v>29</v>
      </c>
      <c r="Z8" s="2">
        <v>2</v>
      </c>
      <c r="AA8" s="2">
        <v>4</v>
      </c>
      <c r="AB8" s="2">
        <v>6</v>
      </c>
      <c r="AC8" s="2">
        <v>5</v>
      </c>
      <c r="AD8" s="2">
        <v>6</v>
      </c>
      <c r="AE8" s="2">
        <v>5</v>
      </c>
      <c r="AF8" s="2">
        <v>3</v>
      </c>
      <c r="AG8" s="2">
        <v>4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2">
        <v>3</v>
      </c>
      <c r="AV8" s="2">
        <v>5</v>
      </c>
      <c r="AW8" s="2">
        <v>5</v>
      </c>
      <c r="AX8" s="3"/>
      <c r="AY8" s="3"/>
      <c r="AZ8" s="3"/>
      <c r="BA8" s="3"/>
      <c r="BB8" s="3"/>
      <c r="BC8" s="3"/>
      <c r="BD8" s="3"/>
      <c r="BE8" s="3"/>
      <c r="BF8" s="2">
        <v>25</v>
      </c>
      <c r="BG8" s="2">
        <v>6</v>
      </c>
      <c r="BH8" s="2">
        <v>5</v>
      </c>
      <c r="BI8" s="2">
        <v>5</v>
      </c>
      <c r="BJ8" s="2">
        <v>3</v>
      </c>
      <c r="BK8" s="2">
        <v>4</v>
      </c>
      <c r="BL8" s="2">
        <v>18</v>
      </c>
      <c r="BM8" s="2">
        <v>4</v>
      </c>
      <c r="BN8" s="2">
        <v>5</v>
      </c>
      <c r="BO8" s="2">
        <v>5</v>
      </c>
      <c r="BP8" s="2">
        <v>3</v>
      </c>
      <c r="BQ8" s="2">
        <v>5</v>
      </c>
      <c r="BR8" s="2">
        <v>7</v>
      </c>
      <c r="BS8" s="2">
        <v>4</v>
      </c>
      <c r="BT8" s="2">
        <v>5</v>
      </c>
      <c r="BU8" s="2">
        <v>4</v>
      </c>
      <c r="BV8" s="2">
        <v>5</v>
      </c>
      <c r="BW8" s="2">
        <v>5</v>
      </c>
      <c r="BX8" s="2">
        <v>5</v>
      </c>
      <c r="BY8" s="2">
        <v>6</v>
      </c>
      <c r="BZ8" s="2">
        <v>5</v>
      </c>
      <c r="CA8" s="2">
        <v>7</v>
      </c>
      <c r="CB8" s="2">
        <v>3</v>
      </c>
      <c r="CC8" s="3"/>
      <c r="CD8" s="3"/>
      <c r="CE8" s="3"/>
      <c r="CF8" s="3"/>
      <c r="CG8" s="3"/>
      <c r="CH8" s="3"/>
      <c r="CI8" s="3"/>
      <c r="CJ8" s="3"/>
      <c r="CK8" s="3"/>
      <c r="CL8" s="3"/>
      <c r="CM8" s="2">
        <v>42</v>
      </c>
      <c r="CN8" s="2">
        <v>4</v>
      </c>
      <c r="CO8" s="2">
        <v>5</v>
      </c>
      <c r="CP8" s="2">
        <v>4</v>
      </c>
      <c r="CQ8" s="2">
        <v>11</v>
      </c>
      <c r="CR8" s="2">
        <v>4</v>
      </c>
      <c r="CS8" s="2">
        <v>19</v>
      </c>
      <c r="CT8" s="2">
        <v>7</v>
      </c>
      <c r="CU8" s="2">
        <v>4</v>
      </c>
      <c r="CV8" s="2">
        <v>5</v>
      </c>
      <c r="CW8" s="2">
        <v>5</v>
      </c>
      <c r="CX8" s="2">
        <v>4</v>
      </c>
      <c r="CY8" s="2">
        <v>3</v>
      </c>
      <c r="CZ8" s="2" t="s">
        <v>148</v>
      </c>
      <c r="DA8" s="2" t="s">
        <v>149</v>
      </c>
      <c r="DB8" s="2" t="s">
        <v>150</v>
      </c>
      <c r="DC8" s="2" t="s">
        <v>151</v>
      </c>
      <c r="DD8" s="2" t="s">
        <v>152</v>
      </c>
      <c r="DE8" s="2" t="s">
        <v>153</v>
      </c>
      <c r="DF8" s="3"/>
      <c r="DG8" s="3"/>
      <c r="DH8" s="2">
        <v>4</v>
      </c>
      <c r="DI8" s="2">
        <v>7</v>
      </c>
      <c r="DJ8" s="2" t="s">
        <v>177</v>
      </c>
      <c r="DK8" s="2" t="s">
        <v>176</v>
      </c>
      <c r="DL8" s="2" t="s">
        <v>181</v>
      </c>
      <c r="DM8" s="2" t="s">
        <v>181</v>
      </c>
      <c r="DN8" s="2" t="s">
        <v>181</v>
      </c>
      <c r="DO8" s="2" t="s">
        <v>181</v>
      </c>
      <c r="DP8" s="2" t="s">
        <v>176</v>
      </c>
      <c r="DQ8" s="2" t="s">
        <v>177</v>
      </c>
      <c r="DR8" s="2">
        <v>212.62</v>
      </c>
      <c r="DS8" s="2" t="s">
        <v>182</v>
      </c>
      <c r="DT8" s="2" t="s">
        <v>170</v>
      </c>
      <c r="DU8" s="3"/>
      <c r="DV8" s="3"/>
      <c r="DW8" s="2" t="s">
        <v>147</v>
      </c>
      <c r="DX8" s="2" t="s">
        <v>147</v>
      </c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</row>
    <row r="9" spans="2:150" x14ac:dyDescent="0.2">
      <c r="B9" s="1" t="s">
        <v>187</v>
      </c>
      <c r="C9" s="2" t="s">
        <v>140</v>
      </c>
      <c r="D9" s="2">
        <v>32</v>
      </c>
      <c r="E9" s="2" t="s">
        <v>173</v>
      </c>
      <c r="F9" s="2" t="s">
        <v>142</v>
      </c>
      <c r="G9" s="2">
        <v>6.5570000000000004</v>
      </c>
      <c r="H9" s="2" t="s">
        <v>143</v>
      </c>
      <c r="I9" s="2" t="s">
        <v>171</v>
      </c>
      <c r="J9" s="2" t="s">
        <v>188</v>
      </c>
      <c r="K9" s="2" t="s">
        <v>189</v>
      </c>
      <c r="L9" s="2" t="s">
        <v>160</v>
      </c>
      <c r="M9" s="2">
        <v>25.946999999999999</v>
      </c>
      <c r="N9" s="2" t="s">
        <v>161</v>
      </c>
      <c r="O9" s="2" t="s">
        <v>144</v>
      </c>
      <c r="P9" s="2" t="s">
        <v>145</v>
      </c>
      <c r="Q9" s="2">
        <v>11.218</v>
      </c>
      <c r="R9" s="2" t="s">
        <v>174</v>
      </c>
      <c r="S9" s="2" t="s">
        <v>166</v>
      </c>
      <c r="T9" s="2" t="s">
        <v>166</v>
      </c>
      <c r="U9" s="2" t="s">
        <v>166</v>
      </c>
      <c r="V9" s="2" t="s">
        <v>166</v>
      </c>
      <c r="W9" s="2" t="s">
        <v>166</v>
      </c>
      <c r="X9" s="2" t="s">
        <v>166</v>
      </c>
      <c r="Y9" s="2">
        <v>3</v>
      </c>
      <c r="Z9" s="2">
        <v>3</v>
      </c>
      <c r="AA9" s="2">
        <v>4</v>
      </c>
      <c r="AB9" s="2">
        <v>4</v>
      </c>
      <c r="AC9" s="2">
        <v>5</v>
      </c>
      <c r="AD9" s="2">
        <v>5</v>
      </c>
      <c r="AE9" s="2">
        <v>4</v>
      </c>
      <c r="AF9" s="2">
        <v>3</v>
      </c>
      <c r="AG9" s="2">
        <v>4</v>
      </c>
      <c r="AH9" s="2">
        <v>3</v>
      </c>
      <c r="AI9" s="2">
        <v>3</v>
      </c>
      <c r="AJ9" s="2">
        <v>4</v>
      </c>
      <c r="AK9" s="2">
        <v>5</v>
      </c>
      <c r="AL9" s="2">
        <v>3</v>
      </c>
      <c r="AM9" s="2">
        <v>4</v>
      </c>
      <c r="AN9" s="2">
        <v>5</v>
      </c>
      <c r="AO9" s="2">
        <v>5</v>
      </c>
      <c r="AP9" s="2">
        <v>4</v>
      </c>
      <c r="AQ9" s="2">
        <v>4</v>
      </c>
      <c r="AR9" s="2">
        <v>5</v>
      </c>
      <c r="AS9" s="2">
        <v>5</v>
      </c>
      <c r="AT9" s="2">
        <v>6</v>
      </c>
      <c r="AU9" s="2">
        <v>5</v>
      </c>
      <c r="AV9" s="2">
        <v>7</v>
      </c>
      <c r="AW9" s="2">
        <v>6</v>
      </c>
      <c r="AX9" s="2">
        <v>3</v>
      </c>
      <c r="AY9" s="2">
        <v>8</v>
      </c>
      <c r="AZ9" s="2">
        <v>5</v>
      </c>
      <c r="BA9" s="2">
        <v>5</v>
      </c>
      <c r="BB9" s="2">
        <v>6</v>
      </c>
      <c r="BC9" s="2">
        <v>5</v>
      </c>
      <c r="BD9" s="2">
        <v>4</v>
      </c>
      <c r="BE9" s="2">
        <v>7</v>
      </c>
      <c r="BF9" s="2">
        <v>7</v>
      </c>
      <c r="BG9" s="2">
        <v>6</v>
      </c>
      <c r="BH9" s="2">
        <v>5</v>
      </c>
      <c r="BI9" s="2">
        <v>5</v>
      </c>
      <c r="BJ9" s="2">
        <v>4</v>
      </c>
      <c r="BK9" s="2">
        <v>4</v>
      </c>
      <c r="BL9" s="2">
        <v>5</v>
      </c>
      <c r="BM9" s="2">
        <v>4</v>
      </c>
      <c r="BN9" s="2">
        <v>5</v>
      </c>
      <c r="BO9" s="2">
        <v>4</v>
      </c>
      <c r="BP9" s="2">
        <v>4</v>
      </c>
      <c r="BQ9" s="2">
        <v>5</v>
      </c>
      <c r="BR9" s="2">
        <v>4</v>
      </c>
      <c r="BS9" s="2">
        <v>4</v>
      </c>
      <c r="BT9" s="2">
        <v>4</v>
      </c>
      <c r="BU9" s="2">
        <v>4</v>
      </c>
      <c r="BV9" s="2">
        <v>5</v>
      </c>
      <c r="BW9" s="2">
        <v>2</v>
      </c>
      <c r="BX9" s="2">
        <v>4</v>
      </c>
      <c r="BY9" s="2">
        <v>5</v>
      </c>
      <c r="BZ9" s="2">
        <v>12</v>
      </c>
      <c r="CA9" s="2">
        <v>4</v>
      </c>
      <c r="CB9" s="2">
        <v>3</v>
      </c>
      <c r="CC9" s="2">
        <v>6</v>
      </c>
      <c r="CD9" s="2">
        <v>3</v>
      </c>
      <c r="CE9" s="2">
        <v>6</v>
      </c>
      <c r="CF9" s="2">
        <v>5</v>
      </c>
      <c r="CG9" s="2">
        <v>4</v>
      </c>
      <c r="CH9" s="2">
        <v>4</v>
      </c>
      <c r="CI9" s="2">
        <v>6</v>
      </c>
      <c r="CJ9" s="2">
        <v>7</v>
      </c>
      <c r="CK9" s="2">
        <v>9</v>
      </c>
      <c r="CL9" s="2">
        <v>4</v>
      </c>
      <c r="CM9" s="2">
        <v>20</v>
      </c>
      <c r="CN9" s="2">
        <v>4</v>
      </c>
      <c r="CO9" s="2">
        <v>6</v>
      </c>
      <c r="CP9" s="2">
        <v>5</v>
      </c>
      <c r="CQ9" s="2">
        <v>5</v>
      </c>
      <c r="CR9" s="2">
        <v>4</v>
      </c>
      <c r="CS9" s="2">
        <v>3</v>
      </c>
      <c r="CT9" s="2">
        <v>7</v>
      </c>
      <c r="CU9" s="2">
        <v>5</v>
      </c>
      <c r="CV9" s="2">
        <v>5</v>
      </c>
      <c r="CW9" s="2">
        <v>5</v>
      </c>
      <c r="CX9" s="2">
        <v>5</v>
      </c>
      <c r="CY9" s="2">
        <v>4</v>
      </c>
      <c r="CZ9" s="2" t="s">
        <v>148</v>
      </c>
      <c r="DA9" s="2" t="s">
        <v>149</v>
      </c>
      <c r="DB9" s="2" t="s">
        <v>150</v>
      </c>
      <c r="DC9" s="2" t="s">
        <v>151</v>
      </c>
      <c r="DD9" s="2" t="s">
        <v>152</v>
      </c>
      <c r="DE9" s="2" t="s">
        <v>153</v>
      </c>
      <c r="DF9" s="2" t="s">
        <v>147</v>
      </c>
      <c r="DG9" s="2" t="s">
        <v>147</v>
      </c>
      <c r="DH9" s="2">
        <v>0</v>
      </c>
      <c r="DI9" s="2">
        <v>1</v>
      </c>
      <c r="DJ9" s="2" t="s">
        <v>167</v>
      </c>
      <c r="DK9" s="2" t="s">
        <v>154</v>
      </c>
      <c r="DL9" s="2" t="s">
        <v>184</v>
      </c>
      <c r="DM9" s="2" t="s">
        <v>167</v>
      </c>
      <c r="DN9" s="2" t="s">
        <v>156</v>
      </c>
      <c r="DO9" s="2" t="s">
        <v>167</v>
      </c>
      <c r="DP9" s="2" t="s">
        <v>167</v>
      </c>
      <c r="DQ9" s="2" t="s">
        <v>167</v>
      </c>
      <c r="DR9" s="2">
        <v>134.898</v>
      </c>
      <c r="DS9" s="2" t="s">
        <v>190</v>
      </c>
      <c r="DT9" s="2" t="s">
        <v>170</v>
      </c>
      <c r="DU9" s="2" t="s">
        <v>147</v>
      </c>
      <c r="DV9" s="2">
        <v>586.57100000000003</v>
      </c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</row>
    <row r="14" spans="2:150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BA49-65F0-5E4D-9B6B-F0925E4A2805}">
  <dimension ref="A1:DS21"/>
  <sheetViews>
    <sheetView topLeftCell="CW1" workbookViewId="0">
      <selection activeCell="G31" sqref="G31:H31"/>
    </sheetView>
  </sheetViews>
  <sheetFormatPr baseColWidth="10" defaultRowHeight="16" x14ac:dyDescent="0.2"/>
  <cols>
    <col min="6" max="6" width="23.33203125" customWidth="1"/>
    <col min="7" max="7" width="16.33203125" customWidth="1"/>
    <col min="8" max="8" width="17.33203125" customWidth="1"/>
    <col min="9" max="9" width="20.1640625" customWidth="1"/>
    <col min="10" max="10" width="17.5" customWidth="1"/>
    <col min="11" max="11" width="20.33203125" customWidth="1"/>
    <col min="12" max="12" width="30.1640625" customWidth="1"/>
    <col min="13" max="13" width="23.83203125" customWidth="1"/>
    <col min="14" max="15" width="17.6640625" customWidth="1"/>
    <col min="16" max="16" width="29.5" customWidth="1"/>
    <col min="17" max="17" width="24.83203125" customWidth="1"/>
    <col min="18" max="18" width="17.5" customWidth="1"/>
    <col min="19" max="19" width="19.5" customWidth="1"/>
    <col min="20" max="20" width="20.83203125" customWidth="1"/>
    <col min="21" max="21" width="19.5" customWidth="1"/>
    <col min="22" max="22" width="21.1640625" customWidth="1"/>
    <col min="23" max="23" width="20.5" customWidth="1"/>
    <col min="24" max="33" width="17" customWidth="1"/>
    <col min="34" max="37" width="18" customWidth="1"/>
    <col min="38" max="45" width="18.83203125" customWidth="1"/>
    <col min="46" max="55" width="20.1640625" customWidth="1"/>
    <col min="56" max="56" width="21.1640625" customWidth="1"/>
    <col min="57" max="66" width="18.83203125" customWidth="1"/>
    <col min="67" max="73" width="19.83203125" customWidth="1"/>
    <col min="74" max="83" width="20.33203125" customWidth="1"/>
    <col min="84" max="89" width="21.33203125" customWidth="1"/>
    <col min="90" max="99" width="19.6640625" customWidth="1"/>
    <col min="100" max="102" width="20.6640625" customWidth="1"/>
    <col min="109" max="109" width="23" customWidth="1"/>
    <col min="110" max="110" width="33.5" customWidth="1"/>
    <col min="111" max="111" width="14.33203125" customWidth="1"/>
    <col min="112" max="112" width="15.83203125" customWidth="1"/>
    <col min="113" max="113" width="17.5" customWidth="1"/>
    <col min="114" max="114" width="20.6640625" customWidth="1"/>
    <col min="115" max="115" width="19.33203125" customWidth="1"/>
    <col min="116" max="116" width="23.5" customWidth="1"/>
    <col min="117" max="117" width="16" customWidth="1"/>
    <col min="118" max="118" width="19" customWidth="1"/>
    <col min="119" max="119" width="17.1640625" customWidth="1"/>
    <col min="120" max="120" width="19.1640625" customWidth="1"/>
    <col min="121" max="121" width="22.33203125" customWidth="1"/>
    <col min="123" max="123" width="11" customWidth="1"/>
    <col min="124" max="124" width="19.6640625" customWidth="1"/>
    <col min="125" max="125" width="33" customWidth="1"/>
    <col min="126" max="126" width="19.6640625" customWidth="1"/>
    <col min="127" max="127" width="20.6640625" customWidth="1"/>
    <col min="128" max="128" width="21.5" customWidth="1"/>
    <col min="129" max="129" width="23" customWidth="1"/>
    <col min="130" max="132" width="22.33203125" customWidth="1"/>
    <col min="133" max="133" width="23.33203125" customWidth="1"/>
    <col min="134" max="134" width="22.33203125" customWidth="1"/>
    <col min="135" max="135" width="23.83203125" customWidth="1"/>
    <col min="136" max="136" width="31.1640625" customWidth="1"/>
    <col min="137" max="137" width="19.6640625" customWidth="1"/>
    <col min="138" max="138" width="18.83203125" customWidth="1"/>
    <col min="139" max="139" width="23.83203125" customWidth="1"/>
    <col min="140" max="140" width="34.33203125" customWidth="1"/>
    <col min="141" max="141" width="33.5" customWidth="1"/>
    <col min="142" max="142" width="19.6640625" customWidth="1"/>
    <col min="143" max="143" width="20.6640625" customWidth="1"/>
    <col min="144" max="145" width="21.5" customWidth="1"/>
    <col min="146" max="147" width="22.83203125" customWidth="1"/>
    <col min="148" max="148" width="30.1640625" customWidth="1"/>
    <col min="149" max="149" width="23" customWidth="1"/>
    <col min="150" max="150" width="24" customWidth="1"/>
    <col min="151" max="151" width="24.83203125" customWidth="1"/>
    <col min="152" max="152" width="23.1640625" customWidth="1"/>
    <col min="153" max="153" width="32" customWidth="1"/>
    <col min="154" max="154" width="34.5" customWidth="1"/>
    <col min="155" max="155" width="32.83203125" customWidth="1"/>
    <col min="156" max="156" width="24" customWidth="1"/>
    <col min="157" max="157" width="34.5" customWidth="1"/>
    <col min="158" max="158" width="32.83203125" customWidth="1"/>
    <col min="159" max="159" width="33.33203125" customWidth="1"/>
  </cols>
  <sheetData>
    <row r="1" spans="1:1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26</v>
      </c>
      <c r="AU1" s="1" t="s">
        <v>27</v>
      </c>
      <c r="AV1" s="1" t="s">
        <v>28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29</v>
      </c>
      <c r="BF1" s="1" t="s">
        <v>30</v>
      </c>
      <c r="BG1" s="1" t="s">
        <v>31</v>
      </c>
      <c r="BH1" s="1" t="s">
        <v>32</v>
      </c>
      <c r="BI1" s="1" t="s">
        <v>33</v>
      </c>
      <c r="BJ1" s="1" t="s">
        <v>34</v>
      </c>
      <c r="BK1" s="1" t="s">
        <v>35</v>
      </c>
      <c r="BL1" s="1" t="s">
        <v>36</v>
      </c>
      <c r="BM1" s="1" t="s">
        <v>37</v>
      </c>
      <c r="BN1" s="1" t="s">
        <v>38</v>
      </c>
      <c r="BO1" s="1" t="s">
        <v>39</v>
      </c>
      <c r="BP1" s="1" t="s">
        <v>40</v>
      </c>
      <c r="BQ1" s="1" t="s">
        <v>41</v>
      </c>
      <c r="BR1" s="1" t="s">
        <v>42</v>
      </c>
      <c r="BS1" s="1" t="s">
        <v>43</v>
      </c>
      <c r="BT1" s="1" t="s">
        <v>44</v>
      </c>
      <c r="BU1" s="1" t="s">
        <v>45</v>
      </c>
      <c r="BV1" s="1" t="s">
        <v>46</v>
      </c>
      <c r="BW1" s="1" t="s">
        <v>47</v>
      </c>
      <c r="BX1" s="1" t="s">
        <v>48</v>
      </c>
      <c r="BY1" s="1" t="s">
        <v>49</v>
      </c>
      <c r="BZ1" s="1" t="s">
        <v>50</v>
      </c>
      <c r="CA1" s="1" t="s">
        <v>51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52</v>
      </c>
      <c r="CM1" s="1" t="s">
        <v>53</v>
      </c>
      <c r="CN1" s="1" t="s">
        <v>54</v>
      </c>
      <c r="CO1" s="1" t="s">
        <v>55</v>
      </c>
      <c r="CP1" s="1" t="s">
        <v>56</v>
      </c>
      <c r="CQ1" s="1" t="s">
        <v>57</v>
      </c>
      <c r="CR1" s="1" t="s">
        <v>58</v>
      </c>
      <c r="CS1" s="1" t="s">
        <v>59</v>
      </c>
      <c r="CT1" s="1" t="s">
        <v>60</v>
      </c>
      <c r="CU1" s="1" t="s">
        <v>61</v>
      </c>
      <c r="CV1" s="1" t="s">
        <v>62</v>
      </c>
      <c r="CW1" s="1" t="s">
        <v>63</v>
      </c>
      <c r="CX1" s="1" t="s">
        <v>64</v>
      </c>
      <c r="CY1" s="1" t="s">
        <v>65</v>
      </c>
      <c r="CZ1" s="1" t="s">
        <v>66</v>
      </c>
      <c r="DA1" s="1" t="s">
        <v>67</v>
      </c>
      <c r="DB1" s="1" t="s">
        <v>68</v>
      </c>
      <c r="DC1" s="1" t="s">
        <v>69</v>
      </c>
      <c r="DD1" s="1" t="s">
        <v>70</v>
      </c>
      <c r="DE1" s="1" t="s">
        <v>73</v>
      </c>
      <c r="DF1" s="1" t="s">
        <v>74</v>
      </c>
      <c r="DG1" s="1" t="s">
        <v>75</v>
      </c>
      <c r="DH1" s="1" t="s">
        <v>76</v>
      </c>
      <c r="DI1" s="1" t="s">
        <v>77</v>
      </c>
      <c r="DJ1" s="1" t="s">
        <v>78</v>
      </c>
      <c r="DK1" s="1" t="s">
        <v>79</v>
      </c>
      <c r="DL1" s="1" t="s">
        <v>80</v>
      </c>
      <c r="DM1" s="1" t="s">
        <v>81</v>
      </c>
      <c r="DN1" s="1" t="s">
        <v>82</v>
      </c>
      <c r="DO1" s="22" t="s">
        <v>84</v>
      </c>
      <c r="DP1" s="22" t="s">
        <v>85</v>
      </c>
      <c r="DQ1" s="1" t="s">
        <v>83</v>
      </c>
      <c r="DR1" s="1" t="s">
        <v>134</v>
      </c>
      <c r="DS1" s="1" t="s">
        <v>135</v>
      </c>
    </row>
    <row r="2" spans="1:123" x14ac:dyDescent="0.2">
      <c r="A2" s="1" t="s">
        <v>218</v>
      </c>
      <c r="B2" s="2" t="s">
        <v>140</v>
      </c>
      <c r="C2" s="2">
        <v>54</v>
      </c>
      <c r="D2" s="2" t="s">
        <v>141</v>
      </c>
      <c r="E2" s="2" t="s">
        <v>142</v>
      </c>
      <c r="F2" s="2">
        <v>24.803000000000001</v>
      </c>
      <c r="G2" s="2" t="s">
        <v>143</v>
      </c>
      <c r="H2" s="2" t="s">
        <v>157</v>
      </c>
      <c r="I2" s="2" t="s">
        <v>188</v>
      </c>
      <c r="J2" s="2" t="s">
        <v>159</v>
      </c>
      <c r="K2" s="2" t="s">
        <v>160</v>
      </c>
      <c r="L2" s="2">
        <v>54.261000000000003</v>
      </c>
      <c r="M2" s="2" t="s">
        <v>161</v>
      </c>
      <c r="N2" s="2" t="s">
        <v>144</v>
      </c>
      <c r="O2" s="2" t="s">
        <v>219</v>
      </c>
      <c r="P2" s="2">
        <v>38.091999999999999</v>
      </c>
      <c r="Q2" s="2" t="s">
        <v>146</v>
      </c>
      <c r="R2" s="2" t="s">
        <v>147</v>
      </c>
      <c r="S2" s="2" t="s">
        <v>166</v>
      </c>
      <c r="T2" s="2" t="s">
        <v>166</v>
      </c>
      <c r="U2" s="2" t="s">
        <v>166</v>
      </c>
      <c r="V2" s="2" t="s">
        <v>166</v>
      </c>
      <c r="W2" s="2" t="s">
        <v>147</v>
      </c>
      <c r="X2" s="2">
        <v>15</v>
      </c>
      <c r="Y2" s="2">
        <v>7</v>
      </c>
      <c r="Z2" s="2">
        <v>9</v>
      </c>
      <c r="AA2" s="2">
        <v>6</v>
      </c>
      <c r="AB2" s="2">
        <v>9</v>
      </c>
      <c r="AC2" s="2">
        <v>17</v>
      </c>
      <c r="AD2" s="2">
        <v>12</v>
      </c>
      <c r="AE2" s="2">
        <v>6</v>
      </c>
      <c r="AF2" s="2">
        <v>8</v>
      </c>
      <c r="AG2" s="2">
        <v>6</v>
      </c>
      <c r="AH2" s="2">
        <v>7</v>
      </c>
      <c r="AI2" s="2">
        <v>9</v>
      </c>
      <c r="AJ2" s="2">
        <v>6</v>
      </c>
      <c r="AK2" s="2">
        <v>6</v>
      </c>
      <c r="AL2" s="2">
        <v>12</v>
      </c>
      <c r="AM2" s="2">
        <v>14</v>
      </c>
      <c r="AN2" s="2">
        <v>11</v>
      </c>
      <c r="AO2" s="2">
        <v>5</v>
      </c>
      <c r="AP2" s="2">
        <v>8</v>
      </c>
      <c r="AQ2" s="2">
        <v>15</v>
      </c>
      <c r="AR2" s="2">
        <v>8</v>
      </c>
      <c r="AS2" s="2">
        <v>14</v>
      </c>
      <c r="AT2" s="2">
        <v>7</v>
      </c>
      <c r="AU2" s="2">
        <v>9</v>
      </c>
      <c r="AV2" s="2">
        <v>14</v>
      </c>
      <c r="AW2" s="2">
        <v>8</v>
      </c>
      <c r="AX2" s="2">
        <v>10</v>
      </c>
      <c r="AY2" s="2">
        <v>5</v>
      </c>
      <c r="AZ2" s="2">
        <v>8</v>
      </c>
      <c r="BA2" s="2">
        <v>11</v>
      </c>
      <c r="BB2" s="2">
        <v>4</v>
      </c>
      <c r="BC2" s="2">
        <v>10</v>
      </c>
      <c r="BD2" s="2">
        <v>8</v>
      </c>
      <c r="BE2" s="2">
        <v>15</v>
      </c>
      <c r="BF2" s="2">
        <v>8</v>
      </c>
      <c r="BG2" s="2">
        <v>6</v>
      </c>
      <c r="BH2" s="2">
        <v>6</v>
      </c>
      <c r="BI2" s="2">
        <v>4</v>
      </c>
      <c r="BJ2" s="2">
        <v>6</v>
      </c>
      <c r="BK2" s="2">
        <v>7</v>
      </c>
      <c r="BL2" s="2">
        <v>5</v>
      </c>
      <c r="BM2" s="2">
        <v>9</v>
      </c>
      <c r="BN2" s="2">
        <v>8</v>
      </c>
      <c r="BO2" s="2">
        <v>6</v>
      </c>
      <c r="BP2" s="2">
        <v>7</v>
      </c>
      <c r="BQ2" s="2">
        <v>4</v>
      </c>
      <c r="BR2" s="2">
        <v>6</v>
      </c>
      <c r="BS2" s="2">
        <v>12</v>
      </c>
      <c r="BT2" s="2">
        <v>6</v>
      </c>
      <c r="BU2" s="2">
        <v>9</v>
      </c>
      <c r="BV2" s="2">
        <v>5</v>
      </c>
      <c r="BW2" s="2">
        <v>10</v>
      </c>
      <c r="BX2" s="2">
        <v>10</v>
      </c>
      <c r="BY2" s="2">
        <v>8</v>
      </c>
      <c r="BZ2" s="2">
        <v>10</v>
      </c>
      <c r="CA2" s="2">
        <v>5</v>
      </c>
      <c r="CB2" s="2">
        <v>13</v>
      </c>
      <c r="CC2" s="2">
        <v>5</v>
      </c>
      <c r="CD2" s="2">
        <v>9</v>
      </c>
      <c r="CE2" s="2">
        <v>9</v>
      </c>
      <c r="CF2" s="2">
        <v>5</v>
      </c>
      <c r="CG2" s="2">
        <v>7</v>
      </c>
      <c r="CH2" s="2">
        <v>9</v>
      </c>
      <c r="CI2" s="2">
        <v>15</v>
      </c>
      <c r="CJ2" s="2">
        <v>13</v>
      </c>
      <c r="CK2" s="2">
        <v>6</v>
      </c>
      <c r="CL2" s="2">
        <v>58</v>
      </c>
      <c r="CM2" s="2">
        <v>5</v>
      </c>
      <c r="CN2" s="2">
        <v>4</v>
      </c>
      <c r="CO2" s="2">
        <v>6</v>
      </c>
      <c r="CP2" s="2">
        <v>6</v>
      </c>
      <c r="CQ2" s="2">
        <v>6</v>
      </c>
      <c r="CR2" s="2">
        <v>4</v>
      </c>
      <c r="CS2" s="2">
        <v>9</v>
      </c>
      <c r="CT2" s="2">
        <v>6</v>
      </c>
      <c r="CU2" s="2">
        <v>7</v>
      </c>
      <c r="CV2" s="2">
        <v>7</v>
      </c>
      <c r="CW2" s="2">
        <v>8</v>
      </c>
      <c r="CX2" s="2">
        <v>5</v>
      </c>
      <c r="CY2" s="2" t="s">
        <v>148</v>
      </c>
      <c r="CZ2" s="2" t="s">
        <v>149</v>
      </c>
      <c r="DA2" s="2" t="s">
        <v>150</v>
      </c>
      <c r="DB2" s="2" t="s">
        <v>151</v>
      </c>
      <c r="DC2" s="2" t="s">
        <v>152</v>
      </c>
      <c r="DD2" s="2" t="s">
        <v>153</v>
      </c>
      <c r="DE2" s="2">
        <v>0</v>
      </c>
      <c r="DF2" s="2">
        <v>0</v>
      </c>
      <c r="DG2" s="2" t="s">
        <v>154</v>
      </c>
      <c r="DH2" s="2" t="s">
        <v>154</v>
      </c>
      <c r="DI2" s="2" t="s">
        <v>154</v>
      </c>
      <c r="DJ2" s="2" t="s">
        <v>154</v>
      </c>
      <c r="DK2" s="2" t="s">
        <v>168</v>
      </c>
      <c r="DL2" s="2" t="s">
        <v>154</v>
      </c>
      <c r="DM2" s="2" t="s">
        <v>154</v>
      </c>
      <c r="DN2" s="2" t="s">
        <v>154</v>
      </c>
      <c r="DO2" s="2"/>
      <c r="DP2" s="2"/>
      <c r="DQ2" s="2">
        <v>181.566</v>
      </c>
      <c r="DR2" s="2" t="s">
        <v>147</v>
      </c>
      <c r="DS2" s="2">
        <v>1022.484</v>
      </c>
    </row>
    <row r="3" spans="1:123" x14ac:dyDescent="0.2">
      <c r="A3" s="13" t="s">
        <v>220</v>
      </c>
      <c r="B3" s="2" t="s">
        <v>140</v>
      </c>
      <c r="C3" s="2">
        <v>55</v>
      </c>
      <c r="D3" s="2" t="s">
        <v>173</v>
      </c>
      <c r="E3" s="2" t="s">
        <v>163</v>
      </c>
      <c r="F3" s="2">
        <v>95.766999999999996</v>
      </c>
      <c r="G3" s="2" t="s">
        <v>143</v>
      </c>
      <c r="H3" s="2" t="s">
        <v>171</v>
      </c>
      <c r="I3" s="2" t="s">
        <v>188</v>
      </c>
      <c r="J3" s="2" t="s">
        <v>159</v>
      </c>
      <c r="K3" s="2" t="s">
        <v>160</v>
      </c>
      <c r="L3" s="2">
        <v>137.20699999999999</v>
      </c>
      <c r="M3" s="2" t="s">
        <v>161</v>
      </c>
      <c r="N3" s="2" t="s">
        <v>164</v>
      </c>
      <c r="O3" s="2" t="s">
        <v>219</v>
      </c>
      <c r="P3" s="2">
        <v>110.648</v>
      </c>
      <c r="Q3" s="2" t="s">
        <v>146</v>
      </c>
      <c r="R3" s="2" t="s">
        <v>147</v>
      </c>
      <c r="S3" s="2" t="s">
        <v>147</v>
      </c>
      <c r="T3" s="2" t="s">
        <v>147</v>
      </c>
      <c r="U3" s="2" t="s">
        <v>147</v>
      </c>
      <c r="V3" s="2" t="s">
        <v>147</v>
      </c>
      <c r="W3" s="2" t="s">
        <v>147</v>
      </c>
      <c r="X3" s="2">
        <v>16</v>
      </c>
      <c r="Y3" s="2">
        <v>6</v>
      </c>
      <c r="Z3" s="2">
        <v>8</v>
      </c>
      <c r="AA3" s="2">
        <v>5</v>
      </c>
      <c r="AB3" s="2">
        <v>36</v>
      </c>
      <c r="AC3" s="2">
        <v>11</v>
      </c>
      <c r="AD3" s="2">
        <v>8</v>
      </c>
      <c r="AE3" s="2">
        <v>4</v>
      </c>
      <c r="AF3" s="2">
        <v>10</v>
      </c>
      <c r="AG3" s="2">
        <v>5</v>
      </c>
      <c r="AH3" s="2">
        <v>4</v>
      </c>
      <c r="AI3" s="2">
        <v>9</v>
      </c>
      <c r="AJ3" s="2">
        <v>9</v>
      </c>
      <c r="AK3" s="2">
        <v>8</v>
      </c>
      <c r="AL3" s="2">
        <v>11</v>
      </c>
      <c r="AM3" s="2">
        <v>14</v>
      </c>
      <c r="AN3" s="2">
        <v>12</v>
      </c>
      <c r="AO3" s="2">
        <v>7</v>
      </c>
      <c r="AP3" s="2">
        <v>13</v>
      </c>
      <c r="AQ3" s="2">
        <v>18</v>
      </c>
      <c r="AR3" s="2">
        <v>10</v>
      </c>
      <c r="AS3" s="2">
        <v>8</v>
      </c>
      <c r="AT3" s="2">
        <v>8</v>
      </c>
      <c r="AU3" s="2">
        <v>14</v>
      </c>
      <c r="AV3" s="2">
        <v>8</v>
      </c>
      <c r="AW3" s="2">
        <v>6</v>
      </c>
      <c r="AX3" s="2">
        <v>23</v>
      </c>
      <c r="AY3" s="2">
        <v>8</v>
      </c>
      <c r="AZ3" s="2">
        <v>9</v>
      </c>
      <c r="BA3" s="2">
        <v>17</v>
      </c>
      <c r="BB3" s="2">
        <v>4</v>
      </c>
      <c r="BC3" s="2">
        <v>12</v>
      </c>
      <c r="BD3" s="2">
        <v>13</v>
      </c>
      <c r="BE3" s="2">
        <v>15</v>
      </c>
      <c r="BF3" s="2">
        <v>15</v>
      </c>
      <c r="BG3" s="2">
        <v>10</v>
      </c>
      <c r="BH3" s="2">
        <v>11</v>
      </c>
      <c r="BI3" s="2">
        <v>5</v>
      </c>
      <c r="BJ3" s="2">
        <v>9</v>
      </c>
      <c r="BK3" s="2">
        <v>10</v>
      </c>
      <c r="BL3" s="2">
        <v>9</v>
      </c>
      <c r="BM3" s="2">
        <v>14</v>
      </c>
      <c r="BN3" s="2">
        <v>9</v>
      </c>
      <c r="BO3" s="2">
        <v>6</v>
      </c>
      <c r="BP3" s="2">
        <v>8</v>
      </c>
      <c r="BQ3" s="2">
        <v>6</v>
      </c>
      <c r="BR3" s="2">
        <v>8</v>
      </c>
      <c r="BS3" s="2">
        <v>11</v>
      </c>
      <c r="BT3" s="2">
        <v>9</v>
      </c>
      <c r="BU3" s="2">
        <v>11</v>
      </c>
      <c r="BV3" s="2">
        <v>7</v>
      </c>
      <c r="BW3" s="2">
        <v>10</v>
      </c>
      <c r="BX3" s="2">
        <v>14</v>
      </c>
      <c r="BY3" s="2">
        <v>8</v>
      </c>
      <c r="BZ3" s="2">
        <v>9</v>
      </c>
      <c r="CA3" s="2">
        <v>4</v>
      </c>
      <c r="CB3" s="2">
        <v>15</v>
      </c>
      <c r="CC3" s="2">
        <v>6</v>
      </c>
      <c r="CD3" s="2">
        <v>11</v>
      </c>
      <c r="CE3" s="2">
        <v>9</v>
      </c>
      <c r="CF3" s="2">
        <v>7</v>
      </c>
      <c r="CG3" s="2">
        <v>11</v>
      </c>
      <c r="CH3" s="2">
        <v>8</v>
      </c>
      <c r="CI3" s="2">
        <v>19</v>
      </c>
      <c r="CJ3" s="2">
        <v>14</v>
      </c>
      <c r="CK3" s="2">
        <v>7</v>
      </c>
      <c r="CL3" s="2">
        <v>136</v>
      </c>
      <c r="CM3" s="2">
        <v>6</v>
      </c>
      <c r="CN3" s="2">
        <v>7</v>
      </c>
      <c r="CO3" s="2">
        <v>9</v>
      </c>
      <c r="CP3" s="2">
        <v>11</v>
      </c>
      <c r="CQ3" s="2">
        <v>69</v>
      </c>
      <c r="CR3" s="2">
        <v>11</v>
      </c>
      <c r="CS3" s="2">
        <v>13</v>
      </c>
      <c r="CT3" s="2">
        <v>10</v>
      </c>
      <c r="CU3" s="2">
        <v>14</v>
      </c>
      <c r="CV3" s="2">
        <v>9</v>
      </c>
      <c r="CW3" s="2">
        <v>8</v>
      </c>
      <c r="CX3" s="2">
        <v>6</v>
      </c>
      <c r="CY3" s="2" t="s">
        <v>148</v>
      </c>
      <c r="CZ3" s="2" t="s">
        <v>149</v>
      </c>
      <c r="DA3" s="2" t="s">
        <v>150</v>
      </c>
      <c r="DB3" s="2" t="s">
        <v>151</v>
      </c>
      <c r="DC3" s="2" t="s">
        <v>152</v>
      </c>
      <c r="DD3" s="2" t="s">
        <v>153</v>
      </c>
      <c r="DE3" s="2">
        <v>0</v>
      </c>
      <c r="DF3" s="2">
        <v>0</v>
      </c>
      <c r="DG3" s="2" t="s">
        <v>155</v>
      </c>
      <c r="DH3" s="2" t="s">
        <v>167</v>
      </c>
      <c r="DI3" s="2" t="s">
        <v>155</v>
      </c>
      <c r="DJ3" s="2" t="s">
        <v>184</v>
      </c>
      <c r="DK3" s="2" t="s">
        <v>155</v>
      </c>
      <c r="DL3" s="2" t="s">
        <v>167</v>
      </c>
      <c r="DM3" s="2" t="s">
        <v>155</v>
      </c>
      <c r="DN3" s="2" t="s">
        <v>154</v>
      </c>
      <c r="DO3" s="2"/>
      <c r="DP3" s="2"/>
      <c r="DQ3" s="2">
        <v>223.66</v>
      </c>
      <c r="DR3" s="2" t="s">
        <v>147</v>
      </c>
      <c r="DS3" s="2">
        <v>1561.097</v>
      </c>
    </row>
    <row r="4" spans="1:123" x14ac:dyDescent="0.2">
      <c r="A4" s="13" t="s">
        <v>221</v>
      </c>
      <c r="B4" s="2" t="s">
        <v>140</v>
      </c>
      <c r="C4" s="2">
        <v>54</v>
      </c>
      <c r="D4" s="2" t="s">
        <v>173</v>
      </c>
      <c r="E4" s="2" t="s">
        <v>142</v>
      </c>
      <c r="F4" s="2">
        <v>19.149000000000001</v>
      </c>
      <c r="G4" s="2" t="s">
        <v>143</v>
      </c>
      <c r="H4" s="2" t="s">
        <v>171</v>
      </c>
      <c r="I4" s="2" t="s">
        <v>188</v>
      </c>
      <c r="J4" s="2" t="s">
        <v>189</v>
      </c>
      <c r="K4" s="2" t="s">
        <v>160</v>
      </c>
      <c r="L4" s="2">
        <v>53.375</v>
      </c>
      <c r="M4" s="2" t="s">
        <v>161</v>
      </c>
      <c r="N4" s="2" t="s">
        <v>164</v>
      </c>
      <c r="O4" s="2" t="s">
        <v>219</v>
      </c>
      <c r="P4" s="2">
        <v>69.331000000000003</v>
      </c>
      <c r="Q4" s="2" t="s">
        <v>146</v>
      </c>
      <c r="R4" s="2" t="s">
        <v>166</v>
      </c>
      <c r="S4" s="2" t="s">
        <v>166</v>
      </c>
      <c r="T4" s="2" t="s">
        <v>166</v>
      </c>
      <c r="U4" s="2" t="s">
        <v>166</v>
      </c>
      <c r="V4" s="2" t="s">
        <v>166</v>
      </c>
      <c r="W4" s="2" t="s">
        <v>166</v>
      </c>
      <c r="X4" s="2">
        <v>21</v>
      </c>
      <c r="Y4" s="2">
        <v>4</v>
      </c>
      <c r="Z4" s="2">
        <v>6</v>
      </c>
      <c r="AA4" s="2">
        <v>3</v>
      </c>
      <c r="AB4" s="2">
        <v>7</v>
      </c>
      <c r="AC4" s="2">
        <v>6</v>
      </c>
      <c r="AD4" s="2">
        <v>6</v>
      </c>
      <c r="AE4" s="2">
        <v>3</v>
      </c>
      <c r="AF4" s="2">
        <v>4</v>
      </c>
      <c r="AG4" s="2">
        <v>3</v>
      </c>
      <c r="AH4" s="2">
        <v>2</v>
      </c>
      <c r="AI4" s="2">
        <v>5</v>
      </c>
      <c r="AJ4" s="2">
        <v>11</v>
      </c>
      <c r="AK4" s="2">
        <v>3</v>
      </c>
      <c r="AL4" s="2">
        <v>5</v>
      </c>
      <c r="AM4" s="2">
        <v>5</v>
      </c>
      <c r="AN4" s="2">
        <v>6</v>
      </c>
      <c r="AO4" s="2">
        <v>3</v>
      </c>
      <c r="AP4" s="2">
        <v>4</v>
      </c>
      <c r="AQ4" s="2">
        <v>6</v>
      </c>
      <c r="AR4" s="2">
        <v>8</v>
      </c>
      <c r="AS4" s="2">
        <v>5</v>
      </c>
      <c r="AT4" s="2">
        <v>9</v>
      </c>
      <c r="AU4" s="2">
        <v>5</v>
      </c>
      <c r="AV4" s="2">
        <v>10</v>
      </c>
      <c r="AW4" s="2">
        <v>3</v>
      </c>
      <c r="AX4" s="2">
        <v>9</v>
      </c>
      <c r="AY4" s="2">
        <v>3</v>
      </c>
      <c r="AZ4" s="2">
        <v>5</v>
      </c>
      <c r="BA4" s="2">
        <v>6</v>
      </c>
      <c r="BB4" s="2">
        <v>2</v>
      </c>
      <c r="BC4" s="2">
        <v>8</v>
      </c>
      <c r="BD4" s="2">
        <v>6</v>
      </c>
      <c r="BE4" s="2">
        <v>8</v>
      </c>
      <c r="BF4" s="2">
        <v>5</v>
      </c>
      <c r="BG4" s="2">
        <v>5</v>
      </c>
      <c r="BH4" s="2">
        <v>4</v>
      </c>
      <c r="BI4" s="2">
        <v>3</v>
      </c>
      <c r="BJ4" s="2">
        <v>4</v>
      </c>
      <c r="BK4" s="2">
        <v>5</v>
      </c>
      <c r="BL4" s="2">
        <v>4</v>
      </c>
      <c r="BM4" s="2">
        <v>9</v>
      </c>
      <c r="BN4" s="2">
        <v>4</v>
      </c>
      <c r="BO4" s="2">
        <v>3</v>
      </c>
      <c r="BP4" s="2">
        <v>4</v>
      </c>
      <c r="BQ4" s="2">
        <v>5</v>
      </c>
      <c r="BR4" s="2">
        <v>4</v>
      </c>
      <c r="BS4" s="2">
        <v>10</v>
      </c>
      <c r="BT4" s="2">
        <v>18</v>
      </c>
      <c r="BU4" s="2">
        <v>6</v>
      </c>
      <c r="BV4" s="2">
        <v>5</v>
      </c>
      <c r="BW4" s="2">
        <v>9</v>
      </c>
      <c r="BX4" s="2">
        <v>10</v>
      </c>
      <c r="BY4" s="2">
        <v>9</v>
      </c>
      <c r="BZ4" s="2">
        <v>15</v>
      </c>
      <c r="CA4" s="2">
        <v>3</v>
      </c>
      <c r="CB4" s="2">
        <v>9</v>
      </c>
      <c r="CC4" s="2">
        <v>3</v>
      </c>
      <c r="CD4" s="2">
        <v>5</v>
      </c>
      <c r="CE4" s="2">
        <v>6</v>
      </c>
      <c r="CF4" s="2">
        <v>3</v>
      </c>
      <c r="CG4" s="2">
        <v>5</v>
      </c>
      <c r="CH4" s="2">
        <v>5</v>
      </c>
      <c r="CI4" s="2">
        <v>8</v>
      </c>
      <c r="CJ4" s="2">
        <v>12</v>
      </c>
      <c r="CK4" s="2">
        <v>7</v>
      </c>
      <c r="CL4" s="2">
        <v>88</v>
      </c>
      <c r="CM4" s="2">
        <v>4</v>
      </c>
      <c r="CN4" s="2">
        <v>5</v>
      </c>
      <c r="CO4" s="2">
        <v>5</v>
      </c>
      <c r="CP4" s="2">
        <v>7</v>
      </c>
      <c r="CQ4" s="2">
        <v>4</v>
      </c>
      <c r="CR4" s="2">
        <v>4</v>
      </c>
      <c r="CS4" s="2">
        <v>14</v>
      </c>
      <c r="CT4" s="2">
        <v>6</v>
      </c>
      <c r="CU4" s="2">
        <v>5</v>
      </c>
      <c r="CV4" s="2">
        <v>5</v>
      </c>
      <c r="CW4" s="2">
        <v>5</v>
      </c>
      <c r="CX4" s="2">
        <v>4</v>
      </c>
      <c r="CY4" s="2" t="s">
        <v>148</v>
      </c>
      <c r="CZ4" s="2" t="s">
        <v>149</v>
      </c>
      <c r="DA4" s="2" t="s">
        <v>150</v>
      </c>
      <c r="DB4" s="2" t="s">
        <v>151</v>
      </c>
      <c r="DC4" s="2" t="s">
        <v>152</v>
      </c>
      <c r="DD4" s="2" t="s">
        <v>153</v>
      </c>
      <c r="DE4" s="2">
        <v>0</v>
      </c>
      <c r="DF4" s="2">
        <v>2</v>
      </c>
      <c r="DG4" s="2" t="s">
        <v>154</v>
      </c>
      <c r="DH4" s="2" t="s">
        <v>154</v>
      </c>
      <c r="DI4" s="2" t="s">
        <v>154</v>
      </c>
      <c r="DJ4" s="2" t="s">
        <v>154</v>
      </c>
      <c r="DK4" s="2" t="s">
        <v>168</v>
      </c>
      <c r="DL4" s="2" t="s">
        <v>154</v>
      </c>
      <c r="DM4" s="2" t="s">
        <v>154</v>
      </c>
      <c r="DN4" s="2" t="s">
        <v>154</v>
      </c>
      <c r="DO4" s="2"/>
      <c r="DP4" s="2"/>
      <c r="DQ4" s="2">
        <v>123.95</v>
      </c>
      <c r="DR4" s="2" t="s">
        <v>147</v>
      </c>
      <c r="DS4" s="2">
        <v>803.85799999999995</v>
      </c>
    </row>
    <row r="5" spans="1:123" x14ac:dyDescent="0.2">
      <c r="A5" s="1" t="s">
        <v>222</v>
      </c>
      <c r="B5" s="2" t="s">
        <v>140</v>
      </c>
      <c r="C5" s="2">
        <v>41</v>
      </c>
      <c r="D5" s="2" t="s">
        <v>141</v>
      </c>
      <c r="E5" s="2" t="s">
        <v>163</v>
      </c>
      <c r="F5" s="2">
        <v>14.598000000000001</v>
      </c>
      <c r="G5" s="2" t="s">
        <v>143</v>
      </c>
      <c r="H5" s="2" t="s">
        <v>157</v>
      </c>
      <c r="I5" s="2" t="s">
        <v>158</v>
      </c>
      <c r="J5" s="2" t="s">
        <v>159</v>
      </c>
      <c r="K5" s="2" t="s">
        <v>160</v>
      </c>
      <c r="L5" s="2">
        <v>52.462000000000003</v>
      </c>
      <c r="M5" s="2" t="s">
        <v>161</v>
      </c>
      <c r="N5" s="2" t="s">
        <v>164</v>
      </c>
      <c r="O5" s="2" t="s">
        <v>145</v>
      </c>
      <c r="P5" s="2">
        <v>22.029</v>
      </c>
      <c r="Q5" s="2" t="s">
        <v>165</v>
      </c>
      <c r="R5" s="2" t="s">
        <v>166</v>
      </c>
      <c r="S5" s="2" t="s">
        <v>166</v>
      </c>
      <c r="T5" s="2" t="s">
        <v>166</v>
      </c>
      <c r="U5" s="2" t="s">
        <v>166</v>
      </c>
      <c r="V5" s="2" t="s">
        <v>166</v>
      </c>
      <c r="W5" s="2" t="s">
        <v>166</v>
      </c>
      <c r="X5" s="2">
        <v>10</v>
      </c>
      <c r="Y5" s="2">
        <v>4</v>
      </c>
      <c r="Z5" s="2">
        <v>6</v>
      </c>
      <c r="AA5" s="2">
        <v>5</v>
      </c>
      <c r="AB5" s="2">
        <v>7</v>
      </c>
      <c r="AC5" s="2">
        <v>8</v>
      </c>
      <c r="AD5" s="2">
        <v>6</v>
      </c>
      <c r="AE5" s="2">
        <v>3</v>
      </c>
      <c r="AF5" s="2">
        <v>42</v>
      </c>
      <c r="AG5" s="2">
        <v>4</v>
      </c>
      <c r="AH5" s="2">
        <v>3</v>
      </c>
      <c r="AI5" s="2">
        <v>6</v>
      </c>
      <c r="AJ5" s="2">
        <v>7</v>
      </c>
      <c r="AK5" s="2">
        <v>5</v>
      </c>
      <c r="AL5" s="2">
        <v>5</v>
      </c>
      <c r="AM5" s="2">
        <v>7</v>
      </c>
      <c r="AN5" s="2">
        <v>8</v>
      </c>
      <c r="AO5" s="2">
        <v>4</v>
      </c>
      <c r="AP5" s="2">
        <v>5</v>
      </c>
      <c r="AQ5" s="2">
        <v>8</v>
      </c>
      <c r="AR5" s="2">
        <v>7</v>
      </c>
      <c r="AS5" s="2">
        <v>7</v>
      </c>
      <c r="AT5" s="2">
        <v>4</v>
      </c>
      <c r="AU5" s="2">
        <v>6</v>
      </c>
      <c r="AV5" s="2">
        <v>8</v>
      </c>
      <c r="AW5" s="2">
        <v>5</v>
      </c>
      <c r="AX5" s="2">
        <v>8</v>
      </c>
      <c r="AY5" s="2">
        <v>4</v>
      </c>
      <c r="AZ5" s="2">
        <v>3</v>
      </c>
      <c r="BA5" s="2">
        <v>2</v>
      </c>
      <c r="BB5" s="2">
        <v>58</v>
      </c>
      <c r="BC5" s="2">
        <v>2</v>
      </c>
      <c r="BD5" s="2">
        <v>1</v>
      </c>
      <c r="BE5" s="2">
        <v>5</v>
      </c>
      <c r="BF5" s="2">
        <v>3</v>
      </c>
      <c r="BG5" s="2">
        <v>6</v>
      </c>
      <c r="BH5" s="2">
        <v>3</v>
      </c>
      <c r="BI5" s="2">
        <v>4</v>
      </c>
      <c r="BJ5" s="2">
        <v>4</v>
      </c>
      <c r="BK5" s="2">
        <v>4</v>
      </c>
      <c r="BL5" s="2">
        <v>5</v>
      </c>
      <c r="BM5" s="2">
        <v>9</v>
      </c>
      <c r="BN5" s="2">
        <v>6</v>
      </c>
      <c r="BO5" s="2">
        <v>5</v>
      </c>
      <c r="BP5" s="2">
        <v>8</v>
      </c>
      <c r="BQ5" s="2">
        <v>5</v>
      </c>
      <c r="BR5" s="2">
        <v>6</v>
      </c>
      <c r="BS5" s="2">
        <v>7</v>
      </c>
      <c r="BT5" s="2">
        <v>6</v>
      </c>
      <c r="BU5" s="2">
        <v>8</v>
      </c>
      <c r="BV5" s="2">
        <v>5</v>
      </c>
      <c r="BW5" s="2">
        <v>6</v>
      </c>
      <c r="BX5" s="2">
        <v>15</v>
      </c>
      <c r="BY5" s="2">
        <v>6</v>
      </c>
      <c r="BZ5" s="2">
        <v>4</v>
      </c>
      <c r="CA5" s="2">
        <v>3</v>
      </c>
      <c r="CB5" s="2">
        <v>5</v>
      </c>
      <c r="CC5" s="2">
        <v>4</v>
      </c>
      <c r="CD5" s="2">
        <v>3</v>
      </c>
      <c r="CE5" s="2">
        <v>6</v>
      </c>
      <c r="CF5" s="2">
        <v>4</v>
      </c>
      <c r="CG5" s="2">
        <v>5</v>
      </c>
      <c r="CH5" s="2">
        <v>5</v>
      </c>
      <c r="CI5" s="2">
        <v>3</v>
      </c>
      <c r="CJ5" s="2">
        <v>2</v>
      </c>
      <c r="CK5" s="2">
        <v>4</v>
      </c>
      <c r="CL5" s="2">
        <v>50</v>
      </c>
      <c r="CM5" s="2">
        <v>5</v>
      </c>
      <c r="CN5" s="2">
        <v>5</v>
      </c>
      <c r="CO5" s="2">
        <v>3</v>
      </c>
      <c r="CP5" s="2">
        <v>3</v>
      </c>
      <c r="CQ5" s="2">
        <v>4</v>
      </c>
      <c r="CR5" s="2">
        <v>5</v>
      </c>
      <c r="CS5" s="2">
        <v>5</v>
      </c>
      <c r="CT5" s="2">
        <v>5</v>
      </c>
      <c r="CU5" s="2">
        <v>8</v>
      </c>
      <c r="CV5" s="2">
        <v>8</v>
      </c>
      <c r="CW5" s="2">
        <v>8</v>
      </c>
      <c r="CX5" s="2">
        <v>5</v>
      </c>
      <c r="CY5" s="2" t="s">
        <v>148</v>
      </c>
      <c r="CZ5" s="2" t="s">
        <v>149</v>
      </c>
      <c r="DA5" s="2" t="s">
        <v>150</v>
      </c>
      <c r="DB5" s="2" t="s">
        <v>151</v>
      </c>
      <c r="DC5" s="2" t="s">
        <v>152</v>
      </c>
      <c r="DD5" s="2" t="s">
        <v>153</v>
      </c>
      <c r="DE5" s="2">
        <v>0</v>
      </c>
      <c r="DF5" s="2">
        <v>3</v>
      </c>
      <c r="DG5" s="2" t="s">
        <v>184</v>
      </c>
      <c r="DH5" s="2" t="s">
        <v>167</v>
      </c>
      <c r="DI5" s="2" t="s">
        <v>154</v>
      </c>
      <c r="DJ5" s="2" t="s">
        <v>156</v>
      </c>
      <c r="DK5" s="2" t="s">
        <v>184</v>
      </c>
      <c r="DL5" s="2" t="s">
        <v>167</v>
      </c>
      <c r="DM5" s="2" t="s">
        <v>184</v>
      </c>
      <c r="DN5" s="2" t="s">
        <v>155</v>
      </c>
      <c r="DO5" s="2"/>
      <c r="DP5" s="2"/>
      <c r="DQ5" s="2">
        <v>109.752</v>
      </c>
      <c r="DR5" s="2" t="s">
        <v>147</v>
      </c>
      <c r="DS5" s="2">
        <v>784.66200000000003</v>
      </c>
    </row>
    <row r="6" spans="1:123" x14ac:dyDescent="0.2">
      <c r="A6" s="1" t="s">
        <v>223</v>
      </c>
      <c r="B6" s="2" t="s">
        <v>140</v>
      </c>
      <c r="C6" s="2">
        <v>42</v>
      </c>
      <c r="D6" s="2" t="s">
        <v>173</v>
      </c>
      <c r="E6" s="2" t="s">
        <v>142</v>
      </c>
      <c r="F6" s="2">
        <v>16.414999999999999</v>
      </c>
      <c r="G6" s="2" t="s">
        <v>143</v>
      </c>
      <c r="H6" s="2" t="s">
        <v>171</v>
      </c>
      <c r="I6" s="2" t="s">
        <v>188</v>
      </c>
      <c r="J6" s="2" t="s">
        <v>159</v>
      </c>
      <c r="K6" s="2" t="s">
        <v>160</v>
      </c>
      <c r="L6" s="2">
        <v>43.917999999999999</v>
      </c>
      <c r="M6" s="2" t="s">
        <v>161</v>
      </c>
      <c r="N6" s="2" t="s">
        <v>164</v>
      </c>
      <c r="O6" s="2" t="s">
        <v>145</v>
      </c>
      <c r="P6" s="2">
        <v>37.976999999999997</v>
      </c>
      <c r="Q6" s="2" t="s">
        <v>165</v>
      </c>
      <c r="R6" s="2" t="s">
        <v>166</v>
      </c>
      <c r="S6" s="2" t="s">
        <v>166</v>
      </c>
      <c r="T6" s="2" t="s">
        <v>166</v>
      </c>
      <c r="U6" s="2" t="s">
        <v>166</v>
      </c>
      <c r="V6" s="2" t="s">
        <v>166</v>
      </c>
      <c r="W6" s="2" t="s">
        <v>166</v>
      </c>
      <c r="X6" s="2">
        <v>5</v>
      </c>
      <c r="Y6" s="2">
        <v>3</v>
      </c>
      <c r="Z6" s="2">
        <v>4</v>
      </c>
      <c r="AA6" s="2">
        <v>4</v>
      </c>
      <c r="AB6" s="2">
        <v>7</v>
      </c>
      <c r="AC6" s="2">
        <v>7</v>
      </c>
      <c r="AD6" s="2">
        <v>7</v>
      </c>
      <c r="AE6" s="2">
        <v>4</v>
      </c>
      <c r="AF6" s="2">
        <v>7</v>
      </c>
      <c r="AG6" s="2">
        <v>3</v>
      </c>
      <c r="AH6" s="2">
        <v>6</v>
      </c>
      <c r="AI6" s="2">
        <v>6</v>
      </c>
      <c r="AJ6" s="2">
        <v>7</v>
      </c>
      <c r="AK6" s="2">
        <v>10</v>
      </c>
      <c r="AL6" s="2">
        <v>5</v>
      </c>
      <c r="AM6" s="2">
        <v>8</v>
      </c>
      <c r="AN6" s="2">
        <v>5</v>
      </c>
      <c r="AO6" s="2">
        <v>4</v>
      </c>
      <c r="AP6" s="2">
        <v>6</v>
      </c>
      <c r="AQ6" s="2">
        <v>12</v>
      </c>
      <c r="AR6" s="2">
        <v>7</v>
      </c>
      <c r="AS6" s="2">
        <v>7</v>
      </c>
      <c r="AT6" s="2">
        <v>4</v>
      </c>
      <c r="AU6" s="2">
        <v>6</v>
      </c>
      <c r="AV6" s="2">
        <v>7</v>
      </c>
      <c r="AW6" s="2">
        <v>5</v>
      </c>
      <c r="AX6" s="2">
        <v>7</v>
      </c>
      <c r="AY6" s="2">
        <v>5</v>
      </c>
      <c r="AZ6" s="2">
        <v>5</v>
      </c>
      <c r="BA6" s="2">
        <v>7</v>
      </c>
      <c r="BB6" s="2">
        <v>3</v>
      </c>
      <c r="BC6" s="2">
        <v>7</v>
      </c>
      <c r="BD6" s="2">
        <v>7</v>
      </c>
      <c r="BE6" s="2">
        <v>12</v>
      </c>
      <c r="BF6" s="2">
        <v>9</v>
      </c>
      <c r="BG6" s="2">
        <v>8</v>
      </c>
      <c r="BH6" s="2">
        <v>7</v>
      </c>
      <c r="BI6" s="2">
        <v>7</v>
      </c>
      <c r="BJ6" s="2">
        <v>7</v>
      </c>
      <c r="BK6" s="2">
        <v>8</v>
      </c>
      <c r="BL6" s="2">
        <v>6</v>
      </c>
      <c r="BM6" s="2">
        <v>8</v>
      </c>
      <c r="BN6" s="2">
        <v>6</v>
      </c>
      <c r="BO6" s="2">
        <v>5</v>
      </c>
      <c r="BP6" s="2">
        <v>7</v>
      </c>
      <c r="BQ6" s="2">
        <v>4</v>
      </c>
      <c r="BR6" s="2">
        <v>6</v>
      </c>
      <c r="BS6" s="2">
        <v>6</v>
      </c>
      <c r="BT6" s="2">
        <v>6</v>
      </c>
      <c r="BU6" s="2">
        <v>7</v>
      </c>
      <c r="BV6" s="2">
        <v>5</v>
      </c>
      <c r="BW6" s="2">
        <v>7</v>
      </c>
      <c r="BX6" s="2">
        <v>9</v>
      </c>
      <c r="BY6" s="2">
        <v>7</v>
      </c>
      <c r="BZ6" s="2">
        <v>8</v>
      </c>
      <c r="CA6" s="2">
        <v>3</v>
      </c>
      <c r="CB6" s="2">
        <v>10</v>
      </c>
      <c r="CC6" s="2">
        <v>4</v>
      </c>
      <c r="CD6" s="2">
        <v>8</v>
      </c>
      <c r="CE6" s="2">
        <v>9</v>
      </c>
      <c r="CF6" s="2">
        <v>7</v>
      </c>
      <c r="CG6" s="2">
        <v>6</v>
      </c>
      <c r="CH6" s="2">
        <v>8</v>
      </c>
      <c r="CI6" s="2">
        <v>5</v>
      </c>
      <c r="CJ6" s="2">
        <v>8</v>
      </c>
      <c r="CK6" s="2">
        <v>2</v>
      </c>
      <c r="CL6" s="2">
        <v>55</v>
      </c>
      <c r="CM6" s="2">
        <v>4</v>
      </c>
      <c r="CN6" s="2">
        <v>3</v>
      </c>
      <c r="CO6" s="2">
        <v>5</v>
      </c>
      <c r="CP6" s="2">
        <v>5</v>
      </c>
      <c r="CQ6" s="2">
        <v>2</v>
      </c>
      <c r="CR6" s="2">
        <v>11</v>
      </c>
      <c r="CS6" s="2">
        <v>11</v>
      </c>
      <c r="CT6" s="2">
        <v>4</v>
      </c>
      <c r="CU6" s="2">
        <v>8</v>
      </c>
      <c r="CV6" s="2">
        <v>4</v>
      </c>
      <c r="CW6" s="2">
        <v>6</v>
      </c>
      <c r="CX6" s="2">
        <v>3</v>
      </c>
      <c r="CY6" s="2" t="s">
        <v>148</v>
      </c>
      <c r="CZ6" s="2" t="s">
        <v>149</v>
      </c>
      <c r="DA6" s="2" t="s">
        <v>150</v>
      </c>
      <c r="DB6" s="2" t="s">
        <v>151</v>
      </c>
      <c r="DC6" s="2" t="s">
        <v>152</v>
      </c>
      <c r="DD6" s="2" t="s">
        <v>153</v>
      </c>
      <c r="DE6" s="2">
        <v>0</v>
      </c>
      <c r="DF6" s="2">
        <v>2</v>
      </c>
      <c r="DG6" s="2" t="s">
        <v>154</v>
      </c>
      <c r="DH6" s="2" t="s">
        <v>167</v>
      </c>
      <c r="DI6" s="2" t="s">
        <v>167</v>
      </c>
      <c r="DJ6" s="2" t="s">
        <v>184</v>
      </c>
      <c r="DK6" s="2" t="s">
        <v>156</v>
      </c>
      <c r="DL6" s="2" t="s">
        <v>168</v>
      </c>
      <c r="DM6" s="2" t="s">
        <v>167</v>
      </c>
      <c r="DN6" s="2" t="s">
        <v>167</v>
      </c>
      <c r="DO6" s="2"/>
      <c r="DP6" s="2"/>
      <c r="DQ6" s="2">
        <v>211.29300000000001</v>
      </c>
      <c r="DR6" s="2" t="s">
        <v>147</v>
      </c>
      <c r="DS6" s="2">
        <v>881.44600000000003</v>
      </c>
    </row>
    <row r="7" spans="1:123" x14ac:dyDescent="0.2">
      <c r="A7" s="1" t="s">
        <v>224</v>
      </c>
      <c r="B7" s="2" t="s">
        <v>140</v>
      </c>
      <c r="C7" s="2">
        <v>45</v>
      </c>
      <c r="D7" s="2" t="s">
        <v>141</v>
      </c>
      <c r="E7" s="2" t="s">
        <v>142</v>
      </c>
      <c r="F7" s="2">
        <v>17.678000000000001</v>
      </c>
      <c r="G7" s="2" t="s">
        <v>143</v>
      </c>
      <c r="H7" s="2" t="s">
        <v>171</v>
      </c>
      <c r="I7" s="2" t="s">
        <v>158</v>
      </c>
      <c r="J7" s="2" t="s">
        <v>189</v>
      </c>
      <c r="K7" s="2" t="s">
        <v>225</v>
      </c>
      <c r="L7" s="2">
        <v>68.591999999999999</v>
      </c>
      <c r="M7" s="2" t="s">
        <v>161</v>
      </c>
      <c r="N7" s="2" t="s">
        <v>144</v>
      </c>
      <c r="O7" s="2" t="s">
        <v>145</v>
      </c>
      <c r="P7" s="2">
        <v>54.866999999999997</v>
      </c>
      <c r="Q7" s="2" t="s">
        <v>165</v>
      </c>
      <c r="R7" s="2" t="s">
        <v>166</v>
      </c>
      <c r="S7" s="2" t="s">
        <v>166</v>
      </c>
      <c r="T7" s="2" t="s">
        <v>166</v>
      </c>
      <c r="U7" s="2" t="s">
        <v>166</v>
      </c>
      <c r="V7" s="2" t="s">
        <v>166</v>
      </c>
      <c r="W7" s="2" t="s">
        <v>166</v>
      </c>
      <c r="X7" s="2">
        <v>5</v>
      </c>
      <c r="Y7" s="2">
        <v>8</v>
      </c>
      <c r="Z7" s="2">
        <v>11</v>
      </c>
      <c r="AA7" s="2">
        <v>3</v>
      </c>
      <c r="AB7" s="2">
        <v>5</v>
      </c>
      <c r="AC7" s="2">
        <v>6</v>
      </c>
      <c r="AD7" s="2">
        <v>8</v>
      </c>
      <c r="AE7" s="2">
        <v>2</v>
      </c>
      <c r="AF7" s="2">
        <v>4</v>
      </c>
      <c r="AG7" s="2">
        <v>13</v>
      </c>
      <c r="AH7" s="2">
        <v>3</v>
      </c>
      <c r="AI7" s="2">
        <v>4</v>
      </c>
      <c r="AJ7" s="2">
        <v>4</v>
      </c>
      <c r="AK7" s="2">
        <v>3</v>
      </c>
      <c r="AL7" s="2">
        <v>3</v>
      </c>
      <c r="AM7" s="2">
        <v>4</v>
      </c>
      <c r="AN7" s="2">
        <v>6</v>
      </c>
      <c r="AO7" s="2">
        <v>3</v>
      </c>
      <c r="AP7" s="2">
        <v>3</v>
      </c>
      <c r="AQ7" s="2">
        <v>5</v>
      </c>
      <c r="AR7" s="2">
        <v>4</v>
      </c>
      <c r="AS7" s="2">
        <v>5</v>
      </c>
      <c r="AT7" s="2">
        <v>3</v>
      </c>
      <c r="AU7" s="2">
        <v>4</v>
      </c>
      <c r="AV7" s="2">
        <v>7</v>
      </c>
      <c r="AW7" s="2">
        <v>6</v>
      </c>
      <c r="AX7" s="2">
        <v>5</v>
      </c>
      <c r="AY7" s="2">
        <v>3</v>
      </c>
      <c r="AZ7" s="2">
        <v>3</v>
      </c>
      <c r="BA7" s="2">
        <v>8</v>
      </c>
      <c r="BB7" s="2">
        <v>8</v>
      </c>
      <c r="BC7" s="2">
        <v>9</v>
      </c>
      <c r="BD7" s="2">
        <v>9</v>
      </c>
      <c r="BE7" s="2">
        <v>5</v>
      </c>
      <c r="BF7" s="2">
        <v>5</v>
      </c>
      <c r="BG7" s="2">
        <v>4</v>
      </c>
      <c r="BH7" s="2">
        <v>9</v>
      </c>
      <c r="BI7" s="2">
        <v>7</v>
      </c>
      <c r="BJ7" s="2">
        <v>8</v>
      </c>
      <c r="BK7" s="2">
        <v>8</v>
      </c>
      <c r="BL7" s="2">
        <v>3</v>
      </c>
      <c r="BM7" s="2">
        <v>5</v>
      </c>
      <c r="BN7" s="2">
        <v>4</v>
      </c>
      <c r="BO7" s="2">
        <v>3</v>
      </c>
      <c r="BP7" s="2">
        <v>4</v>
      </c>
      <c r="BQ7" s="2">
        <v>3</v>
      </c>
      <c r="BR7" s="2">
        <v>3</v>
      </c>
      <c r="BS7" s="2">
        <v>4</v>
      </c>
      <c r="BT7" s="2">
        <v>4</v>
      </c>
      <c r="BU7" s="2">
        <v>4</v>
      </c>
      <c r="BV7" s="2">
        <v>3</v>
      </c>
      <c r="BW7" s="2">
        <v>9</v>
      </c>
      <c r="BX7" s="2">
        <v>8</v>
      </c>
      <c r="BY7" s="2">
        <v>4</v>
      </c>
      <c r="BZ7" s="2">
        <v>13</v>
      </c>
      <c r="CA7" s="2">
        <v>14</v>
      </c>
      <c r="CB7" s="2">
        <v>12</v>
      </c>
      <c r="CC7" s="2">
        <v>11</v>
      </c>
      <c r="CD7" s="2">
        <v>10</v>
      </c>
      <c r="CE7" s="2">
        <v>10</v>
      </c>
      <c r="CF7" s="2">
        <v>9</v>
      </c>
      <c r="CG7" s="2">
        <v>12</v>
      </c>
      <c r="CH7" s="2">
        <v>9</v>
      </c>
      <c r="CI7" s="2">
        <v>9</v>
      </c>
      <c r="CJ7" s="2">
        <v>10</v>
      </c>
      <c r="CK7" s="2">
        <v>7</v>
      </c>
      <c r="CL7" s="2">
        <v>70</v>
      </c>
      <c r="CM7" s="2">
        <v>6</v>
      </c>
      <c r="CN7" s="2">
        <v>11</v>
      </c>
      <c r="CO7" s="2">
        <v>9</v>
      </c>
      <c r="CP7" s="2">
        <v>8</v>
      </c>
      <c r="CQ7" s="2">
        <v>10</v>
      </c>
      <c r="CR7" s="2">
        <v>5</v>
      </c>
      <c r="CS7" s="2">
        <v>7</v>
      </c>
      <c r="CT7" s="2">
        <v>6</v>
      </c>
      <c r="CU7" s="2">
        <v>10</v>
      </c>
      <c r="CV7" s="2">
        <v>7</v>
      </c>
      <c r="CW7" s="2">
        <v>8</v>
      </c>
      <c r="CX7" s="2">
        <v>4</v>
      </c>
      <c r="CY7" s="2" t="s">
        <v>148</v>
      </c>
      <c r="CZ7" s="2" t="s">
        <v>149</v>
      </c>
      <c r="DA7" s="2" t="s">
        <v>150</v>
      </c>
      <c r="DB7" s="2" t="s">
        <v>151</v>
      </c>
      <c r="DC7" s="2" t="s">
        <v>152</v>
      </c>
      <c r="DD7" s="2" t="s">
        <v>153</v>
      </c>
      <c r="DE7" s="2">
        <v>0</v>
      </c>
      <c r="DF7" s="2">
        <v>1</v>
      </c>
      <c r="DG7" s="2" t="s">
        <v>167</v>
      </c>
      <c r="DH7" s="2" t="s">
        <v>154</v>
      </c>
      <c r="DI7" s="2" t="s">
        <v>154</v>
      </c>
      <c r="DJ7" s="2" t="s">
        <v>167</v>
      </c>
      <c r="DK7" s="2" t="s">
        <v>168</v>
      </c>
      <c r="DL7" s="2" t="s">
        <v>154</v>
      </c>
      <c r="DM7" s="2" t="s">
        <v>154</v>
      </c>
      <c r="DN7" s="2" t="s">
        <v>154</v>
      </c>
      <c r="DO7" s="2"/>
      <c r="DP7" s="2"/>
      <c r="DQ7" s="2">
        <v>107.569</v>
      </c>
      <c r="DR7" s="2" t="s">
        <v>147</v>
      </c>
      <c r="DS7" s="2">
        <v>820.43899999999996</v>
      </c>
    </row>
    <row r="8" spans="1:123" x14ac:dyDescent="0.2">
      <c r="A8" s="1" t="s">
        <v>226</v>
      </c>
      <c r="B8" s="2" t="s">
        <v>140</v>
      </c>
      <c r="C8" s="2">
        <v>61</v>
      </c>
      <c r="D8" s="2" t="s">
        <v>141</v>
      </c>
      <c r="E8" s="2" t="s">
        <v>142</v>
      </c>
      <c r="F8" s="2">
        <v>35.533000000000001</v>
      </c>
      <c r="G8" s="2" t="s">
        <v>143</v>
      </c>
      <c r="H8" s="3"/>
      <c r="I8" s="3"/>
      <c r="J8" s="3"/>
      <c r="K8" s="3"/>
      <c r="L8" s="3"/>
      <c r="M8" s="3"/>
      <c r="N8" s="2" t="s">
        <v>164</v>
      </c>
      <c r="O8" s="2" t="s">
        <v>219</v>
      </c>
      <c r="P8" s="2">
        <v>35.615000000000002</v>
      </c>
      <c r="Q8" s="2" t="s">
        <v>174</v>
      </c>
      <c r="R8" s="2" t="s">
        <v>166</v>
      </c>
      <c r="S8" s="2" t="s">
        <v>166</v>
      </c>
      <c r="T8" s="2" t="s">
        <v>166</v>
      </c>
      <c r="U8" s="2" t="s">
        <v>166</v>
      </c>
      <c r="V8" s="2" t="s">
        <v>166</v>
      </c>
      <c r="W8" s="2" t="s">
        <v>166</v>
      </c>
      <c r="X8" s="2">
        <v>8</v>
      </c>
      <c r="Y8" s="2">
        <v>5</v>
      </c>
      <c r="Z8" s="2">
        <v>6</v>
      </c>
      <c r="AA8" s="2">
        <v>4</v>
      </c>
      <c r="AB8" s="2">
        <v>8</v>
      </c>
      <c r="AC8" s="2">
        <v>8</v>
      </c>
      <c r="AD8" s="2">
        <v>6</v>
      </c>
      <c r="AE8" s="2">
        <v>3</v>
      </c>
      <c r="AF8" s="2">
        <v>5</v>
      </c>
      <c r="AG8" s="2">
        <v>3</v>
      </c>
      <c r="AH8" s="2">
        <v>3</v>
      </c>
      <c r="AI8" s="2">
        <v>6</v>
      </c>
      <c r="AJ8" s="2">
        <v>10</v>
      </c>
      <c r="AK8" s="2">
        <v>10</v>
      </c>
      <c r="AL8" s="2">
        <v>8</v>
      </c>
      <c r="AM8" s="2">
        <v>3</v>
      </c>
      <c r="AN8" s="2">
        <v>2</v>
      </c>
      <c r="AO8" s="2">
        <v>8</v>
      </c>
      <c r="AP8" s="2">
        <v>3</v>
      </c>
      <c r="AQ8" s="2">
        <v>7</v>
      </c>
      <c r="AR8" s="2">
        <v>6</v>
      </c>
      <c r="AS8" s="2">
        <v>7</v>
      </c>
      <c r="AT8" s="2">
        <v>4</v>
      </c>
      <c r="AU8" s="2">
        <v>6</v>
      </c>
      <c r="AV8" s="2">
        <v>8</v>
      </c>
      <c r="AW8" s="2">
        <v>4</v>
      </c>
      <c r="AX8" s="2">
        <v>9</v>
      </c>
      <c r="AY8" s="2">
        <v>5</v>
      </c>
      <c r="AZ8" s="2">
        <v>4</v>
      </c>
      <c r="BA8" s="2">
        <v>7</v>
      </c>
      <c r="BB8" s="2">
        <v>3</v>
      </c>
      <c r="BC8" s="2">
        <v>6</v>
      </c>
      <c r="BD8" s="2">
        <v>8</v>
      </c>
      <c r="BE8" s="2">
        <v>14</v>
      </c>
      <c r="BF8" s="2">
        <v>12</v>
      </c>
      <c r="BG8" s="2">
        <v>12</v>
      </c>
      <c r="BH8" s="2">
        <v>7</v>
      </c>
      <c r="BI8" s="2">
        <v>5</v>
      </c>
      <c r="BJ8" s="2">
        <v>7</v>
      </c>
      <c r="BK8" s="2">
        <v>8</v>
      </c>
      <c r="BL8" s="2">
        <v>6</v>
      </c>
      <c r="BM8" s="2">
        <v>9</v>
      </c>
      <c r="BN8" s="2">
        <v>6</v>
      </c>
      <c r="BO8" s="2">
        <v>5</v>
      </c>
      <c r="BP8" s="2">
        <v>7</v>
      </c>
      <c r="BQ8" s="2">
        <v>5</v>
      </c>
      <c r="BR8" s="2">
        <v>6</v>
      </c>
      <c r="BS8" s="2">
        <v>7</v>
      </c>
      <c r="BT8" s="2">
        <v>6</v>
      </c>
      <c r="BU8" s="2">
        <v>8</v>
      </c>
      <c r="BV8" s="2">
        <v>5</v>
      </c>
      <c r="BW8" s="2">
        <v>8</v>
      </c>
      <c r="BX8" s="2">
        <v>9</v>
      </c>
      <c r="BY8" s="2">
        <v>8</v>
      </c>
      <c r="BZ8" s="2">
        <v>6</v>
      </c>
      <c r="CA8" s="2">
        <v>3</v>
      </c>
      <c r="CB8" s="2">
        <v>21</v>
      </c>
      <c r="CC8" s="2">
        <v>4</v>
      </c>
      <c r="CD8" s="2">
        <v>4</v>
      </c>
      <c r="CE8" s="2">
        <v>2</v>
      </c>
      <c r="CF8" s="2">
        <v>2</v>
      </c>
      <c r="CG8" s="2">
        <v>2</v>
      </c>
      <c r="CH8" s="3"/>
      <c r="CI8" s="3"/>
      <c r="CJ8" s="3"/>
      <c r="CK8" s="3"/>
      <c r="CL8" s="2">
        <v>42</v>
      </c>
      <c r="CM8" s="2">
        <v>2</v>
      </c>
      <c r="CN8" s="2">
        <v>1</v>
      </c>
      <c r="CO8" s="3"/>
      <c r="CP8" s="3"/>
      <c r="CQ8" s="3"/>
      <c r="CR8" s="3"/>
      <c r="CS8" s="3"/>
      <c r="CT8" s="3"/>
      <c r="CU8" s="3"/>
      <c r="CV8" s="3"/>
      <c r="CW8" s="3"/>
      <c r="CX8" s="3"/>
      <c r="CY8" s="2" t="s">
        <v>148</v>
      </c>
      <c r="CZ8" s="2" t="s">
        <v>149</v>
      </c>
      <c r="DA8" s="2" t="s">
        <v>150</v>
      </c>
      <c r="DB8" s="2" t="s">
        <v>151</v>
      </c>
      <c r="DC8" s="2" t="s">
        <v>152</v>
      </c>
      <c r="DD8" s="2" t="s">
        <v>153</v>
      </c>
      <c r="DE8" s="2">
        <v>2</v>
      </c>
      <c r="DF8" s="2">
        <v>3</v>
      </c>
      <c r="DG8" s="2" t="s">
        <v>184</v>
      </c>
      <c r="DH8" s="2" t="s">
        <v>167</v>
      </c>
      <c r="DI8" s="2" t="s">
        <v>167</v>
      </c>
      <c r="DJ8" s="2" t="s">
        <v>184</v>
      </c>
      <c r="DK8" s="2" t="s">
        <v>154</v>
      </c>
      <c r="DL8" s="2" t="s">
        <v>184</v>
      </c>
      <c r="DM8" s="2" t="s">
        <v>184</v>
      </c>
      <c r="DN8" s="2" t="s">
        <v>184</v>
      </c>
      <c r="DO8" s="2"/>
      <c r="DP8" s="2"/>
      <c r="DQ8" s="2">
        <v>166.648</v>
      </c>
      <c r="DR8" s="2" t="s">
        <v>147</v>
      </c>
      <c r="DS8" s="2">
        <v>685.08600000000001</v>
      </c>
    </row>
    <row r="9" spans="1:123" x14ac:dyDescent="0.2">
      <c r="A9" s="1" t="s">
        <v>227</v>
      </c>
      <c r="B9" s="2" t="s">
        <v>140</v>
      </c>
      <c r="C9" s="2">
        <v>36</v>
      </c>
      <c r="D9" s="2" t="s">
        <v>141</v>
      </c>
      <c r="E9" s="2" t="s">
        <v>142</v>
      </c>
      <c r="F9" s="2">
        <v>14.92</v>
      </c>
      <c r="G9" s="2" t="s">
        <v>143</v>
      </c>
      <c r="H9" s="2" t="s">
        <v>171</v>
      </c>
      <c r="I9" s="2" t="s">
        <v>158</v>
      </c>
      <c r="J9" s="2" t="s">
        <v>189</v>
      </c>
      <c r="K9" s="2" t="s">
        <v>225</v>
      </c>
      <c r="L9" s="2">
        <v>48.151000000000003</v>
      </c>
      <c r="M9" s="2" t="s">
        <v>161</v>
      </c>
      <c r="N9" s="2" t="s">
        <v>164</v>
      </c>
      <c r="O9" s="2" t="s">
        <v>219</v>
      </c>
      <c r="P9" s="2">
        <v>25.542000000000002</v>
      </c>
      <c r="Q9" s="2" t="s">
        <v>165</v>
      </c>
      <c r="R9" s="2" t="s">
        <v>166</v>
      </c>
      <c r="S9" s="2" t="s">
        <v>166</v>
      </c>
      <c r="T9" s="2" t="s">
        <v>166</v>
      </c>
      <c r="U9" s="2" t="s">
        <v>166</v>
      </c>
      <c r="V9" s="2" t="s">
        <v>166</v>
      </c>
      <c r="W9" s="2" t="s">
        <v>166</v>
      </c>
      <c r="X9" s="2">
        <v>4</v>
      </c>
      <c r="Y9" s="2">
        <v>3</v>
      </c>
      <c r="Z9" s="2">
        <v>4</v>
      </c>
      <c r="AA9" s="2">
        <v>3</v>
      </c>
      <c r="AB9" s="2">
        <v>5</v>
      </c>
      <c r="AC9" s="2">
        <v>6</v>
      </c>
      <c r="AD9" s="2">
        <v>4</v>
      </c>
      <c r="AE9" s="2">
        <v>2</v>
      </c>
      <c r="AF9" s="2">
        <v>4</v>
      </c>
      <c r="AG9" s="2">
        <v>7</v>
      </c>
      <c r="AH9" s="2">
        <v>2</v>
      </c>
      <c r="AI9" s="2">
        <v>4</v>
      </c>
      <c r="AJ9" s="2">
        <v>8</v>
      </c>
      <c r="AK9" s="2">
        <v>3</v>
      </c>
      <c r="AL9" s="2">
        <v>3</v>
      </c>
      <c r="AM9" s="2">
        <v>4</v>
      </c>
      <c r="AN9" s="2">
        <v>5</v>
      </c>
      <c r="AO9" s="2">
        <v>3</v>
      </c>
      <c r="AP9" s="2">
        <v>3</v>
      </c>
      <c r="AQ9" s="2">
        <v>5</v>
      </c>
      <c r="AR9" s="2">
        <v>5</v>
      </c>
      <c r="AS9" s="2">
        <v>5</v>
      </c>
      <c r="AT9" s="2">
        <v>3</v>
      </c>
      <c r="AU9" s="2">
        <v>4</v>
      </c>
      <c r="AV9" s="2">
        <v>5</v>
      </c>
      <c r="AW9" s="2">
        <v>3</v>
      </c>
      <c r="AX9" s="2">
        <v>5</v>
      </c>
      <c r="AY9" s="2">
        <v>3</v>
      </c>
      <c r="AZ9" s="2">
        <v>4</v>
      </c>
      <c r="BA9" s="2">
        <v>5</v>
      </c>
      <c r="BB9" s="2">
        <v>2</v>
      </c>
      <c r="BC9" s="2">
        <v>4</v>
      </c>
      <c r="BD9" s="2">
        <v>5</v>
      </c>
      <c r="BE9" s="2">
        <v>7</v>
      </c>
      <c r="BF9" s="2">
        <v>5</v>
      </c>
      <c r="BG9" s="2">
        <v>5</v>
      </c>
      <c r="BH9" s="2">
        <v>4</v>
      </c>
      <c r="BI9" s="2">
        <v>3</v>
      </c>
      <c r="BJ9" s="2">
        <v>4</v>
      </c>
      <c r="BK9" s="2">
        <v>4</v>
      </c>
      <c r="BL9" s="2">
        <v>4</v>
      </c>
      <c r="BM9" s="2">
        <v>5</v>
      </c>
      <c r="BN9" s="2">
        <v>4</v>
      </c>
      <c r="BO9" s="2">
        <v>3</v>
      </c>
      <c r="BP9" s="2">
        <v>5</v>
      </c>
      <c r="BQ9" s="2">
        <v>3</v>
      </c>
      <c r="BR9" s="2">
        <v>4</v>
      </c>
      <c r="BS9" s="2">
        <v>4</v>
      </c>
      <c r="BT9" s="2">
        <v>4</v>
      </c>
      <c r="BU9" s="2">
        <v>5</v>
      </c>
      <c r="BV9" s="2">
        <v>3</v>
      </c>
      <c r="BW9" s="2">
        <v>5</v>
      </c>
      <c r="BX9" s="2">
        <v>6</v>
      </c>
      <c r="BY9" s="2">
        <v>5</v>
      </c>
      <c r="BZ9" s="2">
        <v>5</v>
      </c>
      <c r="CA9" s="2">
        <v>2</v>
      </c>
      <c r="CB9" s="2">
        <v>10</v>
      </c>
      <c r="CC9" s="2">
        <v>3</v>
      </c>
      <c r="CD9" s="2">
        <v>5</v>
      </c>
      <c r="CE9" s="2">
        <v>4</v>
      </c>
      <c r="CF9" s="2">
        <v>3</v>
      </c>
      <c r="CG9" s="2">
        <v>4</v>
      </c>
      <c r="CH9" s="2">
        <v>7</v>
      </c>
      <c r="CI9" s="2">
        <v>7</v>
      </c>
      <c r="CJ9" s="2">
        <v>6</v>
      </c>
      <c r="CK9" s="2">
        <v>3</v>
      </c>
      <c r="CL9" s="2">
        <v>42</v>
      </c>
      <c r="CM9" s="2">
        <v>3</v>
      </c>
      <c r="CN9" s="2">
        <v>3</v>
      </c>
      <c r="CO9" s="2">
        <v>3</v>
      </c>
      <c r="CP9" s="2">
        <v>5</v>
      </c>
      <c r="CQ9" s="2">
        <v>3</v>
      </c>
      <c r="CR9" s="2">
        <v>3</v>
      </c>
      <c r="CS9" s="2">
        <v>5</v>
      </c>
      <c r="CT9" s="2">
        <v>4</v>
      </c>
      <c r="CU9" s="2">
        <v>5</v>
      </c>
      <c r="CV9" s="2">
        <v>4</v>
      </c>
      <c r="CW9" s="2">
        <v>5</v>
      </c>
      <c r="CX9" s="2">
        <v>3</v>
      </c>
      <c r="CY9" s="2" t="s">
        <v>148</v>
      </c>
      <c r="CZ9" s="2" t="s">
        <v>149</v>
      </c>
      <c r="DA9" s="2" t="s">
        <v>150</v>
      </c>
      <c r="DB9" s="2" t="s">
        <v>151</v>
      </c>
      <c r="DC9" s="2" t="s">
        <v>152</v>
      </c>
      <c r="DD9" s="2" t="s">
        <v>153</v>
      </c>
      <c r="DE9" s="2">
        <v>0</v>
      </c>
      <c r="DF9" s="2">
        <v>4</v>
      </c>
      <c r="DG9" s="2" t="s">
        <v>154</v>
      </c>
      <c r="DH9" s="2" t="s">
        <v>167</v>
      </c>
      <c r="DI9" s="2" t="s">
        <v>167</v>
      </c>
      <c r="DJ9" s="2" t="s">
        <v>167</v>
      </c>
      <c r="DK9" s="2" t="s">
        <v>184</v>
      </c>
      <c r="DL9" s="2" t="s">
        <v>184</v>
      </c>
      <c r="DM9" s="2" t="s">
        <v>184</v>
      </c>
      <c r="DN9" s="2" t="s">
        <v>184</v>
      </c>
      <c r="DO9" s="2"/>
      <c r="DP9" s="2"/>
      <c r="DQ9" s="2">
        <v>71.251999999999995</v>
      </c>
      <c r="DR9" s="2" t="s">
        <v>147</v>
      </c>
      <c r="DS9" s="2">
        <v>535.04100000000005</v>
      </c>
    </row>
    <row r="10" spans="1:123" x14ac:dyDescent="0.2">
      <c r="A10" s="1" t="s">
        <v>228</v>
      </c>
      <c r="B10" s="2" t="s">
        <v>140</v>
      </c>
      <c r="C10" s="2">
        <v>58</v>
      </c>
      <c r="D10" s="2" t="s">
        <v>141</v>
      </c>
      <c r="E10" s="2" t="s">
        <v>142</v>
      </c>
      <c r="F10" s="2">
        <v>11.939</v>
      </c>
      <c r="G10" s="2" t="s">
        <v>143</v>
      </c>
      <c r="H10" s="2" t="s">
        <v>171</v>
      </c>
      <c r="I10" s="2" t="s">
        <v>188</v>
      </c>
      <c r="J10" s="2" t="s">
        <v>159</v>
      </c>
      <c r="K10" s="2" t="s">
        <v>160</v>
      </c>
      <c r="L10" s="2">
        <v>57.75</v>
      </c>
      <c r="M10" s="2" t="s">
        <v>161</v>
      </c>
      <c r="N10" s="2" t="s">
        <v>144</v>
      </c>
      <c r="O10" s="2" t="s">
        <v>145</v>
      </c>
      <c r="P10" s="2">
        <v>35.246000000000002</v>
      </c>
      <c r="Q10" s="2" t="s">
        <v>146</v>
      </c>
      <c r="R10" s="2" t="s">
        <v>166</v>
      </c>
      <c r="S10" s="2" t="s">
        <v>166</v>
      </c>
      <c r="T10" s="2" t="s">
        <v>166</v>
      </c>
      <c r="U10" s="2" t="s">
        <v>166</v>
      </c>
      <c r="V10" s="2" t="s">
        <v>166</v>
      </c>
      <c r="W10" s="2" t="s">
        <v>166</v>
      </c>
      <c r="X10" s="2">
        <v>3</v>
      </c>
      <c r="Y10" s="2">
        <v>3</v>
      </c>
      <c r="Z10" s="2">
        <v>4</v>
      </c>
      <c r="AA10" s="2">
        <v>3</v>
      </c>
      <c r="AB10" s="2">
        <v>5</v>
      </c>
      <c r="AC10" s="2">
        <v>5</v>
      </c>
      <c r="AD10" s="2">
        <v>5</v>
      </c>
      <c r="AE10" s="2">
        <v>5</v>
      </c>
      <c r="AF10" s="2">
        <v>12</v>
      </c>
      <c r="AG10" s="2">
        <v>3</v>
      </c>
      <c r="AH10" s="2">
        <v>2</v>
      </c>
      <c r="AI10" s="2">
        <v>3</v>
      </c>
      <c r="AJ10" s="2">
        <v>15</v>
      </c>
      <c r="AK10" s="2">
        <v>3</v>
      </c>
      <c r="AL10" s="2">
        <v>3</v>
      </c>
      <c r="AM10" s="2">
        <v>4</v>
      </c>
      <c r="AN10" s="2">
        <v>5</v>
      </c>
      <c r="AO10" s="2">
        <v>6</v>
      </c>
      <c r="AP10" s="2">
        <v>4</v>
      </c>
      <c r="AQ10" s="2">
        <v>10</v>
      </c>
      <c r="AR10" s="2">
        <v>5</v>
      </c>
      <c r="AS10" s="2">
        <v>5</v>
      </c>
      <c r="AT10" s="2">
        <v>4</v>
      </c>
      <c r="AU10" s="2">
        <v>4</v>
      </c>
      <c r="AV10" s="2">
        <v>5</v>
      </c>
      <c r="AW10" s="2">
        <v>3</v>
      </c>
      <c r="AX10" s="2">
        <v>6</v>
      </c>
      <c r="AY10" s="2">
        <v>4</v>
      </c>
      <c r="AZ10" s="2">
        <v>3</v>
      </c>
      <c r="BA10" s="2">
        <v>4</v>
      </c>
      <c r="BB10" s="2">
        <v>4</v>
      </c>
      <c r="BC10" s="2">
        <v>3</v>
      </c>
      <c r="BD10" s="2">
        <v>4</v>
      </c>
      <c r="BE10" s="2">
        <v>4</v>
      </c>
      <c r="BF10" s="2">
        <v>5</v>
      </c>
      <c r="BG10" s="2">
        <v>4</v>
      </c>
      <c r="BH10" s="2">
        <v>4</v>
      </c>
      <c r="BI10" s="2">
        <v>3</v>
      </c>
      <c r="BJ10" s="2">
        <v>4</v>
      </c>
      <c r="BK10" s="2">
        <v>4</v>
      </c>
      <c r="BL10" s="2">
        <v>4</v>
      </c>
      <c r="BM10" s="2">
        <v>5</v>
      </c>
      <c r="BN10" s="2">
        <v>4</v>
      </c>
      <c r="BO10" s="2">
        <v>4</v>
      </c>
      <c r="BP10" s="2">
        <v>4</v>
      </c>
      <c r="BQ10" s="2">
        <v>3</v>
      </c>
      <c r="BR10" s="2">
        <v>4</v>
      </c>
      <c r="BS10" s="2">
        <v>4</v>
      </c>
      <c r="BT10" s="2">
        <v>3</v>
      </c>
      <c r="BU10" s="2">
        <v>3</v>
      </c>
      <c r="BV10" s="2">
        <v>3</v>
      </c>
      <c r="BW10" s="2">
        <v>3</v>
      </c>
      <c r="BX10" s="2">
        <v>4</v>
      </c>
      <c r="BY10" s="2">
        <v>4</v>
      </c>
      <c r="BZ10" s="2">
        <v>3</v>
      </c>
      <c r="CA10" s="2">
        <v>2</v>
      </c>
      <c r="CB10" s="2">
        <v>15</v>
      </c>
      <c r="CC10" s="2">
        <v>2</v>
      </c>
      <c r="CD10" s="2">
        <v>5</v>
      </c>
      <c r="CE10" s="2">
        <v>11</v>
      </c>
      <c r="CF10" s="2">
        <v>3</v>
      </c>
      <c r="CG10" s="2">
        <v>4</v>
      </c>
      <c r="CH10" s="2">
        <v>7</v>
      </c>
      <c r="CI10" s="2">
        <v>10</v>
      </c>
      <c r="CJ10" s="2">
        <v>6</v>
      </c>
      <c r="CK10" s="2">
        <v>3</v>
      </c>
      <c r="CL10" s="2">
        <v>47</v>
      </c>
      <c r="CM10" s="2">
        <v>3</v>
      </c>
      <c r="CN10" s="2">
        <v>3</v>
      </c>
      <c r="CO10" s="2">
        <v>4</v>
      </c>
      <c r="CP10" s="2">
        <v>4</v>
      </c>
      <c r="CQ10" s="2">
        <v>3</v>
      </c>
      <c r="CR10" s="2">
        <v>3</v>
      </c>
      <c r="CS10" s="2">
        <v>5</v>
      </c>
      <c r="CT10" s="2">
        <v>5</v>
      </c>
      <c r="CU10" s="2">
        <v>5</v>
      </c>
      <c r="CV10" s="2">
        <v>4</v>
      </c>
      <c r="CW10" s="2">
        <v>4</v>
      </c>
      <c r="CX10" s="2">
        <v>3</v>
      </c>
      <c r="CY10" s="2" t="s">
        <v>148</v>
      </c>
      <c r="CZ10" s="2" t="s">
        <v>149</v>
      </c>
      <c r="DA10" s="2" t="s">
        <v>150</v>
      </c>
      <c r="DB10" s="2" t="s">
        <v>151</v>
      </c>
      <c r="DC10" s="2" t="s">
        <v>152</v>
      </c>
      <c r="DD10" s="2" t="s">
        <v>153</v>
      </c>
      <c r="DE10" s="2">
        <v>0</v>
      </c>
      <c r="DF10" s="2">
        <v>3</v>
      </c>
      <c r="DG10" s="2" t="s">
        <v>155</v>
      </c>
      <c r="DH10" s="2" t="s">
        <v>155</v>
      </c>
      <c r="DI10" s="2" t="s">
        <v>155</v>
      </c>
      <c r="DJ10" s="2" t="s">
        <v>155</v>
      </c>
      <c r="DK10" s="2" t="s">
        <v>155</v>
      </c>
      <c r="DL10" s="2" t="s">
        <v>167</v>
      </c>
      <c r="DM10" s="2" t="s">
        <v>154</v>
      </c>
      <c r="DN10" s="2" t="s">
        <v>167</v>
      </c>
      <c r="DO10" s="2"/>
      <c r="DP10" s="2"/>
      <c r="DQ10" s="2">
        <v>110.078</v>
      </c>
      <c r="DR10" s="2" t="s">
        <v>147</v>
      </c>
      <c r="DS10" s="2">
        <v>625.82299999999998</v>
      </c>
    </row>
    <row r="11" spans="1:123" x14ac:dyDescent="0.2">
      <c r="A11" s="1" t="s">
        <v>229</v>
      </c>
      <c r="B11" s="2" t="s">
        <v>140</v>
      </c>
      <c r="C11" s="2">
        <v>59</v>
      </c>
      <c r="D11" s="2" t="s">
        <v>141</v>
      </c>
      <c r="E11" s="2" t="s">
        <v>142</v>
      </c>
      <c r="F11" s="2">
        <v>56.654000000000003</v>
      </c>
      <c r="G11" s="2" t="s">
        <v>143</v>
      </c>
      <c r="H11" s="2" t="s">
        <v>171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</row>
    <row r="12" spans="1:123" x14ac:dyDescent="0.2">
      <c r="A12" s="1" t="s">
        <v>230</v>
      </c>
      <c r="B12" s="2" t="s">
        <v>140</v>
      </c>
      <c r="C12" s="2">
        <v>51</v>
      </c>
      <c r="D12" s="2" t="s">
        <v>141</v>
      </c>
      <c r="E12" s="2" t="s">
        <v>142</v>
      </c>
      <c r="F12" s="2">
        <v>17.559000000000001</v>
      </c>
      <c r="G12" s="2" t="s">
        <v>231</v>
      </c>
      <c r="H12" s="2" t="s">
        <v>157</v>
      </c>
      <c r="I12" s="2" t="s">
        <v>158</v>
      </c>
      <c r="J12" s="2" t="s">
        <v>159</v>
      </c>
      <c r="K12" s="2" t="s">
        <v>160</v>
      </c>
      <c r="L12" s="2">
        <v>55.718000000000004</v>
      </c>
      <c r="M12" s="2" t="s">
        <v>232</v>
      </c>
      <c r="N12" s="2" t="s">
        <v>144</v>
      </c>
      <c r="O12" s="2" t="s">
        <v>219</v>
      </c>
      <c r="P12" s="2">
        <v>21.198</v>
      </c>
      <c r="Q12" s="2" t="s">
        <v>146</v>
      </c>
      <c r="R12" s="2" t="s">
        <v>166</v>
      </c>
      <c r="S12" s="2" t="s">
        <v>166</v>
      </c>
      <c r="T12" s="2" t="s">
        <v>166</v>
      </c>
      <c r="U12" s="2" t="s">
        <v>166</v>
      </c>
      <c r="V12" s="2" t="s">
        <v>166</v>
      </c>
      <c r="W12" s="2" t="s">
        <v>166</v>
      </c>
      <c r="X12" s="2">
        <v>5</v>
      </c>
      <c r="Y12" s="2">
        <v>4</v>
      </c>
      <c r="Z12" s="2">
        <v>6</v>
      </c>
      <c r="AA12" s="2">
        <v>3</v>
      </c>
      <c r="AB12" s="2">
        <v>10</v>
      </c>
      <c r="AC12" s="2">
        <v>7</v>
      </c>
      <c r="AD12" s="2">
        <v>8</v>
      </c>
      <c r="AE12" s="2">
        <v>3</v>
      </c>
      <c r="AF12" s="2">
        <v>7</v>
      </c>
      <c r="AG12" s="2">
        <v>3</v>
      </c>
      <c r="AH12" s="2">
        <v>2</v>
      </c>
      <c r="AI12" s="2">
        <v>8</v>
      </c>
      <c r="AJ12" s="2">
        <v>13</v>
      </c>
      <c r="AK12" s="2">
        <v>4</v>
      </c>
      <c r="AL12" s="2">
        <v>4</v>
      </c>
      <c r="AM12" s="2">
        <v>7</v>
      </c>
      <c r="AN12" s="2">
        <v>9</v>
      </c>
      <c r="AO12" s="2">
        <v>4</v>
      </c>
      <c r="AP12" s="2">
        <v>5</v>
      </c>
      <c r="AQ12" s="2">
        <v>9</v>
      </c>
      <c r="AR12" s="2">
        <v>8</v>
      </c>
      <c r="AS12" s="2">
        <v>7</v>
      </c>
      <c r="AT12" s="2">
        <v>4</v>
      </c>
      <c r="AU12" s="2">
        <v>5</v>
      </c>
      <c r="AV12" s="2">
        <v>6</v>
      </c>
      <c r="AW12" s="2">
        <v>3</v>
      </c>
      <c r="AX12" s="2">
        <v>8</v>
      </c>
      <c r="AY12" s="2">
        <v>4</v>
      </c>
      <c r="AZ12" s="2">
        <v>6</v>
      </c>
      <c r="BA12" s="2">
        <v>7</v>
      </c>
      <c r="BB12" s="2">
        <v>3</v>
      </c>
      <c r="BC12" s="2">
        <v>5</v>
      </c>
      <c r="BD12" s="2">
        <v>11</v>
      </c>
      <c r="BE12" s="2">
        <v>4</v>
      </c>
      <c r="BF12" s="2">
        <v>3</v>
      </c>
      <c r="BG12" s="2">
        <v>4</v>
      </c>
      <c r="BH12" s="2">
        <v>4</v>
      </c>
      <c r="BI12" s="2">
        <v>3</v>
      </c>
      <c r="BJ12" s="2">
        <v>4</v>
      </c>
      <c r="BK12" s="2">
        <v>4</v>
      </c>
      <c r="BL12" s="2">
        <v>4</v>
      </c>
      <c r="BM12" s="2">
        <v>5</v>
      </c>
      <c r="BN12" s="2">
        <v>4</v>
      </c>
      <c r="BO12" s="2">
        <v>3</v>
      </c>
      <c r="BP12" s="2">
        <v>5</v>
      </c>
      <c r="BQ12" s="2">
        <v>3</v>
      </c>
      <c r="BR12" s="2">
        <v>4</v>
      </c>
      <c r="BS12" s="2">
        <v>5</v>
      </c>
      <c r="BT12" s="2">
        <v>4</v>
      </c>
      <c r="BU12" s="2">
        <v>5</v>
      </c>
      <c r="BV12" s="2">
        <v>3</v>
      </c>
      <c r="BW12" s="2">
        <v>7</v>
      </c>
      <c r="BX12" s="2">
        <v>6</v>
      </c>
      <c r="BY12" s="2">
        <v>5</v>
      </c>
      <c r="BZ12" s="2">
        <v>7</v>
      </c>
      <c r="CA12" s="2">
        <v>3</v>
      </c>
      <c r="CB12" s="2">
        <v>9</v>
      </c>
      <c r="CC12" s="2">
        <v>3</v>
      </c>
      <c r="CD12" s="2">
        <v>5</v>
      </c>
      <c r="CE12" s="2">
        <v>5</v>
      </c>
      <c r="CF12" s="2">
        <v>3</v>
      </c>
      <c r="CG12" s="2">
        <v>4</v>
      </c>
      <c r="CH12" s="2">
        <v>5</v>
      </c>
      <c r="CI12" s="2">
        <v>7</v>
      </c>
      <c r="CJ12" s="2">
        <v>6</v>
      </c>
      <c r="CK12" s="2">
        <v>4</v>
      </c>
      <c r="CL12" s="2">
        <v>41</v>
      </c>
      <c r="CM12" s="2">
        <v>4</v>
      </c>
      <c r="CN12" s="2">
        <v>3</v>
      </c>
      <c r="CO12" s="2">
        <v>4</v>
      </c>
      <c r="CP12" s="2">
        <v>5</v>
      </c>
      <c r="CQ12" s="2">
        <v>4</v>
      </c>
      <c r="CR12" s="2">
        <v>3</v>
      </c>
      <c r="CS12" s="2">
        <v>7</v>
      </c>
      <c r="CT12" s="2">
        <v>4</v>
      </c>
      <c r="CU12" s="2">
        <v>5</v>
      </c>
      <c r="CV12" s="2">
        <v>4</v>
      </c>
      <c r="CW12" s="2">
        <v>4</v>
      </c>
      <c r="CX12" s="2">
        <v>3</v>
      </c>
      <c r="CY12" s="2" t="s">
        <v>148</v>
      </c>
      <c r="CZ12" s="2" t="s">
        <v>149</v>
      </c>
      <c r="DA12" s="2" t="s">
        <v>150</v>
      </c>
      <c r="DB12" s="2" t="s">
        <v>151</v>
      </c>
      <c r="DC12" s="2" t="s">
        <v>152</v>
      </c>
      <c r="DD12" s="2" t="s">
        <v>153</v>
      </c>
      <c r="DE12" s="2">
        <v>0</v>
      </c>
      <c r="DF12" s="2">
        <v>1</v>
      </c>
      <c r="DG12" s="2" t="s">
        <v>167</v>
      </c>
      <c r="DH12" s="2" t="s">
        <v>167</v>
      </c>
      <c r="DI12" s="2" t="s">
        <v>167</v>
      </c>
      <c r="DJ12" s="2" t="s">
        <v>167</v>
      </c>
      <c r="DK12" s="2" t="s">
        <v>167</v>
      </c>
      <c r="DL12" s="2" t="s">
        <v>167</v>
      </c>
      <c r="DM12" s="2" t="s">
        <v>167</v>
      </c>
      <c r="DN12" s="2" t="s">
        <v>167</v>
      </c>
      <c r="DO12" s="2"/>
      <c r="DP12" s="2"/>
      <c r="DQ12" s="2">
        <v>144.666</v>
      </c>
      <c r="DR12" s="2" t="s">
        <v>147</v>
      </c>
      <c r="DS12" s="2">
        <v>719.74300000000005</v>
      </c>
    </row>
    <row r="13" spans="1:123" x14ac:dyDescent="0.2">
      <c r="A13" s="1" t="s">
        <v>233</v>
      </c>
      <c r="B13" s="2" t="s">
        <v>140</v>
      </c>
      <c r="C13" s="2">
        <v>53</v>
      </c>
      <c r="D13" s="2" t="s">
        <v>141</v>
      </c>
      <c r="E13" s="2" t="s">
        <v>142</v>
      </c>
      <c r="F13" s="2">
        <v>36.255000000000003</v>
      </c>
      <c r="G13" s="2" t="s">
        <v>143</v>
      </c>
      <c r="H13" s="2" t="s">
        <v>171</v>
      </c>
      <c r="I13" s="2" t="s">
        <v>188</v>
      </c>
      <c r="J13" s="2" t="s">
        <v>189</v>
      </c>
      <c r="K13" s="2" t="s">
        <v>225</v>
      </c>
      <c r="L13" s="2">
        <v>76.784000000000006</v>
      </c>
      <c r="M13" s="2" t="s">
        <v>161</v>
      </c>
      <c r="N13" s="2" t="s">
        <v>144</v>
      </c>
      <c r="O13" s="2" t="s">
        <v>219</v>
      </c>
      <c r="P13" s="2">
        <v>36.863</v>
      </c>
      <c r="Q13" s="2" t="s">
        <v>146</v>
      </c>
      <c r="R13" s="2" t="s">
        <v>147</v>
      </c>
      <c r="S13" s="2" t="s">
        <v>147</v>
      </c>
      <c r="T13" s="2" t="s">
        <v>147</v>
      </c>
      <c r="U13" s="2" t="s">
        <v>147</v>
      </c>
      <c r="V13" s="2" t="s">
        <v>147</v>
      </c>
      <c r="W13" s="2" t="s">
        <v>147</v>
      </c>
      <c r="X13" s="2">
        <v>8</v>
      </c>
      <c r="Y13" s="2">
        <v>3</v>
      </c>
      <c r="Z13" s="2">
        <v>7</v>
      </c>
      <c r="AA13" s="2">
        <v>4</v>
      </c>
      <c r="AB13" s="2">
        <v>10</v>
      </c>
      <c r="AC13" s="2">
        <v>11</v>
      </c>
      <c r="AD13" s="2">
        <v>7</v>
      </c>
      <c r="AE13" s="2">
        <v>3</v>
      </c>
      <c r="AF13" s="2">
        <v>7</v>
      </c>
      <c r="AG13" s="2">
        <v>9</v>
      </c>
      <c r="AH13" s="2">
        <v>3</v>
      </c>
      <c r="AI13" s="2">
        <v>7</v>
      </c>
      <c r="AJ13" s="2">
        <v>12</v>
      </c>
      <c r="AK13" s="2">
        <v>5</v>
      </c>
      <c r="AL13" s="2">
        <v>6</v>
      </c>
      <c r="AM13" s="2">
        <v>7</v>
      </c>
      <c r="AN13" s="2">
        <v>9</v>
      </c>
      <c r="AO13" s="2">
        <v>4</v>
      </c>
      <c r="AP13" s="2">
        <v>5</v>
      </c>
      <c r="AQ13" s="2">
        <v>8</v>
      </c>
      <c r="AR13" s="2">
        <v>7</v>
      </c>
      <c r="AS13" s="2">
        <v>8</v>
      </c>
      <c r="AT13" s="2">
        <v>5</v>
      </c>
      <c r="AU13" s="2">
        <v>8</v>
      </c>
      <c r="AV13" s="2">
        <v>9</v>
      </c>
      <c r="AW13" s="2">
        <v>5</v>
      </c>
      <c r="AX13" s="2">
        <v>10</v>
      </c>
      <c r="AY13" s="2">
        <v>5</v>
      </c>
      <c r="AZ13" s="2">
        <v>6</v>
      </c>
      <c r="BA13" s="2">
        <v>7</v>
      </c>
      <c r="BB13" s="2">
        <v>3</v>
      </c>
      <c r="BC13" s="2">
        <v>6</v>
      </c>
      <c r="BD13" s="2">
        <v>9</v>
      </c>
      <c r="BE13" s="2">
        <v>10</v>
      </c>
      <c r="BF13" s="2">
        <v>13</v>
      </c>
      <c r="BG13" s="2">
        <v>10</v>
      </c>
      <c r="BH13" s="2">
        <v>11</v>
      </c>
      <c r="BI13" s="2">
        <v>4</v>
      </c>
      <c r="BJ13" s="2">
        <v>6</v>
      </c>
      <c r="BK13" s="2">
        <v>10</v>
      </c>
      <c r="BL13" s="2">
        <v>5</v>
      </c>
      <c r="BM13" s="2">
        <v>10</v>
      </c>
      <c r="BN13" s="2">
        <v>8</v>
      </c>
      <c r="BO13" s="2">
        <v>6</v>
      </c>
      <c r="BP13" s="2">
        <v>9</v>
      </c>
      <c r="BQ13" s="2">
        <v>5</v>
      </c>
      <c r="BR13" s="2">
        <v>7</v>
      </c>
      <c r="BS13" s="2">
        <v>9</v>
      </c>
      <c r="BT13" s="2">
        <v>7</v>
      </c>
      <c r="BU13" s="2">
        <v>10</v>
      </c>
      <c r="BV13" s="2">
        <v>6</v>
      </c>
      <c r="BW13" s="2">
        <v>15</v>
      </c>
      <c r="BX13" s="2">
        <v>12</v>
      </c>
      <c r="BY13" s="2">
        <v>13</v>
      </c>
      <c r="BZ13" s="2">
        <v>9</v>
      </c>
      <c r="CA13" s="2">
        <v>5</v>
      </c>
      <c r="CB13" s="2">
        <v>13</v>
      </c>
      <c r="CC13" s="2">
        <v>4</v>
      </c>
      <c r="CD13" s="2">
        <v>7</v>
      </c>
      <c r="CE13" s="2">
        <v>9</v>
      </c>
      <c r="CF13" s="2">
        <v>6</v>
      </c>
      <c r="CG13" s="2">
        <v>8</v>
      </c>
      <c r="CH13" s="2">
        <v>10</v>
      </c>
      <c r="CI13" s="2">
        <v>10</v>
      </c>
      <c r="CJ13" s="2">
        <v>12</v>
      </c>
      <c r="CK13" s="2">
        <v>9</v>
      </c>
      <c r="CL13" s="2">
        <v>57</v>
      </c>
      <c r="CM13" s="2">
        <v>5</v>
      </c>
      <c r="CN13" s="2">
        <v>4</v>
      </c>
      <c r="CO13" s="2">
        <v>7</v>
      </c>
      <c r="CP13" s="2">
        <v>8</v>
      </c>
      <c r="CQ13" s="2">
        <v>6</v>
      </c>
      <c r="CR13" s="2">
        <v>5</v>
      </c>
      <c r="CS13" s="2">
        <v>10</v>
      </c>
      <c r="CT13" s="2">
        <v>7</v>
      </c>
      <c r="CU13" s="2">
        <v>10</v>
      </c>
      <c r="CV13" s="2">
        <v>8</v>
      </c>
      <c r="CW13" s="2">
        <v>8</v>
      </c>
      <c r="CX13" s="2">
        <v>4</v>
      </c>
      <c r="CY13" s="2" t="s">
        <v>148</v>
      </c>
      <c r="CZ13" s="2" t="s">
        <v>149</v>
      </c>
      <c r="DA13" s="2" t="s">
        <v>150</v>
      </c>
      <c r="DB13" s="2" t="s">
        <v>151</v>
      </c>
      <c r="DC13" s="2" t="s">
        <v>152</v>
      </c>
      <c r="DD13" s="2" t="s">
        <v>153</v>
      </c>
      <c r="DE13" s="2">
        <v>0</v>
      </c>
      <c r="DF13" s="2">
        <v>0</v>
      </c>
      <c r="DG13" s="2" t="s">
        <v>167</v>
      </c>
      <c r="DH13" s="2" t="s">
        <v>167</v>
      </c>
      <c r="DI13" s="3"/>
      <c r="DJ13" s="3"/>
      <c r="DK13" s="2" t="s">
        <v>168</v>
      </c>
      <c r="DL13" s="2" t="s">
        <v>167</v>
      </c>
      <c r="DM13" s="2" t="s">
        <v>167</v>
      </c>
      <c r="DN13" s="2" t="s">
        <v>167</v>
      </c>
      <c r="DO13" s="2"/>
      <c r="DP13" s="2"/>
      <c r="DQ13" s="2">
        <v>316.60399999999998</v>
      </c>
      <c r="DR13" s="2" t="s">
        <v>147</v>
      </c>
      <c r="DS13" s="2">
        <v>1174.981</v>
      </c>
    </row>
    <row r="14" spans="1:123" x14ac:dyDescent="0.2">
      <c r="A14" s="1" t="s">
        <v>234</v>
      </c>
      <c r="B14" s="2" t="s">
        <v>140</v>
      </c>
      <c r="C14" s="2">
        <v>52</v>
      </c>
      <c r="D14" s="2" t="s">
        <v>141</v>
      </c>
      <c r="E14" s="2" t="s">
        <v>142</v>
      </c>
      <c r="F14" s="2">
        <v>15.618</v>
      </c>
      <c r="G14" s="2" t="s">
        <v>143</v>
      </c>
      <c r="H14" s="2" t="s">
        <v>157</v>
      </c>
      <c r="I14" s="2" t="s">
        <v>158</v>
      </c>
      <c r="J14" s="2" t="s">
        <v>159</v>
      </c>
      <c r="K14" s="2" t="s">
        <v>160</v>
      </c>
      <c r="L14" s="2">
        <v>97.893000000000001</v>
      </c>
      <c r="M14" s="2" t="s">
        <v>161</v>
      </c>
      <c r="N14" s="2" t="s">
        <v>144</v>
      </c>
      <c r="O14" s="2" t="s">
        <v>145</v>
      </c>
      <c r="P14" s="2">
        <v>54.177</v>
      </c>
      <c r="Q14" s="2" t="s">
        <v>165</v>
      </c>
      <c r="R14" s="2" t="s">
        <v>147</v>
      </c>
      <c r="S14" s="2" t="s">
        <v>166</v>
      </c>
      <c r="T14" s="2" t="s">
        <v>147</v>
      </c>
      <c r="U14" s="2" t="s">
        <v>147</v>
      </c>
      <c r="V14" s="2" t="s">
        <v>147</v>
      </c>
      <c r="W14" s="2" t="s">
        <v>166</v>
      </c>
      <c r="X14" s="2">
        <v>12</v>
      </c>
      <c r="Y14" s="2">
        <v>9</v>
      </c>
      <c r="Z14" s="2">
        <v>5</v>
      </c>
      <c r="AA14" s="2">
        <v>4</v>
      </c>
      <c r="AB14" s="2">
        <v>9</v>
      </c>
      <c r="AC14" s="2">
        <v>8</v>
      </c>
      <c r="AD14" s="2">
        <v>5</v>
      </c>
      <c r="AE14" s="2">
        <v>3</v>
      </c>
      <c r="AF14" s="2">
        <v>6</v>
      </c>
      <c r="AG14" s="2">
        <v>3</v>
      </c>
      <c r="AH14" s="2">
        <v>3</v>
      </c>
      <c r="AI14" s="2">
        <v>8</v>
      </c>
      <c r="AJ14" s="2">
        <v>6</v>
      </c>
      <c r="AK14" s="2">
        <v>6</v>
      </c>
      <c r="AL14" s="2">
        <v>9</v>
      </c>
      <c r="AM14" s="2">
        <v>4</v>
      </c>
      <c r="AN14" s="2">
        <v>8</v>
      </c>
      <c r="AO14" s="2">
        <v>5</v>
      </c>
      <c r="AP14" s="2">
        <v>4</v>
      </c>
      <c r="AQ14" s="2">
        <v>7</v>
      </c>
      <c r="AR14" s="2">
        <v>8</v>
      </c>
      <c r="AS14" s="2">
        <v>7</v>
      </c>
      <c r="AT14" s="2">
        <v>3</v>
      </c>
      <c r="AU14" s="2">
        <v>6</v>
      </c>
      <c r="AV14" s="2">
        <v>8</v>
      </c>
      <c r="AW14" s="2">
        <v>4</v>
      </c>
      <c r="AX14" s="2">
        <v>9</v>
      </c>
      <c r="AY14" s="2">
        <v>5</v>
      </c>
      <c r="AZ14" s="2">
        <v>5</v>
      </c>
      <c r="BA14" s="2">
        <v>7</v>
      </c>
      <c r="BB14" s="2">
        <v>3</v>
      </c>
      <c r="BC14" s="2">
        <v>6</v>
      </c>
      <c r="BD14" s="2">
        <v>16</v>
      </c>
      <c r="BE14" s="2">
        <v>14</v>
      </c>
      <c r="BF14" s="2">
        <v>22</v>
      </c>
      <c r="BG14" s="2">
        <v>17</v>
      </c>
      <c r="BH14" s="2">
        <v>6</v>
      </c>
      <c r="BI14" s="2">
        <v>4</v>
      </c>
      <c r="BJ14" s="2">
        <v>5</v>
      </c>
      <c r="BK14" s="2">
        <v>8</v>
      </c>
      <c r="BL14" s="2">
        <v>8</v>
      </c>
      <c r="BM14" s="2">
        <v>9</v>
      </c>
      <c r="BN14" s="2">
        <v>6</v>
      </c>
      <c r="BO14" s="2">
        <v>6</v>
      </c>
      <c r="BP14" s="2">
        <v>7</v>
      </c>
      <c r="BQ14" s="2">
        <v>4</v>
      </c>
      <c r="BR14" s="2">
        <v>5</v>
      </c>
      <c r="BS14" s="2">
        <v>6</v>
      </c>
      <c r="BT14" s="2">
        <v>6</v>
      </c>
      <c r="BU14" s="2">
        <v>8</v>
      </c>
      <c r="BV14" s="2">
        <v>7</v>
      </c>
      <c r="BW14" s="2">
        <v>6</v>
      </c>
      <c r="BX14" s="2">
        <v>8</v>
      </c>
      <c r="BY14" s="2">
        <v>8</v>
      </c>
      <c r="BZ14" s="2">
        <v>5</v>
      </c>
      <c r="CA14" s="2">
        <v>10</v>
      </c>
      <c r="CB14" s="2">
        <v>14</v>
      </c>
      <c r="CC14" s="2">
        <v>4</v>
      </c>
      <c r="CD14" s="2">
        <v>9</v>
      </c>
      <c r="CE14" s="2">
        <v>11</v>
      </c>
      <c r="CF14" s="2">
        <v>5</v>
      </c>
      <c r="CG14" s="2">
        <v>7</v>
      </c>
      <c r="CH14" s="2">
        <v>9</v>
      </c>
      <c r="CI14" s="2">
        <v>22</v>
      </c>
      <c r="CJ14" s="2">
        <v>12</v>
      </c>
      <c r="CK14" s="2">
        <v>6</v>
      </c>
      <c r="CL14" s="2">
        <v>117</v>
      </c>
      <c r="CM14" s="2">
        <v>12</v>
      </c>
      <c r="CN14" s="2">
        <v>12</v>
      </c>
      <c r="CO14" s="2">
        <v>11</v>
      </c>
      <c r="CP14" s="2">
        <v>9</v>
      </c>
      <c r="CQ14" s="2">
        <v>8</v>
      </c>
      <c r="CR14" s="2">
        <v>6</v>
      </c>
      <c r="CS14" s="2">
        <v>11</v>
      </c>
      <c r="CT14" s="2">
        <v>8</v>
      </c>
      <c r="CU14" s="2">
        <v>31</v>
      </c>
      <c r="CV14" s="2">
        <v>8</v>
      </c>
      <c r="CW14" s="2">
        <v>21</v>
      </c>
      <c r="CX14" s="2">
        <v>11</v>
      </c>
      <c r="CY14" s="2" t="s">
        <v>148</v>
      </c>
      <c r="CZ14" s="2" t="s">
        <v>149</v>
      </c>
      <c r="DA14" s="2" t="s">
        <v>150</v>
      </c>
      <c r="DB14" s="2" t="s">
        <v>151</v>
      </c>
      <c r="DC14" s="2" t="s">
        <v>152</v>
      </c>
      <c r="DD14" s="2" t="s">
        <v>153</v>
      </c>
      <c r="DE14" s="2">
        <v>0</v>
      </c>
      <c r="DF14" s="2">
        <v>0</v>
      </c>
      <c r="DG14" s="2" t="s">
        <v>155</v>
      </c>
      <c r="DH14" s="2" t="s">
        <v>154</v>
      </c>
      <c r="DI14" s="2" t="s">
        <v>155</v>
      </c>
      <c r="DJ14" s="2" t="s">
        <v>167</v>
      </c>
      <c r="DK14" s="2" t="s">
        <v>168</v>
      </c>
      <c r="DL14" s="2" t="s">
        <v>154</v>
      </c>
      <c r="DM14" s="2" t="s">
        <v>155</v>
      </c>
      <c r="DN14" s="2" t="s">
        <v>155</v>
      </c>
      <c r="DO14" s="2"/>
      <c r="DP14" s="2"/>
      <c r="DQ14" s="2">
        <v>94.501999999999995</v>
      </c>
      <c r="DR14" s="2" t="s">
        <v>147</v>
      </c>
      <c r="DS14" s="2">
        <v>1061.2760000000001</v>
      </c>
    </row>
    <row r="15" spans="1:123" x14ac:dyDescent="0.2">
      <c r="A15" s="1" t="s">
        <v>183</v>
      </c>
      <c r="B15" s="2" t="s">
        <v>140</v>
      </c>
      <c r="C15" s="2">
        <v>23</v>
      </c>
      <c r="D15" s="2" t="s">
        <v>173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" t="s">
        <v>166</v>
      </c>
      <c r="S15" s="2" t="s">
        <v>166</v>
      </c>
      <c r="T15" s="2" t="s">
        <v>166</v>
      </c>
      <c r="U15" s="2" t="s">
        <v>166</v>
      </c>
      <c r="V15" s="2" t="s">
        <v>166</v>
      </c>
      <c r="W15" s="2" t="s">
        <v>166</v>
      </c>
      <c r="X15" s="2">
        <v>3</v>
      </c>
      <c r="Y15" s="2">
        <v>3</v>
      </c>
      <c r="Z15" s="2">
        <v>4</v>
      </c>
      <c r="AA15" s="2">
        <v>2</v>
      </c>
      <c r="AB15" s="2">
        <v>4</v>
      </c>
      <c r="AC15" s="2">
        <v>4</v>
      </c>
      <c r="AD15" s="2">
        <v>6</v>
      </c>
      <c r="AE15" s="2">
        <v>2</v>
      </c>
      <c r="AF15" s="2">
        <v>2</v>
      </c>
      <c r="AG15" s="2">
        <v>5</v>
      </c>
      <c r="AH15" s="2">
        <v>1</v>
      </c>
      <c r="AI15" s="2">
        <v>2</v>
      </c>
      <c r="AJ15" s="2">
        <v>6</v>
      </c>
      <c r="AK15" s="2">
        <v>2</v>
      </c>
      <c r="AL15" s="2">
        <v>2</v>
      </c>
      <c r="AM15" s="2">
        <v>4</v>
      </c>
      <c r="AN15" s="2">
        <v>4</v>
      </c>
      <c r="AO15" s="2">
        <v>4</v>
      </c>
      <c r="AP15" s="2">
        <v>2</v>
      </c>
      <c r="AQ15" s="2">
        <v>3</v>
      </c>
      <c r="AR15" s="2">
        <v>7</v>
      </c>
      <c r="AS15" s="2">
        <v>3</v>
      </c>
      <c r="AT15" s="2">
        <v>3</v>
      </c>
      <c r="AU15" s="2">
        <v>6</v>
      </c>
      <c r="AV15" s="2">
        <v>3</v>
      </c>
      <c r="AW15" s="2">
        <v>2</v>
      </c>
      <c r="AX15" s="2">
        <v>6</v>
      </c>
      <c r="AY15" s="2">
        <v>2</v>
      </c>
      <c r="AZ15" s="2">
        <v>3</v>
      </c>
      <c r="BA15" s="2">
        <v>2</v>
      </c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2" t="s">
        <v>148</v>
      </c>
      <c r="CZ15" s="2" t="s">
        <v>149</v>
      </c>
      <c r="DA15" s="2" t="s">
        <v>150</v>
      </c>
      <c r="DB15" s="3"/>
      <c r="DC15" s="3"/>
      <c r="DD15" s="3"/>
      <c r="DE15" s="2">
        <v>1</v>
      </c>
      <c r="DF15" s="2">
        <v>8</v>
      </c>
      <c r="DG15" s="2" t="s">
        <v>167</v>
      </c>
      <c r="DH15" s="2" t="s">
        <v>167</v>
      </c>
      <c r="DI15" s="2" t="s">
        <v>167</v>
      </c>
      <c r="DJ15" s="2" t="s">
        <v>184</v>
      </c>
      <c r="DK15" s="2" t="s">
        <v>156</v>
      </c>
      <c r="DL15" s="2" t="s">
        <v>167</v>
      </c>
      <c r="DM15" s="2" t="s">
        <v>184</v>
      </c>
      <c r="DN15" s="2" t="s">
        <v>184</v>
      </c>
      <c r="DO15" s="2"/>
      <c r="DP15" s="2"/>
      <c r="DQ15" s="2">
        <v>77.783000000000001</v>
      </c>
      <c r="DR15" s="2" t="s">
        <v>147</v>
      </c>
      <c r="DS15" s="2">
        <v>203.983</v>
      </c>
    </row>
    <row r="16" spans="1:123" x14ac:dyDescent="0.2">
      <c r="A16" s="1" t="s">
        <v>139</v>
      </c>
      <c r="B16" s="2" t="s">
        <v>140</v>
      </c>
      <c r="C16" s="2">
        <v>68</v>
      </c>
      <c r="D16" s="2" t="s">
        <v>141</v>
      </c>
      <c r="E16" s="2" t="s">
        <v>142</v>
      </c>
      <c r="F16" s="2">
        <v>32.564999999999998</v>
      </c>
      <c r="G16" s="2" t="s">
        <v>143</v>
      </c>
      <c r="H16" s="2" t="s">
        <v>157</v>
      </c>
      <c r="I16" s="2" t="s">
        <v>158</v>
      </c>
      <c r="J16" s="2" t="s">
        <v>159</v>
      </c>
      <c r="K16" s="2" t="s">
        <v>160</v>
      </c>
      <c r="L16" s="2">
        <v>150.27000000000001</v>
      </c>
      <c r="M16" s="2" t="s">
        <v>161</v>
      </c>
      <c r="N16" s="2" t="s">
        <v>144</v>
      </c>
      <c r="O16" s="2" t="s">
        <v>145</v>
      </c>
      <c r="P16" s="2">
        <v>47.899000000000001</v>
      </c>
      <c r="Q16" s="2" t="s">
        <v>146</v>
      </c>
      <c r="R16" s="2" t="s">
        <v>147</v>
      </c>
      <c r="S16" s="2" t="s">
        <v>147</v>
      </c>
      <c r="T16" s="2" t="s">
        <v>147</v>
      </c>
      <c r="U16" s="2" t="s">
        <v>147</v>
      </c>
      <c r="V16" s="2" t="s">
        <v>147</v>
      </c>
      <c r="W16" s="2" t="s">
        <v>147</v>
      </c>
      <c r="X16" s="2">
        <v>6</v>
      </c>
      <c r="Y16" s="2">
        <v>3</v>
      </c>
      <c r="Z16" s="2">
        <v>4</v>
      </c>
      <c r="AA16" s="2">
        <v>5</v>
      </c>
      <c r="AB16" s="2">
        <v>6</v>
      </c>
      <c r="AC16" s="2">
        <v>11</v>
      </c>
      <c r="AD16" s="2">
        <v>4</v>
      </c>
      <c r="AE16" s="2">
        <v>3</v>
      </c>
      <c r="AF16" s="2">
        <v>6</v>
      </c>
      <c r="AG16" s="2">
        <v>3</v>
      </c>
      <c r="AH16" s="2">
        <v>3</v>
      </c>
      <c r="AI16" s="2">
        <v>8</v>
      </c>
      <c r="AJ16" s="2">
        <v>5</v>
      </c>
      <c r="AK16" s="2">
        <v>5</v>
      </c>
      <c r="AL16" s="2">
        <v>6</v>
      </c>
      <c r="AM16" s="2">
        <v>13</v>
      </c>
      <c r="AN16" s="2">
        <v>7</v>
      </c>
      <c r="AO16" s="2">
        <v>7</v>
      </c>
      <c r="AP16" s="2">
        <v>5</v>
      </c>
      <c r="AQ16" s="2">
        <v>7</v>
      </c>
      <c r="AR16" s="2">
        <v>8</v>
      </c>
      <c r="AS16" s="2">
        <v>8</v>
      </c>
      <c r="AT16" s="2">
        <v>11</v>
      </c>
      <c r="AU16" s="2">
        <v>4</v>
      </c>
      <c r="AV16" s="2">
        <v>16</v>
      </c>
      <c r="AW16" s="2">
        <v>4</v>
      </c>
      <c r="AX16" s="2">
        <v>6</v>
      </c>
      <c r="AY16" s="2">
        <v>5</v>
      </c>
      <c r="AZ16" s="2">
        <v>8</v>
      </c>
      <c r="BA16" s="2">
        <v>5</v>
      </c>
      <c r="BB16" s="2">
        <v>4</v>
      </c>
      <c r="BC16" s="2">
        <v>6</v>
      </c>
      <c r="BD16" s="2">
        <v>7</v>
      </c>
      <c r="BE16" s="2">
        <v>6</v>
      </c>
      <c r="BF16" s="2">
        <v>7</v>
      </c>
      <c r="BG16" s="2">
        <v>9</v>
      </c>
      <c r="BH16" s="2">
        <v>6</v>
      </c>
      <c r="BI16" s="2">
        <v>4</v>
      </c>
      <c r="BJ16" s="2">
        <v>5</v>
      </c>
      <c r="BK16" s="2">
        <v>5</v>
      </c>
      <c r="BL16" s="2">
        <v>4</v>
      </c>
      <c r="BM16" s="2">
        <v>6</v>
      </c>
      <c r="BN16" s="2">
        <v>5</v>
      </c>
      <c r="BO16" s="2">
        <v>6</v>
      </c>
      <c r="BP16" s="2">
        <v>5</v>
      </c>
      <c r="BQ16" s="2">
        <v>4</v>
      </c>
      <c r="BR16" s="2">
        <v>4</v>
      </c>
      <c r="BS16" s="2">
        <v>5</v>
      </c>
      <c r="BT16" s="2">
        <v>5</v>
      </c>
      <c r="BU16" s="2">
        <v>7</v>
      </c>
      <c r="BV16" s="2">
        <v>18</v>
      </c>
      <c r="BW16" s="2">
        <v>5</v>
      </c>
      <c r="BX16" s="2">
        <v>11</v>
      </c>
      <c r="BY16" s="2">
        <v>5</v>
      </c>
      <c r="BZ16" s="2">
        <v>3</v>
      </c>
      <c r="CA16" s="2">
        <v>3</v>
      </c>
      <c r="CB16" s="2">
        <v>12</v>
      </c>
      <c r="CC16" s="2">
        <v>3</v>
      </c>
      <c r="CD16" s="2">
        <v>6</v>
      </c>
      <c r="CE16" s="2">
        <v>7</v>
      </c>
      <c r="CF16" s="2">
        <v>4</v>
      </c>
      <c r="CG16" s="2">
        <v>5</v>
      </c>
      <c r="CH16" s="2">
        <v>6</v>
      </c>
      <c r="CI16" s="2">
        <v>7</v>
      </c>
      <c r="CJ16" s="2">
        <v>6</v>
      </c>
      <c r="CK16" s="2">
        <v>4</v>
      </c>
      <c r="CL16" s="2">
        <v>82</v>
      </c>
      <c r="CM16" s="2">
        <v>10</v>
      </c>
      <c r="CN16" s="2">
        <v>4</v>
      </c>
      <c r="CO16" s="2">
        <v>6</v>
      </c>
      <c r="CP16" s="2">
        <v>31</v>
      </c>
      <c r="CQ16" s="2">
        <v>4</v>
      </c>
      <c r="CR16" s="2">
        <v>3</v>
      </c>
      <c r="CS16" s="2">
        <v>25</v>
      </c>
      <c r="CT16" s="2">
        <v>48</v>
      </c>
      <c r="CU16" s="2">
        <v>6</v>
      </c>
      <c r="CV16" s="2">
        <v>6</v>
      </c>
      <c r="CW16" s="2">
        <v>5</v>
      </c>
      <c r="CX16" s="2">
        <v>4</v>
      </c>
      <c r="CY16" s="2" t="s">
        <v>148</v>
      </c>
      <c r="CZ16" s="2" t="s">
        <v>149</v>
      </c>
      <c r="DA16" s="2" t="s">
        <v>150</v>
      </c>
      <c r="DB16" s="2" t="s">
        <v>151</v>
      </c>
      <c r="DC16" s="2" t="s">
        <v>152</v>
      </c>
      <c r="DD16" s="2" t="s">
        <v>153</v>
      </c>
      <c r="DE16" s="2">
        <v>0</v>
      </c>
      <c r="DF16" s="2">
        <v>0</v>
      </c>
      <c r="DG16" s="2" t="s">
        <v>154</v>
      </c>
      <c r="DH16" s="2" t="s">
        <v>154</v>
      </c>
      <c r="DI16" s="2" t="s">
        <v>155</v>
      </c>
      <c r="DJ16" s="2" t="s">
        <v>154</v>
      </c>
      <c r="DK16" s="2" t="s">
        <v>155</v>
      </c>
      <c r="DL16" s="2" t="s">
        <v>156</v>
      </c>
      <c r="DM16" s="2" t="s">
        <v>154</v>
      </c>
      <c r="DN16" s="2" t="s">
        <v>155</v>
      </c>
      <c r="DO16" s="2"/>
      <c r="DP16" s="2"/>
      <c r="DQ16" s="2">
        <v>219.13300000000001</v>
      </c>
      <c r="DR16" s="2" t="s">
        <v>147</v>
      </c>
      <c r="DS16" s="2">
        <v>1120.489</v>
      </c>
    </row>
    <row r="17" spans="1:123" x14ac:dyDescent="0.2">
      <c r="A17" s="1" t="s">
        <v>162</v>
      </c>
      <c r="B17" s="2" t="s">
        <v>140</v>
      </c>
      <c r="C17" s="2">
        <v>42</v>
      </c>
      <c r="D17" s="2" t="s">
        <v>141</v>
      </c>
      <c r="E17" s="2" t="s">
        <v>163</v>
      </c>
      <c r="F17" s="2">
        <v>22.495999999999999</v>
      </c>
      <c r="G17" s="2" t="s">
        <v>143</v>
      </c>
      <c r="H17" s="2" t="s">
        <v>171</v>
      </c>
      <c r="I17" s="2" t="s">
        <v>158</v>
      </c>
      <c r="J17" s="2" t="s">
        <v>159</v>
      </c>
      <c r="K17" s="2" t="s">
        <v>160</v>
      </c>
      <c r="L17" s="2">
        <v>50.386000000000003</v>
      </c>
      <c r="M17" s="2" t="s">
        <v>161</v>
      </c>
      <c r="N17" s="2" t="s">
        <v>164</v>
      </c>
      <c r="O17" s="2" t="s">
        <v>145</v>
      </c>
      <c r="P17" s="2">
        <v>25.678999999999998</v>
      </c>
      <c r="Q17" s="2" t="s">
        <v>165</v>
      </c>
      <c r="R17" s="2" t="s">
        <v>166</v>
      </c>
      <c r="S17" s="2" t="s">
        <v>166</v>
      </c>
      <c r="T17" s="2" t="s">
        <v>166</v>
      </c>
      <c r="U17" s="2" t="s">
        <v>166</v>
      </c>
      <c r="V17" s="2" t="s">
        <v>166</v>
      </c>
      <c r="W17" s="2" t="s">
        <v>166</v>
      </c>
      <c r="X17" s="2">
        <v>5</v>
      </c>
      <c r="Y17" s="2">
        <v>3</v>
      </c>
      <c r="Z17" s="2">
        <v>5</v>
      </c>
      <c r="AA17" s="2">
        <v>4</v>
      </c>
      <c r="AB17" s="2">
        <v>11</v>
      </c>
      <c r="AC17" s="2">
        <v>9</v>
      </c>
      <c r="AD17" s="2">
        <v>7</v>
      </c>
      <c r="AE17" s="2">
        <v>3</v>
      </c>
      <c r="AF17" s="2">
        <v>12</v>
      </c>
      <c r="AG17" s="2">
        <v>3</v>
      </c>
      <c r="AH17" s="2">
        <v>3</v>
      </c>
      <c r="AI17" s="2">
        <v>8</v>
      </c>
      <c r="AJ17" s="2">
        <v>5</v>
      </c>
      <c r="AK17" s="2">
        <v>4</v>
      </c>
      <c r="AL17" s="2">
        <v>4</v>
      </c>
      <c r="AM17" s="2">
        <v>21</v>
      </c>
      <c r="AN17" s="2">
        <v>6</v>
      </c>
      <c r="AO17" s="2">
        <v>4</v>
      </c>
      <c r="AP17" s="2">
        <v>5</v>
      </c>
      <c r="AQ17" s="2">
        <v>7</v>
      </c>
      <c r="AR17" s="2">
        <v>7</v>
      </c>
      <c r="AS17" s="2">
        <v>6</v>
      </c>
      <c r="AT17" s="2">
        <v>3</v>
      </c>
      <c r="AU17" s="2">
        <v>7</v>
      </c>
      <c r="AV17" s="2">
        <v>6</v>
      </c>
      <c r="AW17" s="2">
        <v>4</v>
      </c>
      <c r="AX17" s="2">
        <v>18</v>
      </c>
      <c r="AY17" s="2">
        <v>4</v>
      </c>
      <c r="AZ17" s="2">
        <v>4</v>
      </c>
      <c r="BA17" s="2">
        <v>6</v>
      </c>
      <c r="BB17" s="2">
        <v>2</v>
      </c>
      <c r="BC17" s="2">
        <v>4</v>
      </c>
      <c r="BD17" s="2">
        <v>6</v>
      </c>
      <c r="BE17" s="2">
        <v>10</v>
      </c>
      <c r="BF17" s="2">
        <v>9</v>
      </c>
      <c r="BG17" s="2">
        <v>8</v>
      </c>
      <c r="BH17" s="2">
        <v>10</v>
      </c>
      <c r="BI17" s="2">
        <v>5</v>
      </c>
      <c r="BJ17" s="2">
        <v>6</v>
      </c>
      <c r="BK17" s="2">
        <v>5</v>
      </c>
      <c r="BL17" s="2">
        <v>4</v>
      </c>
      <c r="BM17" s="2">
        <v>8</v>
      </c>
      <c r="BN17" s="2">
        <v>6</v>
      </c>
      <c r="BO17" s="2">
        <v>6</v>
      </c>
      <c r="BP17" s="2">
        <v>4</v>
      </c>
      <c r="BQ17" s="2">
        <v>4</v>
      </c>
      <c r="BR17" s="2">
        <v>5</v>
      </c>
      <c r="BS17" s="2">
        <v>12</v>
      </c>
      <c r="BT17" s="2">
        <v>5</v>
      </c>
      <c r="BU17" s="2">
        <v>8</v>
      </c>
      <c r="BV17" s="2">
        <v>8</v>
      </c>
      <c r="BW17" s="2">
        <v>17</v>
      </c>
      <c r="BX17" s="2">
        <v>14</v>
      </c>
      <c r="BY17" s="2">
        <v>6</v>
      </c>
      <c r="BZ17" s="2">
        <v>16</v>
      </c>
      <c r="CA17" s="2">
        <v>2</v>
      </c>
      <c r="CB17" s="2">
        <v>18</v>
      </c>
      <c r="CC17" s="2">
        <v>5</v>
      </c>
      <c r="CD17" s="2">
        <v>10</v>
      </c>
      <c r="CE17" s="2">
        <v>5</v>
      </c>
      <c r="CF17" s="2">
        <v>7</v>
      </c>
      <c r="CG17" s="2">
        <v>9</v>
      </c>
      <c r="CH17" s="2">
        <v>8</v>
      </c>
      <c r="CI17" s="2">
        <v>11</v>
      </c>
      <c r="CJ17" s="2">
        <v>9</v>
      </c>
      <c r="CK17" s="2">
        <v>5</v>
      </c>
      <c r="CL17" s="2">
        <v>40</v>
      </c>
      <c r="CM17" s="2">
        <v>3</v>
      </c>
      <c r="CN17" s="2">
        <v>4</v>
      </c>
      <c r="CO17" s="2">
        <v>6</v>
      </c>
      <c r="CP17" s="2">
        <v>7</v>
      </c>
      <c r="CQ17" s="2">
        <v>4</v>
      </c>
      <c r="CR17" s="2">
        <v>4</v>
      </c>
      <c r="CS17" s="2">
        <v>8</v>
      </c>
      <c r="CT17" s="2">
        <v>7</v>
      </c>
      <c r="CU17" s="2">
        <v>7</v>
      </c>
      <c r="CV17" s="2">
        <v>6</v>
      </c>
      <c r="CW17" s="2">
        <v>9</v>
      </c>
      <c r="CX17" s="2">
        <v>4</v>
      </c>
      <c r="CY17" s="2" t="s">
        <v>148</v>
      </c>
      <c r="CZ17" s="2" t="s">
        <v>149</v>
      </c>
      <c r="DA17" s="2" t="s">
        <v>150</v>
      </c>
      <c r="DB17" s="2" t="s">
        <v>151</v>
      </c>
      <c r="DC17" s="2" t="s">
        <v>152</v>
      </c>
      <c r="DD17" s="2" t="s">
        <v>153</v>
      </c>
      <c r="DE17" s="2">
        <v>0</v>
      </c>
      <c r="DF17" s="2">
        <v>2</v>
      </c>
      <c r="DG17" s="2" t="s">
        <v>167</v>
      </c>
      <c r="DH17" s="2" t="s">
        <v>154</v>
      </c>
      <c r="DI17" s="2" t="s">
        <v>167</v>
      </c>
      <c r="DJ17" s="2" t="s">
        <v>154</v>
      </c>
      <c r="DK17" s="2" t="s">
        <v>168</v>
      </c>
      <c r="DL17" s="2" t="s">
        <v>154</v>
      </c>
      <c r="DM17" s="2" t="s">
        <v>167</v>
      </c>
      <c r="DN17" s="2" t="s">
        <v>154</v>
      </c>
      <c r="DO17" s="2"/>
      <c r="DP17" s="2"/>
      <c r="DQ17" s="2">
        <v>195.01599999999999</v>
      </c>
      <c r="DR17" s="2" t="s">
        <v>147</v>
      </c>
      <c r="DS17" s="2">
        <v>886.51700000000005</v>
      </c>
    </row>
    <row r="18" spans="1:123" x14ac:dyDescent="0.2">
      <c r="A18" s="1" t="s">
        <v>172</v>
      </c>
      <c r="B18" s="2" t="s">
        <v>140</v>
      </c>
      <c r="C18" s="2">
        <v>65</v>
      </c>
      <c r="D18" s="2" t="s">
        <v>173</v>
      </c>
      <c r="E18" s="2" t="s">
        <v>142</v>
      </c>
      <c r="F18" s="2">
        <v>26.744</v>
      </c>
      <c r="G18" s="2" t="s">
        <v>143</v>
      </c>
      <c r="H18" s="2" t="s">
        <v>171</v>
      </c>
      <c r="I18" s="2" t="s">
        <v>158</v>
      </c>
      <c r="J18" s="2" t="s">
        <v>159</v>
      </c>
      <c r="K18" s="2" t="s">
        <v>160</v>
      </c>
      <c r="L18" s="2">
        <v>60.415999999999997</v>
      </c>
      <c r="M18" s="2" t="s">
        <v>161</v>
      </c>
      <c r="N18" s="2" t="s">
        <v>144</v>
      </c>
      <c r="O18" s="2" t="s">
        <v>145</v>
      </c>
      <c r="P18" s="2">
        <v>24.776</v>
      </c>
      <c r="Q18" s="2" t="s">
        <v>174</v>
      </c>
      <c r="R18" s="2" t="s">
        <v>166</v>
      </c>
      <c r="S18" s="2" t="s">
        <v>166</v>
      </c>
      <c r="T18" s="2" t="s">
        <v>166</v>
      </c>
      <c r="U18" s="2" t="s">
        <v>166</v>
      </c>
      <c r="V18" s="2" t="s">
        <v>166</v>
      </c>
      <c r="W18" s="2" t="s">
        <v>166</v>
      </c>
      <c r="X18" s="2">
        <v>13</v>
      </c>
      <c r="Y18" s="2">
        <v>4</v>
      </c>
      <c r="Z18" s="2">
        <v>6</v>
      </c>
      <c r="AA18" s="2">
        <v>4</v>
      </c>
      <c r="AB18" s="2">
        <v>7</v>
      </c>
      <c r="AC18" s="2">
        <v>10</v>
      </c>
      <c r="AD18" s="2">
        <v>9</v>
      </c>
      <c r="AE18" s="2">
        <v>3</v>
      </c>
      <c r="AF18" s="2">
        <v>8</v>
      </c>
      <c r="AG18" s="2">
        <v>4</v>
      </c>
      <c r="AH18" s="2">
        <v>2</v>
      </c>
      <c r="AI18" s="2">
        <v>7</v>
      </c>
      <c r="AJ18" s="2">
        <v>17</v>
      </c>
      <c r="AK18" s="2">
        <v>4</v>
      </c>
      <c r="AL18" s="2">
        <v>5</v>
      </c>
      <c r="AM18" s="2">
        <v>7</v>
      </c>
      <c r="AN18" s="2">
        <v>7</v>
      </c>
      <c r="AO18" s="2">
        <v>5</v>
      </c>
      <c r="AP18" s="2">
        <v>5</v>
      </c>
      <c r="AQ18" s="2">
        <v>7</v>
      </c>
      <c r="AR18" s="2">
        <v>7</v>
      </c>
      <c r="AS18" s="2">
        <v>7</v>
      </c>
      <c r="AT18" s="2">
        <v>6</v>
      </c>
      <c r="AU18" s="2">
        <v>5</v>
      </c>
      <c r="AV18" s="2">
        <v>8</v>
      </c>
      <c r="AW18" s="2">
        <v>5</v>
      </c>
      <c r="AX18" s="2">
        <v>9</v>
      </c>
      <c r="AY18" s="2">
        <v>4</v>
      </c>
      <c r="AZ18" s="2">
        <v>5</v>
      </c>
      <c r="BA18" s="2">
        <v>6</v>
      </c>
      <c r="BB18" s="2">
        <v>5</v>
      </c>
      <c r="BC18" s="2">
        <v>5</v>
      </c>
      <c r="BD18" s="2">
        <v>7</v>
      </c>
      <c r="BE18" s="2">
        <v>8</v>
      </c>
      <c r="BF18" s="2">
        <v>6</v>
      </c>
      <c r="BG18" s="2">
        <v>8</v>
      </c>
      <c r="BH18" s="2">
        <v>8</v>
      </c>
      <c r="BI18" s="2">
        <v>5</v>
      </c>
      <c r="BJ18" s="2">
        <v>7</v>
      </c>
      <c r="BK18" s="2">
        <v>14</v>
      </c>
      <c r="BL18" s="2">
        <v>6</v>
      </c>
      <c r="BM18" s="2">
        <v>10</v>
      </c>
      <c r="BN18" s="2">
        <v>7</v>
      </c>
      <c r="BO18" s="2">
        <v>4</v>
      </c>
      <c r="BP18" s="2">
        <v>6</v>
      </c>
      <c r="BQ18" s="2">
        <v>4</v>
      </c>
      <c r="BR18" s="2">
        <v>6</v>
      </c>
      <c r="BS18" s="2">
        <v>8</v>
      </c>
      <c r="BT18" s="2">
        <v>5</v>
      </c>
      <c r="BU18" s="2">
        <v>7</v>
      </c>
      <c r="BV18" s="2">
        <v>5</v>
      </c>
      <c r="BW18" s="2">
        <v>4</v>
      </c>
      <c r="BX18" s="2">
        <v>9</v>
      </c>
      <c r="BY18" s="2">
        <v>7</v>
      </c>
      <c r="BZ18" s="2">
        <v>7</v>
      </c>
      <c r="CA18" s="2">
        <v>3</v>
      </c>
      <c r="CB18" s="2">
        <v>7</v>
      </c>
      <c r="CC18" s="2">
        <v>3</v>
      </c>
      <c r="CD18" s="2">
        <v>6</v>
      </c>
      <c r="CE18" s="2">
        <v>6</v>
      </c>
      <c r="CF18" s="2">
        <v>5</v>
      </c>
      <c r="CG18" s="2">
        <v>6</v>
      </c>
      <c r="CH18" s="2">
        <v>6</v>
      </c>
      <c r="CI18" s="2">
        <v>7</v>
      </c>
      <c r="CJ18" s="2">
        <v>9</v>
      </c>
      <c r="CK18" s="2">
        <v>6</v>
      </c>
      <c r="CL18" s="2">
        <v>42</v>
      </c>
      <c r="CM18" s="2">
        <v>3</v>
      </c>
      <c r="CN18" s="2">
        <v>3</v>
      </c>
      <c r="CO18" s="2">
        <v>5</v>
      </c>
      <c r="CP18" s="2">
        <v>7</v>
      </c>
      <c r="CQ18" s="2">
        <v>4</v>
      </c>
      <c r="CR18" s="2">
        <v>5</v>
      </c>
      <c r="CS18" s="2">
        <v>5</v>
      </c>
      <c r="CT18" s="2">
        <v>4</v>
      </c>
      <c r="CU18" s="2">
        <v>4</v>
      </c>
      <c r="CV18" s="2">
        <v>4</v>
      </c>
      <c r="CW18" s="2">
        <v>8</v>
      </c>
      <c r="CX18" s="2">
        <v>4</v>
      </c>
      <c r="CY18" s="2" t="s">
        <v>148</v>
      </c>
      <c r="CZ18" s="2" t="s">
        <v>149</v>
      </c>
      <c r="DA18" s="2" t="s">
        <v>150</v>
      </c>
      <c r="DB18" s="2" t="s">
        <v>151</v>
      </c>
      <c r="DC18" s="2" t="s">
        <v>152</v>
      </c>
      <c r="DD18" s="2" t="s">
        <v>153</v>
      </c>
      <c r="DE18" s="2">
        <v>0</v>
      </c>
      <c r="DF18" s="2">
        <v>1</v>
      </c>
      <c r="DG18" s="2" t="s">
        <v>154</v>
      </c>
      <c r="DH18" s="2" t="s">
        <v>154</v>
      </c>
      <c r="DI18" s="2" t="s">
        <v>154</v>
      </c>
      <c r="DJ18" s="2" t="s">
        <v>167</v>
      </c>
      <c r="DK18" s="2" t="s">
        <v>156</v>
      </c>
      <c r="DL18" s="2" t="s">
        <v>154</v>
      </c>
      <c r="DM18" s="2" t="s">
        <v>154</v>
      </c>
      <c r="DN18" s="2" t="s">
        <v>167</v>
      </c>
      <c r="DO18" s="2"/>
      <c r="DP18" s="2"/>
      <c r="DQ18" s="2">
        <v>215.49299999999999</v>
      </c>
      <c r="DR18" s="2" t="s">
        <v>147</v>
      </c>
      <c r="DS18" s="2">
        <v>900.49300000000005</v>
      </c>
    </row>
    <row r="19" spans="1:123" x14ac:dyDescent="0.2">
      <c r="A19" s="1" t="s">
        <v>175</v>
      </c>
      <c r="B19" s="2" t="s">
        <v>140</v>
      </c>
      <c r="C19" s="2">
        <v>40</v>
      </c>
      <c r="D19" s="2" t="s">
        <v>173</v>
      </c>
      <c r="E19" s="3"/>
      <c r="F19" s="3"/>
      <c r="G19" s="3"/>
      <c r="H19" s="3"/>
      <c r="I19" s="3"/>
      <c r="J19" s="3"/>
      <c r="K19" s="3"/>
      <c r="L19" s="3"/>
      <c r="M19" s="3"/>
      <c r="N19" s="2" t="s">
        <v>164</v>
      </c>
      <c r="O19" s="2" t="s">
        <v>145</v>
      </c>
      <c r="P19" s="2">
        <v>32.066000000000003</v>
      </c>
      <c r="Q19" s="2" t="s">
        <v>165</v>
      </c>
      <c r="R19" s="2" t="s">
        <v>166</v>
      </c>
      <c r="S19" s="2" t="s">
        <v>166</v>
      </c>
      <c r="T19" s="2" t="s">
        <v>166</v>
      </c>
      <c r="U19" s="2" t="s">
        <v>166</v>
      </c>
      <c r="V19" s="2" t="s">
        <v>166</v>
      </c>
      <c r="W19" s="2" t="s">
        <v>166</v>
      </c>
      <c r="X19" s="2">
        <v>4</v>
      </c>
      <c r="Y19" s="2">
        <v>4</v>
      </c>
      <c r="Z19" s="2">
        <v>5</v>
      </c>
      <c r="AA19" s="2">
        <v>3</v>
      </c>
      <c r="AB19" s="2">
        <v>5</v>
      </c>
      <c r="AC19" s="2">
        <v>9</v>
      </c>
      <c r="AD19" s="2">
        <v>4</v>
      </c>
      <c r="AE19" s="2">
        <v>2</v>
      </c>
      <c r="AF19" s="2">
        <v>5</v>
      </c>
      <c r="AG19" s="2">
        <v>9</v>
      </c>
      <c r="AH19" s="2">
        <v>2</v>
      </c>
      <c r="AI19" s="2">
        <v>9</v>
      </c>
      <c r="AJ19" s="2">
        <v>9</v>
      </c>
      <c r="AK19" s="2">
        <v>3</v>
      </c>
      <c r="AL19" s="2">
        <v>3</v>
      </c>
      <c r="AM19" s="2">
        <v>4</v>
      </c>
      <c r="AN19" s="2">
        <v>9</v>
      </c>
      <c r="AO19" s="2">
        <v>6</v>
      </c>
      <c r="AP19" s="2">
        <v>3</v>
      </c>
      <c r="AQ19" s="2">
        <v>5</v>
      </c>
      <c r="AR19" s="2">
        <v>5</v>
      </c>
      <c r="AS19" s="2">
        <v>16</v>
      </c>
      <c r="AT19" s="2">
        <v>3</v>
      </c>
      <c r="AU19" s="2">
        <v>4</v>
      </c>
      <c r="AV19" s="2">
        <v>8</v>
      </c>
      <c r="AW19" s="2">
        <v>8</v>
      </c>
      <c r="AX19" s="2">
        <v>6</v>
      </c>
      <c r="AY19" s="2">
        <v>3</v>
      </c>
      <c r="AZ19" s="2">
        <v>3</v>
      </c>
      <c r="BA19" s="2">
        <v>6</v>
      </c>
      <c r="BB19" s="2">
        <v>10</v>
      </c>
      <c r="BC19" s="2">
        <v>6</v>
      </c>
      <c r="BD19" s="2">
        <v>7</v>
      </c>
      <c r="BE19" s="2">
        <v>3</v>
      </c>
      <c r="BF19" s="2">
        <v>5</v>
      </c>
      <c r="BG19" s="2">
        <v>6</v>
      </c>
      <c r="BH19" s="2">
        <v>4</v>
      </c>
      <c r="BI19" s="2">
        <v>2</v>
      </c>
      <c r="BJ19" s="2">
        <v>4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2">
        <v>3</v>
      </c>
      <c r="BW19" s="2">
        <v>3</v>
      </c>
      <c r="BX19" s="2">
        <v>4</v>
      </c>
      <c r="BY19" s="2">
        <v>5</v>
      </c>
      <c r="BZ19" s="2">
        <v>3</v>
      </c>
      <c r="CA19" s="2">
        <v>2</v>
      </c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2">
        <v>41</v>
      </c>
      <c r="CM19" s="2">
        <v>2</v>
      </c>
      <c r="CN19" s="2">
        <v>1</v>
      </c>
      <c r="CO19" s="2">
        <v>16</v>
      </c>
      <c r="CP19" s="2">
        <v>1</v>
      </c>
      <c r="CQ19" s="2">
        <v>1</v>
      </c>
      <c r="CR19" s="2">
        <v>3</v>
      </c>
      <c r="CS19" s="2">
        <v>2</v>
      </c>
      <c r="CT19" s="2">
        <v>1</v>
      </c>
      <c r="CU19" s="2">
        <v>3</v>
      </c>
      <c r="CV19" s="2">
        <v>1</v>
      </c>
      <c r="CW19" s="2">
        <v>1</v>
      </c>
      <c r="CX19" s="2">
        <v>1</v>
      </c>
      <c r="CY19" s="2" t="s">
        <v>148</v>
      </c>
      <c r="CZ19" s="2" t="s">
        <v>149</v>
      </c>
      <c r="DA19" s="2" t="s">
        <v>150</v>
      </c>
      <c r="DB19" s="2" t="s">
        <v>151</v>
      </c>
      <c r="DC19" s="2" t="s">
        <v>152</v>
      </c>
      <c r="DD19" s="2" t="s">
        <v>153</v>
      </c>
      <c r="DE19" s="2">
        <v>3</v>
      </c>
      <c r="DF19" s="2">
        <v>8</v>
      </c>
      <c r="DG19" s="2" t="s">
        <v>167</v>
      </c>
      <c r="DH19" s="2" t="s">
        <v>154</v>
      </c>
      <c r="DI19" s="2" t="s">
        <v>168</v>
      </c>
      <c r="DJ19" s="2" t="s">
        <v>167</v>
      </c>
      <c r="DK19" s="2" t="s">
        <v>156</v>
      </c>
      <c r="DL19" s="2" t="s">
        <v>167</v>
      </c>
      <c r="DM19" s="2" t="s">
        <v>167</v>
      </c>
      <c r="DN19" s="2" t="s">
        <v>167</v>
      </c>
      <c r="DO19" s="2"/>
      <c r="DP19" s="2"/>
      <c r="DQ19" s="3"/>
      <c r="DR19" s="3"/>
      <c r="DS19" s="3"/>
    </row>
    <row r="20" spans="1:123" x14ac:dyDescent="0.2">
      <c r="A20" s="1" t="s">
        <v>180</v>
      </c>
      <c r="B20" s="2" t="s">
        <v>140</v>
      </c>
      <c r="C20" s="2">
        <v>45</v>
      </c>
      <c r="D20" s="2" t="s">
        <v>141</v>
      </c>
      <c r="E20" s="2" t="s">
        <v>142</v>
      </c>
      <c r="F20" s="2">
        <v>9.7780000000000005</v>
      </c>
      <c r="G20" s="2" t="s">
        <v>143</v>
      </c>
      <c r="H20" s="3"/>
      <c r="I20" s="3"/>
      <c r="J20" s="3"/>
      <c r="K20" s="3"/>
      <c r="L20" s="3"/>
      <c r="M20" s="3"/>
      <c r="N20" s="2" t="s">
        <v>164</v>
      </c>
      <c r="O20" s="2" t="s">
        <v>145</v>
      </c>
      <c r="P20" s="2">
        <v>26.526</v>
      </c>
      <c r="Q20" s="2" t="s">
        <v>165</v>
      </c>
      <c r="R20" s="2" t="s">
        <v>166</v>
      </c>
      <c r="S20" s="2" t="s">
        <v>166</v>
      </c>
      <c r="T20" s="2" t="s">
        <v>166</v>
      </c>
      <c r="U20" s="2" t="s">
        <v>166</v>
      </c>
      <c r="V20" s="2" t="s">
        <v>166</v>
      </c>
      <c r="W20" s="2" t="s">
        <v>166</v>
      </c>
      <c r="X20" s="2">
        <v>29</v>
      </c>
      <c r="Y20" s="2">
        <v>2</v>
      </c>
      <c r="Z20" s="2">
        <v>4</v>
      </c>
      <c r="AA20" s="2">
        <v>6</v>
      </c>
      <c r="AB20" s="2">
        <v>5</v>
      </c>
      <c r="AC20" s="2">
        <v>6</v>
      </c>
      <c r="AD20" s="2">
        <v>5</v>
      </c>
      <c r="AE20" s="2">
        <v>3</v>
      </c>
      <c r="AF20" s="2">
        <v>4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2">
        <v>3</v>
      </c>
      <c r="AU20" s="2">
        <v>5</v>
      </c>
      <c r="AV20" s="2">
        <v>5</v>
      </c>
      <c r="AW20" s="3"/>
      <c r="AX20" s="3"/>
      <c r="AY20" s="3"/>
      <c r="AZ20" s="3"/>
      <c r="BA20" s="3"/>
      <c r="BB20" s="3"/>
      <c r="BC20" s="3"/>
      <c r="BD20" s="3"/>
      <c r="BE20" s="2">
        <v>25</v>
      </c>
      <c r="BF20" s="2">
        <v>6</v>
      </c>
      <c r="BG20" s="2">
        <v>5</v>
      </c>
      <c r="BH20" s="2">
        <v>5</v>
      </c>
      <c r="BI20" s="2">
        <v>3</v>
      </c>
      <c r="BJ20" s="2">
        <v>4</v>
      </c>
      <c r="BK20" s="2">
        <v>18</v>
      </c>
      <c r="BL20" s="2">
        <v>4</v>
      </c>
      <c r="BM20" s="2">
        <v>5</v>
      </c>
      <c r="BN20" s="2">
        <v>5</v>
      </c>
      <c r="BO20" s="2">
        <v>3</v>
      </c>
      <c r="BP20" s="2">
        <v>5</v>
      </c>
      <c r="BQ20" s="2">
        <v>7</v>
      </c>
      <c r="BR20" s="2">
        <v>4</v>
      </c>
      <c r="BS20" s="2">
        <v>5</v>
      </c>
      <c r="BT20" s="2">
        <v>4</v>
      </c>
      <c r="BU20" s="2">
        <v>5</v>
      </c>
      <c r="BV20" s="2">
        <v>5</v>
      </c>
      <c r="BW20" s="2">
        <v>5</v>
      </c>
      <c r="BX20" s="2">
        <v>6</v>
      </c>
      <c r="BY20" s="2">
        <v>5</v>
      </c>
      <c r="BZ20" s="2">
        <v>7</v>
      </c>
      <c r="CA20" s="2">
        <v>3</v>
      </c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2">
        <v>42</v>
      </c>
      <c r="CM20" s="2">
        <v>4</v>
      </c>
      <c r="CN20" s="2">
        <v>5</v>
      </c>
      <c r="CO20" s="2">
        <v>4</v>
      </c>
      <c r="CP20" s="2">
        <v>11</v>
      </c>
      <c r="CQ20" s="2">
        <v>4</v>
      </c>
      <c r="CR20" s="2">
        <v>19</v>
      </c>
      <c r="CS20" s="2">
        <v>7</v>
      </c>
      <c r="CT20" s="2">
        <v>4</v>
      </c>
      <c r="CU20" s="2">
        <v>5</v>
      </c>
      <c r="CV20" s="2">
        <v>5</v>
      </c>
      <c r="CW20" s="2">
        <v>4</v>
      </c>
      <c r="CX20" s="2">
        <v>3</v>
      </c>
      <c r="CY20" s="2" t="s">
        <v>148</v>
      </c>
      <c r="CZ20" s="2" t="s">
        <v>149</v>
      </c>
      <c r="DA20" s="2" t="s">
        <v>150</v>
      </c>
      <c r="DB20" s="2" t="s">
        <v>151</v>
      </c>
      <c r="DC20" s="2" t="s">
        <v>152</v>
      </c>
      <c r="DD20" s="2" t="s">
        <v>153</v>
      </c>
      <c r="DE20" s="2">
        <v>4</v>
      </c>
      <c r="DF20" s="2">
        <v>7</v>
      </c>
      <c r="DG20" s="2" t="s">
        <v>154</v>
      </c>
      <c r="DH20" s="2" t="s">
        <v>167</v>
      </c>
      <c r="DI20" s="2" t="s">
        <v>184</v>
      </c>
      <c r="DJ20" s="2" t="s">
        <v>184</v>
      </c>
      <c r="DK20" s="2" t="s">
        <v>184</v>
      </c>
      <c r="DL20" s="2" t="s">
        <v>184</v>
      </c>
      <c r="DM20" s="2" t="s">
        <v>167</v>
      </c>
      <c r="DN20" s="2" t="s">
        <v>154</v>
      </c>
      <c r="DO20" s="2"/>
      <c r="DP20" s="2"/>
      <c r="DQ20" s="2">
        <v>212.62</v>
      </c>
      <c r="DR20" s="3"/>
      <c r="DS20" s="3"/>
    </row>
    <row r="21" spans="1:123" x14ac:dyDescent="0.2">
      <c r="A21" s="1" t="s">
        <v>187</v>
      </c>
      <c r="B21" s="2" t="s">
        <v>140</v>
      </c>
      <c r="C21" s="2">
        <v>32</v>
      </c>
      <c r="D21" s="2" t="s">
        <v>173</v>
      </c>
      <c r="E21" s="2" t="s">
        <v>142</v>
      </c>
      <c r="F21" s="2">
        <v>6.5570000000000004</v>
      </c>
      <c r="G21" s="2" t="s">
        <v>143</v>
      </c>
      <c r="H21" s="2" t="s">
        <v>171</v>
      </c>
      <c r="I21" s="2" t="s">
        <v>188</v>
      </c>
      <c r="J21" s="2" t="s">
        <v>189</v>
      </c>
      <c r="K21" s="2" t="s">
        <v>160</v>
      </c>
      <c r="L21" s="2">
        <v>25.946999999999999</v>
      </c>
      <c r="M21" s="2" t="s">
        <v>161</v>
      </c>
      <c r="N21" s="2" t="s">
        <v>144</v>
      </c>
      <c r="O21" s="2" t="s">
        <v>145</v>
      </c>
      <c r="P21" s="2">
        <v>11.218</v>
      </c>
      <c r="Q21" s="2" t="s">
        <v>174</v>
      </c>
      <c r="R21" s="2" t="s">
        <v>166</v>
      </c>
      <c r="S21" s="2" t="s">
        <v>166</v>
      </c>
      <c r="T21" s="2" t="s">
        <v>166</v>
      </c>
      <c r="U21" s="2" t="s">
        <v>166</v>
      </c>
      <c r="V21" s="2" t="s">
        <v>166</v>
      </c>
      <c r="W21" s="2" t="s">
        <v>166</v>
      </c>
      <c r="X21" s="2">
        <v>3</v>
      </c>
      <c r="Y21" s="2">
        <v>3</v>
      </c>
      <c r="Z21" s="2">
        <v>4</v>
      </c>
      <c r="AA21" s="2">
        <v>4</v>
      </c>
      <c r="AB21" s="2">
        <v>5</v>
      </c>
      <c r="AC21" s="2">
        <v>5</v>
      </c>
      <c r="AD21" s="2">
        <v>4</v>
      </c>
      <c r="AE21" s="2">
        <v>3</v>
      </c>
      <c r="AF21" s="2">
        <v>4</v>
      </c>
      <c r="AG21" s="2">
        <v>3</v>
      </c>
      <c r="AH21" s="2">
        <v>3</v>
      </c>
      <c r="AI21" s="2">
        <v>4</v>
      </c>
      <c r="AJ21" s="2">
        <v>5</v>
      </c>
      <c r="AK21" s="2">
        <v>3</v>
      </c>
      <c r="AL21" s="2">
        <v>4</v>
      </c>
      <c r="AM21" s="2">
        <v>5</v>
      </c>
      <c r="AN21" s="2">
        <v>5</v>
      </c>
      <c r="AO21" s="2">
        <v>4</v>
      </c>
      <c r="AP21" s="2">
        <v>4</v>
      </c>
      <c r="AQ21" s="2">
        <v>5</v>
      </c>
      <c r="AR21" s="2">
        <v>5</v>
      </c>
      <c r="AS21" s="2">
        <v>6</v>
      </c>
      <c r="AT21" s="2">
        <v>5</v>
      </c>
      <c r="AU21" s="2">
        <v>7</v>
      </c>
      <c r="AV21" s="2">
        <v>6</v>
      </c>
      <c r="AW21" s="2">
        <v>3</v>
      </c>
      <c r="AX21" s="2">
        <v>8</v>
      </c>
      <c r="AY21" s="2">
        <v>5</v>
      </c>
      <c r="AZ21" s="2">
        <v>5</v>
      </c>
      <c r="BA21" s="2">
        <v>6</v>
      </c>
      <c r="BB21" s="2">
        <v>5</v>
      </c>
      <c r="BC21" s="2">
        <v>4</v>
      </c>
      <c r="BD21" s="2">
        <v>7</v>
      </c>
      <c r="BE21" s="2">
        <v>7</v>
      </c>
      <c r="BF21" s="2">
        <v>6</v>
      </c>
      <c r="BG21" s="2">
        <v>5</v>
      </c>
      <c r="BH21" s="2">
        <v>5</v>
      </c>
      <c r="BI21" s="2">
        <v>4</v>
      </c>
      <c r="BJ21" s="2">
        <v>4</v>
      </c>
      <c r="BK21" s="2">
        <v>5</v>
      </c>
      <c r="BL21" s="2">
        <v>4</v>
      </c>
      <c r="BM21" s="2">
        <v>5</v>
      </c>
      <c r="BN21" s="2">
        <v>4</v>
      </c>
      <c r="BO21" s="2">
        <v>4</v>
      </c>
      <c r="BP21" s="2">
        <v>5</v>
      </c>
      <c r="BQ21" s="2">
        <v>4</v>
      </c>
      <c r="BR21" s="2">
        <v>4</v>
      </c>
      <c r="BS21" s="2">
        <v>4</v>
      </c>
      <c r="BT21" s="2">
        <v>4</v>
      </c>
      <c r="BU21" s="2">
        <v>5</v>
      </c>
      <c r="BV21" s="2">
        <v>2</v>
      </c>
      <c r="BW21" s="2">
        <v>4</v>
      </c>
      <c r="BX21" s="2">
        <v>5</v>
      </c>
      <c r="BY21" s="2">
        <v>12</v>
      </c>
      <c r="BZ21" s="2">
        <v>4</v>
      </c>
      <c r="CA21" s="2">
        <v>3</v>
      </c>
      <c r="CB21" s="2">
        <v>6</v>
      </c>
      <c r="CC21" s="2">
        <v>3</v>
      </c>
      <c r="CD21" s="2">
        <v>6</v>
      </c>
      <c r="CE21" s="2">
        <v>5</v>
      </c>
      <c r="CF21" s="2">
        <v>4</v>
      </c>
      <c r="CG21" s="2">
        <v>4</v>
      </c>
      <c r="CH21" s="2">
        <v>6</v>
      </c>
      <c r="CI21" s="2">
        <v>7</v>
      </c>
      <c r="CJ21" s="2">
        <v>9</v>
      </c>
      <c r="CK21" s="2">
        <v>4</v>
      </c>
      <c r="CL21" s="2">
        <v>20</v>
      </c>
      <c r="CM21" s="2">
        <v>4</v>
      </c>
      <c r="CN21" s="2">
        <v>6</v>
      </c>
      <c r="CO21" s="2">
        <v>5</v>
      </c>
      <c r="CP21" s="2">
        <v>5</v>
      </c>
      <c r="CQ21" s="2">
        <v>4</v>
      </c>
      <c r="CR21" s="2">
        <v>3</v>
      </c>
      <c r="CS21" s="2">
        <v>7</v>
      </c>
      <c r="CT21" s="2">
        <v>5</v>
      </c>
      <c r="CU21" s="2">
        <v>5</v>
      </c>
      <c r="CV21" s="2">
        <v>5</v>
      </c>
      <c r="CW21" s="2">
        <v>5</v>
      </c>
      <c r="CX21" s="2">
        <v>4</v>
      </c>
      <c r="CY21" s="2" t="s">
        <v>148</v>
      </c>
      <c r="CZ21" s="2" t="s">
        <v>149</v>
      </c>
      <c r="DA21" s="2" t="s">
        <v>150</v>
      </c>
      <c r="DB21" s="2" t="s">
        <v>151</v>
      </c>
      <c r="DC21" s="2" t="s">
        <v>152</v>
      </c>
      <c r="DD21" s="2" t="s">
        <v>153</v>
      </c>
      <c r="DE21" s="2">
        <v>0</v>
      </c>
      <c r="DF21" s="2">
        <v>1</v>
      </c>
      <c r="DG21" s="2" t="s">
        <v>167</v>
      </c>
      <c r="DH21" s="2" t="s">
        <v>154</v>
      </c>
      <c r="DI21" s="2" t="s">
        <v>184</v>
      </c>
      <c r="DJ21" s="2" t="s">
        <v>167</v>
      </c>
      <c r="DK21" s="2" t="s">
        <v>156</v>
      </c>
      <c r="DL21" s="2" t="s">
        <v>167</v>
      </c>
      <c r="DM21" s="2" t="s">
        <v>167</v>
      </c>
      <c r="DN21" s="2" t="s">
        <v>167</v>
      </c>
      <c r="DO21" s="2"/>
      <c r="DP21" s="2"/>
      <c r="DQ21" s="2">
        <v>134.898</v>
      </c>
      <c r="DR21" s="2" t="s">
        <v>147</v>
      </c>
      <c r="DS21" s="2">
        <v>586.57100000000003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C20D-D3E4-714E-9C2B-E6F2D6C0DA72}">
  <dimension ref="A1:AN22"/>
  <sheetViews>
    <sheetView topLeftCell="Z1" workbookViewId="0">
      <selection activeCell="AF1" sqref="AF1"/>
    </sheetView>
  </sheetViews>
  <sheetFormatPr baseColWidth="10" defaultRowHeight="16" x14ac:dyDescent="0.2"/>
  <cols>
    <col min="5" max="5" width="23" customWidth="1"/>
    <col min="6" max="6" width="33.5" customWidth="1"/>
    <col min="7" max="7" width="19.6640625" customWidth="1"/>
    <col min="8" max="8" width="33" customWidth="1"/>
    <col min="9" max="9" width="19.6640625" customWidth="1"/>
    <col min="10" max="10" width="20.6640625" customWidth="1"/>
    <col min="11" max="11" width="21.5" customWidth="1"/>
    <col min="12" max="12" width="23" customWidth="1"/>
    <col min="13" max="15" width="22.33203125" customWidth="1"/>
    <col min="16" max="16" width="23.33203125" customWidth="1"/>
    <col min="17" max="17" width="22.33203125" customWidth="1"/>
    <col min="18" max="18" width="23.83203125" customWidth="1"/>
    <col min="19" max="19" width="31.1640625" customWidth="1"/>
    <col min="20" max="20" width="23.83203125" customWidth="1"/>
    <col min="21" max="21" width="34.33203125" customWidth="1"/>
    <col min="22" max="22" width="33.5" customWidth="1"/>
    <col min="23" max="23" width="19.6640625" customWidth="1"/>
    <col min="24" max="24" width="20.6640625" customWidth="1"/>
    <col min="25" max="26" width="21.5" customWidth="1"/>
    <col min="27" max="28" width="22.83203125" customWidth="1"/>
    <col min="29" max="29" width="30.1640625" customWidth="1"/>
    <col min="30" max="30" width="23" customWidth="1"/>
    <col min="31" max="31" width="24" customWidth="1"/>
    <col min="32" max="32" width="24.83203125" customWidth="1"/>
    <col min="33" max="33" width="23.1640625" customWidth="1"/>
    <col min="34" max="34" width="32" customWidth="1"/>
    <col min="35" max="35" width="34.5" customWidth="1"/>
    <col min="36" max="36" width="32.83203125" customWidth="1"/>
    <col min="37" max="37" width="24" customWidth="1"/>
    <col min="38" max="38" width="34.5" customWidth="1"/>
    <col min="39" max="39" width="32.83203125" customWidth="1"/>
    <col min="40" max="40" width="33.33203125" customWidth="1"/>
  </cols>
  <sheetData>
    <row r="1" spans="1:40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191</v>
      </c>
      <c r="F1" s="22" t="s">
        <v>192</v>
      </c>
      <c r="G1" s="22" t="s">
        <v>71</v>
      </c>
      <c r="H1" s="22" t="s">
        <v>72</v>
      </c>
      <c r="I1" s="22" t="s">
        <v>107</v>
      </c>
      <c r="J1" s="22" t="s">
        <v>108</v>
      </c>
      <c r="K1" s="22" t="s">
        <v>109</v>
      </c>
      <c r="L1" s="22" t="s">
        <v>110</v>
      </c>
      <c r="M1" s="22" t="s">
        <v>111</v>
      </c>
      <c r="N1" s="22" t="s">
        <v>112</v>
      </c>
      <c r="O1" s="22" t="s">
        <v>113</v>
      </c>
      <c r="P1" s="22" t="s">
        <v>114</v>
      </c>
      <c r="Q1" s="22" t="s">
        <v>115</v>
      </c>
      <c r="R1" s="22" t="s">
        <v>116</v>
      </c>
      <c r="S1" s="22" t="s">
        <v>133</v>
      </c>
      <c r="T1" s="22" t="s">
        <v>136</v>
      </c>
      <c r="U1" s="22" t="s">
        <v>137</v>
      </c>
      <c r="V1" s="22" t="s">
        <v>138</v>
      </c>
      <c r="W1" s="22" t="s">
        <v>193</v>
      </c>
      <c r="X1" s="22" t="s">
        <v>194</v>
      </c>
      <c r="Y1" s="22" t="s">
        <v>195</v>
      </c>
      <c r="Z1" s="22" t="s">
        <v>196</v>
      </c>
      <c r="AA1" s="22" t="s">
        <v>197</v>
      </c>
      <c r="AB1" s="22" t="s">
        <v>198</v>
      </c>
      <c r="AC1" s="22" t="s">
        <v>199</v>
      </c>
      <c r="AD1" s="22" t="s">
        <v>207</v>
      </c>
      <c r="AE1" s="22" t="s">
        <v>208</v>
      </c>
      <c r="AF1" s="22" t="s">
        <v>209</v>
      </c>
      <c r="AG1" s="22" t="s">
        <v>210</v>
      </c>
      <c r="AH1" s="22" t="s">
        <v>211</v>
      </c>
      <c r="AI1" s="22" t="s">
        <v>212</v>
      </c>
      <c r="AJ1" s="22" t="s">
        <v>213</v>
      </c>
      <c r="AK1" s="22" t="s">
        <v>214</v>
      </c>
      <c r="AL1" s="22" t="s">
        <v>215</v>
      </c>
      <c r="AM1" s="22" t="s">
        <v>216</v>
      </c>
      <c r="AN1" s="22" t="s">
        <v>217</v>
      </c>
    </row>
    <row r="2" spans="1:40" x14ac:dyDescent="0.2">
      <c r="A2" s="6" t="s">
        <v>218</v>
      </c>
      <c r="B2" s="14" t="s">
        <v>140</v>
      </c>
      <c r="C2" s="14">
        <v>54</v>
      </c>
      <c r="D2" s="14" t="s">
        <v>141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</row>
    <row r="3" spans="1:40" x14ac:dyDescent="0.2">
      <c r="A3" s="19" t="s">
        <v>220</v>
      </c>
      <c r="B3" s="15" t="s">
        <v>140</v>
      </c>
      <c r="C3" s="15">
        <v>55</v>
      </c>
      <c r="D3" s="15" t="s">
        <v>173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</row>
    <row r="4" spans="1:40" x14ac:dyDescent="0.2">
      <c r="A4" s="20" t="s">
        <v>221</v>
      </c>
      <c r="B4" s="14" t="s">
        <v>140</v>
      </c>
      <c r="C4" s="14">
        <v>54</v>
      </c>
      <c r="D4" s="14" t="s">
        <v>173</v>
      </c>
      <c r="E4" s="17"/>
      <c r="F4" s="17"/>
      <c r="G4" s="17"/>
      <c r="H4" s="17"/>
      <c r="I4" s="17"/>
      <c r="J4" s="14" t="s">
        <v>147</v>
      </c>
      <c r="K4" s="17"/>
      <c r="L4" s="17"/>
      <c r="M4" s="17"/>
      <c r="N4" s="17"/>
      <c r="O4" s="17"/>
      <c r="P4" s="17"/>
      <c r="Q4" s="17"/>
      <c r="R4" s="17"/>
      <c r="S4" s="14" t="s">
        <v>147</v>
      </c>
      <c r="T4" s="14" t="s">
        <v>147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</row>
    <row r="5" spans="1:40" x14ac:dyDescent="0.2">
      <c r="A5" s="21" t="s">
        <v>222</v>
      </c>
      <c r="B5" s="15" t="s">
        <v>140</v>
      </c>
      <c r="C5" s="15">
        <v>41</v>
      </c>
      <c r="D5" s="15" t="s">
        <v>141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5" t="s">
        <v>147</v>
      </c>
      <c r="U5" s="18"/>
      <c r="V5" s="18"/>
      <c r="W5" s="18"/>
      <c r="X5" s="18"/>
      <c r="Y5" s="18"/>
      <c r="Z5" s="18"/>
      <c r="AA5" s="18"/>
      <c r="AB5" s="15" t="s">
        <v>147</v>
      </c>
      <c r="AC5" s="18"/>
      <c r="AD5" s="18"/>
      <c r="AE5" s="18"/>
      <c r="AF5" s="18"/>
      <c r="AG5" s="18"/>
      <c r="AH5" s="18"/>
      <c r="AI5" s="18"/>
      <c r="AJ5" s="18"/>
      <c r="AK5" s="15" t="s">
        <v>147</v>
      </c>
      <c r="AL5" s="18"/>
      <c r="AM5" s="18"/>
      <c r="AN5" s="15" t="s">
        <v>147</v>
      </c>
    </row>
    <row r="6" spans="1:40" x14ac:dyDescent="0.2">
      <c r="A6" s="6" t="s">
        <v>223</v>
      </c>
      <c r="B6" s="14" t="s">
        <v>140</v>
      </c>
      <c r="C6" s="14">
        <v>42</v>
      </c>
      <c r="D6" s="14" t="s">
        <v>173</v>
      </c>
      <c r="E6" s="17"/>
      <c r="F6" s="17"/>
      <c r="G6" s="17"/>
      <c r="H6" s="17"/>
      <c r="I6" s="17"/>
      <c r="J6" s="17"/>
      <c r="K6" s="17"/>
      <c r="L6" s="17"/>
      <c r="M6" s="17"/>
      <c r="N6" s="14" t="s">
        <v>147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4" t="s">
        <v>147</v>
      </c>
      <c r="AL6" s="14" t="s">
        <v>147</v>
      </c>
      <c r="AM6" s="14" t="s">
        <v>147</v>
      </c>
      <c r="AN6" s="17"/>
    </row>
    <row r="7" spans="1:40" x14ac:dyDescent="0.2">
      <c r="A7" s="21" t="s">
        <v>224</v>
      </c>
      <c r="B7" s="15" t="s">
        <v>140</v>
      </c>
      <c r="C7" s="15">
        <v>45</v>
      </c>
      <c r="D7" s="15" t="s">
        <v>141</v>
      </c>
      <c r="E7" s="18"/>
      <c r="F7" s="18"/>
      <c r="G7" s="18"/>
      <c r="H7" s="18"/>
      <c r="I7" s="15" t="s">
        <v>147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</row>
    <row r="8" spans="1:40" x14ac:dyDescent="0.2">
      <c r="A8" s="6" t="s">
        <v>226</v>
      </c>
      <c r="B8" s="14" t="s">
        <v>140</v>
      </c>
      <c r="C8" s="14">
        <v>61</v>
      </c>
      <c r="D8" s="14" t="s">
        <v>141</v>
      </c>
      <c r="E8" s="17"/>
      <c r="F8" s="17"/>
      <c r="G8" s="17"/>
      <c r="H8" s="17"/>
      <c r="I8" s="17"/>
      <c r="J8" s="17"/>
      <c r="K8" s="17"/>
      <c r="L8" s="17"/>
      <c r="M8" s="14" t="s">
        <v>147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4" t="s">
        <v>147</v>
      </c>
      <c r="Z8" s="17"/>
      <c r="AA8" s="17"/>
      <c r="AB8" s="17"/>
      <c r="AC8" s="17"/>
      <c r="AD8" s="17"/>
      <c r="AE8" s="14" t="s">
        <v>147</v>
      </c>
      <c r="AF8" s="14" t="s">
        <v>147</v>
      </c>
      <c r="AG8" s="14" t="s">
        <v>147</v>
      </c>
      <c r="AH8" s="14" t="s">
        <v>147</v>
      </c>
      <c r="AI8" s="14" t="s">
        <v>147</v>
      </c>
      <c r="AJ8" s="14" t="s">
        <v>147</v>
      </c>
      <c r="AK8" s="17"/>
      <c r="AL8" s="17"/>
      <c r="AM8" s="17"/>
      <c r="AN8" s="17"/>
    </row>
    <row r="9" spans="1:40" x14ac:dyDescent="0.2">
      <c r="A9" s="21" t="s">
        <v>227</v>
      </c>
      <c r="B9" s="15" t="s">
        <v>140</v>
      </c>
      <c r="C9" s="15">
        <v>36</v>
      </c>
      <c r="D9" s="15" t="s">
        <v>141</v>
      </c>
      <c r="E9" s="18"/>
      <c r="F9" s="18"/>
      <c r="G9" s="18"/>
      <c r="H9" s="18"/>
      <c r="I9" s="15" t="s">
        <v>147</v>
      </c>
      <c r="J9" s="15" t="s">
        <v>147</v>
      </c>
      <c r="K9" s="18"/>
      <c r="L9" s="15" t="s">
        <v>147</v>
      </c>
      <c r="M9" s="18"/>
      <c r="N9" s="18"/>
      <c r="O9" s="18"/>
      <c r="P9" s="18"/>
      <c r="Q9" s="18"/>
      <c r="R9" s="18"/>
      <c r="S9" s="18"/>
      <c r="T9" s="15" t="s">
        <v>147</v>
      </c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</row>
    <row r="10" spans="1:40" x14ac:dyDescent="0.2">
      <c r="A10" s="6" t="s">
        <v>228</v>
      </c>
      <c r="B10" s="14" t="s">
        <v>140</v>
      </c>
      <c r="C10" s="14">
        <v>58</v>
      </c>
      <c r="D10" s="14" t="s">
        <v>141</v>
      </c>
      <c r="E10" s="17"/>
      <c r="F10" s="17"/>
      <c r="G10" s="17"/>
      <c r="H10" s="17"/>
      <c r="I10" s="17"/>
      <c r="J10" s="14" t="s">
        <v>147</v>
      </c>
      <c r="K10" s="17"/>
      <c r="L10" s="14" t="s">
        <v>147</v>
      </c>
      <c r="M10" s="17"/>
      <c r="N10" s="17"/>
      <c r="O10" s="17"/>
      <c r="P10" s="17"/>
      <c r="Q10" s="17"/>
      <c r="R10" s="17"/>
      <c r="S10" s="14" t="s">
        <v>147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4" t="s">
        <v>147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 x14ac:dyDescent="0.2">
      <c r="A11" s="21" t="s">
        <v>229</v>
      </c>
      <c r="B11" s="15" t="s">
        <v>140</v>
      </c>
      <c r="C11" s="15">
        <v>59</v>
      </c>
      <c r="D11" s="15" t="s">
        <v>141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</row>
    <row r="12" spans="1:40" x14ac:dyDescent="0.2">
      <c r="A12" s="6" t="s">
        <v>230</v>
      </c>
      <c r="B12" s="14" t="s">
        <v>140</v>
      </c>
      <c r="C12" s="14">
        <v>51</v>
      </c>
      <c r="D12" s="14" t="s">
        <v>141</v>
      </c>
      <c r="E12" s="17"/>
      <c r="F12" s="17"/>
      <c r="G12" s="17"/>
      <c r="H12" s="17"/>
      <c r="I12" s="17"/>
      <c r="J12" s="14" t="s">
        <v>147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 x14ac:dyDescent="0.2">
      <c r="A13" s="21" t="s">
        <v>233</v>
      </c>
      <c r="B13" s="15" t="s">
        <v>140</v>
      </c>
      <c r="C13" s="15">
        <v>53</v>
      </c>
      <c r="D13" s="15" t="s">
        <v>141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</row>
    <row r="14" spans="1:40" x14ac:dyDescent="0.2">
      <c r="A14" s="6" t="s">
        <v>234</v>
      </c>
      <c r="B14" s="14" t="s">
        <v>140</v>
      </c>
      <c r="C14" s="14">
        <v>52</v>
      </c>
      <c r="D14" s="14" t="s">
        <v>141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 x14ac:dyDescent="0.2">
      <c r="A15" s="21" t="s">
        <v>183</v>
      </c>
      <c r="B15" s="15" t="s">
        <v>140</v>
      </c>
      <c r="C15" s="15">
        <v>23</v>
      </c>
      <c r="D15" s="15" t="s">
        <v>173</v>
      </c>
      <c r="E15" s="18"/>
      <c r="F15" s="18"/>
      <c r="G15" s="18"/>
      <c r="H15" s="18"/>
      <c r="I15" s="15" t="s">
        <v>147</v>
      </c>
      <c r="J15" s="15" t="s">
        <v>147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5" t="s">
        <v>147</v>
      </c>
      <c r="X15" s="15" t="s">
        <v>147</v>
      </c>
      <c r="Y15" s="15" t="s">
        <v>147</v>
      </c>
      <c r="Z15" s="15" t="s">
        <v>147</v>
      </c>
      <c r="AA15" s="15" t="s">
        <v>147</v>
      </c>
      <c r="AB15" s="15" t="s">
        <v>147</v>
      </c>
      <c r="AC15" s="15" t="s">
        <v>147</v>
      </c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</row>
    <row r="16" spans="1:40" x14ac:dyDescent="0.2">
      <c r="A16" s="6" t="s">
        <v>139</v>
      </c>
      <c r="B16" s="14" t="s">
        <v>140</v>
      </c>
      <c r="C16" s="14">
        <v>68</v>
      </c>
      <c r="D16" s="14" t="s">
        <v>141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 x14ac:dyDescent="0.2">
      <c r="A17" s="21" t="s">
        <v>162</v>
      </c>
      <c r="B17" s="15" t="s">
        <v>140</v>
      </c>
      <c r="C17" s="15">
        <v>42</v>
      </c>
      <c r="D17" s="15" t="s">
        <v>141</v>
      </c>
      <c r="E17" s="18"/>
      <c r="F17" s="18"/>
      <c r="G17" s="18"/>
      <c r="H17" s="18"/>
      <c r="I17" s="18"/>
      <c r="J17" s="18"/>
      <c r="K17" s="18"/>
      <c r="L17" s="15" t="s">
        <v>147</v>
      </c>
      <c r="M17" s="18"/>
      <c r="N17" s="18"/>
      <c r="O17" s="18"/>
      <c r="P17" s="18"/>
      <c r="Q17" s="18"/>
      <c r="R17" s="18"/>
      <c r="S17" s="18"/>
      <c r="T17" s="15" t="s">
        <v>147</v>
      </c>
      <c r="U17" s="15" t="s">
        <v>147</v>
      </c>
      <c r="V17" s="15" t="s">
        <v>147</v>
      </c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</row>
    <row r="18" spans="1:40" x14ac:dyDescent="0.2">
      <c r="A18" s="6" t="s">
        <v>172</v>
      </c>
      <c r="B18" s="14" t="s">
        <v>140</v>
      </c>
      <c r="C18" s="14">
        <v>65</v>
      </c>
      <c r="D18" s="14" t="s">
        <v>173</v>
      </c>
      <c r="E18" s="17"/>
      <c r="F18" s="17"/>
      <c r="G18" s="17"/>
      <c r="H18" s="17"/>
      <c r="I18" s="17"/>
      <c r="J18" s="14" t="s">
        <v>147</v>
      </c>
      <c r="K18" s="17"/>
      <c r="L18" s="17"/>
      <c r="M18" s="17"/>
      <c r="N18" s="17"/>
      <c r="O18" s="17"/>
      <c r="P18" s="17"/>
      <c r="Q18" s="17"/>
      <c r="R18" s="17"/>
      <c r="S18" s="14" t="s">
        <v>147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</row>
    <row r="19" spans="1:40" x14ac:dyDescent="0.2">
      <c r="A19" s="21" t="s">
        <v>175</v>
      </c>
      <c r="B19" s="15" t="s">
        <v>140</v>
      </c>
      <c r="C19" s="15">
        <v>40</v>
      </c>
      <c r="D19" s="15" t="s">
        <v>173</v>
      </c>
      <c r="E19" s="18"/>
      <c r="F19" s="18"/>
      <c r="G19" s="18"/>
      <c r="H19" s="18"/>
      <c r="I19" s="15" t="s">
        <v>147</v>
      </c>
      <c r="J19" s="15" t="s">
        <v>147</v>
      </c>
      <c r="K19" s="15" t="s">
        <v>147</v>
      </c>
      <c r="L19" s="15" t="s">
        <v>147</v>
      </c>
      <c r="M19" s="15" t="s">
        <v>147</v>
      </c>
      <c r="N19" s="15" t="s">
        <v>147</v>
      </c>
      <c r="O19" s="15" t="s">
        <v>147</v>
      </c>
      <c r="P19" s="15" t="s">
        <v>147</v>
      </c>
      <c r="Q19" s="15" t="s">
        <v>147</v>
      </c>
      <c r="R19" s="15" t="s">
        <v>147</v>
      </c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</row>
    <row r="20" spans="1:40" x14ac:dyDescent="0.2">
      <c r="A20" s="6" t="s">
        <v>180</v>
      </c>
      <c r="B20" s="14" t="s">
        <v>140</v>
      </c>
      <c r="C20" s="14">
        <v>45</v>
      </c>
      <c r="D20" s="14" t="s">
        <v>141</v>
      </c>
      <c r="E20" s="17"/>
      <c r="F20" s="17"/>
      <c r="G20" s="14" t="s">
        <v>147</v>
      </c>
      <c r="H20" s="14" t="s">
        <v>147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spans="1:40" x14ac:dyDescent="0.2">
      <c r="A21" s="23" t="s">
        <v>187</v>
      </c>
      <c r="B21" s="24" t="s">
        <v>140</v>
      </c>
      <c r="C21" s="24">
        <v>32</v>
      </c>
      <c r="D21" s="24" t="s">
        <v>173</v>
      </c>
      <c r="E21" s="24" t="s">
        <v>147</v>
      </c>
      <c r="F21" s="24" t="s">
        <v>147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</row>
    <row r="22" spans="1:40" x14ac:dyDescent="0.2">
      <c r="A22" s="23"/>
      <c r="B22" s="24"/>
      <c r="C22" s="24"/>
      <c r="D22" s="24"/>
      <c r="E22" s="29">
        <f>SUBTOTAL(103,DBAburrimiento[detectados_Escalinata3])</f>
        <v>1</v>
      </c>
      <c r="F22" s="29">
        <f>SUBTOTAL(103,DBAburrimiento[aburrimiento_conocidas_Escalinata3])</f>
        <v>1</v>
      </c>
      <c r="G22" s="29">
        <f>SUBTOTAL(103,DBAburrimiento[detectados_Torico3])</f>
        <v>1</v>
      </c>
      <c r="H22" s="29">
        <f>SUBTOTAL(103,DBAburrimiento[aburrimiento_conocidas_Salvador12])</f>
        <v>1</v>
      </c>
      <c r="I22" s="29">
        <f>SUBTOTAL(103,DBAburrimiento[detectados_Torico9])</f>
        <v>4</v>
      </c>
      <c r="J22" s="29">
        <f>SUBTOTAL(103,DBAburrimiento[detectados_Torico12])</f>
        <v>7</v>
      </c>
      <c r="K22" s="29">
        <f>SUBTOTAL(103,DBAburrimiento[detectados_Salvador6])</f>
        <v>1</v>
      </c>
      <c r="L22" s="29">
        <f>SUBTOTAL(103,DBAburrimiento[detectados_Escalinata6])</f>
        <v>4</v>
      </c>
      <c r="M22" s="29">
        <f>SUBTOTAL(103,DBAburrimiento[detectados_Mausoleo3])</f>
        <v>2</v>
      </c>
      <c r="N22" s="29">
        <f>SUBTOTAL(103,DBAburrimiento[detectados_Mausoleo6])</f>
        <v>2</v>
      </c>
      <c r="O22" s="29">
        <f>SUBTOTAL(103,DBAburrimiento[detectados_Mausoleo9])</f>
        <v>1</v>
      </c>
      <c r="P22" s="29">
        <f>SUBTOTAL(103,DBAburrimiento[detectados_Mausoleo13])</f>
        <v>1</v>
      </c>
      <c r="Q22" s="29">
        <f>SUBTOTAL(103,DBAburrimiento[confirmados_Salvador6])</f>
        <v>1</v>
      </c>
      <c r="R22" s="29">
        <f>SUBTOTAL(103,DBAburrimiento[confirmados_Escalinata6])</f>
        <v>1</v>
      </c>
      <c r="S22" s="29">
        <f>SUBTOTAL(103,DBAburrimiento[aburrimiento_conocidas_Torico12])</f>
        <v>3</v>
      </c>
      <c r="T22" s="29">
        <f>SUBTOTAL(103,DBAburrimiento[detectados_SanMartin11])</f>
        <v>4</v>
      </c>
      <c r="U22" s="29">
        <f>SUBTOTAL(103,DBAburrimiento[aburrimiento_conocidas_SanMartin11])</f>
        <v>1</v>
      </c>
      <c r="V22" s="29">
        <f>SUBTOTAL(103,DBAburrimiento[aburrimiento_conocidas_Escalinata6])</f>
        <v>1</v>
      </c>
      <c r="W22" s="29">
        <f>SUBTOTAL(103,DBAburrimiento[detectados_Torico6])</f>
        <v>1</v>
      </c>
      <c r="X22" s="29">
        <f>SUBTOTAL(103,DBAburrimiento[detectados_Torico14])</f>
        <v>1</v>
      </c>
      <c r="Y22" s="29">
        <f>SUBTOTAL(103,DBAburrimiento[detectados_Catedral3])</f>
        <v>2</v>
      </c>
      <c r="Z22" s="29">
        <f>SUBTOTAL(103,DBAburrimiento[detectados_Catedral6])</f>
        <v>1</v>
      </c>
      <c r="AA22" s="29">
        <f>SUBTOTAL(103,DBAburrimiento[detectados_SanMartin6])</f>
        <v>1</v>
      </c>
      <c r="AB22" s="29">
        <f>SUBTOTAL(103,DBAburrimiento[detectados_SanMartin8])</f>
        <v>2</v>
      </c>
      <c r="AC22" s="29">
        <f>SUBTOTAL(103,DBAburrimiento[aburrimiento_conocidas_Torico9])</f>
        <v>1</v>
      </c>
      <c r="AD22" s="29">
        <f>SUBTOTAL(103,DBAburrimiento[detectados_Escalinata9])</f>
        <v>1</v>
      </c>
      <c r="AE22" s="29">
        <f>SUBTOTAL(103,DBAburrimiento[detectados_Escalinata12])</f>
        <v>1</v>
      </c>
      <c r="AF22" s="29">
        <f>SUBTOTAL(103,DBAburrimiento[confirmados_Escalinata12])</f>
        <v>1</v>
      </c>
      <c r="AG22" s="29">
        <f>SUBTOTAL(103,DBAburrimiento[confirmados_Mausoleo3])</f>
        <v>1</v>
      </c>
      <c r="AH22" s="29">
        <f>SUBTOTAL(103,DBAburrimiento[aburrimiento_conocidas_Catedral3])</f>
        <v>1</v>
      </c>
      <c r="AI22" s="29">
        <f>SUBTOTAL(103,DBAburrimiento[aburrimiento_conocidas_Escalinata12])</f>
        <v>1</v>
      </c>
      <c r="AJ22" s="29">
        <f>SUBTOTAL(103,DBAburrimiento[aburrimiento_conocidas_Mausoleo3])</f>
        <v>1</v>
      </c>
      <c r="AK22" s="29">
        <f>SUBTOTAL(103,DBAburrimiento[detectados_Escalinata16])</f>
        <v>2</v>
      </c>
      <c r="AL22" s="29">
        <f>SUBTOTAL(103,DBAburrimiento[aburrimiento_conocidas_Escalinata16])</f>
        <v>1</v>
      </c>
      <c r="AM22" s="29">
        <f>SUBTOTAL(103,DBAburrimiento[aburrimiento_conocidas_Mausoleo6])</f>
        <v>1</v>
      </c>
      <c r="AN22" s="29">
        <f>SUBTOTAL(103,DBAburrimiento[aburrimiento_conocidas_SanMartin8])</f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1AF3-A074-784B-A96D-07B70479015D}">
  <dimension ref="C1:BJ17"/>
  <sheetViews>
    <sheetView topLeftCell="D1" workbookViewId="0">
      <selection activeCell="AE14" sqref="AE14"/>
    </sheetView>
  </sheetViews>
  <sheetFormatPr baseColWidth="10" defaultRowHeight="16" x14ac:dyDescent="0.2"/>
  <cols>
    <col min="3" max="3" width="10" bestFit="1" customWidth="1"/>
    <col min="4" max="4" width="21.33203125" bestFit="1" customWidth="1"/>
    <col min="5" max="5" width="22.5" bestFit="1" customWidth="1"/>
    <col min="6" max="6" width="20.33203125" bestFit="1" customWidth="1"/>
    <col min="7" max="7" width="15.83203125" bestFit="1" customWidth="1"/>
    <col min="8" max="8" width="13.6640625" bestFit="1" customWidth="1"/>
    <col min="9" max="9" width="11.5" customWidth="1"/>
    <col min="10" max="10" width="9.6640625" bestFit="1" customWidth="1"/>
    <col min="11" max="19" width="4.6640625" bestFit="1" customWidth="1"/>
    <col min="20" max="26" width="5.6640625" bestFit="1" customWidth="1"/>
    <col min="28" max="28" width="9.6640625" bestFit="1" customWidth="1"/>
    <col min="29" max="37" width="4.6640625" bestFit="1" customWidth="1"/>
    <col min="38" max="44" width="5.6640625" bestFit="1" customWidth="1"/>
    <col min="46" max="46" width="9.6640625" bestFit="1" customWidth="1"/>
    <col min="47" max="55" width="4.6640625" bestFit="1" customWidth="1"/>
    <col min="56" max="62" width="5.6640625" bestFit="1" customWidth="1"/>
  </cols>
  <sheetData>
    <row r="1" spans="3:62" x14ac:dyDescent="0.2">
      <c r="F1" s="28"/>
    </row>
    <row r="3" spans="3:62" x14ac:dyDescent="0.2">
      <c r="C3" t="s">
        <v>241</v>
      </c>
      <c r="D3" t="s">
        <v>206</v>
      </c>
      <c r="E3" t="s">
        <v>235</v>
      </c>
      <c r="F3" t="s">
        <v>236</v>
      </c>
      <c r="G3" t="s">
        <v>238</v>
      </c>
      <c r="H3" t="s">
        <v>239</v>
      </c>
      <c r="K3" s="31" t="s">
        <v>204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C3" s="32" t="s">
        <v>205</v>
      </c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U3" s="32" t="s">
        <v>237</v>
      </c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</row>
    <row r="4" spans="3:62" x14ac:dyDescent="0.2">
      <c r="C4" t="s">
        <v>240</v>
      </c>
      <c r="D4" cm="1">
        <f t="array" ref="D4">SUM(IF(LEFT(DBAburrimiento[#Headers],LEN(K3))=K3,1,0))</f>
        <v>20</v>
      </c>
      <c r="E4" s="9" cm="1">
        <f t="array" ref="E4">SUM(IF(LEFT(DBAburrimiento[#Headers],LEN(AC3))=AC3,1,0))</f>
        <v>4</v>
      </c>
      <c r="F4" s="9" cm="1">
        <f t="array" ref="F4">SUM(IF(LEFT(DBAburrimiento[#Headers],LEN(AU3))=AU3,1,0))</f>
        <v>12</v>
      </c>
      <c r="G4" s="12">
        <f>(E4*100/D4)/100</f>
        <v>0.2</v>
      </c>
      <c r="H4" s="12">
        <f>(F4*100/D4)/100</f>
        <v>0.6</v>
      </c>
      <c r="K4" t="s">
        <v>242</v>
      </c>
      <c r="L4" t="s">
        <v>243</v>
      </c>
      <c r="M4" t="s">
        <v>244</v>
      </c>
      <c r="N4" t="s">
        <v>245</v>
      </c>
      <c r="O4" t="s">
        <v>246</v>
      </c>
      <c r="P4" t="s">
        <v>248</v>
      </c>
      <c r="Q4" t="s">
        <v>249</v>
      </c>
      <c r="R4" t="s">
        <v>250</v>
      </c>
      <c r="S4" t="s">
        <v>251</v>
      </c>
      <c r="T4" t="s">
        <v>252</v>
      </c>
      <c r="U4" t="s">
        <v>253</v>
      </c>
      <c r="V4" t="s">
        <v>247</v>
      </c>
      <c r="W4" t="s">
        <v>254</v>
      </c>
      <c r="X4" t="s">
        <v>255</v>
      </c>
      <c r="Y4" t="s">
        <v>256</v>
      </c>
      <c r="Z4" t="s">
        <v>257</v>
      </c>
      <c r="AC4" s="33" t="s">
        <v>242</v>
      </c>
      <c r="AD4" s="34" t="s">
        <v>243</v>
      </c>
      <c r="AE4" s="34" t="s">
        <v>244</v>
      </c>
      <c r="AF4" s="34" t="s">
        <v>245</v>
      </c>
      <c r="AG4" s="34" t="s">
        <v>246</v>
      </c>
      <c r="AH4" s="34" t="s">
        <v>248</v>
      </c>
      <c r="AI4" s="34" t="s">
        <v>249</v>
      </c>
      <c r="AJ4" s="34" t="s">
        <v>250</v>
      </c>
      <c r="AK4" s="34" t="s">
        <v>251</v>
      </c>
      <c r="AL4" s="34" t="s">
        <v>252</v>
      </c>
      <c r="AM4" s="34" t="s">
        <v>253</v>
      </c>
      <c r="AN4" s="34" t="s">
        <v>247</v>
      </c>
      <c r="AO4" s="34" t="s">
        <v>254</v>
      </c>
      <c r="AP4" s="34" t="s">
        <v>255</v>
      </c>
      <c r="AQ4" s="34" t="s">
        <v>256</v>
      </c>
      <c r="AR4" s="35" t="s">
        <v>257</v>
      </c>
      <c r="AU4" s="33" t="s">
        <v>242</v>
      </c>
      <c r="AV4" s="34" t="s">
        <v>243</v>
      </c>
      <c r="AW4" s="34" t="s">
        <v>244</v>
      </c>
      <c r="AX4" s="34" t="s">
        <v>245</v>
      </c>
      <c r="AY4" s="34" t="s">
        <v>246</v>
      </c>
      <c r="AZ4" s="34" t="s">
        <v>248</v>
      </c>
      <c r="BA4" s="34" t="s">
        <v>249</v>
      </c>
      <c r="BB4" s="34" t="s">
        <v>250</v>
      </c>
      <c r="BC4" s="34" t="s">
        <v>251</v>
      </c>
      <c r="BD4" s="34" t="s">
        <v>252</v>
      </c>
      <c r="BE4" s="34" t="s">
        <v>253</v>
      </c>
      <c r="BF4" s="34" t="s">
        <v>247</v>
      </c>
      <c r="BG4" s="34" t="s">
        <v>254</v>
      </c>
      <c r="BH4" s="34" t="s">
        <v>255</v>
      </c>
      <c r="BI4" s="34" t="s">
        <v>256</v>
      </c>
      <c r="BJ4" s="35" t="s">
        <v>257</v>
      </c>
    </row>
    <row r="5" spans="3:62" x14ac:dyDescent="0.2">
      <c r="C5" t="s">
        <v>148</v>
      </c>
      <c r="D5" cm="1">
        <f t="array" ref="D5">SUM(IF(LEFT(DBAburrimiento[#Headers],LEN(_xlfn.CONCAT($K$3,"_",C5)))=_xlfn.CONCAT($K$3,"_",C5),1,0))</f>
        <v>5</v>
      </c>
      <c r="E5" cm="1">
        <f t="array" ref="E5">SUM(IF(LEFT(DBAburrimiento[#Headers],LEN(_xlfn.CONCAT($AC$3,"_",C5)))=_xlfn.CONCAT($AC$3,"_",C5),1,0))</f>
        <v>0</v>
      </c>
      <c r="F5" cm="1">
        <f t="array" ref="F5">SUM(IF(LEFT(DBAburrimiento[#Headers],LEN(_xlfn.CONCAT($AU$3,"_",C5)))=_xlfn.CONCAT($AU$3,"_",C5),1,0))</f>
        <v>2</v>
      </c>
      <c r="G5" s="12">
        <f t="shared" ref="G5:G10" si="0">(E5*100/D5)/100</f>
        <v>0</v>
      </c>
      <c r="H5" s="12">
        <f t="shared" ref="H5:H10" si="1">(F5*100/D5)/100</f>
        <v>0.4</v>
      </c>
      <c r="J5" s="36" t="s">
        <v>148</v>
      </c>
      <c r="K5" s="30">
        <f t="array" ref="K5">IFERROR(IF(INDEX(DBAburrimiento[],,MATCH(_xlfn.CONCAT($K$3,"_",$C$5,K4),DBAburrimiento[#Headers],0))="",COUNTA(INDEX(DBAburrimiento[],,MATCH(_xlfn.CONCAT($K$3,"_",$C$5,K4),DBAburrimiento[#Headers],0))),0),0)</f>
        <v>0</v>
      </c>
      <c r="L5" s="30">
        <f t="array" ref="L5">IFERROR(IF(INDEX(DBAburrimiento[],,MATCH(_xlfn.CONCAT($K$3,"_",$C$5,L4),DBAburrimiento[#Headers],0))="",COUNTA(INDEX(DBAburrimiento[],,MATCH(_xlfn.CONCAT($K$3,"_",$C$5,L4),DBAburrimiento[#Headers],0))),0),0)</f>
        <v>0</v>
      </c>
      <c r="M5" s="30">
        <f t="array" ref="M5">IFERROR(IF(INDEX(DBAburrimiento[],,MATCH(_xlfn.CONCAT($K$3,"_",$C$5,M4),DBAburrimiento[#Headers],0))="",COUNTA(INDEX(DBAburrimiento[],,MATCH(_xlfn.CONCAT($K$3,"_",$C$5,M4),DBAburrimiento[#Headers],0))),0),0)</f>
        <v>1</v>
      </c>
      <c r="N5" s="30">
        <f t="array" ref="N5">IFERROR(IF(INDEX(DBAburrimiento[],,MATCH(_xlfn.CONCAT($K$3,"_",$C$5,N4),DBAburrimiento[#Headers],0))="",COUNTA(INDEX(DBAburrimiento[],,MATCH(_xlfn.CONCAT($K$3,"_",$C$5,N4),DBAburrimiento[#Headers],0))),0),0)</f>
        <v>0</v>
      </c>
      <c r="O5" s="30">
        <f t="array" ref="O5">IFERROR(IF(INDEX(DBAburrimiento[],,MATCH(_xlfn.CONCAT($K$3,"_",$C$5,O4),DBAburrimiento[#Headers],0))="",COUNTA(INDEX(DBAburrimiento[],,MATCH(_xlfn.CONCAT($K$3,"_",$C$5,O4),DBAburrimiento[#Headers],0))),0),0)</f>
        <v>0</v>
      </c>
      <c r="P5" s="30">
        <f t="array" ref="P5">IFERROR(IF(INDEX(DBAburrimiento[],,MATCH(_xlfn.CONCAT($K$3,"_",$C$5,P4),DBAburrimiento[#Headers],0))="",COUNTA(INDEX(DBAburrimiento[],,MATCH(_xlfn.CONCAT($K$3,"_",$C$5,P4),DBAburrimiento[#Headers],0))),0),0)</f>
        <v>1</v>
      </c>
      <c r="Q5" s="30">
        <f t="array" ref="Q5">IFERROR(IF(INDEX(DBAburrimiento[],,MATCH(_xlfn.CONCAT($K$3,"_",$C$5,Q4),DBAburrimiento[#Headers],0))="",COUNTA(INDEX(DBAburrimiento[],,MATCH(_xlfn.CONCAT($K$3,"_",$C$5,Q4),DBAburrimiento[#Headers],0))),0),0)</f>
        <v>0</v>
      </c>
      <c r="R5" s="30">
        <f t="array" ref="R5">IFERROR(IF(INDEX(DBAburrimiento[],,MATCH(_xlfn.CONCAT($K$3,"_",$C$5,R4),DBAburrimiento[#Headers],0))="",COUNTA(INDEX(DBAburrimiento[],,MATCH(_xlfn.CONCAT($K$3,"_",$C$5,R4),DBAburrimiento[#Headers],0))),0),0)</f>
        <v>0</v>
      </c>
      <c r="S5" s="30">
        <f t="array" ref="S5">IFERROR(IF(INDEX(DBAburrimiento[],,MATCH(_xlfn.CONCAT($K$3,"_",$C$5,S4),DBAburrimiento[#Headers],0))="",COUNTA(INDEX(DBAburrimiento[],,MATCH(_xlfn.CONCAT($K$3,"_",$C$5,S4),DBAburrimiento[#Headers],0))),0),0)</f>
        <v>4</v>
      </c>
      <c r="T5" s="30">
        <f t="array" ref="T5">IFERROR(IF(INDEX(DBAburrimiento[],,MATCH(_xlfn.CONCAT($K$3,"_",$C$5,T4),DBAburrimiento[#Headers],0))="",COUNTA(INDEX(DBAburrimiento[],,MATCH(_xlfn.CONCAT($K$3,"_",$C$5,T4),DBAburrimiento[#Headers],0))),0),0)</f>
        <v>0</v>
      </c>
      <c r="U5" s="30">
        <f t="array" ref="U5">IFERROR(IF(INDEX(DBAburrimiento[],,MATCH(_xlfn.CONCAT($K$3,"_",$C$5,U4),DBAburrimiento[#Headers],0))="",COUNTA(INDEX(DBAburrimiento[],,MATCH(_xlfn.CONCAT($K$3,"_",$C$5,U4),DBAburrimiento[#Headers],0))),0),0)</f>
        <v>0</v>
      </c>
      <c r="V5" s="30">
        <f t="array" ref="V5">IFERROR(IF(INDEX(DBAburrimiento[],,MATCH(_xlfn.CONCAT($K$3,"_",$C$5,V4),DBAburrimiento[#Headers],0))="",COUNTA(INDEX(DBAburrimiento[],,MATCH(_xlfn.CONCAT($K$3,"_",$C$5,V4),DBAburrimiento[#Headers],0))),0),0)</f>
        <v>7</v>
      </c>
      <c r="W5" s="30">
        <f t="array" ref="W5">IFERROR(IF(INDEX(DBAburrimiento[],,MATCH(_xlfn.CONCAT($K$3,"_",$C$5,W4),DBAburrimiento[#Headers],0))="",COUNTA(INDEX(DBAburrimiento[],,MATCH(_xlfn.CONCAT($K$3,"_",$C$5,W4),DBAburrimiento[#Headers],0))),0),0)</f>
        <v>0</v>
      </c>
      <c r="X5" s="30">
        <f t="array" ref="X5">IFERROR(IF(INDEX(DBAburrimiento[],,MATCH(_xlfn.CONCAT($K$3,"_",$C$5,X4),DBAburrimiento[#Headers],0))="",COUNTA(INDEX(DBAburrimiento[],,MATCH(_xlfn.CONCAT($K$3,"_",$C$5,X4),DBAburrimiento[#Headers],0))),0),0)</f>
        <v>1</v>
      </c>
      <c r="Y5" s="30">
        <f t="array" ref="Y5">IFERROR(IF(INDEX(DBAburrimiento[],,MATCH(_xlfn.CONCAT($K$3,"_",$C$5,Y4),DBAburrimiento[#Headers],0))="",COUNTA(INDEX(DBAburrimiento[],,MATCH(_xlfn.CONCAT($K$3,"_",$C$5,Y4),DBAburrimiento[#Headers],0))),0),0)</f>
        <v>0</v>
      </c>
      <c r="Z5" s="30">
        <f t="array" ref="Z5">IFERROR(IF(INDEX(DBAburrimiento[],,MATCH(_xlfn.CONCAT($K$3,"_",$C$5,Z4),DBAburrimiento[#Headers],0))="",COUNTA(INDEX(DBAburrimiento[],,MATCH(_xlfn.CONCAT($K$3,"_",$C$5,Z4),DBAburrimiento[#Headers],0))),0),0)</f>
        <v>0</v>
      </c>
      <c r="AB5" s="36" t="s">
        <v>148</v>
      </c>
      <c r="AC5">
        <f t="array" ref="AC5">IFERROR(IF(INDEX(DBAburrimiento[],,MATCH(_xlfn.CONCAT($AC$3,"_",$C$5,AC4),DBAburrimiento[#Headers],0))="",COUNTA(INDEX(DBAburrimiento[],,MATCH(_xlfn.CONCAT($AC$3,"_",$C$5,AC5),DBAburrimiento[#Headers],0))),0),0)</f>
        <v>0</v>
      </c>
      <c r="AD5">
        <f t="array" ref="AD5">IFERROR(IF(INDEX(DBAburrimiento[],,MATCH(_xlfn.CONCAT($AC$3,"_",$C$5,AD4),DBAburrimiento[#Headers],0))="",COUNTA(INDEX(DBAburrimiento[],,MATCH(_xlfn.CONCAT($AC$3,"_",$C$5,AD5),DBAburrimiento[#Headers],0))),0),0)</f>
        <v>0</v>
      </c>
      <c r="AE5">
        <f t="array" ref="AE5">IFERROR(IF(INDEX(DBAburrimiento[],,MATCH(_xlfn.CONCAT($AC$3,"_",$C$5,AE4),DBAburrimiento[#Headers],0))="",COUNTA(INDEX(DBAburrimiento[],,MATCH(_xlfn.CONCAT($AC$3,"_",$C$5,AE5),DBAburrimiento[#Headers],0))),0),0)</f>
        <v>0</v>
      </c>
      <c r="AF5">
        <f t="array" ref="AF5">IFERROR(IF(INDEX(DBAburrimiento[],,MATCH(_xlfn.CONCAT($AC$3,"_",$C$5,AF4),DBAburrimiento[#Headers],0))="",COUNTA(INDEX(DBAburrimiento[],,MATCH(_xlfn.CONCAT($AC$3,"_",$C$5,AF5),DBAburrimiento[#Headers],0))),0),0)</f>
        <v>0</v>
      </c>
      <c r="AG5">
        <f t="array" ref="AG5">IFERROR(IF(INDEX(DBAburrimiento[],,MATCH(_xlfn.CONCAT($AC$3,"_",$C$5,AG4),DBAburrimiento[#Headers],0))="",COUNTA(INDEX(DBAburrimiento[],,MATCH(_xlfn.CONCAT($AC$3,"_",$C$5,AG5),DBAburrimiento[#Headers],0))),0),0)</f>
        <v>0</v>
      </c>
      <c r="AH5">
        <f t="array" ref="AH5">IFERROR(IF(INDEX(DBAburrimiento[],,MATCH(_xlfn.CONCAT($AC$3,"_",$C$5,AH4),DBAburrimiento[#Headers],0))="",COUNTA(INDEX(DBAburrimiento[],,MATCH(_xlfn.CONCAT($AC$3,"_",$C$5,AH5),DBAburrimiento[#Headers],0))),0),0)</f>
        <v>0</v>
      </c>
      <c r="AI5">
        <f t="array" ref="AI5">IFERROR(IF(INDEX(DBAburrimiento[],,MATCH(_xlfn.CONCAT($AC$3,"_",$C$5,AI4),DBAburrimiento[#Headers],0))="",COUNTA(INDEX(DBAburrimiento[],,MATCH(_xlfn.CONCAT($AC$3,"_",$C$5,AI5),DBAburrimiento[#Headers],0))),0),0)</f>
        <v>0</v>
      </c>
      <c r="AJ5">
        <f t="array" ref="AJ5">IFERROR(IF(INDEX(DBAburrimiento[],,MATCH(_xlfn.CONCAT($AC$3,"_",$C$5,AJ4),DBAburrimiento[#Headers],0))="",COUNTA(INDEX(DBAburrimiento[],,MATCH(_xlfn.CONCAT($AC$3,"_",$C$5,AJ5),DBAburrimiento[#Headers],0))),0),0)</f>
        <v>0</v>
      </c>
      <c r="AK5">
        <f t="array" ref="AK5">IFERROR(IF(INDEX(DBAburrimiento[],,MATCH(_xlfn.CONCAT($AC$3,"_",$C$5,AK4),DBAburrimiento[#Headers],0))="",COUNTA(INDEX(DBAburrimiento[],,MATCH(_xlfn.CONCAT($AC$3,"_",$C$5,AK5),DBAburrimiento[#Headers],0))),0),0)</f>
        <v>0</v>
      </c>
      <c r="AL5">
        <f t="array" ref="AL5">IFERROR(IF(INDEX(DBAburrimiento[],,MATCH(_xlfn.CONCAT($AC$3,"_",$C$5,AL4),DBAburrimiento[#Headers],0))="",COUNTA(INDEX(DBAburrimiento[],,MATCH(_xlfn.CONCAT($AC$3,"_",$C$5,AL5),DBAburrimiento[#Headers],0))),0),0)</f>
        <v>0</v>
      </c>
      <c r="AM5">
        <f t="array" ref="AM5">IFERROR(IF(INDEX(DBAburrimiento[],,MATCH(_xlfn.CONCAT($AC$3,"_",$C$5,AM4),DBAburrimiento[#Headers],0))="",COUNTA(INDEX(DBAburrimiento[],,MATCH(_xlfn.CONCAT($AC$3,"_",$C$5,AM5),DBAburrimiento[#Headers],0))),0),0)</f>
        <v>0</v>
      </c>
      <c r="AN5">
        <f t="array" ref="AN5">IFERROR(IF(INDEX(DBAburrimiento[],,MATCH(_xlfn.CONCAT($AC$3,"_",$C$5,AN4),DBAburrimiento[#Headers],0))="",COUNTA(INDEX(DBAburrimiento[],,MATCH(_xlfn.CONCAT($AC$3,"_",$C$5,AN5),DBAburrimiento[#Headers],0))),0),0)</f>
        <v>0</v>
      </c>
      <c r="AO5">
        <f t="array" ref="AO5">IFERROR(IF(INDEX(DBAburrimiento[],,MATCH(_xlfn.CONCAT($AC$3,"_",$C$5,AO4),DBAburrimiento[#Headers],0))="",COUNTA(INDEX(DBAburrimiento[],,MATCH(_xlfn.CONCAT($AC$3,"_",$C$5,AO5),DBAburrimiento[#Headers],0))),0),0)</f>
        <v>0</v>
      </c>
      <c r="AP5">
        <f t="array" ref="AP5">IFERROR(IF(INDEX(DBAburrimiento[],,MATCH(_xlfn.CONCAT($AC$3,"_",$C$5,AP4),DBAburrimiento[#Headers],0))="",COUNTA(INDEX(DBAburrimiento[],,MATCH(_xlfn.CONCAT($AC$3,"_",$C$5,AP5),DBAburrimiento[#Headers],0))),0),0)</f>
        <v>0</v>
      </c>
      <c r="AQ5">
        <f t="array" ref="AQ5">IFERROR(IF(INDEX(DBAburrimiento[],,MATCH(_xlfn.CONCAT($AC$3,"_",$C$5,AQ4),DBAburrimiento[#Headers],0))="",COUNTA(INDEX(DBAburrimiento[],,MATCH(_xlfn.CONCAT($AC$3,"_",$C$5,AQ5),DBAburrimiento[#Headers],0))),0),0)</f>
        <v>0</v>
      </c>
      <c r="AR5">
        <f t="array" ref="AR5">IFERROR(IF(INDEX(DBAburrimiento[],,MATCH(_xlfn.CONCAT($AC$3,"_",$C$5,AR4),DBAburrimiento[#Headers],0))="",COUNTA(INDEX(DBAburrimiento[],,MATCH(_xlfn.CONCAT($AC$3,"_",$C$5,AR5),DBAburrimiento[#Headers],0))),0),0)</f>
        <v>0</v>
      </c>
      <c r="AT5" s="36" t="s">
        <v>148</v>
      </c>
      <c r="AU5" cm="1">
        <f t="array" ref="AU5">IFERROR(IF(INDEX(DBAburrimiento[],,MATCH(_xlfn.CONCAT($AU$3,"_",$C$5,AU4),DBAburrimiento[#Headers],0))="",COUNTA(INDEX(DBAburrimiento[],,MATCH(_xlfn.CONCAT($AU$3,"_",$C$5,AU4),DBAburrimiento[#Headers],0))),0),0)</f>
        <v>0</v>
      </c>
      <c r="AV5">
        <f t="array" ref="AV5">IFERROR(IF(INDEX(DBAburrimiento[],,MATCH(_xlfn.CONCAT($AU$3,"_",$C$5,AV4),DBAburrimiento[#Headers],0))="",COUNTA(INDEX(DBAburrimiento[],,MATCH(_xlfn.CONCAT($AU$3,"_",$C$5,AV4),DBAburrimiento[#Headers],0))),0),0)</f>
        <v>0</v>
      </c>
      <c r="AW5">
        <f t="array" ref="AW5">IFERROR(IF(INDEX(DBAburrimiento[],,MATCH(_xlfn.CONCAT($AU$3,"_",$C$5,AW4),DBAburrimiento[#Headers],0))="",COUNTA(INDEX(DBAburrimiento[],,MATCH(_xlfn.CONCAT($AU$3,"_",$C$5,AW4),DBAburrimiento[#Headers],0))),0),0)</f>
        <v>0</v>
      </c>
      <c r="AX5">
        <f t="array" ref="AX5">IFERROR(IF(INDEX(DBAburrimiento[],,MATCH(_xlfn.CONCAT($AU$3,"_",$C$5,AX4),DBAburrimiento[#Headers],0))="",COUNTA(INDEX(DBAburrimiento[],,MATCH(_xlfn.CONCAT($AU$3,"_",$C$5,AX4),DBAburrimiento[#Headers],0))),0),0)</f>
        <v>0</v>
      </c>
      <c r="AY5">
        <f t="array" ref="AY5">IFERROR(IF(INDEX(DBAburrimiento[],,MATCH(_xlfn.CONCAT($AU$3,"_",$C$5,AY4),DBAburrimiento[#Headers],0))="",COUNTA(INDEX(DBAburrimiento[],,MATCH(_xlfn.CONCAT($AU$3,"_",$C$5,AY4),DBAburrimiento[#Headers],0))),0),0)</f>
        <v>0</v>
      </c>
      <c r="AZ5">
        <f t="array" ref="AZ5">IFERROR(IF(INDEX(DBAburrimiento[],,MATCH(_xlfn.CONCAT($AU$3,"_",$C$5,AZ4),DBAburrimiento[#Headers],0))="",COUNTA(INDEX(DBAburrimiento[],,MATCH(_xlfn.CONCAT($AU$3,"_",$C$5,AZ4),DBAburrimiento[#Headers],0))),0),0)</f>
        <v>0</v>
      </c>
      <c r="BA5">
        <f t="array" ref="BA5">IFERROR(IF(INDEX(DBAburrimiento[],,MATCH(_xlfn.CONCAT($AU$3,"_",$C$5,BA4),DBAburrimiento[#Headers],0))="",COUNTA(INDEX(DBAburrimiento[],,MATCH(_xlfn.CONCAT($AU$3,"_",$C$5,BA4),DBAburrimiento[#Headers],0))),0),0)</f>
        <v>0</v>
      </c>
      <c r="BB5">
        <f t="array" ref="BB5">IFERROR(IF(INDEX(DBAburrimiento[],,MATCH(_xlfn.CONCAT($AU$3,"_",$C$5,BB4),DBAburrimiento[#Headers],0))="",COUNTA(INDEX(DBAburrimiento[],,MATCH(_xlfn.CONCAT($AU$3,"_",$C$5,BB4),DBAburrimiento[#Headers],0))),0),0)</f>
        <v>0</v>
      </c>
      <c r="BC5">
        <f t="array" ref="BC5">IFERROR(IF(INDEX(DBAburrimiento[],,MATCH(_xlfn.CONCAT($AU$3,"_",$C$5,BC4),DBAburrimiento[#Headers],0))="",COUNTA(INDEX(DBAburrimiento[],,MATCH(_xlfn.CONCAT($AU$3,"_",$C$5,BC4),DBAburrimiento[#Headers],0))),0),0)</f>
        <v>1</v>
      </c>
      <c r="BD5">
        <f t="array" ref="BD5">IFERROR(IF(INDEX(DBAburrimiento[],,MATCH(_xlfn.CONCAT($AU$3,"_",$C$5,BD4),DBAburrimiento[#Headers],0))="",COUNTA(INDEX(DBAburrimiento[],,MATCH(_xlfn.CONCAT($AU$3,"_",$C$5,BD4),DBAburrimiento[#Headers],0))),0),0)</f>
        <v>0</v>
      </c>
      <c r="BE5">
        <f t="array" ref="BE5">IFERROR(IF(INDEX(DBAburrimiento[],,MATCH(_xlfn.CONCAT($AU$3,"_",$C$5,BE4),DBAburrimiento[#Headers],0))="",COUNTA(INDEX(DBAburrimiento[],,MATCH(_xlfn.CONCAT($AU$3,"_",$C$5,BE4),DBAburrimiento[#Headers],0))),0),0)</f>
        <v>0</v>
      </c>
      <c r="BF5">
        <f t="array" ref="BF5">IFERROR(IF(INDEX(DBAburrimiento[],,MATCH(_xlfn.CONCAT($AU$3,"_",$C$5,BF4),DBAburrimiento[#Headers],0))="",COUNTA(INDEX(DBAburrimiento[],,MATCH(_xlfn.CONCAT($AU$3,"_",$C$5,BF4),DBAburrimiento[#Headers],0))),0),0)</f>
        <v>3</v>
      </c>
      <c r="BG5">
        <f t="array" ref="BG5">IFERROR(IF(INDEX(DBAburrimiento[],,MATCH(_xlfn.CONCAT($AU$3,"_",$C$5,BG4),DBAburrimiento[#Headers],0))="",COUNTA(INDEX(DBAburrimiento[],,MATCH(_xlfn.CONCAT($AU$3,"_",$C$5,BG4),DBAburrimiento[#Headers],0))),0),0)</f>
        <v>0</v>
      </c>
      <c r="BH5">
        <f t="array" ref="BH5">IFERROR(IF(INDEX(DBAburrimiento[],,MATCH(_xlfn.CONCAT($AU$3,"_",$C$5,BH4),DBAburrimiento[#Headers],0))="",COUNTA(INDEX(DBAburrimiento[],,MATCH(_xlfn.CONCAT($AU$3,"_",$C$5,BH4),DBAburrimiento[#Headers],0))),0),0)</f>
        <v>0</v>
      </c>
      <c r="BI5">
        <f t="array" ref="BI5">IFERROR(IF(INDEX(DBAburrimiento[],,MATCH(_xlfn.CONCAT($AU$3,"_",$C$5,BI4),DBAburrimiento[#Headers],0))="",COUNTA(INDEX(DBAburrimiento[],,MATCH(_xlfn.CONCAT($AU$3,"_",$C$5,BI4),DBAburrimiento[#Headers],0))),0),0)</f>
        <v>0</v>
      </c>
      <c r="BJ5">
        <f t="array" ref="BJ5">IFERROR(IF(INDEX(DBAburrimiento[],,MATCH(_xlfn.CONCAT($AU$3,"_",$C$5,BJ4),DBAburrimiento[#Headers],0))="",COUNTA(INDEX(DBAburrimiento[],,MATCH(_xlfn.CONCAT($AU$3,"_",$C$5,BJ4),DBAburrimiento[#Headers],0))),0),0)</f>
        <v>0</v>
      </c>
    </row>
    <row r="6" spans="3:62" x14ac:dyDescent="0.2">
      <c r="C6" t="s">
        <v>149</v>
      </c>
      <c r="D6" cm="1">
        <f t="array" ref="D6">SUM(IF(LEFT(DBAburrimiento[#Headers],LEN(_xlfn.CONCAT($K$3,"_",C6)))=_xlfn.CONCAT($K$3,"_",C6),1,0))</f>
        <v>2</v>
      </c>
      <c r="E6" cm="1">
        <f t="array" ref="E6">SUM(IF(LEFT(DBAburrimiento[#Headers],LEN(_xlfn.CONCAT($AC$3,"_",C6)))=_xlfn.CONCAT($AC$3,"_",C6),1,0))</f>
        <v>0</v>
      </c>
      <c r="F6" cm="1">
        <f t="array" ref="F6">SUM(IF(LEFT(DBAburrimiento[#Headers],LEN(_xlfn.CONCAT($AU$3,"_",C6)))=_xlfn.CONCAT($AU$3,"_",C6),1,0))</f>
        <v>1</v>
      </c>
      <c r="G6" s="12">
        <f t="shared" si="0"/>
        <v>0</v>
      </c>
      <c r="H6" s="12">
        <f t="shared" si="1"/>
        <v>0.5</v>
      </c>
      <c r="J6" s="36" t="s">
        <v>149</v>
      </c>
      <c r="K6" s="30">
        <f t="array" ref="K6">IFERROR(IF(INDEX(DBAburrimiento[],,MATCH(_xlfn.CONCAT($K$3,"_",$C$6,K4),DBAburrimiento[#Headers],0))="",COUNTA(INDEX(DBAburrimiento[],,MATCH(_xlfn.CONCAT($K$3,"_",$C$6,K4),DBAburrimiento[#Headers],0))),0),0)</f>
        <v>0</v>
      </c>
      <c r="L6" s="30">
        <f t="array" ref="L6">IFERROR(IF(INDEX(DBAburrimiento[],,MATCH(_xlfn.CONCAT($K$3,"_",$C$6,L4),DBAburrimiento[#Headers],0))="",COUNTA(INDEX(DBAburrimiento[],,MATCH(_xlfn.CONCAT($K$3,"_",$C$6,L4),DBAburrimiento[#Headers],0))),0),0)</f>
        <v>0</v>
      </c>
      <c r="M6" s="30">
        <f t="array" ref="M6">IFERROR(IF(INDEX(DBAburrimiento[],,MATCH(_xlfn.CONCAT($K$3,"_",$C$6,M4),DBAburrimiento[#Headers],0))="",COUNTA(INDEX(DBAburrimiento[],,MATCH(_xlfn.CONCAT($K$3,"_",$C$6,M4),DBAburrimiento[#Headers],0))),0),0)</f>
        <v>2</v>
      </c>
      <c r="N6" s="30">
        <f t="array" ref="N6">IFERROR(IF(INDEX(DBAburrimiento[],,MATCH(_xlfn.CONCAT($K$3,"_",$C$6,N4),DBAburrimiento[#Headers],0))="",COUNTA(INDEX(DBAburrimiento[],,MATCH(_xlfn.CONCAT($K$3,"_",$C$6,N4),DBAburrimiento[#Headers],0))),0),0)</f>
        <v>0</v>
      </c>
      <c r="O6" s="30">
        <f t="array" ref="O6">IFERROR(IF(INDEX(DBAburrimiento[],,MATCH(_xlfn.CONCAT($K$3,"_",$C$6,O4),DBAburrimiento[#Headers],0))="",COUNTA(INDEX(DBAburrimiento[],,MATCH(_xlfn.CONCAT($K$3,"_",$C$6,O4),DBAburrimiento[#Headers],0))),0),0)</f>
        <v>0</v>
      </c>
      <c r="P6" s="30">
        <f t="array" ref="P6">IFERROR(IF(INDEX(DBAburrimiento[],,MATCH(_xlfn.CONCAT($K$3,"_",$C$6,P4),DBAburrimiento[#Headers],0))="",COUNTA(INDEX(DBAburrimiento[],,MATCH(_xlfn.CONCAT($K$3,"_",$C$6,P4),DBAburrimiento[#Headers],0))),0),0)</f>
        <v>1</v>
      </c>
      <c r="Q6" s="30">
        <f t="array" ref="Q6">IFERROR(IF(INDEX(DBAburrimiento[],,MATCH(_xlfn.CONCAT($K$3,"_",$C$6,Q4),DBAburrimiento[#Headers],0))="",COUNTA(INDEX(DBAburrimiento[],,MATCH(_xlfn.CONCAT($K$3,"_",$C$6,Q4),DBAburrimiento[#Headers],0))),0),0)</f>
        <v>0</v>
      </c>
      <c r="R6" s="30">
        <f t="array" ref="R6">IFERROR(IF(INDEX(DBAburrimiento[],,MATCH(_xlfn.CONCAT($K$3,"_",$C$6,R4),DBAburrimiento[#Headers],0))="",COUNTA(INDEX(DBAburrimiento[],,MATCH(_xlfn.CONCAT($K$3,"_",$C$6,R4),DBAburrimiento[#Headers],0))),0),0)</f>
        <v>0</v>
      </c>
      <c r="S6" s="30">
        <f t="array" ref="S6">IFERROR(IF(INDEX(DBAburrimiento[],,MATCH(_xlfn.CONCAT($K$3,"_",$C$6,S4),DBAburrimiento[#Headers],0))="",COUNTA(INDEX(DBAburrimiento[],,MATCH(_xlfn.CONCAT($K$3,"_",$C$6,S4),DBAburrimiento[#Headers],0))),0),0)</f>
        <v>0</v>
      </c>
      <c r="T6" s="30">
        <f t="array" ref="T6">IFERROR(IF(INDEX(DBAburrimiento[],,MATCH(_xlfn.CONCAT($K$3,"_",$C$6,T4),DBAburrimiento[#Headers],0))="",COUNTA(INDEX(DBAburrimiento[],,MATCH(_xlfn.CONCAT($K$3,"_",$C$6,T4),DBAburrimiento[#Headers],0))),0),0)</f>
        <v>0</v>
      </c>
      <c r="U6" s="30">
        <f t="array" ref="U6">IFERROR(IF(INDEX(DBAburrimiento[],,MATCH(_xlfn.CONCAT($K$3,"_",$C$6,U4),DBAburrimiento[#Headers],0))="",COUNTA(INDEX(DBAburrimiento[],,MATCH(_xlfn.CONCAT($K$3,"_",$C$6,U4),DBAburrimiento[#Headers],0))),0),0)</f>
        <v>0</v>
      </c>
      <c r="V6" s="30">
        <f t="array" ref="V6">IFERROR(IF(INDEX(DBAburrimiento[],,MATCH(_xlfn.CONCAT($K$3,"_",$C$6,V4),DBAburrimiento[#Headers],0))="",COUNTA(INDEX(DBAburrimiento[],,MATCH(_xlfn.CONCAT($K$3,"_",$C$6,V4),DBAburrimiento[#Headers],0))),0),0)</f>
        <v>0</v>
      </c>
      <c r="W6" s="30">
        <f t="array" ref="W6">IFERROR(IF(INDEX(DBAburrimiento[],,MATCH(_xlfn.CONCAT($K$3,"_",$C$6,W4),DBAburrimiento[#Headers],0))="",COUNTA(INDEX(DBAburrimiento[],,MATCH(_xlfn.CONCAT($K$3,"_",$C$6,W4),DBAburrimiento[#Headers],0))),0),0)</f>
        <v>0</v>
      </c>
      <c r="X6" s="30">
        <f t="array" ref="X6">IFERROR(IF(INDEX(DBAburrimiento[],,MATCH(_xlfn.CONCAT($K$3,"_",$C$6,X4),DBAburrimiento[#Headers],0))="",COUNTA(INDEX(DBAburrimiento[],,MATCH(_xlfn.CONCAT($K$3,"_",$C$6,X4),DBAburrimiento[#Headers],0))),0),0)</f>
        <v>0</v>
      </c>
      <c r="Y6" s="30">
        <f t="array" ref="Y6">IFERROR(IF(INDEX(DBAburrimiento[],,MATCH(_xlfn.CONCAT($K$3,"_",$C$6,Y4),DBAburrimiento[#Headers],0))="",COUNTA(INDEX(DBAburrimiento[],,MATCH(_xlfn.CONCAT($K$3,"_",$C$6,Y4),DBAburrimiento[#Headers],0))),0),0)</f>
        <v>0</v>
      </c>
      <c r="Z6" s="30">
        <f t="array" ref="Z6">IFERROR(IF(INDEX(DBAburrimiento[],,MATCH(_xlfn.CONCAT($K$3,"_",$C$6,Z4),DBAburrimiento[#Headers],0))="",COUNTA(INDEX(DBAburrimiento[],,MATCH(_xlfn.CONCAT($K$3,"_",$C$6,Z4),DBAburrimiento[#Headers],0))),0),0)</f>
        <v>0</v>
      </c>
      <c r="AB6" s="36" t="s">
        <v>149</v>
      </c>
      <c r="AC6">
        <f t="array" ref="AC6">IFERROR(IF(INDEX(DBAburrimiento[],,MATCH(_xlfn.CONCAT($AC$3,"_",$C$6,AC4),DBAburrimiento[#Headers],0))="",COUNTA(INDEX(DBAburrimiento[],,MATCH(_xlfn.CONCAT($AC$3,"_",$C$6,AC4),DBAburrimiento[#Headers],0))),0),0)</f>
        <v>0</v>
      </c>
      <c r="AD6">
        <f t="array" ref="AD6">IFERROR(IF(INDEX(DBAburrimiento[],,MATCH(_xlfn.CONCAT($AC$3,"_",$C$6,AD4),DBAburrimiento[#Headers],0))="",COUNTA(INDEX(DBAburrimiento[],,MATCH(_xlfn.CONCAT($AC$3,"_",$C$6,AD4),DBAburrimiento[#Headers],0))),0),0)</f>
        <v>0</v>
      </c>
      <c r="AE6">
        <f t="array" ref="AE6">IFERROR(IF(INDEX(DBAburrimiento[],,MATCH(_xlfn.CONCAT($AC$3,"_",$C$6,AE4),DBAburrimiento[#Headers],0))="",COUNTA(INDEX(DBAburrimiento[],,MATCH(_xlfn.CONCAT($AC$3,"_",$C$6,AE4),DBAburrimiento[#Headers],0))),0),0)</f>
        <v>0</v>
      </c>
      <c r="AF6">
        <f t="array" ref="AF6">IFERROR(IF(INDEX(DBAburrimiento[],,MATCH(_xlfn.CONCAT($AC$3,"_",$C$6,AF4),DBAburrimiento[#Headers],0))="",COUNTA(INDEX(DBAburrimiento[],,MATCH(_xlfn.CONCAT($AC$3,"_",$C$6,AF4),DBAburrimiento[#Headers],0))),0),0)</f>
        <v>0</v>
      </c>
      <c r="AG6">
        <f t="array" ref="AG6">IFERROR(IF(INDEX(DBAburrimiento[],,MATCH(_xlfn.CONCAT($AC$3,"_",$C$6,AG4),DBAburrimiento[#Headers],0))="",COUNTA(INDEX(DBAburrimiento[],,MATCH(_xlfn.CONCAT($AC$3,"_",$C$6,AG4),DBAburrimiento[#Headers],0))),0),0)</f>
        <v>0</v>
      </c>
      <c r="AH6">
        <f t="array" ref="AH6">IFERROR(IF(INDEX(DBAburrimiento[],,MATCH(_xlfn.CONCAT($AC$3,"_",$C$6,AH4),DBAburrimiento[#Headers],0))="",COUNTA(INDEX(DBAburrimiento[],,MATCH(_xlfn.CONCAT($AC$3,"_",$C$6,AH4),DBAburrimiento[#Headers],0))),0),0)</f>
        <v>0</v>
      </c>
      <c r="AI6">
        <f t="array" ref="AI6">IFERROR(IF(INDEX(DBAburrimiento[],,MATCH(_xlfn.CONCAT($AC$3,"_",$C$6,AI4),DBAburrimiento[#Headers],0))="",COUNTA(INDEX(DBAburrimiento[],,MATCH(_xlfn.CONCAT($AC$3,"_",$C$6,AI4),DBAburrimiento[#Headers],0))),0),0)</f>
        <v>0</v>
      </c>
      <c r="AJ6">
        <f t="array" ref="AJ6">IFERROR(IF(INDEX(DBAburrimiento[],,MATCH(_xlfn.CONCAT($AC$3,"_",$C$6,AJ4),DBAburrimiento[#Headers],0))="",COUNTA(INDEX(DBAburrimiento[],,MATCH(_xlfn.CONCAT($AC$3,"_",$C$6,AJ4),DBAburrimiento[#Headers],0))),0),0)</f>
        <v>0</v>
      </c>
      <c r="AK6">
        <f t="array" ref="AK6">IFERROR(IF(INDEX(DBAburrimiento[],,MATCH(_xlfn.CONCAT($AC$3,"_",$C$6,AK4),DBAburrimiento[#Headers],0))="",COUNTA(INDEX(DBAburrimiento[],,MATCH(_xlfn.CONCAT($AC$3,"_",$C$6,AK4),DBAburrimiento[#Headers],0))),0),0)</f>
        <v>0</v>
      </c>
      <c r="AL6">
        <f t="array" ref="AL6">IFERROR(IF(INDEX(DBAburrimiento[],,MATCH(_xlfn.CONCAT($AC$3,"_",$C$6,AL4),DBAburrimiento[#Headers],0))="",COUNTA(INDEX(DBAburrimiento[],,MATCH(_xlfn.CONCAT($AC$3,"_",$C$6,AL4),DBAburrimiento[#Headers],0))),0),0)</f>
        <v>0</v>
      </c>
      <c r="AM6">
        <f t="array" ref="AM6">IFERROR(IF(INDEX(DBAburrimiento[],,MATCH(_xlfn.CONCAT($AC$3,"_",$C$6,AM4),DBAburrimiento[#Headers],0))="",COUNTA(INDEX(DBAburrimiento[],,MATCH(_xlfn.CONCAT($AC$3,"_",$C$6,AM4),DBAburrimiento[#Headers],0))),0),0)</f>
        <v>0</v>
      </c>
      <c r="AN6">
        <f t="array" ref="AN6">IFERROR(IF(INDEX(DBAburrimiento[],,MATCH(_xlfn.CONCAT($AC$3,"_",$C$6,AN4),DBAburrimiento[#Headers],0))="",COUNTA(INDEX(DBAburrimiento[],,MATCH(_xlfn.CONCAT($AC$3,"_",$C$6,AN4),DBAburrimiento[#Headers],0))),0),0)</f>
        <v>0</v>
      </c>
      <c r="AO6">
        <f t="array" ref="AO6">IFERROR(IF(INDEX(DBAburrimiento[],,MATCH(_xlfn.CONCAT($AC$3,"_",$C$6,AO4),DBAburrimiento[#Headers],0))="",COUNTA(INDEX(DBAburrimiento[],,MATCH(_xlfn.CONCAT($AC$3,"_",$C$6,AO4),DBAburrimiento[#Headers],0))),0),0)</f>
        <v>0</v>
      </c>
      <c r="AP6">
        <f t="array" ref="AP6">IFERROR(IF(INDEX(DBAburrimiento[],,MATCH(_xlfn.CONCAT($AC$3,"_",$C$6,AP4),DBAburrimiento[#Headers],0))="",COUNTA(INDEX(DBAburrimiento[],,MATCH(_xlfn.CONCAT($AC$3,"_",$C$6,AP4),DBAburrimiento[#Headers],0))),0),0)</f>
        <v>0</v>
      </c>
      <c r="AQ6">
        <f t="array" ref="AQ6">IFERROR(IF(INDEX(DBAburrimiento[],,MATCH(_xlfn.CONCAT($AC$3,"_",$C$6,AQ4),DBAburrimiento[#Headers],0))="",COUNTA(INDEX(DBAburrimiento[],,MATCH(_xlfn.CONCAT($AC$3,"_",$C$6,AQ4),DBAburrimiento[#Headers],0))),0),0)</f>
        <v>0</v>
      </c>
      <c r="AR6">
        <f t="array" ref="AR6">IFERROR(IF(INDEX(DBAburrimiento[],,MATCH(_xlfn.CONCAT($AC$3,"_",$C$6,AR4),DBAburrimiento[#Headers],0))="",COUNTA(INDEX(DBAburrimiento[],,MATCH(_xlfn.CONCAT($AC$3,"_",$C$6,AR4),DBAburrimiento[#Headers],0))),0),0)</f>
        <v>0</v>
      </c>
      <c r="AT6" s="36" t="s">
        <v>149</v>
      </c>
      <c r="AU6">
        <f t="array" ref="AU6">IFERROR(IF(INDEX(DBAburrimiento[],,MATCH(_xlfn.CONCAT($AU$3,"_",$C$6,AU4),DBAburrimiento[#Headers],0))="",COUNTA(INDEX(DBAburrimiento[],,MATCH(_xlfn.CONCAT($AU$3,"_",$C$6,AU4),DBAburrimiento[#Headers],0))),0),0)</f>
        <v>0</v>
      </c>
      <c r="AV6">
        <f t="array" ref="AV6">IFERROR(IF(INDEX(DBAburrimiento[],,MATCH(_xlfn.CONCAT($AU$3,"_",$C$6,AV4),DBAburrimiento[#Headers],0))="",COUNTA(INDEX(DBAburrimiento[],,MATCH(_xlfn.CONCAT($AU$3,"_",$C$6,AV4),DBAburrimiento[#Headers],0))),0),0)</f>
        <v>0</v>
      </c>
      <c r="AW6">
        <f t="array" ref="AW6">IFERROR(IF(INDEX(DBAburrimiento[],,MATCH(_xlfn.CONCAT($AU$3,"_",$C$6,AW4),DBAburrimiento[#Headers],0))="",COUNTA(INDEX(DBAburrimiento[],,MATCH(_xlfn.CONCAT($AU$3,"_",$C$6,AW4),DBAburrimiento[#Headers],0))),0),0)</f>
        <v>1</v>
      </c>
      <c r="AX6">
        <f t="array" ref="AX6">IFERROR(IF(INDEX(DBAburrimiento[],,MATCH(_xlfn.CONCAT($AU$3,"_",$C$6,AX4),DBAburrimiento[#Headers],0))="",COUNTA(INDEX(DBAburrimiento[],,MATCH(_xlfn.CONCAT($AU$3,"_",$C$6,AX4),DBAburrimiento[#Headers],0))),0),0)</f>
        <v>0</v>
      </c>
      <c r="AY6">
        <f t="array" ref="AY6">IFERROR(IF(INDEX(DBAburrimiento[],,MATCH(_xlfn.CONCAT($AU$3,"_",$C$6,AY4),DBAburrimiento[#Headers],0))="",COUNTA(INDEX(DBAburrimiento[],,MATCH(_xlfn.CONCAT($AU$3,"_",$C$6,AY4),DBAburrimiento[#Headers],0))),0),0)</f>
        <v>0</v>
      </c>
      <c r="AZ6">
        <f t="array" ref="AZ6">IFERROR(IF(INDEX(DBAburrimiento[],,MATCH(_xlfn.CONCAT($AU$3,"_",$C$6,AZ4),DBAburrimiento[#Headers],0))="",COUNTA(INDEX(DBAburrimiento[],,MATCH(_xlfn.CONCAT($AU$3,"_",$C$6,AZ4),DBAburrimiento[#Headers],0))),0),0)</f>
        <v>0</v>
      </c>
      <c r="BA6">
        <f t="array" ref="BA6">IFERROR(IF(INDEX(DBAburrimiento[],,MATCH(_xlfn.CONCAT($AU$3,"_",$C$6,BA4),DBAburrimiento[#Headers],0))="",COUNTA(INDEX(DBAburrimiento[],,MATCH(_xlfn.CONCAT($AU$3,"_",$C$6,BA4),DBAburrimiento[#Headers],0))),0),0)</f>
        <v>0</v>
      </c>
      <c r="BB6">
        <f t="array" ref="BB6">IFERROR(IF(INDEX(DBAburrimiento[],,MATCH(_xlfn.CONCAT($AU$3,"_",$C$6,BB4),DBAburrimiento[#Headers],0))="",COUNTA(INDEX(DBAburrimiento[],,MATCH(_xlfn.CONCAT($AU$3,"_",$C$6,BB4),DBAburrimiento[#Headers],0))),0),0)</f>
        <v>0</v>
      </c>
      <c r="BC6">
        <f t="array" ref="BC6">IFERROR(IF(INDEX(DBAburrimiento[],,MATCH(_xlfn.CONCAT($AU$3,"_",$C$6,BC4),DBAburrimiento[#Headers],0))="",COUNTA(INDEX(DBAburrimiento[],,MATCH(_xlfn.CONCAT($AU$3,"_",$C$6,BC4),DBAburrimiento[#Headers],0))),0),0)</f>
        <v>0</v>
      </c>
      <c r="BD6">
        <f t="array" ref="BD6">IFERROR(IF(INDEX(DBAburrimiento[],,MATCH(_xlfn.CONCAT($AU$3,"_",$C$6,BD4),DBAburrimiento[#Headers],0))="",COUNTA(INDEX(DBAburrimiento[],,MATCH(_xlfn.CONCAT($AU$3,"_",$C$6,BD4),DBAburrimiento[#Headers],0))),0),0)</f>
        <v>0</v>
      </c>
      <c r="BE6">
        <f t="array" ref="BE6">IFERROR(IF(INDEX(DBAburrimiento[],,MATCH(_xlfn.CONCAT($AU$3,"_",$C$6,BE4),DBAburrimiento[#Headers],0))="",COUNTA(INDEX(DBAburrimiento[],,MATCH(_xlfn.CONCAT($AU$3,"_",$C$6,BE4),DBAburrimiento[#Headers],0))),0),0)</f>
        <v>0</v>
      </c>
      <c r="BF6">
        <f t="array" ref="BF6">IFERROR(IF(INDEX(DBAburrimiento[],,MATCH(_xlfn.CONCAT($AU$3,"_",$C$6,BF4),DBAburrimiento[#Headers],0))="",COUNTA(INDEX(DBAburrimiento[],,MATCH(_xlfn.CONCAT($AU$3,"_",$C$6,BF4),DBAburrimiento[#Headers],0))),0),0)</f>
        <v>0</v>
      </c>
      <c r="BG6">
        <f t="array" ref="BG6">IFERROR(IF(INDEX(DBAburrimiento[],,MATCH(_xlfn.CONCAT($AU$3,"_",$C$6,BG4),DBAburrimiento[#Headers],0))="",COUNTA(INDEX(DBAburrimiento[],,MATCH(_xlfn.CONCAT($AU$3,"_",$C$6,BG4),DBAburrimiento[#Headers],0))),0),0)</f>
        <v>0</v>
      </c>
      <c r="BH6">
        <f t="array" ref="BH6">IFERROR(IF(INDEX(DBAburrimiento[],,MATCH(_xlfn.CONCAT($AU$3,"_",$C$6,BH4),DBAburrimiento[#Headers],0))="",COUNTA(INDEX(DBAburrimiento[],,MATCH(_xlfn.CONCAT($AU$3,"_",$C$6,BH4),DBAburrimiento[#Headers],0))),0),0)</f>
        <v>0</v>
      </c>
      <c r="BI6">
        <f t="array" ref="BI6">IFERROR(IF(INDEX(DBAburrimiento[],,MATCH(_xlfn.CONCAT($AU$3,"_",$C$6,BI4),DBAburrimiento[#Headers],0))="",COUNTA(INDEX(DBAburrimiento[],,MATCH(_xlfn.CONCAT($AU$3,"_",$C$6,BI4),DBAburrimiento[#Headers],0))),0),0)</f>
        <v>0</v>
      </c>
      <c r="BJ6">
        <f t="array" ref="BJ6">IFERROR(IF(INDEX(DBAburrimiento[],,MATCH(_xlfn.CONCAT($AU$3,"_",$C$6,BJ4),DBAburrimiento[#Headers],0))="",COUNTA(INDEX(DBAburrimiento[],,MATCH(_xlfn.CONCAT($AU$3,"_",$C$6,BJ4),DBAburrimiento[#Headers],0))),0),0)</f>
        <v>0</v>
      </c>
    </row>
    <row r="7" spans="3:62" x14ac:dyDescent="0.2">
      <c r="C7" t="s">
        <v>150</v>
      </c>
      <c r="D7" cm="1">
        <f t="array" ref="D7">SUM(IF(LEFT(DBAburrimiento[#Headers],LEN(_xlfn.CONCAT($K$3,"_",C7)))=_xlfn.CONCAT($K$3,"_",C7),1,0))</f>
        <v>3</v>
      </c>
      <c r="E7" cm="1">
        <f t="array" ref="E7">SUM(IF(LEFT(DBAburrimiento[#Headers],LEN(_xlfn.CONCAT($AC$3,"_",C7)))=_xlfn.CONCAT($AC$3,"_",C7),1,0))</f>
        <v>0</v>
      </c>
      <c r="F7" cm="1">
        <f t="array" ref="F7">SUM(IF(LEFT(DBAburrimiento[#Headers],LEN(_xlfn.CONCAT($AU$3,"_",C7)))=_xlfn.CONCAT($AU$3,"_",C7),1,0))</f>
        <v>2</v>
      </c>
      <c r="G7" s="12">
        <f t="shared" si="0"/>
        <v>0</v>
      </c>
      <c r="H7" s="12">
        <f t="shared" si="1"/>
        <v>0.66666666666666674</v>
      </c>
      <c r="J7" s="36" t="s">
        <v>150</v>
      </c>
      <c r="K7" s="30">
        <f t="array" ref="K7">IFERROR(IF(INDEX(DBAburrimiento[],,MATCH(_xlfn.CONCAT($K$3,"_",$C$7,K4),DBAburrimiento[#Headers],0))="",COUNTA(INDEX(DBAburrimiento[],,MATCH(_xlfn.CONCAT($K$3,"_",$C$7,K4),DBAburrimiento[#Headers],0))),0),0)</f>
        <v>0</v>
      </c>
      <c r="L7" s="30">
        <f t="array" ref="L7">IFERROR(IF(INDEX(DBAburrimiento[],,MATCH(_xlfn.CONCAT($K$3,"_",$C$7,L4),DBAburrimiento[#Headers],0))="",COUNTA(INDEX(DBAburrimiento[],,MATCH(_xlfn.CONCAT($K$3,"_",$C$7,L4),DBAburrimiento[#Headers],0))),0),0)</f>
        <v>0</v>
      </c>
      <c r="M7" s="30">
        <f t="array" ref="M7">IFERROR(IF(INDEX(DBAburrimiento[],,MATCH(_xlfn.CONCAT($K$3,"_",$C$7,M4),DBAburrimiento[#Headers],0))="",COUNTA(INDEX(DBAburrimiento[],,MATCH(_xlfn.CONCAT($K$3,"_",$C$7,M4),DBAburrimiento[#Headers],0))),0),0)</f>
        <v>0</v>
      </c>
      <c r="N7" s="30">
        <f t="array" ref="N7">IFERROR(IF(INDEX(DBAburrimiento[],,MATCH(_xlfn.CONCAT($K$3,"_",$C$7,N4),DBAburrimiento[#Headers],0))="",COUNTA(INDEX(DBAburrimiento[],,MATCH(_xlfn.CONCAT($K$3,"_",$C$7,N4),DBAburrimiento[#Headers],0))),0),0)</f>
        <v>0</v>
      </c>
      <c r="O7" s="30">
        <f t="array" ref="O7">IFERROR(IF(INDEX(DBAburrimiento[],,MATCH(_xlfn.CONCAT($K$3,"_",$C$7,O4),DBAburrimiento[#Headers],0))="",COUNTA(INDEX(DBAburrimiento[],,MATCH(_xlfn.CONCAT($K$3,"_",$C$7,O4),DBAburrimiento[#Headers],0))),0),0)</f>
        <v>0</v>
      </c>
      <c r="P7" s="30">
        <f t="array" ref="P7">IFERROR(IF(INDEX(DBAburrimiento[],,MATCH(_xlfn.CONCAT($K$3,"_",$C$7,P4),DBAburrimiento[#Headers],0))="",COUNTA(INDEX(DBAburrimiento[],,MATCH(_xlfn.CONCAT($K$3,"_",$C$7,P4),DBAburrimiento[#Headers],0))),0),0)</f>
        <v>1</v>
      </c>
      <c r="Q7" s="30">
        <f t="array" ref="Q7">IFERROR(IF(INDEX(DBAburrimiento[],,MATCH(_xlfn.CONCAT($K$3,"_",$C$7,Q4),DBAburrimiento[#Headers],0))="",COUNTA(INDEX(DBAburrimiento[],,MATCH(_xlfn.CONCAT($K$3,"_",$C$7,Q4),DBAburrimiento[#Headers],0))),0),0)</f>
        <v>0</v>
      </c>
      <c r="R7" s="30">
        <f t="array" ref="R7">IFERROR(IF(INDEX(DBAburrimiento[],,MATCH(_xlfn.CONCAT($K$3,"_",$C$7,R4),DBAburrimiento[#Headers],0))="",COUNTA(INDEX(DBAburrimiento[],,MATCH(_xlfn.CONCAT($K$3,"_",$C$7,R4),DBAburrimiento[#Headers],0))),0),0)</f>
        <v>2</v>
      </c>
      <c r="S7" s="30">
        <f t="array" ref="S7">IFERROR(IF(INDEX(DBAburrimiento[],,MATCH(_xlfn.CONCAT($K$3,"_",$C$7,S4),DBAburrimiento[#Headers],0))="",COUNTA(INDEX(DBAburrimiento[],,MATCH(_xlfn.CONCAT($K$3,"_",$C$7,S4),DBAburrimiento[#Headers],0))),0),0)</f>
        <v>0</v>
      </c>
      <c r="T7" s="30">
        <f t="array" ref="T7">IFERROR(IF(INDEX(DBAburrimiento[],,MATCH(_xlfn.CONCAT($K$3,"_",$C$7,T4),DBAburrimiento[#Headers],0))="",COUNTA(INDEX(DBAburrimiento[],,MATCH(_xlfn.CONCAT($K$3,"_",$C$7,T4),DBAburrimiento[#Headers],0))),0),0)</f>
        <v>0</v>
      </c>
      <c r="U7" s="30">
        <f t="array" ref="U7">IFERROR(IF(INDEX(DBAburrimiento[],,MATCH(_xlfn.CONCAT($K$3,"_",$C$7,U4),DBAburrimiento[#Headers],0))="",COUNTA(INDEX(DBAburrimiento[],,MATCH(_xlfn.CONCAT($K$3,"_",$C$7,U4),DBAburrimiento[#Headers],0))),0),0)</f>
        <v>4</v>
      </c>
      <c r="V7" s="30">
        <f t="array" ref="V7">IFERROR(IF(INDEX(DBAburrimiento[],,MATCH(_xlfn.CONCAT($K$3,"_",$C$7,V4),DBAburrimiento[#Headers],0))="",COUNTA(INDEX(DBAburrimiento[],,MATCH(_xlfn.CONCAT($K$3,"_",$C$7,V4),DBAburrimiento[#Headers],0))),0),0)</f>
        <v>0</v>
      </c>
      <c r="W7" s="30">
        <f t="array" ref="W7">IFERROR(IF(INDEX(DBAburrimiento[],,MATCH(_xlfn.CONCAT($K$3,"_",$C$7,W4),DBAburrimiento[#Headers],0))="",COUNTA(INDEX(DBAburrimiento[],,MATCH(_xlfn.CONCAT($K$3,"_",$C$7,W4),DBAburrimiento[#Headers],0))),0),0)</f>
        <v>0</v>
      </c>
      <c r="X7" s="30">
        <f t="array" ref="X7">IFERROR(IF(INDEX(DBAburrimiento[],,MATCH(_xlfn.CONCAT($K$3,"_",$C$7,X4),DBAburrimiento[#Headers],0))="",COUNTA(INDEX(DBAburrimiento[],,MATCH(_xlfn.CONCAT($K$3,"_",$C$7,X4),DBAburrimiento[#Headers],0))),0),0)</f>
        <v>0</v>
      </c>
      <c r="Y7" s="30">
        <f t="array" ref="Y7">IFERROR(IF(INDEX(DBAburrimiento[],,MATCH(_xlfn.CONCAT($K$3,"_",$C$7,Y4),DBAburrimiento[#Headers],0))="",COUNTA(INDEX(DBAburrimiento[],,MATCH(_xlfn.CONCAT($K$3,"_",$C$7,Y4),DBAburrimiento[#Headers],0))),0),0)</f>
        <v>0</v>
      </c>
      <c r="Z7" s="30">
        <f t="array" ref="Z7">IFERROR(IF(INDEX(DBAburrimiento[],,MATCH(_xlfn.CONCAT($K$3,"_",$C$7,Z4),DBAburrimiento[#Headers],0))="",COUNTA(INDEX(DBAburrimiento[],,MATCH(_xlfn.CONCAT($K$3,"_",$C$7,Z4),DBAburrimiento[#Headers],0))),0),0)</f>
        <v>0</v>
      </c>
      <c r="AB7" s="36" t="s">
        <v>150</v>
      </c>
      <c r="AC7">
        <f t="array" ref="AC7">IFERROR(IF(INDEX(DBAburrimiento[],,MATCH(_xlfn.CONCAT($AC$3,"_",$C$7,AC4),DBAburrimiento[#Headers],0))="",COUNTA(INDEX(DBAburrimiento[],,MATCH(_xlfn.CONCAT($AC$3,"_",$C$7,AC4),DBAburrimiento[#Headers],0))),0),0)</f>
        <v>0</v>
      </c>
      <c r="AD7">
        <f t="array" ref="AD7">IFERROR(IF(INDEX(DBAburrimiento[],,MATCH(_xlfn.CONCAT($AC$3,"_",$C$7,AD4),DBAburrimiento[#Headers],0))="",COUNTA(INDEX(DBAburrimiento[],,MATCH(_xlfn.CONCAT($AC$3,"_",$C$7,AD4),DBAburrimiento[#Headers],0))),0),0)</f>
        <v>0</v>
      </c>
      <c r="AE7">
        <f t="array" ref="AE7">IFERROR(IF(INDEX(DBAburrimiento[],,MATCH(_xlfn.CONCAT($AC$3,"_",$C$7,AE4),DBAburrimiento[#Headers],0))="",COUNTA(INDEX(DBAburrimiento[],,MATCH(_xlfn.CONCAT($AC$3,"_",$C$7,AE4),DBAburrimiento[#Headers],0))),0),0)</f>
        <v>0</v>
      </c>
      <c r="AF7">
        <f t="array" ref="AF7">IFERROR(IF(INDEX(DBAburrimiento[],,MATCH(_xlfn.CONCAT($AC$3,"_",$C$7,AF4),DBAburrimiento[#Headers],0))="",COUNTA(INDEX(DBAburrimiento[],,MATCH(_xlfn.CONCAT($AC$3,"_",$C$7,AF4),DBAburrimiento[#Headers],0))),0),0)</f>
        <v>0</v>
      </c>
      <c r="AG7">
        <f t="array" ref="AG7">IFERROR(IF(INDEX(DBAburrimiento[],,MATCH(_xlfn.CONCAT($AC$3,"_",$C$7,AG4),DBAburrimiento[#Headers],0))="",COUNTA(INDEX(DBAburrimiento[],,MATCH(_xlfn.CONCAT($AC$3,"_",$C$7,AG4),DBAburrimiento[#Headers],0))),0),0)</f>
        <v>0</v>
      </c>
      <c r="AH7">
        <f t="array" ref="AH7">IFERROR(IF(INDEX(DBAburrimiento[],,MATCH(_xlfn.CONCAT($AC$3,"_",$C$7,AH4),DBAburrimiento[#Headers],0))="",COUNTA(INDEX(DBAburrimiento[],,MATCH(_xlfn.CONCAT($AC$3,"_",$C$7,AH4),DBAburrimiento[#Headers],0))),0),0)</f>
        <v>0</v>
      </c>
      <c r="AI7">
        <f t="array" ref="AI7">IFERROR(IF(INDEX(DBAburrimiento[],,MATCH(_xlfn.CONCAT($AC$3,"_",$C$7,AI4),DBAburrimiento[#Headers],0))="",COUNTA(INDEX(DBAburrimiento[],,MATCH(_xlfn.CONCAT($AC$3,"_",$C$7,AI4),DBAburrimiento[#Headers],0))),0),0)</f>
        <v>0</v>
      </c>
      <c r="AJ7">
        <f t="array" ref="AJ7">IFERROR(IF(INDEX(DBAburrimiento[],,MATCH(_xlfn.CONCAT($AC$3,"_",$C$7,AJ4),DBAburrimiento[#Headers],0))="",COUNTA(INDEX(DBAburrimiento[],,MATCH(_xlfn.CONCAT($AC$3,"_",$C$7,AJ4),DBAburrimiento[#Headers],0))),0),0)</f>
        <v>0</v>
      </c>
      <c r="AK7">
        <f t="array" ref="AK7">IFERROR(IF(INDEX(DBAburrimiento[],,MATCH(_xlfn.CONCAT($AC$3,"_",$C$7,AK4),DBAburrimiento[#Headers],0))="",COUNTA(INDEX(DBAburrimiento[],,MATCH(_xlfn.CONCAT($AC$3,"_",$C$7,AK4),DBAburrimiento[#Headers],0))),0),0)</f>
        <v>0</v>
      </c>
      <c r="AL7">
        <f t="array" ref="AL7">IFERROR(IF(INDEX(DBAburrimiento[],,MATCH(_xlfn.CONCAT($AC$3,"_",$C$7,AL4),DBAburrimiento[#Headers],0))="",COUNTA(INDEX(DBAburrimiento[],,MATCH(_xlfn.CONCAT($AC$3,"_",$C$7,AL4),DBAburrimiento[#Headers],0))),0),0)</f>
        <v>0</v>
      </c>
      <c r="AM7">
        <f t="array" ref="AM7">IFERROR(IF(INDEX(DBAburrimiento[],,MATCH(_xlfn.CONCAT($AC$3,"_",$C$7,AM4),DBAburrimiento[#Headers],0))="",COUNTA(INDEX(DBAburrimiento[],,MATCH(_xlfn.CONCAT($AC$3,"_",$C$7,AM4),DBAburrimiento[#Headers],0))),0),0)</f>
        <v>0</v>
      </c>
      <c r="AN7">
        <f t="array" ref="AN7">IFERROR(IF(INDEX(DBAburrimiento[],,MATCH(_xlfn.CONCAT($AC$3,"_",$C$7,AN4),DBAburrimiento[#Headers],0))="",COUNTA(INDEX(DBAburrimiento[],,MATCH(_xlfn.CONCAT($AC$3,"_",$C$7,AN4),DBAburrimiento[#Headers],0))),0),0)</f>
        <v>0</v>
      </c>
      <c r="AO7">
        <f t="array" ref="AO7">IFERROR(IF(INDEX(DBAburrimiento[],,MATCH(_xlfn.CONCAT($AC$3,"_",$C$7,AO4),DBAburrimiento[#Headers],0))="",COUNTA(INDEX(DBAburrimiento[],,MATCH(_xlfn.CONCAT($AC$3,"_",$C$7,AO4),DBAburrimiento[#Headers],0))),0),0)</f>
        <v>0</v>
      </c>
      <c r="AP7">
        <f t="array" ref="AP7">IFERROR(IF(INDEX(DBAburrimiento[],,MATCH(_xlfn.CONCAT($AC$3,"_",$C$7,AP4),DBAburrimiento[#Headers],0))="",COUNTA(INDEX(DBAburrimiento[],,MATCH(_xlfn.CONCAT($AC$3,"_",$C$7,AP4),DBAburrimiento[#Headers],0))),0),0)</f>
        <v>0</v>
      </c>
      <c r="AQ7">
        <f t="array" ref="AQ7">IFERROR(IF(INDEX(DBAburrimiento[],,MATCH(_xlfn.CONCAT($AC$3,"_",$C$7,AQ4),DBAburrimiento[#Headers],0))="",COUNTA(INDEX(DBAburrimiento[],,MATCH(_xlfn.CONCAT($AC$3,"_",$C$7,AQ4),DBAburrimiento[#Headers],0))),0),0)</f>
        <v>0</v>
      </c>
      <c r="AR7">
        <f t="array" ref="AR7">IFERROR(IF(INDEX(DBAburrimiento[],,MATCH(_xlfn.CONCAT($AC$3,"_",$C$7,AR4),DBAburrimiento[#Headers],0))="",COUNTA(INDEX(DBAburrimiento[],,MATCH(_xlfn.CONCAT($AC$3,"_",$C$7,AR4),DBAburrimiento[#Headers],0))),0),0)</f>
        <v>0</v>
      </c>
      <c r="AT7" s="36" t="s">
        <v>150</v>
      </c>
      <c r="AU7">
        <f t="array" ref="AU7">IFERROR(IF(INDEX(DBAburrimiento[],,MATCH(_xlfn.CONCAT($AU$3,"_",$C$7,AU4),DBAburrimiento[#Headers],0))="",COUNTA(INDEX(DBAburrimiento[],,MATCH(_xlfn.CONCAT($AU$3,"_",$C$7,AU4),DBAburrimiento[#Headers],0))),0),0)</f>
        <v>0</v>
      </c>
      <c r="AV7">
        <f t="array" ref="AV7">IFERROR(IF(INDEX(DBAburrimiento[],,MATCH(_xlfn.CONCAT($AU$3,"_",$C$7,AV4),DBAburrimiento[#Headers],0))="",COUNTA(INDEX(DBAburrimiento[],,MATCH(_xlfn.CONCAT($AU$3,"_",$C$7,AV4),DBAburrimiento[#Headers],0))),0),0)</f>
        <v>0</v>
      </c>
      <c r="AW7">
        <f t="array" ref="AW7">IFERROR(IF(INDEX(DBAburrimiento[],,MATCH(_xlfn.CONCAT($AU$3,"_",$C$7,AW4),DBAburrimiento[#Headers],0))="",COUNTA(INDEX(DBAburrimiento[],,MATCH(_xlfn.CONCAT($AU$3,"_",$C$7,AW4),DBAburrimiento[#Headers],0))),0),0)</f>
        <v>0</v>
      </c>
      <c r="AX7">
        <f t="array" ref="AX7">IFERROR(IF(INDEX(DBAburrimiento[],,MATCH(_xlfn.CONCAT($AU$3,"_",$C$7,AX4),DBAburrimiento[#Headers],0))="",COUNTA(INDEX(DBAburrimiento[],,MATCH(_xlfn.CONCAT($AU$3,"_",$C$7,AX4),DBAburrimiento[#Headers],0))),0),0)</f>
        <v>0</v>
      </c>
      <c r="AY7">
        <f t="array" ref="AY7">IFERROR(IF(INDEX(DBAburrimiento[],,MATCH(_xlfn.CONCAT($AU$3,"_",$C$7,AY4),DBAburrimiento[#Headers],0))="",COUNTA(INDEX(DBAburrimiento[],,MATCH(_xlfn.CONCAT($AU$3,"_",$C$7,AY4),DBAburrimiento[#Headers],0))),0),0)</f>
        <v>0</v>
      </c>
      <c r="AZ7">
        <f t="array" ref="AZ7">IFERROR(IF(INDEX(DBAburrimiento[],,MATCH(_xlfn.CONCAT($AU$3,"_",$C$7,AZ4),DBAburrimiento[#Headers],0))="",COUNTA(INDEX(DBAburrimiento[],,MATCH(_xlfn.CONCAT($AU$3,"_",$C$7,AZ4),DBAburrimiento[#Headers],0))),0),0)</f>
        <v>0</v>
      </c>
      <c r="BA7">
        <f t="array" ref="BA7">IFERROR(IF(INDEX(DBAburrimiento[],,MATCH(_xlfn.CONCAT($AU$3,"_",$C$7,BA4),DBAburrimiento[#Headers],0))="",COUNTA(INDEX(DBAburrimiento[],,MATCH(_xlfn.CONCAT($AU$3,"_",$C$7,BA4),DBAburrimiento[#Headers],0))),0),0)</f>
        <v>0</v>
      </c>
      <c r="BB7">
        <f t="array" ref="BB7">IFERROR(IF(INDEX(DBAburrimiento[],,MATCH(_xlfn.CONCAT($AU$3,"_",$C$7,BB4),DBAburrimiento[#Headers],0))="",COUNTA(INDEX(DBAburrimiento[],,MATCH(_xlfn.CONCAT($AU$3,"_",$C$7,BB4),DBAburrimiento[#Headers],0))),0),0)</f>
        <v>1</v>
      </c>
      <c r="BC7">
        <f t="array" ref="BC7">IFERROR(IF(INDEX(DBAburrimiento[],,MATCH(_xlfn.CONCAT($AU$3,"_",$C$7,BC4),DBAburrimiento[#Headers],0))="",COUNTA(INDEX(DBAburrimiento[],,MATCH(_xlfn.CONCAT($AU$3,"_",$C$7,BC4),DBAburrimiento[#Headers],0))),0),0)</f>
        <v>0</v>
      </c>
      <c r="BD7">
        <f t="array" ref="BD7">IFERROR(IF(INDEX(DBAburrimiento[],,MATCH(_xlfn.CONCAT($AU$3,"_",$C$7,BD4),DBAburrimiento[#Headers],0))="",COUNTA(INDEX(DBAburrimiento[],,MATCH(_xlfn.CONCAT($AU$3,"_",$C$7,BD4),DBAburrimiento[#Headers],0))),0),0)</f>
        <v>0</v>
      </c>
      <c r="BE7">
        <f t="array" ref="BE7">IFERROR(IF(INDEX(DBAburrimiento[],,MATCH(_xlfn.CONCAT($AU$3,"_",$C$7,BE4),DBAburrimiento[#Headers],0))="",COUNTA(INDEX(DBAburrimiento[],,MATCH(_xlfn.CONCAT($AU$3,"_",$C$7,BE4),DBAburrimiento[#Headers],0))),0),0)</f>
        <v>1</v>
      </c>
      <c r="BF7">
        <f t="array" ref="BF7">IFERROR(IF(INDEX(DBAburrimiento[],,MATCH(_xlfn.CONCAT($AU$3,"_",$C$7,BF4),DBAburrimiento[#Headers],0))="",COUNTA(INDEX(DBAburrimiento[],,MATCH(_xlfn.CONCAT($AU$3,"_",$C$7,BF4),DBAburrimiento[#Headers],0))),0),0)</f>
        <v>0</v>
      </c>
      <c r="BG7">
        <f t="array" ref="BG7">IFERROR(IF(INDEX(DBAburrimiento[],,MATCH(_xlfn.CONCAT($AU$3,"_",$C$7,BG4),DBAburrimiento[#Headers],0))="",COUNTA(INDEX(DBAburrimiento[],,MATCH(_xlfn.CONCAT($AU$3,"_",$C$7,BG4),DBAburrimiento[#Headers],0))),0),0)</f>
        <v>0</v>
      </c>
      <c r="BH7">
        <f t="array" ref="BH7">IFERROR(IF(INDEX(DBAburrimiento[],,MATCH(_xlfn.CONCAT($AU$3,"_",$C$7,BH4),DBAburrimiento[#Headers],0))="",COUNTA(INDEX(DBAburrimiento[],,MATCH(_xlfn.CONCAT($AU$3,"_",$C$7,BH4),DBAburrimiento[#Headers],0))),0),0)</f>
        <v>0</v>
      </c>
      <c r="BI7">
        <f t="array" ref="BI7">IFERROR(IF(INDEX(DBAburrimiento[],,MATCH(_xlfn.CONCAT($AU$3,"_",$C$7,BI4),DBAburrimiento[#Headers],0))="",COUNTA(INDEX(DBAburrimiento[],,MATCH(_xlfn.CONCAT($AU$3,"_",$C$7,BI4),DBAburrimiento[#Headers],0))),0),0)</f>
        <v>0</v>
      </c>
      <c r="BJ7">
        <f t="array" ref="BJ7">IFERROR(IF(INDEX(DBAburrimiento[],,MATCH(_xlfn.CONCAT($AU$3,"_",$C$7,BJ4),DBAburrimiento[#Headers],0))="",COUNTA(INDEX(DBAburrimiento[],,MATCH(_xlfn.CONCAT($AU$3,"_",$C$7,BJ4),DBAburrimiento[#Headers],0))),0),0)</f>
        <v>0</v>
      </c>
    </row>
    <row r="8" spans="3:62" x14ac:dyDescent="0.2">
      <c r="C8" t="s">
        <v>151</v>
      </c>
      <c r="D8" cm="1">
        <f t="array" ref="D8">SUM(IF(LEFT(DBAburrimiento[#Headers],LEN(_xlfn.CONCAT($K$3,"_",C8)))=_xlfn.CONCAT($K$3,"_",C8),1,0))</f>
        <v>1</v>
      </c>
      <c r="E8" cm="1">
        <f t="array" ref="E8">SUM(IF(LEFT(DBAburrimiento[#Headers],LEN(_xlfn.CONCAT($AC$3,"_",C8)))=_xlfn.CONCAT($AC$3,"_",C8),1,0))</f>
        <v>1</v>
      </c>
      <c r="F8" cm="1">
        <f t="array" ref="F8">SUM(IF(LEFT(DBAburrimiento[#Headers],LEN(_xlfn.CONCAT($AU$3,"_",C8)))=_xlfn.CONCAT($AU$3,"_",C8),1,0))</f>
        <v>1</v>
      </c>
      <c r="G8" s="12">
        <f t="shared" si="0"/>
        <v>1</v>
      </c>
      <c r="H8" s="12">
        <f t="shared" si="1"/>
        <v>1</v>
      </c>
      <c r="J8" s="36" t="s">
        <v>151</v>
      </c>
      <c r="K8" s="30">
        <f t="array" ref="K8">IFERROR(IF(INDEX(DBAburrimiento[],,MATCH(_xlfn.CONCAT($K$3,"_",$C$8,K4),DBAburrimiento[#Headers],0))="",COUNTA(INDEX(DBAburrimiento[],,MATCH(_xlfn.CONCAT($K$3,"_",$C$8,K4),DBAburrimiento[#Headers],0))),0),0)</f>
        <v>0</v>
      </c>
      <c r="L8" s="30">
        <f t="array" ref="L8">IFERROR(IF(INDEX(DBAburrimiento[],,MATCH(_xlfn.CONCAT($K$3,"_",$C$8,L4),DBAburrimiento[#Headers],0))="",COUNTA(INDEX(DBAburrimiento[],,MATCH(_xlfn.CONCAT($K$3,"_",$C$8,L4),DBAburrimiento[#Headers],0))),0),0)</f>
        <v>0</v>
      </c>
      <c r="M8" s="30">
        <f t="array" ref="M8">IFERROR(IF(INDEX(DBAburrimiento[],,MATCH(_xlfn.CONCAT($K$3,"_",$C$8,M4),DBAburrimiento[#Headers],0))="",COUNTA(INDEX(DBAburrimiento[],,MATCH(_xlfn.CONCAT($K$3,"_",$C$8,M4),DBAburrimiento[#Headers],0))),0),0)</f>
        <v>0</v>
      </c>
      <c r="N8" s="30">
        <f t="array" ref="N8">IFERROR(IF(INDEX(DBAburrimiento[],,MATCH(_xlfn.CONCAT($K$3,"_",$C$8,N4),DBAburrimiento[#Headers],0))="",COUNTA(INDEX(DBAburrimiento[],,MATCH(_xlfn.CONCAT($K$3,"_",$C$8,N4),DBAburrimiento[#Headers],0))),0),0)</f>
        <v>0</v>
      </c>
      <c r="O8" s="30">
        <f t="array" ref="O8">IFERROR(IF(INDEX(DBAburrimiento[],,MATCH(_xlfn.CONCAT($K$3,"_",$C$8,O4),DBAburrimiento[#Headers],0))="",COUNTA(INDEX(DBAburrimiento[],,MATCH(_xlfn.CONCAT($K$3,"_",$C$8,O4),DBAburrimiento[#Headers],0))),0),0)</f>
        <v>0</v>
      </c>
      <c r="P8" s="30">
        <f t="array" ref="P8">IFERROR(IF(INDEX(DBAburrimiento[],,MATCH(_xlfn.CONCAT($K$3,"_",$C$8,P4),DBAburrimiento[#Headers],0))="",COUNTA(INDEX(DBAburrimiento[],,MATCH(_xlfn.CONCAT($K$3,"_",$C$8,P4),DBAburrimiento[#Headers],0))),0),0)</f>
        <v>1</v>
      </c>
      <c r="Q8" s="30">
        <f t="array" ref="Q8">IFERROR(IF(INDEX(DBAburrimiento[],,MATCH(_xlfn.CONCAT($K$3,"_",$C$8,Q4),DBAburrimiento[#Headers],0))="",COUNTA(INDEX(DBAburrimiento[],,MATCH(_xlfn.CONCAT($K$3,"_",$C$8,Q4),DBAburrimiento[#Headers],0))),0),0)</f>
        <v>0</v>
      </c>
      <c r="R8" s="30">
        <f t="array" ref="R8">IFERROR(IF(INDEX(DBAburrimiento[],,MATCH(_xlfn.CONCAT($K$3,"_",$C$8,R4),DBAburrimiento[#Headers],0))="",COUNTA(INDEX(DBAburrimiento[],,MATCH(_xlfn.CONCAT($K$3,"_",$C$8,R4),DBAburrimiento[#Headers],0))),0),0)</f>
        <v>0</v>
      </c>
      <c r="S8" s="30">
        <f t="array" ref="S8">IFERROR(IF(INDEX(DBAburrimiento[],,MATCH(_xlfn.CONCAT($K$3,"_",$C$8,S4),DBAburrimiento[#Headers],0))="",COUNTA(INDEX(DBAburrimiento[],,MATCH(_xlfn.CONCAT($K$3,"_",$C$8,S4),DBAburrimiento[#Headers],0))),0),0)</f>
        <v>0</v>
      </c>
      <c r="T8" s="30">
        <f t="array" ref="T8">IFERROR(IF(INDEX(DBAburrimiento[],,MATCH(_xlfn.CONCAT($K$3,"_",$C$8,T4),DBAburrimiento[#Headers],0))="",COUNTA(INDEX(DBAburrimiento[],,MATCH(_xlfn.CONCAT($K$3,"_",$C$8,T4),DBAburrimiento[#Headers],0))),0),0)</f>
        <v>0</v>
      </c>
      <c r="U8" s="30">
        <f t="array" ref="U8">IFERROR(IF(INDEX(DBAburrimiento[],,MATCH(_xlfn.CONCAT($K$3,"_",$C$8,U4),DBAburrimiento[#Headers],0))="",COUNTA(INDEX(DBAburrimiento[],,MATCH(_xlfn.CONCAT($K$3,"_",$C$8,U4),DBAburrimiento[#Headers],0))),0),0)</f>
        <v>0</v>
      </c>
      <c r="V8" s="30">
        <f t="array" ref="V8">IFERROR(IF(INDEX(DBAburrimiento[],,MATCH(_xlfn.CONCAT($K$3,"_",$C$8,V4),DBAburrimiento[#Headers],0))="",COUNTA(INDEX(DBAburrimiento[],,MATCH(_xlfn.CONCAT($K$3,"_",$C$8,V4),DBAburrimiento[#Headers],0))),0),0)</f>
        <v>0</v>
      </c>
      <c r="W8" s="30">
        <f t="array" ref="W8">IFERROR(IF(INDEX(DBAburrimiento[],,MATCH(_xlfn.CONCAT($K$3,"_",$C$8,W4),DBAburrimiento[#Headers],0))="",COUNTA(INDEX(DBAburrimiento[],,MATCH(_xlfn.CONCAT($K$3,"_",$C$8,W4),DBAburrimiento[#Headers],0))),0),0)</f>
        <v>0</v>
      </c>
      <c r="X8" s="30">
        <f t="array" ref="X8">IFERROR(IF(INDEX(DBAburrimiento[],,MATCH(_xlfn.CONCAT($K$3,"_",$C$8,X4),DBAburrimiento[#Headers],0))="",COUNTA(INDEX(DBAburrimiento[],,MATCH(_xlfn.CONCAT($K$3,"_",$C$8,X4),DBAburrimiento[#Headers],0))),0),0)</f>
        <v>0</v>
      </c>
      <c r="Y8" s="30">
        <f t="array" ref="Y8">IFERROR(IF(INDEX(DBAburrimiento[],,MATCH(_xlfn.CONCAT($K$3,"_",$C$8,Y4),DBAburrimiento[#Headers],0))="",COUNTA(INDEX(DBAburrimiento[],,MATCH(_xlfn.CONCAT($K$3,"_",$C$8,Y4),DBAburrimiento[#Headers],0))),0),0)</f>
        <v>0</v>
      </c>
      <c r="Z8" s="30">
        <f t="array" ref="Z8">IFERROR(IF(INDEX(DBAburrimiento[],,MATCH(_xlfn.CONCAT($K$3,"_",$C$8,Z4),DBAburrimiento[#Headers],0))="",COUNTA(INDEX(DBAburrimiento[],,MATCH(_xlfn.CONCAT($K$3,"_",$C$8,Z4),DBAburrimiento[#Headers],0))),0),0)</f>
        <v>0</v>
      </c>
      <c r="AB8" s="36" t="s">
        <v>151</v>
      </c>
      <c r="AC8">
        <f t="array" ref="AC8">IFERROR(IF(INDEX(DBAburrimiento[],,MATCH(_xlfn.CONCAT($AC$3,"_",$C$8,AC4),DBAburrimiento[#Headers],0))="",COUNTA(INDEX(DBAburrimiento[],,MATCH(_xlfn.CONCAT($AC$3,"_",$C$8,AC4),DBAburrimiento[#Headers],0))),0),0)</f>
        <v>0</v>
      </c>
      <c r="AD8">
        <f t="array" ref="AD8">IFERROR(IF(INDEX(DBAburrimiento[],,MATCH(_xlfn.CONCAT($AC$3,"_",$C$8,AD4),DBAburrimiento[#Headers],0))="",COUNTA(INDEX(DBAburrimiento[],,MATCH(_xlfn.CONCAT($AC$3,"_",$C$8,AD4),DBAburrimiento[#Headers],0))),0),0)</f>
        <v>0</v>
      </c>
      <c r="AE8">
        <f t="array" ref="AE8">IFERROR(IF(INDEX(DBAburrimiento[],,MATCH(_xlfn.CONCAT($AC$3,"_",$C$8,AE4),DBAburrimiento[#Headers],0))="",COUNTA(INDEX(DBAburrimiento[],,MATCH(_xlfn.CONCAT($AC$3,"_",$C$8,AE4),DBAburrimiento[#Headers],0))),0),0)</f>
        <v>0</v>
      </c>
      <c r="AF8">
        <f t="array" ref="AF8">IFERROR(IF(INDEX(DBAburrimiento[],,MATCH(_xlfn.CONCAT($AC$3,"_",$C$8,AF4),DBAburrimiento[#Headers],0))="",COUNTA(INDEX(DBAburrimiento[],,MATCH(_xlfn.CONCAT($AC$3,"_",$C$8,AF4),DBAburrimiento[#Headers],0))),0),0)</f>
        <v>0</v>
      </c>
      <c r="AG8">
        <f t="array" ref="AG8">IFERROR(IF(INDEX(DBAburrimiento[],,MATCH(_xlfn.CONCAT($AC$3,"_",$C$8,AG4),DBAburrimiento[#Headers],0))="",COUNTA(INDEX(DBAburrimiento[],,MATCH(_xlfn.CONCAT($AC$3,"_",$C$8,AG4),DBAburrimiento[#Headers],0))),0),0)</f>
        <v>0</v>
      </c>
      <c r="AH8">
        <f t="array" ref="AH8">IFERROR(IF(INDEX(DBAburrimiento[],,MATCH(_xlfn.CONCAT($AC$3,"_",$C$8,AH4),DBAburrimiento[#Headers],0))="",COUNTA(INDEX(DBAburrimiento[],,MATCH(_xlfn.CONCAT($AC$3,"_",$C$8,AH4),DBAburrimiento[#Headers],0))),0),0)</f>
        <v>1</v>
      </c>
      <c r="AI8">
        <f t="array" ref="AI8">IFERROR(IF(INDEX(DBAburrimiento[],,MATCH(_xlfn.CONCAT($AC$3,"_",$C$8,AI4),DBAburrimiento[#Headers],0))="",COUNTA(INDEX(DBAburrimiento[],,MATCH(_xlfn.CONCAT($AC$3,"_",$C$8,AI4),DBAburrimiento[#Headers],0))),0),0)</f>
        <v>0</v>
      </c>
      <c r="AJ8">
        <f t="array" ref="AJ8">IFERROR(IF(INDEX(DBAburrimiento[],,MATCH(_xlfn.CONCAT($AC$3,"_",$C$8,AJ4),DBAburrimiento[#Headers],0))="",COUNTA(INDEX(DBAburrimiento[],,MATCH(_xlfn.CONCAT($AC$3,"_",$C$8,AJ4),DBAburrimiento[#Headers],0))),0),0)</f>
        <v>0</v>
      </c>
      <c r="AK8">
        <f t="array" ref="AK8">IFERROR(IF(INDEX(DBAburrimiento[],,MATCH(_xlfn.CONCAT($AC$3,"_",$C$8,AK4),DBAburrimiento[#Headers],0))="",COUNTA(INDEX(DBAburrimiento[],,MATCH(_xlfn.CONCAT($AC$3,"_",$C$8,AK4),DBAburrimiento[#Headers],0))),0),0)</f>
        <v>0</v>
      </c>
      <c r="AL8">
        <f t="array" ref="AL8">IFERROR(IF(INDEX(DBAburrimiento[],,MATCH(_xlfn.CONCAT($AC$3,"_",$C$8,AL4),DBAburrimiento[#Headers],0))="",COUNTA(INDEX(DBAburrimiento[],,MATCH(_xlfn.CONCAT($AC$3,"_",$C$8,AL4),DBAburrimiento[#Headers],0))),0),0)</f>
        <v>0</v>
      </c>
      <c r="AM8">
        <f t="array" ref="AM8">IFERROR(IF(INDEX(DBAburrimiento[],,MATCH(_xlfn.CONCAT($AC$3,"_",$C$8,AM4),DBAburrimiento[#Headers],0))="",COUNTA(INDEX(DBAburrimiento[],,MATCH(_xlfn.CONCAT($AC$3,"_",$C$8,AM4),DBAburrimiento[#Headers],0))),0),0)</f>
        <v>0</v>
      </c>
      <c r="AN8">
        <f t="array" ref="AN8">IFERROR(IF(INDEX(DBAburrimiento[],,MATCH(_xlfn.CONCAT($AC$3,"_",$C$8,AN4),DBAburrimiento[#Headers],0))="",COUNTA(INDEX(DBAburrimiento[],,MATCH(_xlfn.CONCAT($AC$3,"_",$C$8,AN4),DBAburrimiento[#Headers],0))),0),0)</f>
        <v>0</v>
      </c>
      <c r="AO8">
        <f t="array" ref="AO8">IFERROR(IF(INDEX(DBAburrimiento[],,MATCH(_xlfn.CONCAT($AC$3,"_",$C$8,AO4),DBAburrimiento[#Headers],0))="",COUNTA(INDEX(DBAburrimiento[],,MATCH(_xlfn.CONCAT($AC$3,"_",$C$8,AO4),DBAburrimiento[#Headers],0))),0),0)</f>
        <v>0</v>
      </c>
      <c r="AP8">
        <f t="array" ref="AP8">IFERROR(IF(INDEX(DBAburrimiento[],,MATCH(_xlfn.CONCAT($AC$3,"_",$C$8,AP4),DBAburrimiento[#Headers],0))="",COUNTA(INDEX(DBAburrimiento[],,MATCH(_xlfn.CONCAT($AC$3,"_",$C$8,AP4),DBAburrimiento[#Headers],0))),0),0)</f>
        <v>0</v>
      </c>
      <c r="AQ8">
        <f t="array" ref="AQ8">IFERROR(IF(INDEX(DBAburrimiento[],,MATCH(_xlfn.CONCAT($AC$3,"_",$C$8,AQ4),DBAburrimiento[#Headers],0))="",COUNTA(INDEX(DBAburrimiento[],,MATCH(_xlfn.CONCAT($AC$3,"_",$C$8,AQ4),DBAburrimiento[#Headers],0))),0),0)</f>
        <v>0</v>
      </c>
      <c r="AR8">
        <f t="array" ref="AR8">IFERROR(IF(INDEX(DBAburrimiento[],,MATCH(_xlfn.CONCAT($AC$3,"_",$C$8,AR4),DBAburrimiento[#Headers],0))="",COUNTA(INDEX(DBAburrimiento[],,MATCH(_xlfn.CONCAT($AC$3,"_",$C$8,AR4),DBAburrimiento[#Headers],0))),0),0)</f>
        <v>0</v>
      </c>
      <c r="AT8" s="36" t="s">
        <v>151</v>
      </c>
      <c r="AU8">
        <f t="array" ref="AU8">IFERROR(IF(INDEX(DBAburrimiento[],,MATCH(_xlfn.CONCAT($AU$3,"_",$C$8,AU4),DBAburrimiento[#Headers],0))="",COUNTA(INDEX(DBAburrimiento[],,MATCH(_xlfn.CONCAT($AU$3,"_",$C$8,AU4),DBAburrimiento[#Headers],0))),0),0)</f>
        <v>0</v>
      </c>
      <c r="AV8">
        <f t="array" ref="AV8">IFERROR(IF(INDEX(DBAburrimiento[],,MATCH(_xlfn.CONCAT($AU$3,"_",$C$8,AV4),DBAburrimiento[#Headers],0))="",COUNTA(INDEX(DBAburrimiento[],,MATCH(_xlfn.CONCAT($AU$3,"_",$C$8,AV4),DBAburrimiento[#Headers],0))),0),0)</f>
        <v>0</v>
      </c>
      <c r="AW8">
        <f t="array" ref="AW8">IFERROR(IF(INDEX(DBAburrimiento[],,MATCH(_xlfn.CONCAT($AU$3,"_",$C$8,AW4),DBAburrimiento[#Headers],0))="",COUNTA(INDEX(DBAburrimiento[],,MATCH(_xlfn.CONCAT($AU$3,"_",$C$8,AW4),DBAburrimiento[#Headers],0))),0),0)</f>
        <v>0</v>
      </c>
      <c r="AX8">
        <f t="array" ref="AX8">IFERROR(IF(INDEX(DBAburrimiento[],,MATCH(_xlfn.CONCAT($AU$3,"_",$C$8,AX4),DBAburrimiento[#Headers],0))="",COUNTA(INDEX(DBAburrimiento[],,MATCH(_xlfn.CONCAT($AU$3,"_",$C$8,AX4),DBAburrimiento[#Headers],0))),0),0)</f>
        <v>0</v>
      </c>
      <c r="AY8">
        <f t="array" ref="AY8">IFERROR(IF(INDEX(DBAburrimiento[],,MATCH(_xlfn.CONCAT($AU$3,"_",$C$8,AY4),DBAburrimiento[#Headers],0))="",COUNTA(INDEX(DBAburrimiento[],,MATCH(_xlfn.CONCAT($AU$3,"_",$C$8,AY4),DBAburrimiento[#Headers],0))),0),0)</f>
        <v>0</v>
      </c>
      <c r="AZ8">
        <f t="array" ref="AZ8">IFERROR(IF(INDEX(DBAburrimiento[],,MATCH(_xlfn.CONCAT($AU$3,"_",$C$8,AZ4),DBAburrimiento[#Headers],0))="",COUNTA(INDEX(DBAburrimiento[],,MATCH(_xlfn.CONCAT($AU$3,"_",$C$8,AZ4),DBAburrimiento[#Headers],0))),0),0)</f>
        <v>0</v>
      </c>
      <c r="BA8">
        <f t="array" ref="BA8">IFERROR(IF(INDEX(DBAburrimiento[],,MATCH(_xlfn.CONCAT($AU$3,"_",$C$8,BA4),DBAburrimiento[#Headers],0))="",COUNTA(INDEX(DBAburrimiento[],,MATCH(_xlfn.CONCAT($AU$3,"_",$C$8,BA4),DBAburrimiento[#Headers],0))),0),0)</f>
        <v>0</v>
      </c>
      <c r="BB8">
        <f t="array" ref="BB8">IFERROR(IF(INDEX(DBAburrimiento[],,MATCH(_xlfn.CONCAT($AU$3,"_",$C$8,BB4),DBAburrimiento[#Headers],0))="",COUNTA(INDEX(DBAburrimiento[],,MATCH(_xlfn.CONCAT($AU$3,"_",$C$8,BB4),DBAburrimiento[#Headers],0))),0),0)</f>
        <v>0</v>
      </c>
      <c r="BC8">
        <f t="array" ref="BC8">IFERROR(IF(INDEX(DBAburrimiento[],,MATCH(_xlfn.CONCAT($AU$3,"_",$C$8,BC4),DBAburrimiento[#Headers],0))="",COUNTA(INDEX(DBAburrimiento[],,MATCH(_xlfn.CONCAT($AU$3,"_",$C$8,BC4),DBAburrimiento[#Headers],0))),0),0)</f>
        <v>0</v>
      </c>
      <c r="BD8">
        <f t="array" ref="BD8">IFERROR(IF(INDEX(DBAburrimiento[],,MATCH(_xlfn.CONCAT($AU$3,"_",$C$8,BD4),DBAburrimiento[#Headers],0))="",COUNTA(INDEX(DBAburrimiento[],,MATCH(_xlfn.CONCAT($AU$3,"_",$C$8,BD4),DBAburrimiento[#Headers],0))),0),0)</f>
        <v>0</v>
      </c>
      <c r="BE8">
        <f t="array" ref="BE8">IFERROR(IF(INDEX(DBAburrimiento[],,MATCH(_xlfn.CONCAT($AU$3,"_",$C$8,BE4),DBAburrimiento[#Headers],0))="",COUNTA(INDEX(DBAburrimiento[],,MATCH(_xlfn.CONCAT($AU$3,"_",$C$8,BE4),DBAburrimiento[#Headers],0))),0),0)</f>
        <v>0</v>
      </c>
      <c r="BF8">
        <f t="array" ref="BF8">IFERROR(IF(INDEX(DBAburrimiento[],,MATCH(_xlfn.CONCAT($AU$3,"_",$C$8,BF4),DBAburrimiento[#Headers],0))="",COUNTA(INDEX(DBAburrimiento[],,MATCH(_xlfn.CONCAT($AU$3,"_",$C$8,BF4),DBAburrimiento[#Headers],0))),0),0)</f>
        <v>1</v>
      </c>
      <c r="BG8">
        <f t="array" ref="BG8">IFERROR(IF(INDEX(DBAburrimiento[],,MATCH(_xlfn.CONCAT($AU$3,"_",$C$8,BG4),DBAburrimiento[#Headers],0))="",COUNTA(INDEX(DBAburrimiento[],,MATCH(_xlfn.CONCAT($AU$3,"_",$C$8,BG4),DBAburrimiento[#Headers],0))),0),0)</f>
        <v>0</v>
      </c>
      <c r="BH8">
        <f t="array" ref="BH8">IFERROR(IF(INDEX(DBAburrimiento[],,MATCH(_xlfn.CONCAT($AU$3,"_",$C$8,BH4),DBAburrimiento[#Headers],0))="",COUNTA(INDEX(DBAburrimiento[],,MATCH(_xlfn.CONCAT($AU$3,"_",$C$8,BH4),DBAburrimiento[#Headers],0))),0),0)</f>
        <v>0</v>
      </c>
      <c r="BI8">
        <f t="array" ref="BI8">IFERROR(IF(INDEX(DBAburrimiento[],,MATCH(_xlfn.CONCAT($AU$3,"_",$C$8,BI4),DBAburrimiento[#Headers],0))="",COUNTA(INDEX(DBAburrimiento[],,MATCH(_xlfn.CONCAT($AU$3,"_",$C$8,BI4),DBAburrimiento[#Headers],0))),0),0)</f>
        <v>0</v>
      </c>
      <c r="BJ8">
        <f t="array" ref="BJ8">IFERROR(IF(INDEX(DBAburrimiento[],,MATCH(_xlfn.CONCAT($AU$3,"_",$C$8,BJ4),DBAburrimiento[#Headers],0))="",COUNTA(INDEX(DBAburrimiento[],,MATCH(_xlfn.CONCAT($AU$3,"_",$C$8,BJ4),DBAburrimiento[#Headers],0))),0),0)</f>
        <v>0</v>
      </c>
    </row>
    <row r="9" spans="3:62" x14ac:dyDescent="0.2">
      <c r="C9" t="s">
        <v>152</v>
      </c>
      <c r="D9" cm="1">
        <f t="array" ref="D9">SUM(IF(LEFT(DBAburrimiento[#Headers],LEN(_xlfn.CONCAT($K$3,"_",C9)))=_xlfn.CONCAT($K$3,"_",C9),1,0))</f>
        <v>5</v>
      </c>
      <c r="E9" cm="1">
        <f t="array" ref="E9">SUM(IF(LEFT(DBAburrimiento[#Headers],LEN(_xlfn.CONCAT($AC$3,"_",C9)))=_xlfn.CONCAT($AC$3,"_",C9),1,0))</f>
        <v>2</v>
      </c>
      <c r="F9" cm="1">
        <f t="array" ref="F9">SUM(IF(LEFT(DBAburrimiento[#Headers],LEN(_xlfn.CONCAT($AU$3,"_",C9)))=_xlfn.CONCAT($AU$3,"_",C9),1,0))</f>
        <v>4</v>
      </c>
      <c r="G9" s="12">
        <f t="shared" si="0"/>
        <v>0.4</v>
      </c>
      <c r="H9" s="12">
        <f t="shared" si="1"/>
        <v>0.8</v>
      </c>
      <c r="J9" s="36" t="s">
        <v>152</v>
      </c>
      <c r="K9" s="30">
        <f t="array" ref="K9">IFERROR(IF(INDEX(DBAburrimiento[],,MATCH(_xlfn.CONCAT($K$3,"_",$C$9,K4),DBAburrimiento[#Headers],0))="",COUNTA(INDEX(DBAburrimiento[],,MATCH(_xlfn.CONCAT($K$3,"_",$C$9,K4),DBAburrimiento[#Headers],0))),0),0)</f>
        <v>0</v>
      </c>
      <c r="L9" s="30">
        <f t="array" ref="L9">IFERROR(IF(INDEX(DBAburrimiento[],,MATCH(_xlfn.CONCAT($K$3,"_",$C$9,L4),DBAburrimiento[#Headers],0))="",COUNTA(INDEX(DBAburrimiento[],,MATCH(_xlfn.CONCAT($K$3,"_",$C$9,L4),DBAburrimiento[#Headers],0))),0),0)</f>
        <v>0</v>
      </c>
      <c r="M9" s="30">
        <f t="array" ref="M9">IFERROR(IF(INDEX(DBAburrimiento[],,MATCH(_xlfn.CONCAT($K$3,"_",$C$9,M4),DBAburrimiento[#Headers],0))="",COUNTA(INDEX(DBAburrimiento[],,MATCH(_xlfn.CONCAT($K$3,"_",$C$9,M4),DBAburrimiento[#Headers],0))),0),0)</f>
        <v>1</v>
      </c>
      <c r="N9" s="30">
        <f t="array" ref="N9">IFERROR(IF(INDEX(DBAburrimiento[],,MATCH(_xlfn.CONCAT($K$3,"_",$C$9,N4),DBAburrimiento[#Headers],0))="",COUNTA(INDEX(DBAburrimiento[],,MATCH(_xlfn.CONCAT($K$3,"_",$C$9,N4),DBAburrimiento[#Headers],0))),0),0)</f>
        <v>0</v>
      </c>
      <c r="O9" s="30">
        <f t="array" ref="O9">IFERROR(IF(INDEX(DBAburrimiento[],,MATCH(_xlfn.CONCAT($K$3,"_",$C$9,O4),DBAburrimiento[#Headers],0))="",COUNTA(INDEX(DBAburrimiento[],,MATCH(_xlfn.CONCAT($K$3,"_",$C$9,O4),DBAburrimiento[#Headers],0))),0),0)</f>
        <v>0</v>
      </c>
      <c r="P9" s="30">
        <f t="array" ref="P9">IFERROR(IF(INDEX(DBAburrimiento[],,MATCH(_xlfn.CONCAT($K$3,"_",$C$9,P4),DBAburrimiento[#Headers],0))="",COUNTA(INDEX(DBAburrimiento[],,MATCH(_xlfn.CONCAT($K$3,"_",$C$9,P4),DBAburrimiento[#Headers],0))),0),0)</f>
        <v>4</v>
      </c>
      <c r="Q9" s="30">
        <f t="array" ref="Q9">IFERROR(IF(INDEX(DBAburrimiento[],,MATCH(_xlfn.CONCAT($K$3,"_",$C$9,Q4),DBAburrimiento[#Headers],0))="",COUNTA(INDEX(DBAburrimiento[],,MATCH(_xlfn.CONCAT($K$3,"_",$C$9,Q4),DBAburrimiento[#Headers],0))),0),0)</f>
        <v>0</v>
      </c>
      <c r="R9" s="30">
        <f t="array" ref="R9">IFERROR(IF(INDEX(DBAburrimiento[],,MATCH(_xlfn.CONCAT($K$3,"_",$C$9,R4),DBAburrimiento[#Headers],0))="",COUNTA(INDEX(DBAburrimiento[],,MATCH(_xlfn.CONCAT($K$3,"_",$C$9,R4),DBAburrimiento[#Headers],0))),0),0)</f>
        <v>0</v>
      </c>
      <c r="S9" s="30">
        <f t="array" ref="S9">IFERROR(IF(INDEX(DBAburrimiento[],,MATCH(_xlfn.CONCAT($K$3,"_",$C$9,S4),DBAburrimiento[#Headers],0))="",COUNTA(INDEX(DBAburrimiento[],,MATCH(_xlfn.CONCAT($K$3,"_",$C$9,S4),DBAburrimiento[#Headers],0))),0),0)</f>
        <v>1</v>
      </c>
      <c r="T9" s="30">
        <f t="array" ref="T9">IFERROR(IF(INDEX(DBAburrimiento[],,MATCH(_xlfn.CONCAT($K$3,"_",$C$9,T4),DBAburrimiento[#Headers],0))="",COUNTA(INDEX(DBAburrimiento[],,MATCH(_xlfn.CONCAT($K$3,"_",$C$9,T4),DBAburrimiento[#Headers],0))),0),0)</f>
        <v>0</v>
      </c>
      <c r="U9" s="30">
        <f t="array" ref="U9">IFERROR(IF(INDEX(DBAburrimiento[],,MATCH(_xlfn.CONCAT($K$3,"_",$C$9,U4),DBAburrimiento[#Headers],0))="",COUNTA(INDEX(DBAburrimiento[],,MATCH(_xlfn.CONCAT($K$3,"_",$C$9,U4),DBAburrimiento[#Headers],0))),0),0)</f>
        <v>0</v>
      </c>
      <c r="V9" s="30">
        <f t="array" ref="V9">IFERROR(IF(INDEX(DBAburrimiento[],,MATCH(_xlfn.CONCAT($K$3,"_",$C$9,V4),DBAburrimiento[#Headers],0))="",COUNTA(INDEX(DBAburrimiento[],,MATCH(_xlfn.CONCAT($K$3,"_",$C$9,V4),DBAburrimiento[#Headers],0))),0),0)</f>
        <v>1</v>
      </c>
      <c r="W9" s="30">
        <f t="array" ref="W9">IFERROR(IF(INDEX(DBAburrimiento[],,MATCH(_xlfn.CONCAT($K$3,"_",$C$9,W4),DBAburrimiento[#Headers],0))="",COUNTA(INDEX(DBAburrimiento[],,MATCH(_xlfn.CONCAT($K$3,"_",$C$9,W4),DBAburrimiento[#Headers],0))),0),0)</f>
        <v>0</v>
      </c>
      <c r="X9" s="30">
        <f t="array" ref="X9">IFERROR(IF(INDEX(DBAburrimiento[],,MATCH(_xlfn.CONCAT($K$3,"_",$C$9,X4),DBAburrimiento[#Headers],0))="",COUNTA(INDEX(DBAburrimiento[],,MATCH(_xlfn.CONCAT($K$3,"_",$C$9,X4),DBAburrimiento[#Headers],0))),0),0)</f>
        <v>0</v>
      </c>
      <c r="Y9" s="30">
        <f t="array" ref="Y9">IFERROR(IF(INDEX(DBAburrimiento[],,MATCH(_xlfn.CONCAT($K$3,"_",$C$9,Y4),DBAburrimiento[#Headers],0))="",COUNTA(INDEX(DBAburrimiento[],,MATCH(_xlfn.CONCAT($K$3,"_",$C$9,Y4),DBAburrimiento[#Headers],0))),0),0)</f>
        <v>0</v>
      </c>
      <c r="Z9" s="30">
        <f t="array" ref="Z9">IFERROR(IF(INDEX(DBAburrimiento[],,MATCH(_xlfn.CONCAT($K$3,"_",$C$9,Z4),DBAburrimiento[#Headers],0))="",COUNTA(INDEX(DBAburrimiento[],,MATCH(_xlfn.CONCAT($K$3,"_",$C$9,Z4),DBAburrimiento[#Headers],0))),0),0)</f>
        <v>2</v>
      </c>
      <c r="AB9" s="36" t="s">
        <v>152</v>
      </c>
      <c r="AC9">
        <f t="array" ref="AC9">IFERROR(IF(INDEX(DBAburrimiento[],,MATCH(_xlfn.CONCAT($AC$3,"_",$C$9,AC4),DBAburrimiento[#Headers],0))="",COUNTA(INDEX(DBAburrimiento[],,MATCH(_xlfn.CONCAT($AC$3,"_",$C$9,AC4),DBAburrimiento[#Headers],0))),0),0)</f>
        <v>0</v>
      </c>
      <c r="AD9">
        <f t="array" ref="AD9">IFERROR(IF(INDEX(DBAburrimiento[],,MATCH(_xlfn.CONCAT($AC$3,"_",$C$9,AD4),DBAburrimiento[#Headers],0))="",COUNTA(INDEX(DBAburrimiento[],,MATCH(_xlfn.CONCAT($AC$3,"_",$C$9,AD4),DBAburrimiento[#Headers],0))),0),0)</f>
        <v>0</v>
      </c>
      <c r="AE9">
        <f t="array" ref="AE9">IFERROR(IF(INDEX(DBAburrimiento[],,MATCH(_xlfn.CONCAT($AC$3,"_",$C$9,AE4),DBAburrimiento[#Headers],0))="",COUNTA(INDEX(DBAburrimiento[],,MATCH(_xlfn.CONCAT($AC$3,"_",$C$9,AE4),DBAburrimiento[#Headers],0))),0),0)</f>
        <v>0</v>
      </c>
      <c r="AF9">
        <f t="array" ref="AF9">IFERROR(IF(INDEX(DBAburrimiento[],,MATCH(_xlfn.CONCAT($AC$3,"_",$C$9,AF4),DBAburrimiento[#Headers],0))="",COUNTA(INDEX(DBAburrimiento[],,MATCH(_xlfn.CONCAT($AC$3,"_",$C$9,AF4),DBAburrimiento[#Headers],0))),0),0)</f>
        <v>0</v>
      </c>
      <c r="AG9">
        <f t="array" ref="AG9">IFERROR(IF(INDEX(DBAburrimiento[],,MATCH(_xlfn.CONCAT($AC$3,"_",$C$9,AG4),DBAburrimiento[#Headers],0))="",COUNTA(INDEX(DBAburrimiento[],,MATCH(_xlfn.CONCAT($AC$3,"_",$C$9,AG4),DBAburrimiento[#Headers],0))),0),0)</f>
        <v>0</v>
      </c>
      <c r="AH9">
        <f t="array" ref="AH9">IFERROR(IF(INDEX(DBAburrimiento[],,MATCH(_xlfn.CONCAT($AC$3,"_",$C$9,AH4),DBAburrimiento[#Headers],0))="",COUNTA(INDEX(DBAburrimiento[],,MATCH(_xlfn.CONCAT($AC$3,"_",$C$9,AH4),DBAburrimiento[#Headers],0))),0),0)</f>
        <v>1</v>
      </c>
      <c r="AI9">
        <f t="array" ref="AI9">IFERROR(IF(INDEX(DBAburrimiento[],,MATCH(_xlfn.CONCAT($AC$3,"_",$C$9,AI4),DBAburrimiento[#Headers],0))="",COUNTA(INDEX(DBAburrimiento[],,MATCH(_xlfn.CONCAT($AC$3,"_",$C$9,AI4),DBAburrimiento[#Headers],0))),0),0)</f>
        <v>0</v>
      </c>
      <c r="AJ9">
        <f t="array" ref="AJ9">IFERROR(IF(INDEX(DBAburrimiento[],,MATCH(_xlfn.CONCAT($AC$3,"_",$C$9,AJ4),DBAburrimiento[#Headers],0))="",COUNTA(INDEX(DBAburrimiento[],,MATCH(_xlfn.CONCAT($AC$3,"_",$C$9,AJ4),DBAburrimiento[#Headers],0))),0),0)</f>
        <v>0</v>
      </c>
      <c r="AK9">
        <f t="array" ref="AK9">IFERROR(IF(INDEX(DBAburrimiento[],,MATCH(_xlfn.CONCAT($AC$3,"_",$C$9,AK4),DBAburrimiento[#Headers],0))="",COUNTA(INDEX(DBAburrimiento[],,MATCH(_xlfn.CONCAT($AC$3,"_",$C$9,AK4),DBAburrimiento[#Headers],0))),0),0)</f>
        <v>0</v>
      </c>
      <c r="AL9">
        <f t="array" ref="AL9">IFERROR(IF(INDEX(DBAburrimiento[],,MATCH(_xlfn.CONCAT($AC$3,"_",$C$9,AL4),DBAburrimiento[#Headers],0))="",COUNTA(INDEX(DBAburrimiento[],,MATCH(_xlfn.CONCAT($AC$3,"_",$C$9,AL4),DBAburrimiento[#Headers],0))),0),0)</f>
        <v>0</v>
      </c>
      <c r="AM9">
        <f t="array" ref="AM9">IFERROR(IF(INDEX(DBAburrimiento[],,MATCH(_xlfn.CONCAT($AC$3,"_",$C$9,AM4),DBAburrimiento[#Headers],0))="",COUNTA(INDEX(DBAburrimiento[],,MATCH(_xlfn.CONCAT($AC$3,"_",$C$9,AM4),DBAburrimiento[#Headers],0))),0),0)</f>
        <v>0</v>
      </c>
      <c r="AN9">
        <f t="array" ref="AN9">IFERROR(IF(INDEX(DBAburrimiento[],,MATCH(_xlfn.CONCAT($AC$3,"_",$C$9,AN4),DBAburrimiento[#Headers],0))="",COUNTA(INDEX(DBAburrimiento[],,MATCH(_xlfn.CONCAT($AC$3,"_",$C$9,AN4),DBAburrimiento[#Headers],0))),0),0)</f>
        <v>1</v>
      </c>
      <c r="AO9">
        <f t="array" ref="AO9">IFERROR(IF(INDEX(DBAburrimiento[],,MATCH(_xlfn.CONCAT($AC$3,"_",$C$9,AO4),DBAburrimiento[#Headers],0))="",COUNTA(INDEX(DBAburrimiento[],,MATCH(_xlfn.CONCAT($AC$3,"_",$C$9,AO4),DBAburrimiento[#Headers],0))),0),0)</f>
        <v>0</v>
      </c>
      <c r="AP9">
        <f t="array" ref="AP9">IFERROR(IF(INDEX(DBAburrimiento[],,MATCH(_xlfn.CONCAT($AC$3,"_",$C$9,AP4),DBAburrimiento[#Headers],0))="",COUNTA(INDEX(DBAburrimiento[],,MATCH(_xlfn.CONCAT($AC$3,"_",$C$9,AP4),DBAburrimiento[#Headers],0))),0),0)</f>
        <v>0</v>
      </c>
      <c r="AQ9">
        <f t="array" ref="AQ9">IFERROR(IF(INDEX(DBAburrimiento[],,MATCH(_xlfn.CONCAT($AC$3,"_",$C$9,AQ4),DBAburrimiento[#Headers],0))="",COUNTA(INDEX(DBAburrimiento[],,MATCH(_xlfn.CONCAT($AC$3,"_",$C$9,AQ4),DBAburrimiento[#Headers],0))),0),0)</f>
        <v>0</v>
      </c>
      <c r="AR9">
        <f t="array" ref="AR9">IFERROR(IF(INDEX(DBAburrimiento[],,MATCH(_xlfn.CONCAT($AC$3,"_",$C$9,AR4),DBAburrimiento[#Headers],0))="",COUNTA(INDEX(DBAburrimiento[],,MATCH(_xlfn.CONCAT($AC$3,"_",$C$9,AR4),DBAburrimiento[#Headers],0))),0),0)</f>
        <v>0</v>
      </c>
      <c r="AT9" s="36" t="s">
        <v>152</v>
      </c>
      <c r="AU9">
        <f t="array" ref="AU9">IFERROR(IF(INDEX(DBAburrimiento[],,MATCH(_xlfn.CONCAT($AU$3,"_",$C$9,AU4),DBAburrimiento[#Headers],0))="",COUNTA(INDEX(DBAburrimiento[],,MATCH(_xlfn.CONCAT($AU$3,"_",$C$9,AU4),DBAburrimiento[#Headers],0))),0),0)</f>
        <v>0</v>
      </c>
      <c r="AV9">
        <f t="array" ref="AV9">IFERROR(IF(INDEX(DBAburrimiento[],,MATCH(_xlfn.CONCAT($AU$3,"_",$C$9,AV4),DBAburrimiento[#Headers],0))="",COUNTA(INDEX(DBAburrimiento[],,MATCH(_xlfn.CONCAT($AU$3,"_",$C$9,AV4),DBAburrimiento[#Headers],0))),0),0)</f>
        <v>0</v>
      </c>
      <c r="AW9">
        <f t="array" ref="AW9">IFERROR(IF(INDEX(DBAburrimiento[],,MATCH(_xlfn.CONCAT($AU$3,"_",$C$9,AW4),DBAburrimiento[#Headers],0))="",COUNTA(INDEX(DBAburrimiento[],,MATCH(_xlfn.CONCAT($AU$3,"_",$C$9,AW4),DBAburrimiento[#Headers],0))),0),0)</f>
        <v>1</v>
      </c>
      <c r="AX9">
        <f t="array" ref="AX9">IFERROR(IF(INDEX(DBAburrimiento[],,MATCH(_xlfn.CONCAT($AU$3,"_",$C$9,AX4),DBAburrimiento[#Headers],0))="",COUNTA(INDEX(DBAburrimiento[],,MATCH(_xlfn.CONCAT($AU$3,"_",$C$9,AX4),DBAburrimiento[#Headers],0))),0),0)</f>
        <v>0</v>
      </c>
      <c r="AY9">
        <f t="array" ref="AY9">IFERROR(IF(INDEX(DBAburrimiento[],,MATCH(_xlfn.CONCAT($AU$3,"_",$C$9,AY4),DBAburrimiento[#Headers],0))="",COUNTA(INDEX(DBAburrimiento[],,MATCH(_xlfn.CONCAT($AU$3,"_",$C$9,AY4),DBAburrimiento[#Headers],0))),0),0)</f>
        <v>0</v>
      </c>
      <c r="AZ9">
        <f t="array" ref="AZ9">IFERROR(IF(INDEX(DBAburrimiento[],,MATCH(_xlfn.CONCAT($AU$3,"_",$C$9,AZ4),DBAburrimiento[#Headers],0))="",COUNTA(INDEX(DBAburrimiento[],,MATCH(_xlfn.CONCAT($AU$3,"_",$C$9,AZ4),DBAburrimiento[#Headers],0))),0),0)</f>
        <v>1</v>
      </c>
      <c r="BA9">
        <f t="array" ref="BA9">IFERROR(IF(INDEX(DBAburrimiento[],,MATCH(_xlfn.CONCAT($AU$3,"_",$C$9,BA4),DBAburrimiento[#Headers],0))="",COUNTA(INDEX(DBAburrimiento[],,MATCH(_xlfn.CONCAT($AU$3,"_",$C$9,BA4),DBAburrimiento[#Headers],0))),0),0)</f>
        <v>0</v>
      </c>
      <c r="BB9">
        <f t="array" ref="BB9">IFERROR(IF(INDEX(DBAburrimiento[],,MATCH(_xlfn.CONCAT($AU$3,"_",$C$9,BB4),DBAburrimiento[#Headers],0))="",COUNTA(INDEX(DBAburrimiento[],,MATCH(_xlfn.CONCAT($AU$3,"_",$C$9,BB4),DBAburrimiento[#Headers],0))),0),0)</f>
        <v>0</v>
      </c>
      <c r="BC9">
        <f t="array" ref="BC9">IFERROR(IF(INDEX(DBAburrimiento[],,MATCH(_xlfn.CONCAT($AU$3,"_",$C$9,BC4),DBAburrimiento[#Headers],0))="",COUNTA(INDEX(DBAburrimiento[],,MATCH(_xlfn.CONCAT($AU$3,"_",$C$9,BC4),DBAburrimiento[#Headers],0))),0),0)</f>
        <v>0</v>
      </c>
      <c r="BD9">
        <f t="array" ref="BD9">IFERROR(IF(INDEX(DBAburrimiento[],,MATCH(_xlfn.CONCAT($AU$3,"_",$C$9,BD4),DBAburrimiento[#Headers],0))="",COUNTA(INDEX(DBAburrimiento[],,MATCH(_xlfn.CONCAT($AU$3,"_",$C$9,BD4),DBAburrimiento[#Headers],0))),0),0)</f>
        <v>0</v>
      </c>
      <c r="BE9">
        <f t="array" ref="BE9">IFERROR(IF(INDEX(DBAburrimiento[],,MATCH(_xlfn.CONCAT($AU$3,"_",$C$9,BE4),DBAburrimiento[#Headers],0))="",COUNTA(INDEX(DBAburrimiento[],,MATCH(_xlfn.CONCAT($AU$3,"_",$C$9,BE4),DBAburrimiento[#Headers],0))),0),0)</f>
        <v>0</v>
      </c>
      <c r="BF9">
        <f t="array" ref="BF9">IFERROR(IF(INDEX(DBAburrimiento[],,MATCH(_xlfn.CONCAT($AU$3,"_",$C$9,BF4),DBAburrimiento[#Headers],0))="",COUNTA(INDEX(DBAburrimiento[],,MATCH(_xlfn.CONCAT($AU$3,"_",$C$9,BF4),DBAburrimiento[#Headers],0))),0),0)</f>
        <v>1</v>
      </c>
      <c r="BG9">
        <f t="array" ref="BG9">IFERROR(IF(INDEX(DBAburrimiento[],,MATCH(_xlfn.CONCAT($AU$3,"_",$C$9,BG4),DBAburrimiento[#Headers],0))="",COUNTA(INDEX(DBAburrimiento[],,MATCH(_xlfn.CONCAT($AU$3,"_",$C$9,BG4),DBAburrimiento[#Headers],0))),0),0)</f>
        <v>0</v>
      </c>
      <c r="BH9">
        <f t="array" ref="BH9">IFERROR(IF(INDEX(DBAburrimiento[],,MATCH(_xlfn.CONCAT($AU$3,"_",$C$9,BH4),DBAburrimiento[#Headers],0))="",COUNTA(INDEX(DBAburrimiento[],,MATCH(_xlfn.CONCAT($AU$3,"_",$C$9,BH4),DBAburrimiento[#Headers],0))),0),0)</f>
        <v>0</v>
      </c>
      <c r="BI9">
        <f t="array" ref="BI9">IFERROR(IF(INDEX(DBAburrimiento[],,MATCH(_xlfn.CONCAT($AU$3,"_",$C$9,BI4),DBAburrimiento[#Headers],0))="",COUNTA(INDEX(DBAburrimiento[],,MATCH(_xlfn.CONCAT($AU$3,"_",$C$9,BI4),DBAburrimiento[#Headers],0))),0),0)</f>
        <v>0</v>
      </c>
      <c r="BJ9">
        <f t="array" ref="BJ9">IFERROR(IF(INDEX(DBAburrimiento[],,MATCH(_xlfn.CONCAT($AU$3,"_",$C$9,BJ4),DBAburrimiento[#Headers],0))="",COUNTA(INDEX(DBAburrimiento[],,MATCH(_xlfn.CONCAT($AU$3,"_",$C$9,BJ4),DBAburrimiento[#Headers],0))),0),0)</f>
        <v>1</v>
      </c>
    </row>
    <row r="10" spans="3:62" x14ac:dyDescent="0.2">
      <c r="C10" t="s">
        <v>153</v>
      </c>
      <c r="D10" cm="1">
        <f t="array" ref="D10">SUM(IF(LEFT(DBAburrimiento[#Headers],LEN(_xlfn.CONCAT($K$3,"_",C10)))=_xlfn.CONCAT($K$3,"_",C10),1,0))</f>
        <v>4</v>
      </c>
      <c r="E10" cm="1">
        <f t="array" ref="E10">SUM(IF(LEFT(DBAburrimiento[#Headers],LEN(_xlfn.CONCAT($AC$3,"_",C10)))=_xlfn.CONCAT($AC$3,"_",C10),1,0))</f>
        <v>1</v>
      </c>
      <c r="F10" cm="1">
        <f t="array" ref="F10">SUM(IF(LEFT(DBAburrimiento[#Headers],LEN(_xlfn.CONCAT($AU$3,"_",C10)))=_xlfn.CONCAT($AU$3,"_",C10),1,0))</f>
        <v>2</v>
      </c>
      <c r="G10" s="12">
        <f t="shared" si="0"/>
        <v>0.25</v>
      </c>
      <c r="H10" s="12">
        <f t="shared" si="1"/>
        <v>0.5</v>
      </c>
      <c r="J10" s="36" t="s">
        <v>153</v>
      </c>
      <c r="K10" s="30">
        <f t="array" ref="K10">IFERROR(IF(INDEX(DBAburrimiento[],,MATCH(_xlfn.CONCAT($K$3,"_",$C$10,K4),DBAburrimiento[#Headers],0))="",COUNTA(INDEX(DBAburrimiento[],,MATCH(_xlfn.CONCAT($K$3,"_",$C$10,K4),DBAburrimiento[#Headers],0))),0),0)</f>
        <v>0</v>
      </c>
      <c r="L10" s="30">
        <f t="array" ref="L10">IFERROR(IF(INDEX(DBAburrimiento[],,MATCH(_xlfn.CONCAT($K$3,"_",$C$10,L4),DBAburrimiento[#Headers],0))="",COUNTA(INDEX(DBAburrimiento[],,MATCH(_xlfn.CONCAT($K$3,"_",$C$10,L4),DBAburrimiento[#Headers],0))),0),0)</f>
        <v>0</v>
      </c>
      <c r="M10" s="30">
        <f t="array" ref="M10">IFERROR(IF(INDEX(DBAburrimiento[],,MATCH(_xlfn.CONCAT($K$3,"_",$C$10,M4),DBAburrimiento[#Headers],0))="",COUNTA(INDEX(DBAburrimiento[],,MATCH(_xlfn.CONCAT($K$3,"_",$C$10,M4),DBAburrimiento[#Headers],0))),0),0)</f>
        <v>2</v>
      </c>
      <c r="N10" s="30">
        <f t="array" ref="N10">IFERROR(IF(INDEX(DBAburrimiento[],,MATCH(_xlfn.CONCAT($K$3,"_",$C$10,N4),DBAburrimiento[#Headers],0))="",COUNTA(INDEX(DBAburrimiento[],,MATCH(_xlfn.CONCAT($K$3,"_",$C$10,N4),DBAburrimiento[#Headers],0))),0),0)</f>
        <v>0</v>
      </c>
      <c r="O10" s="30">
        <f t="array" ref="O10">IFERROR(IF(INDEX(DBAburrimiento[],,MATCH(_xlfn.CONCAT($K$3,"_",$C$10,O4),DBAburrimiento[#Headers],0))="",COUNTA(INDEX(DBAburrimiento[],,MATCH(_xlfn.CONCAT($K$3,"_",$C$10,O4),DBAburrimiento[#Headers],0))),0),0)</f>
        <v>0</v>
      </c>
      <c r="P10" s="30">
        <f t="array" ref="P10">IFERROR(IF(INDEX(DBAburrimiento[],,MATCH(_xlfn.CONCAT($K$3,"_",$C$10,P4),DBAburrimiento[#Headers],0))="",COUNTA(INDEX(DBAburrimiento[],,MATCH(_xlfn.CONCAT($K$3,"_",$C$10,P4),DBAburrimiento[#Headers],0))),0),0)</f>
        <v>2</v>
      </c>
      <c r="Q10" s="30">
        <f t="array" ref="Q10">IFERROR(IF(INDEX(DBAburrimiento[],,MATCH(_xlfn.CONCAT($K$3,"_",$C$10,Q4),DBAburrimiento[#Headers],0))="",COUNTA(INDEX(DBAburrimiento[],,MATCH(_xlfn.CONCAT($K$3,"_",$C$10,Q4),DBAburrimiento[#Headers],0))),0),0)</f>
        <v>0</v>
      </c>
      <c r="R10" s="30">
        <f t="array" ref="R10">IFERROR(IF(INDEX(DBAburrimiento[],,MATCH(_xlfn.CONCAT($K$3,"_",$C$10,R4),DBAburrimiento[#Headers],0))="",COUNTA(INDEX(DBAburrimiento[],,MATCH(_xlfn.CONCAT($K$3,"_",$C$10,R4),DBAburrimiento[#Headers],0))),0),0)</f>
        <v>0</v>
      </c>
      <c r="S10" s="30">
        <f t="array" ref="S10">IFERROR(IF(INDEX(DBAburrimiento[],,MATCH(_xlfn.CONCAT($K$3,"_",$C$10,S4),DBAburrimiento[#Headers],0))="",COUNTA(INDEX(DBAburrimiento[],,MATCH(_xlfn.CONCAT($K$3,"_",$C$10,S4),DBAburrimiento[#Headers],0))),0),0)</f>
        <v>1</v>
      </c>
      <c r="T10" s="30">
        <f t="array" ref="T10">IFERROR(IF(INDEX(DBAburrimiento[],,MATCH(_xlfn.CONCAT($K$3,"_",$C$10,T4),DBAburrimiento[#Headers],0))="",COUNTA(INDEX(DBAburrimiento[],,MATCH(_xlfn.CONCAT($K$3,"_",$C$10,T4),DBAburrimiento[#Headers],0))),0),0)</f>
        <v>0</v>
      </c>
      <c r="U10" s="30">
        <f t="array" ref="U10">IFERROR(IF(INDEX(DBAburrimiento[],,MATCH(_xlfn.CONCAT($K$3,"_",$C$10,U4),DBAburrimiento[#Headers],0))="",COUNTA(INDEX(DBAburrimiento[],,MATCH(_xlfn.CONCAT($K$3,"_",$C$10,U4),DBAburrimiento[#Headers],0))),0),0)</f>
        <v>0</v>
      </c>
      <c r="V10" s="30">
        <f t="array" ref="V10">IFERROR(IF(INDEX(DBAburrimiento[],,MATCH(_xlfn.CONCAT($K$3,"_",$C$10,V4),DBAburrimiento[#Headers],0))="",COUNTA(INDEX(DBAburrimiento[],,MATCH(_xlfn.CONCAT($K$3,"_",$C$10,V4),DBAburrimiento[#Headers],0))),0),0)</f>
        <v>0</v>
      </c>
      <c r="W10" s="30">
        <f t="array" ref="W10">IFERROR(IF(INDEX(DBAburrimiento[],,MATCH(_xlfn.CONCAT($K$3,"_",$C$10,W4),DBAburrimiento[#Headers],0))="",COUNTA(INDEX(DBAburrimiento[],,MATCH(_xlfn.CONCAT($K$3,"_",$C$10,W4),DBAburrimiento[#Headers],0))),0),0)</f>
        <v>1</v>
      </c>
      <c r="X10" s="30">
        <f t="array" ref="X10">IFERROR(IF(INDEX(DBAburrimiento[],,MATCH(_xlfn.CONCAT($K$3,"_",$C$10,X4),DBAburrimiento[#Headers],0))="",COUNTA(INDEX(DBAburrimiento[],,MATCH(_xlfn.CONCAT($K$3,"_",$C$10,X4),DBAburrimiento[#Headers],0))),0),0)</f>
        <v>0</v>
      </c>
      <c r="Y10" s="30">
        <f t="array" ref="Y10">IFERROR(IF(INDEX(DBAburrimiento[],,MATCH(_xlfn.CONCAT($K$3,"_",$C$10,Y4),DBAburrimiento[#Headers],0))="",COUNTA(INDEX(DBAburrimiento[],,MATCH(_xlfn.CONCAT($K$3,"_",$C$10,Y4),DBAburrimiento[#Headers],0))),0),0)</f>
        <v>0</v>
      </c>
      <c r="Z10" s="30">
        <f t="array" ref="Z10">IFERROR(IF(INDEX(DBAburrimiento[],,MATCH(_xlfn.CONCAT($K$3,"_",$C$10,Z4),DBAburrimiento[#Headers],0))="",COUNTA(INDEX(DBAburrimiento[],,MATCH(_xlfn.CONCAT($K$3,"_",$C$10,Z4),DBAburrimiento[#Headers],0))),0),0)</f>
        <v>0</v>
      </c>
      <c r="AB10" s="36" t="s">
        <v>153</v>
      </c>
      <c r="AC10">
        <f t="array" ref="AC10">IFERROR(IF(INDEX(DBAburrimiento[],,MATCH(_xlfn.CONCAT($AC$3,"_",$C$10,AC4),DBAburrimiento[#Headers],0))="",COUNTA(INDEX(DBAburrimiento[],,MATCH(_xlfn.CONCAT($AC$3,"_",$C$10,AC4),DBAburrimiento[#Headers],0))),0),0)</f>
        <v>0</v>
      </c>
      <c r="AD10">
        <f t="array" ref="AD10">IFERROR(IF(INDEX(DBAburrimiento[],,MATCH(_xlfn.CONCAT($AC$3,"_",$C$10,AD4),DBAburrimiento[#Headers],0))="",COUNTA(INDEX(DBAburrimiento[],,MATCH(_xlfn.CONCAT($AC$3,"_",$C$10,AD4),DBAburrimiento[#Headers],0))),0),0)</f>
        <v>0</v>
      </c>
      <c r="AE10">
        <f t="array" ref="AE10">IFERROR(IF(INDEX(DBAburrimiento[],,MATCH(_xlfn.CONCAT($AC$3,"_",$C$10,AE4),DBAburrimiento[#Headers],0))="",COUNTA(INDEX(DBAburrimiento[],,MATCH(_xlfn.CONCAT($AC$3,"_",$C$10,AE4),DBAburrimiento[#Headers],0))),0),0)</f>
        <v>1</v>
      </c>
      <c r="AF10">
        <f t="array" ref="AF10">IFERROR(IF(INDEX(DBAburrimiento[],,MATCH(_xlfn.CONCAT($AC$3,"_",$C$10,AF4),DBAburrimiento[#Headers],0))="",COUNTA(INDEX(DBAburrimiento[],,MATCH(_xlfn.CONCAT($AC$3,"_",$C$10,AF4),DBAburrimiento[#Headers],0))),0),0)</f>
        <v>0</v>
      </c>
      <c r="AG10">
        <f t="array" ref="AG10">IFERROR(IF(INDEX(DBAburrimiento[],,MATCH(_xlfn.CONCAT($AC$3,"_",$C$10,AG4),DBAburrimiento[#Headers],0))="",COUNTA(INDEX(DBAburrimiento[],,MATCH(_xlfn.CONCAT($AC$3,"_",$C$10,AG4),DBAburrimiento[#Headers],0))),0),0)</f>
        <v>0</v>
      </c>
      <c r="AH10">
        <f t="array" ref="AH10">IFERROR(IF(INDEX(DBAburrimiento[],,MATCH(_xlfn.CONCAT($AC$3,"_",$C$10,AH4),DBAburrimiento[#Headers],0))="",COUNTA(INDEX(DBAburrimiento[],,MATCH(_xlfn.CONCAT($AC$3,"_",$C$10,AH4),DBAburrimiento[#Headers],0))),0),0)</f>
        <v>0</v>
      </c>
      <c r="AI10">
        <f t="array" ref="AI10">IFERROR(IF(INDEX(DBAburrimiento[],,MATCH(_xlfn.CONCAT($AC$3,"_",$C$10,AI4),DBAburrimiento[#Headers],0))="",COUNTA(INDEX(DBAburrimiento[],,MATCH(_xlfn.CONCAT($AC$3,"_",$C$10,AI4),DBAburrimiento[#Headers],0))),0),0)</f>
        <v>0</v>
      </c>
      <c r="AJ10">
        <f t="array" ref="AJ10">IFERROR(IF(INDEX(DBAburrimiento[],,MATCH(_xlfn.CONCAT($AC$3,"_",$C$10,AJ4),DBAburrimiento[#Headers],0))="",COUNTA(INDEX(DBAburrimiento[],,MATCH(_xlfn.CONCAT($AC$3,"_",$C$10,AJ4),DBAburrimiento[#Headers],0))),0),0)</f>
        <v>0</v>
      </c>
      <c r="AK10">
        <f t="array" ref="AK10">IFERROR(IF(INDEX(DBAburrimiento[],,MATCH(_xlfn.CONCAT($AC$3,"_",$C$10,AK4),DBAburrimiento[#Headers],0))="",COUNTA(INDEX(DBAburrimiento[],,MATCH(_xlfn.CONCAT($AC$3,"_",$C$10,AK4),DBAburrimiento[#Headers],0))),0),0)</f>
        <v>0</v>
      </c>
      <c r="AL10">
        <f t="array" ref="AL10">IFERROR(IF(INDEX(DBAburrimiento[],,MATCH(_xlfn.CONCAT($AC$3,"_",$C$10,AL4),DBAburrimiento[#Headers],0))="",COUNTA(INDEX(DBAburrimiento[],,MATCH(_xlfn.CONCAT($AC$3,"_",$C$10,AL4),DBAburrimiento[#Headers],0))),0),0)</f>
        <v>0</v>
      </c>
      <c r="AM10">
        <f t="array" ref="AM10">IFERROR(IF(INDEX(DBAburrimiento[],,MATCH(_xlfn.CONCAT($AC$3,"_",$C$10,AM4),DBAburrimiento[#Headers],0))="",COUNTA(INDEX(DBAburrimiento[],,MATCH(_xlfn.CONCAT($AC$3,"_",$C$10,AM4),DBAburrimiento[#Headers],0))),0),0)</f>
        <v>0</v>
      </c>
      <c r="AN10">
        <f t="array" ref="AN10">IFERROR(IF(INDEX(DBAburrimiento[],,MATCH(_xlfn.CONCAT($AC$3,"_",$C$10,AN4),DBAburrimiento[#Headers],0))="",COUNTA(INDEX(DBAburrimiento[],,MATCH(_xlfn.CONCAT($AC$3,"_",$C$10,AN4),DBAburrimiento[#Headers],0))),0),0)</f>
        <v>0</v>
      </c>
      <c r="AO10">
        <f t="array" ref="AO10">IFERROR(IF(INDEX(DBAburrimiento[],,MATCH(_xlfn.CONCAT($AC$3,"_",$C$10,AO4),DBAburrimiento[#Headers],0))="",COUNTA(INDEX(DBAburrimiento[],,MATCH(_xlfn.CONCAT($AC$3,"_",$C$10,AO4),DBAburrimiento[#Headers],0))),0),0)</f>
        <v>0</v>
      </c>
      <c r="AP10">
        <f t="array" ref="AP10">IFERROR(IF(INDEX(DBAburrimiento[],,MATCH(_xlfn.CONCAT($AC$3,"_",$C$10,AP4),DBAburrimiento[#Headers],0))="",COUNTA(INDEX(DBAburrimiento[],,MATCH(_xlfn.CONCAT($AC$3,"_",$C$10,AP4),DBAburrimiento[#Headers],0))),0),0)</f>
        <v>0</v>
      </c>
      <c r="AQ10">
        <f t="array" ref="AQ10">IFERROR(IF(INDEX(DBAburrimiento[],,MATCH(_xlfn.CONCAT($AC$3,"_",$C$10,AQ4),DBAburrimiento[#Headers],0))="",COUNTA(INDEX(DBAburrimiento[],,MATCH(_xlfn.CONCAT($AC$3,"_",$C$10,AQ4),DBAburrimiento[#Headers],0))),0),0)</f>
        <v>0</v>
      </c>
      <c r="AR10">
        <f t="array" ref="AR10">IFERROR(IF(INDEX(DBAburrimiento[],,MATCH(_xlfn.CONCAT($AC$3,"_",$C$10,AR4),DBAburrimiento[#Headers],0))="",COUNTA(INDEX(DBAburrimiento[],,MATCH(_xlfn.CONCAT($AC$3,"_",$C$10,AR4),DBAburrimiento[#Headers],0))),0),0)</f>
        <v>0</v>
      </c>
      <c r="AT10" s="36" t="s">
        <v>153</v>
      </c>
      <c r="AU10">
        <f t="array" ref="AU10">IFERROR(IF(INDEX(DBAburrimiento[],,MATCH(_xlfn.CONCAT($AU$3,"_",$C$10,AU4),DBAburrimiento[#Headers],0))="",COUNTA(INDEX(DBAburrimiento[],,MATCH(_xlfn.CONCAT($AU$3,"_",$C$10,AU4),DBAburrimiento[#Headers],0))),0),0)</f>
        <v>0</v>
      </c>
      <c r="AV10">
        <f t="array" ref="AV10">IFERROR(IF(INDEX(DBAburrimiento[],,MATCH(_xlfn.CONCAT($AU$3,"_",$C$10,AV4),DBAburrimiento[#Headers],0))="",COUNTA(INDEX(DBAburrimiento[],,MATCH(_xlfn.CONCAT($AU$3,"_",$C$10,AV4),DBAburrimiento[#Headers],0))),0),0)</f>
        <v>0</v>
      </c>
      <c r="AW10">
        <f t="array" ref="AW10">IFERROR(IF(INDEX(DBAburrimiento[],,MATCH(_xlfn.CONCAT($AU$3,"_",$C$10,AW4),DBAburrimiento[#Headers],0))="",COUNTA(INDEX(DBAburrimiento[],,MATCH(_xlfn.CONCAT($AU$3,"_",$C$10,AW4),DBAburrimiento[#Headers],0))),0),0)</f>
        <v>1</v>
      </c>
      <c r="AX10">
        <f t="array" ref="AX10">IFERROR(IF(INDEX(DBAburrimiento[],,MATCH(_xlfn.CONCAT($AU$3,"_",$C$10,AX4),DBAburrimiento[#Headers],0))="",COUNTA(INDEX(DBAburrimiento[],,MATCH(_xlfn.CONCAT($AU$3,"_",$C$10,AX4),DBAburrimiento[#Headers],0))),0),0)</f>
        <v>0</v>
      </c>
      <c r="AY10">
        <f t="array" ref="AY10">IFERROR(IF(INDEX(DBAburrimiento[],,MATCH(_xlfn.CONCAT($AU$3,"_",$C$10,AY4),DBAburrimiento[#Headers],0))="",COUNTA(INDEX(DBAburrimiento[],,MATCH(_xlfn.CONCAT($AU$3,"_",$C$10,AY4),DBAburrimiento[#Headers],0))),0),0)</f>
        <v>0</v>
      </c>
      <c r="AZ10">
        <f t="array" ref="AZ10">IFERROR(IF(INDEX(DBAburrimiento[],,MATCH(_xlfn.CONCAT($AU$3,"_",$C$10,AZ4),DBAburrimiento[#Headers],0))="",COUNTA(INDEX(DBAburrimiento[],,MATCH(_xlfn.CONCAT($AU$3,"_",$C$10,AZ4),DBAburrimiento[#Headers],0))),0),0)</f>
        <v>1</v>
      </c>
      <c r="BA10">
        <f t="array" ref="BA10">IFERROR(IF(INDEX(DBAburrimiento[],,MATCH(_xlfn.CONCAT($AU$3,"_",$C$10,BA4),DBAburrimiento[#Headers],0))="",COUNTA(INDEX(DBAburrimiento[],,MATCH(_xlfn.CONCAT($AU$3,"_",$C$10,BA4),DBAburrimiento[#Headers],0))),0),0)</f>
        <v>0</v>
      </c>
      <c r="BB10">
        <f t="array" ref="BB10">IFERROR(IF(INDEX(DBAburrimiento[],,MATCH(_xlfn.CONCAT($AU$3,"_",$C$10,BB4),DBAburrimiento[#Headers],0))="",COUNTA(INDEX(DBAburrimiento[],,MATCH(_xlfn.CONCAT($AU$3,"_",$C$10,BB4),DBAburrimiento[#Headers],0))),0),0)</f>
        <v>0</v>
      </c>
      <c r="BC10">
        <f t="array" ref="BC10">IFERROR(IF(INDEX(DBAburrimiento[],,MATCH(_xlfn.CONCAT($AU$3,"_",$C$10,BC4),DBAburrimiento[#Headers],0))="",COUNTA(INDEX(DBAburrimiento[],,MATCH(_xlfn.CONCAT($AU$3,"_",$C$10,BC4),DBAburrimiento[#Headers],0))),0),0)</f>
        <v>0</v>
      </c>
      <c r="BD10">
        <f t="array" ref="BD10">IFERROR(IF(INDEX(DBAburrimiento[],,MATCH(_xlfn.CONCAT($AU$3,"_",$C$10,BD4),DBAburrimiento[#Headers],0))="",COUNTA(INDEX(DBAburrimiento[],,MATCH(_xlfn.CONCAT($AU$3,"_",$C$10,BD4),DBAburrimiento[#Headers],0))),0),0)</f>
        <v>0</v>
      </c>
      <c r="BE10">
        <f t="array" ref="BE10">IFERROR(IF(INDEX(DBAburrimiento[],,MATCH(_xlfn.CONCAT($AU$3,"_",$C$10,BE4),DBAburrimiento[#Headers],0))="",COUNTA(INDEX(DBAburrimiento[],,MATCH(_xlfn.CONCAT($AU$3,"_",$C$10,BE4),DBAburrimiento[#Headers],0))),0),0)</f>
        <v>0</v>
      </c>
      <c r="BF10">
        <f t="array" ref="BF10">IFERROR(IF(INDEX(DBAburrimiento[],,MATCH(_xlfn.CONCAT($AU$3,"_",$C$10,BF4),DBAburrimiento[#Headers],0))="",COUNTA(INDEX(DBAburrimiento[],,MATCH(_xlfn.CONCAT($AU$3,"_",$C$10,BF4),DBAburrimiento[#Headers],0))),0),0)</f>
        <v>0</v>
      </c>
      <c r="BG10">
        <f t="array" ref="BG10">IFERROR(IF(INDEX(DBAburrimiento[],,MATCH(_xlfn.CONCAT($AU$3,"_",$C$10,BG4),DBAburrimiento[#Headers],0))="",COUNTA(INDEX(DBAburrimiento[],,MATCH(_xlfn.CONCAT($AU$3,"_",$C$10,BG4),DBAburrimiento[#Headers],0))),0),0)</f>
        <v>0</v>
      </c>
      <c r="BH10">
        <f t="array" ref="BH10">IFERROR(IF(INDEX(DBAburrimiento[],,MATCH(_xlfn.CONCAT($AU$3,"_",$C$10,BH4),DBAburrimiento[#Headers],0))="",COUNTA(INDEX(DBAburrimiento[],,MATCH(_xlfn.CONCAT($AU$3,"_",$C$10,BH4),DBAburrimiento[#Headers],0))),0),0)</f>
        <v>0</v>
      </c>
      <c r="BI10">
        <f t="array" ref="BI10">IFERROR(IF(INDEX(DBAburrimiento[],,MATCH(_xlfn.CONCAT($AU$3,"_",$C$10,BI4),DBAburrimiento[#Headers],0))="",COUNTA(INDEX(DBAburrimiento[],,MATCH(_xlfn.CONCAT($AU$3,"_",$C$10,BI4),DBAburrimiento[#Headers],0))),0),0)</f>
        <v>0</v>
      </c>
      <c r="BJ10">
        <f t="array" ref="BJ10">IFERROR(IF(INDEX(DBAburrimiento[],,MATCH(_xlfn.CONCAT($AU$3,"_",$C$10,BJ4),DBAburrimiento[#Headers],0))="",COUNTA(INDEX(DBAburrimiento[],,MATCH(_xlfn.CONCAT($AU$3,"_",$C$10,BJ4),DBAburrimiento[#Headers],0))),0),0)</f>
        <v>0</v>
      </c>
    </row>
    <row r="17" spans="14:14" x14ac:dyDescent="0.2">
      <c r="N17">
        <f>COUNTA(INDEX(DBAburrimiento[],,MATCH(_xlfn.CONCAT($K$3,"_",P5,#REF!),DBAburrimiento[#Headers],0)))</f>
        <v>1</v>
      </c>
    </row>
  </sheetData>
  <mergeCells count="3">
    <mergeCell ref="AC3:AR3"/>
    <mergeCell ref="AU3:BJ3"/>
    <mergeCell ref="K3:Z3"/>
  </mergeCells>
  <phoneticPr fontId="8" type="noConversion"/>
  <conditionalFormatting sqref="K5:Z10">
    <cfRule type="colorScale" priority="5">
      <colorScale>
        <cfvo type="min"/>
        <cfvo type="max"/>
        <color rgb="FFFCFCFF"/>
        <color rgb="FF63BE7B"/>
      </colorScale>
    </cfRule>
  </conditionalFormatting>
  <conditionalFormatting sqref="AC5:AR10">
    <cfRule type="colorScale" priority="2">
      <colorScale>
        <cfvo type="min"/>
        <cfvo type="max"/>
        <color rgb="FFFCFCFF"/>
        <color rgb="FF63BE7B"/>
      </colorScale>
    </cfRule>
  </conditionalFormatting>
  <conditionalFormatting sqref="AU5:BJ1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8E21-259E-F043-8839-FD9F4AA6A6EC}">
  <dimension ref="B2:E9"/>
  <sheetViews>
    <sheetView workbookViewId="0">
      <selection activeCell="F24" sqref="F24"/>
    </sheetView>
  </sheetViews>
  <sheetFormatPr baseColWidth="10" defaultRowHeight="16" x14ac:dyDescent="0.2"/>
  <cols>
    <col min="3" max="3" width="11.6640625" customWidth="1"/>
    <col min="5" max="5" width="11.5" bestFit="1" customWidth="1"/>
  </cols>
  <sheetData>
    <row r="2" spans="2:5" x14ac:dyDescent="0.2">
      <c r="C2" t="s">
        <v>200</v>
      </c>
      <c r="D2" t="s">
        <v>201</v>
      </c>
      <c r="E2" t="s">
        <v>203</v>
      </c>
    </row>
    <row r="3" spans="2:5" x14ac:dyDescent="0.2">
      <c r="B3" t="s">
        <v>173</v>
      </c>
      <c r="C3">
        <f>SUM(COUNTIF(DB[genero],B3),COUNTIF(DB[genero],"Hombre"))</f>
        <v>7</v>
      </c>
      <c r="D3" s="11">
        <f>AVERAGEIF(DB[genero],Caracterización!B3,DB[edad])</f>
        <v>44.428571428571431</v>
      </c>
      <c r="E3" cm="1">
        <f t="array" ref="E3">STDEVA(IF(DB[genero] = Caracterización!B3,DB[edad],""),DB[edad])</f>
        <v>12.137038036839645</v>
      </c>
    </row>
    <row r="4" spans="2:5" x14ac:dyDescent="0.2">
      <c r="B4" t="s">
        <v>141</v>
      </c>
      <c r="C4">
        <f>SUM(COUNTIF(DB[genero],B4),COUNTIF(DB[genero],"Mujer"))</f>
        <v>13</v>
      </c>
      <c r="D4" s="11">
        <f>AVERAGEIF(DB[genero],Caracterización!B4,DB[edad])</f>
        <v>51.153846153846153</v>
      </c>
      <c r="E4" cm="1">
        <f t="array" ref="E4">STDEVA(IF(DB[genero] = Caracterización!B4,DB[edad],""),DB[edad])</f>
        <v>10.462052640593312</v>
      </c>
    </row>
    <row r="6" spans="2:5" x14ac:dyDescent="0.2">
      <c r="C6" t="s">
        <v>202</v>
      </c>
      <c r="D6" s="10">
        <f>AVERAGE(D3:D4)</f>
        <v>47.791208791208788</v>
      </c>
      <c r="E6">
        <f>STDEVA(MainTable[edad])</f>
        <v>16.411378166788229</v>
      </c>
    </row>
    <row r="9" spans="2:5" x14ac:dyDescent="0.2">
      <c r="C9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E899-4EF1-8546-8A96-778CDE51D11A}">
  <dimension ref="B2:BS23"/>
  <sheetViews>
    <sheetView topLeftCell="F1" workbookViewId="0">
      <selection activeCell="C4" sqref="C4"/>
    </sheetView>
  </sheetViews>
  <sheetFormatPr baseColWidth="10" defaultRowHeight="16" x14ac:dyDescent="0.2"/>
  <cols>
    <col min="2" max="2" width="50.5" bestFit="1" customWidth="1"/>
    <col min="3" max="12" width="19.83203125" bestFit="1" customWidth="1"/>
    <col min="13" max="16" width="20.83203125" bestFit="1" customWidth="1"/>
    <col min="17" max="24" width="18.83203125" customWidth="1"/>
    <col min="25" max="31" width="19.83203125" customWidth="1"/>
    <col min="32" max="37" width="20.33203125" customWidth="1"/>
    <col min="38" max="47" width="19.6640625" customWidth="1"/>
    <col min="48" max="50" width="20.6640625" customWidth="1"/>
    <col min="51" max="51" width="17" customWidth="1"/>
    <col min="52" max="55" width="18" customWidth="1"/>
    <col min="56" max="63" width="18.83203125" customWidth="1"/>
    <col min="64" max="70" width="20.1640625" customWidth="1"/>
    <col min="71" max="71" width="21.1640625" customWidth="1"/>
  </cols>
  <sheetData>
    <row r="2" spans="2:71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2:71" x14ac:dyDescent="0.2">
      <c r="B3" s="5" t="s">
        <v>0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86</v>
      </c>
      <c r="M3" s="5" t="s">
        <v>87</v>
      </c>
      <c r="N3" s="5" t="s">
        <v>88</v>
      </c>
      <c r="O3" s="5" t="s">
        <v>89</v>
      </c>
      <c r="P3" s="5" t="s">
        <v>90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2:71" x14ac:dyDescent="0.2">
      <c r="B4" s="4" t="s">
        <v>218</v>
      </c>
      <c r="C4" s="2" cm="1">
        <f t="array" ref="C4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15</v>
      </c>
      <c r="D4" s="2" cm="1">
        <f t="array" ref="D4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7</v>
      </c>
      <c r="E4" s="2" cm="1">
        <f t="array" ref="E4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9</v>
      </c>
      <c r="F4" s="2" cm="1">
        <f t="array" ref="F4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6</v>
      </c>
      <c r="G4" s="2" cm="1">
        <f t="array" ref="G4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9</v>
      </c>
      <c r="H4" s="2" cm="1">
        <f t="array" ref="H4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17</v>
      </c>
      <c r="I4" s="2" cm="1">
        <f t="array" ref="I4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12</v>
      </c>
      <c r="J4" s="2" cm="1">
        <f t="array" ref="J4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6</v>
      </c>
      <c r="K4" s="2" cm="1">
        <f t="array" ref="K4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8</v>
      </c>
      <c r="L4" s="2" cm="1">
        <f t="array" ref="L4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>6</v>
      </c>
      <c r="M4" s="2" cm="1">
        <f t="array" ref="M4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>7</v>
      </c>
      <c r="N4" s="2" cm="1">
        <f t="array" ref="N4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>9</v>
      </c>
      <c r="O4" s="2" cm="1">
        <f t="array" ref="O4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>6</v>
      </c>
      <c r="P4" s="2" cm="1">
        <f t="array" ref="P4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>6</v>
      </c>
    </row>
    <row r="5" spans="2:71" x14ac:dyDescent="0.2">
      <c r="B5" s="16" t="s">
        <v>220</v>
      </c>
      <c r="C5" s="2" cm="1">
        <f t="array" ref="C5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16</v>
      </c>
      <c r="D5" s="2" cm="1">
        <f t="array" ref="D5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6</v>
      </c>
      <c r="E5" s="2" cm="1">
        <f t="array" ref="E5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8</v>
      </c>
      <c r="F5" s="2" cm="1">
        <f t="array" ref="F5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5</v>
      </c>
      <c r="G5" s="2" cm="1">
        <f t="array" ref="G5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36</v>
      </c>
      <c r="H5" s="2" cm="1">
        <f t="array" ref="H5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11</v>
      </c>
      <c r="I5" s="2" cm="1">
        <f t="array" ref="I5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8</v>
      </c>
      <c r="J5" s="2" cm="1">
        <f t="array" ref="J5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4</v>
      </c>
      <c r="K5" s="2" cm="1">
        <f t="array" ref="K5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10</v>
      </c>
      <c r="L5" s="2" cm="1">
        <f t="array" ref="L5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>5</v>
      </c>
      <c r="M5" s="2" cm="1">
        <f t="array" ref="M5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>4</v>
      </c>
      <c r="N5" s="2" cm="1">
        <f t="array" ref="N5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>9</v>
      </c>
      <c r="O5" s="2" cm="1">
        <f t="array" ref="O5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>9</v>
      </c>
      <c r="P5" s="2" cm="1">
        <f t="array" ref="P5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>8</v>
      </c>
    </row>
    <row r="6" spans="2:71" x14ac:dyDescent="0.2">
      <c r="B6" s="16" t="s">
        <v>221</v>
      </c>
      <c r="C6" s="2" cm="1">
        <f t="array" ref="C6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21</v>
      </c>
      <c r="D6" s="2" cm="1">
        <f t="array" ref="D6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4</v>
      </c>
      <c r="E6" s="2" cm="1">
        <f t="array" ref="E6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6</v>
      </c>
      <c r="F6" s="2" cm="1">
        <f t="array" ref="F6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3</v>
      </c>
      <c r="G6" s="2" cm="1">
        <f t="array" ref="G6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7</v>
      </c>
      <c r="H6" s="2" cm="1">
        <f t="array" ref="H6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6</v>
      </c>
      <c r="I6" s="2" cm="1">
        <f t="array" ref="I6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6</v>
      </c>
      <c r="J6" s="2" cm="1">
        <f t="array" ref="J6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3</v>
      </c>
      <c r="K6" s="2" cm="1">
        <f t="array" ref="K6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4</v>
      </c>
      <c r="L6" s="2" cm="1">
        <f t="array" ref="L6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>3</v>
      </c>
      <c r="M6" s="2" cm="1">
        <f t="array" ref="M6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>2</v>
      </c>
      <c r="N6" s="2" cm="1">
        <f t="array" ref="N6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>5</v>
      </c>
      <c r="O6" s="2" cm="1">
        <f t="array" ref="O6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>11</v>
      </c>
      <c r="P6" s="2" cm="1">
        <f t="array" ref="P6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>3</v>
      </c>
    </row>
    <row r="7" spans="2:71" x14ac:dyDescent="0.2">
      <c r="B7" s="4" t="s">
        <v>222</v>
      </c>
      <c r="C7" s="2" cm="1">
        <f t="array" ref="C7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10</v>
      </c>
      <c r="D7" s="2" cm="1">
        <f t="array" ref="D7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4</v>
      </c>
      <c r="E7" s="2" cm="1">
        <f t="array" ref="E7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6</v>
      </c>
      <c r="F7" s="2" cm="1">
        <f t="array" ref="F7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5</v>
      </c>
      <c r="G7" s="2" cm="1">
        <f t="array" ref="G7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7</v>
      </c>
      <c r="H7" s="2" cm="1">
        <f t="array" ref="H7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8</v>
      </c>
      <c r="I7" s="2" cm="1">
        <f t="array" ref="I7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6</v>
      </c>
      <c r="J7" s="2" cm="1">
        <f t="array" ref="J7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3</v>
      </c>
      <c r="K7" s="2" cm="1">
        <f t="array" ref="K7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42</v>
      </c>
      <c r="L7" s="2" cm="1">
        <f t="array" ref="L7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>4</v>
      </c>
      <c r="M7" s="2" cm="1">
        <f t="array" ref="M7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>3</v>
      </c>
      <c r="N7" s="2" cm="1">
        <f t="array" ref="N7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>6</v>
      </c>
      <c r="O7" s="2" cm="1">
        <f t="array" ref="O7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>7</v>
      </c>
      <c r="P7" s="2" cm="1">
        <f t="array" ref="P7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>5</v>
      </c>
    </row>
    <row r="8" spans="2:71" x14ac:dyDescent="0.2">
      <c r="B8" s="4" t="s">
        <v>223</v>
      </c>
      <c r="C8" s="2" cm="1">
        <f t="array" ref="C8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5</v>
      </c>
      <c r="D8" s="2" cm="1">
        <f t="array" ref="D8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3</v>
      </c>
      <c r="E8" s="2" cm="1">
        <f t="array" ref="E8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4</v>
      </c>
      <c r="F8" s="2" cm="1">
        <f t="array" ref="F8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4</v>
      </c>
      <c r="G8" s="2" cm="1">
        <f t="array" ref="G8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7</v>
      </c>
      <c r="H8" s="2" cm="1">
        <f t="array" ref="H8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7</v>
      </c>
      <c r="I8" s="2" cm="1">
        <f t="array" ref="I8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7</v>
      </c>
      <c r="J8" s="2" cm="1">
        <f t="array" ref="J8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4</v>
      </c>
      <c r="K8" s="2" cm="1">
        <f t="array" ref="K8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7</v>
      </c>
      <c r="L8" s="2" cm="1">
        <f t="array" ref="L8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>3</v>
      </c>
      <c r="M8" s="2" cm="1">
        <f t="array" ref="M8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>6</v>
      </c>
      <c r="N8" s="2" cm="1">
        <f t="array" ref="N8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>6</v>
      </c>
      <c r="O8" s="2" cm="1">
        <f t="array" ref="O8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>7</v>
      </c>
      <c r="P8" s="2" cm="1">
        <f t="array" ref="P8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>10</v>
      </c>
    </row>
    <row r="9" spans="2:71" x14ac:dyDescent="0.2">
      <c r="B9" s="4" t="s">
        <v>224</v>
      </c>
      <c r="C9" s="2" cm="1">
        <f t="array" ref="C9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5</v>
      </c>
      <c r="D9" s="2" cm="1">
        <f t="array" ref="D9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8</v>
      </c>
      <c r="E9" s="2" cm="1">
        <f t="array" ref="E9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11</v>
      </c>
      <c r="F9" s="2" cm="1">
        <f t="array" ref="F9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3</v>
      </c>
      <c r="G9" s="2" cm="1">
        <f t="array" ref="G9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5</v>
      </c>
      <c r="H9" s="2" cm="1">
        <f t="array" ref="H9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6</v>
      </c>
      <c r="I9" s="2" cm="1">
        <f t="array" ref="I9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8</v>
      </c>
      <c r="J9" s="2" cm="1">
        <f t="array" ref="J9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2</v>
      </c>
      <c r="K9" s="2" cm="1">
        <f t="array" ref="K9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4</v>
      </c>
      <c r="L9" s="2" cm="1">
        <f t="array" ref="L9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>13</v>
      </c>
      <c r="M9" s="2" cm="1">
        <f t="array" ref="M9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>3</v>
      </c>
      <c r="N9" s="2" cm="1">
        <f t="array" ref="N9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>4</v>
      </c>
      <c r="O9" s="2" cm="1">
        <f t="array" ref="O9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>4</v>
      </c>
      <c r="P9" s="2" cm="1">
        <f t="array" ref="P9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>3</v>
      </c>
    </row>
    <row r="10" spans="2:71" x14ac:dyDescent="0.2">
      <c r="B10" s="4" t="s">
        <v>226</v>
      </c>
      <c r="C10" s="2" cm="1">
        <f t="array" ref="C10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8</v>
      </c>
      <c r="D10" s="2" cm="1">
        <f t="array" ref="D10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5</v>
      </c>
      <c r="E10" s="2" cm="1">
        <f t="array" ref="E10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6</v>
      </c>
      <c r="F10" s="2" cm="1">
        <f t="array" ref="F10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4</v>
      </c>
      <c r="G10" s="2" cm="1">
        <f t="array" ref="G10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8</v>
      </c>
      <c r="H10" s="2" cm="1">
        <f t="array" ref="H10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8</v>
      </c>
      <c r="I10" s="2" cm="1">
        <f t="array" ref="I10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6</v>
      </c>
      <c r="J10" s="2" cm="1">
        <f t="array" ref="J10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3</v>
      </c>
      <c r="K10" s="2" cm="1">
        <f t="array" ref="K10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5</v>
      </c>
      <c r="L10" s="2" cm="1">
        <f t="array" ref="L10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>3</v>
      </c>
      <c r="M10" s="2" cm="1">
        <f t="array" ref="M10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>3</v>
      </c>
      <c r="N10" s="2" cm="1">
        <f t="array" ref="N10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>6</v>
      </c>
      <c r="O10" s="2" cm="1">
        <f t="array" ref="O10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>10</v>
      </c>
      <c r="P10" s="2" cm="1">
        <f t="array" ref="P10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>10</v>
      </c>
    </row>
    <row r="11" spans="2:71" x14ac:dyDescent="0.2">
      <c r="B11" s="4" t="s">
        <v>227</v>
      </c>
      <c r="C11" s="2" cm="1">
        <f t="array" ref="C11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4</v>
      </c>
      <c r="D11" s="2" cm="1">
        <f t="array" ref="D11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3</v>
      </c>
      <c r="E11" s="2" cm="1">
        <f t="array" ref="E11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4</v>
      </c>
      <c r="F11" s="2" cm="1">
        <f t="array" ref="F11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3</v>
      </c>
      <c r="G11" s="2" cm="1">
        <f t="array" ref="G11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5</v>
      </c>
      <c r="H11" s="2" cm="1">
        <f t="array" ref="H11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6</v>
      </c>
      <c r="I11" s="2" cm="1">
        <f t="array" ref="I11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4</v>
      </c>
      <c r="J11" s="2" cm="1">
        <f t="array" ref="J11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2</v>
      </c>
      <c r="K11" s="2" cm="1">
        <f t="array" ref="K11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4</v>
      </c>
      <c r="L11" s="2" cm="1">
        <f t="array" ref="L11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>7</v>
      </c>
      <c r="M11" s="2" cm="1">
        <f t="array" ref="M11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>2</v>
      </c>
      <c r="N11" s="2" cm="1">
        <f t="array" ref="N11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>4</v>
      </c>
      <c r="O11" s="2" cm="1">
        <f t="array" ref="O11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>8</v>
      </c>
      <c r="P11" s="2" cm="1">
        <f t="array" ref="P11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>3</v>
      </c>
    </row>
    <row r="12" spans="2:71" x14ac:dyDescent="0.2">
      <c r="B12" s="4" t="s">
        <v>228</v>
      </c>
      <c r="C12" s="2" cm="1">
        <f t="array" ref="C12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3</v>
      </c>
      <c r="D12" s="2" cm="1">
        <f t="array" ref="D12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3</v>
      </c>
      <c r="E12" s="2" cm="1">
        <f t="array" ref="E12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4</v>
      </c>
      <c r="F12" s="2" cm="1">
        <f t="array" ref="F12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3</v>
      </c>
      <c r="G12" s="2" cm="1">
        <f t="array" ref="G12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5</v>
      </c>
      <c r="H12" s="2" cm="1">
        <f t="array" ref="H12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5</v>
      </c>
      <c r="I12" s="2" cm="1">
        <f t="array" ref="I12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5</v>
      </c>
      <c r="J12" s="2" cm="1">
        <f t="array" ref="J12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5</v>
      </c>
      <c r="K12" s="2" cm="1">
        <f t="array" ref="K12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12</v>
      </c>
      <c r="L12" s="2" cm="1">
        <f t="array" ref="L12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>3</v>
      </c>
      <c r="M12" s="2" cm="1">
        <f t="array" ref="M12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>2</v>
      </c>
      <c r="N12" s="2" cm="1">
        <f t="array" ref="N12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>3</v>
      </c>
      <c r="O12" s="2" cm="1">
        <f t="array" ref="O12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>15</v>
      </c>
      <c r="P12" s="2" cm="1">
        <f t="array" ref="P12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>3</v>
      </c>
    </row>
    <row r="13" spans="2:71" x14ac:dyDescent="0.2">
      <c r="B13" s="4" t="s">
        <v>229</v>
      </c>
      <c r="C13" s="2" t="str" cm="1">
        <f t="array" ref="C13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/>
      </c>
      <c r="D13" s="2" t="str" cm="1">
        <f t="array" ref="D13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/>
      </c>
      <c r="E13" s="2" t="str" cm="1">
        <f t="array" ref="E13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/>
      </c>
      <c r="F13" s="2" t="str" cm="1">
        <f t="array" ref="F13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/>
      </c>
      <c r="G13" s="2" t="str" cm="1">
        <f t="array" ref="G13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/>
      </c>
      <c r="H13" s="2" t="str" cm="1">
        <f t="array" ref="H13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/>
      </c>
      <c r="I13" s="2" t="str" cm="1">
        <f t="array" ref="I13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/>
      </c>
      <c r="J13" s="2" t="str" cm="1">
        <f t="array" ref="J13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/>
      </c>
      <c r="K13" s="2" t="str" cm="1">
        <f t="array" ref="K13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/>
      </c>
      <c r="L13" s="2" t="str" cm="1">
        <f t="array" ref="L13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/>
      </c>
      <c r="M13" s="2" t="str" cm="1">
        <f t="array" ref="M13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/>
      </c>
      <c r="N13" s="2" t="str" cm="1">
        <f t="array" ref="N13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/>
      </c>
      <c r="O13" s="2" t="str" cm="1">
        <f t="array" ref="O13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/>
      </c>
      <c r="P13" s="2" t="str" cm="1">
        <f t="array" ref="P13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/>
      </c>
    </row>
    <row r="14" spans="2:71" x14ac:dyDescent="0.2">
      <c r="B14" s="4" t="s">
        <v>230</v>
      </c>
      <c r="C14" s="2" cm="1">
        <f t="array" ref="C14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5</v>
      </c>
      <c r="D14" s="2" cm="1">
        <f t="array" ref="D14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4</v>
      </c>
      <c r="E14" s="2" cm="1">
        <f t="array" ref="E14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6</v>
      </c>
      <c r="F14" s="2" cm="1">
        <f t="array" ref="F14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3</v>
      </c>
      <c r="G14" s="2" cm="1">
        <f t="array" ref="G14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10</v>
      </c>
      <c r="H14" s="2" cm="1">
        <f t="array" ref="H14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7</v>
      </c>
      <c r="I14" s="2" cm="1">
        <f t="array" ref="I14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8</v>
      </c>
      <c r="J14" s="2" cm="1">
        <f t="array" ref="J14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3</v>
      </c>
      <c r="K14" s="2" cm="1">
        <f t="array" ref="K14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7</v>
      </c>
      <c r="L14" s="2" cm="1">
        <f t="array" ref="L14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>3</v>
      </c>
      <c r="M14" s="2" cm="1">
        <f t="array" ref="M14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>2</v>
      </c>
      <c r="N14" s="2" cm="1">
        <f t="array" ref="N14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>8</v>
      </c>
      <c r="O14" s="2" cm="1">
        <f t="array" ref="O14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>13</v>
      </c>
      <c r="P14" s="2" cm="1">
        <f t="array" ref="P14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>4</v>
      </c>
    </row>
    <row r="15" spans="2:71" x14ac:dyDescent="0.2">
      <c r="B15" s="4" t="s">
        <v>233</v>
      </c>
      <c r="C15" s="2" cm="1">
        <f t="array" ref="C15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8</v>
      </c>
      <c r="D15" s="2" cm="1">
        <f t="array" ref="D15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3</v>
      </c>
      <c r="E15" s="2" cm="1">
        <f t="array" ref="E15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7</v>
      </c>
      <c r="F15" s="2" cm="1">
        <f t="array" ref="F15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4</v>
      </c>
      <c r="G15" s="2" cm="1">
        <f t="array" ref="G15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10</v>
      </c>
      <c r="H15" s="2" cm="1">
        <f t="array" ref="H15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11</v>
      </c>
      <c r="I15" s="2" cm="1">
        <f t="array" ref="I15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7</v>
      </c>
      <c r="J15" s="2" cm="1">
        <f t="array" ref="J15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3</v>
      </c>
      <c r="K15" s="2" cm="1">
        <f t="array" ref="K15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7</v>
      </c>
      <c r="L15" s="2" cm="1">
        <f t="array" ref="L15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>9</v>
      </c>
      <c r="M15" s="2" cm="1">
        <f t="array" ref="M15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>3</v>
      </c>
      <c r="N15" s="2" cm="1">
        <f t="array" ref="N15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>7</v>
      </c>
      <c r="O15" s="2" cm="1">
        <f t="array" ref="O15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>12</v>
      </c>
      <c r="P15" s="2" cm="1">
        <f t="array" ref="P15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>5</v>
      </c>
    </row>
    <row r="16" spans="2:71" x14ac:dyDescent="0.2">
      <c r="B16" s="4" t="s">
        <v>234</v>
      </c>
      <c r="C16" s="2" cm="1">
        <f t="array" ref="C16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12</v>
      </c>
      <c r="D16" s="2" cm="1">
        <f t="array" ref="D16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9</v>
      </c>
      <c r="E16" s="2" cm="1">
        <f t="array" ref="E16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5</v>
      </c>
      <c r="F16" s="2" cm="1">
        <f t="array" ref="F16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4</v>
      </c>
      <c r="G16" s="2" cm="1">
        <f t="array" ref="G16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9</v>
      </c>
      <c r="H16" s="2" cm="1">
        <f t="array" ref="H16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8</v>
      </c>
      <c r="I16" s="2" cm="1">
        <f t="array" ref="I16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5</v>
      </c>
      <c r="J16" s="2" cm="1">
        <f t="array" ref="J16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3</v>
      </c>
      <c r="K16" s="2" cm="1">
        <f t="array" ref="K16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6</v>
      </c>
      <c r="L16" s="2" cm="1">
        <f t="array" ref="L16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>3</v>
      </c>
      <c r="M16" s="2" cm="1">
        <f t="array" ref="M16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>3</v>
      </c>
      <c r="N16" s="2" cm="1">
        <f t="array" ref="N16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>8</v>
      </c>
      <c r="O16" s="2" cm="1">
        <f t="array" ref="O16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>6</v>
      </c>
      <c r="P16" s="2" cm="1">
        <f t="array" ref="P16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>6</v>
      </c>
    </row>
    <row r="17" spans="2:16" x14ac:dyDescent="0.2">
      <c r="B17" s="4" t="s">
        <v>183</v>
      </c>
      <c r="C17" s="2" cm="1">
        <f t="array" ref="C17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3</v>
      </c>
      <c r="D17" s="2" cm="1">
        <f t="array" ref="D17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3</v>
      </c>
      <c r="E17" s="2" cm="1">
        <f t="array" ref="E17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4</v>
      </c>
      <c r="F17" s="2" cm="1">
        <f t="array" ref="F17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2</v>
      </c>
      <c r="G17" s="2" cm="1">
        <f t="array" ref="G17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4</v>
      </c>
      <c r="H17" s="2" cm="1">
        <f t="array" ref="H17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4</v>
      </c>
      <c r="I17" s="2" cm="1">
        <f t="array" ref="I17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6</v>
      </c>
      <c r="J17" s="2" cm="1">
        <f t="array" ref="J17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2</v>
      </c>
      <c r="K17" s="2" cm="1">
        <f t="array" ref="K17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2</v>
      </c>
      <c r="L17" s="2" cm="1">
        <f t="array" ref="L17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>5</v>
      </c>
      <c r="M17" s="2" cm="1">
        <f t="array" ref="M17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>1</v>
      </c>
      <c r="N17" s="2" cm="1">
        <f t="array" ref="N17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>2</v>
      </c>
      <c r="O17" s="2" cm="1">
        <f t="array" ref="O17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>6</v>
      </c>
      <c r="P17" s="2" cm="1">
        <f t="array" ref="P17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>2</v>
      </c>
    </row>
    <row r="18" spans="2:16" x14ac:dyDescent="0.2">
      <c r="B18" s="4" t="s">
        <v>139</v>
      </c>
      <c r="C18" s="2" cm="1">
        <f t="array" ref="C18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6</v>
      </c>
      <c r="D18" s="2" cm="1">
        <f t="array" ref="D18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3</v>
      </c>
      <c r="E18" s="2" cm="1">
        <f t="array" ref="E18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4</v>
      </c>
      <c r="F18" s="2" cm="1">
        <f t="array" ref="F18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5</v>
      </c>
      <c r="G18" s="2" cm="1">
        <f t="array" ref="G18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6</v>
      </c>
      <c r="H18" s="2" cm="1">
        <f t="array" ref="H18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11</v>
      </c>
      <c r="I18" s="2" cm="1">
        <f t="array" ref="I18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4</v>
      </c>
      <c r="J18" s="2" cm="1">
        <f t="array" ref="J18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3</v>
      </c>
      <c r="K18" s="2" cm="1">
        <f t="array" ref="K18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6</v>
      </c>
      <c r="L18" s="2" cm="1">
        <f t="array" ref="L18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>3</v>
      </c>
      <c r="M18" s="2" cm="1">
        <f t="array" ref="M18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>3</v>
      </c>
      <c r="N18" s="2" cm="1">
        <f t="array" ref="N18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>8</v>
      </c>
      <c r="O18" s="2" cm="1">
        <f t="array" ref="O18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>5</v>
      </c>
      <c r="P18" s="2" cm="1">
        <f t="array" ref="P18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>5</v>
      </c>
    </row>
    <row r="19" spans="2:16" x14ac:dyDescent="0.2">
      <c r="B19" s="4" t="s">
        <v>162</v>
      </c>
      <c r="C19" s="2" cm="1">
        <f t="array" ref="C19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5</v>
      </c>
      <c r="D19" s="2" cm="1">
        <f t="array" ref="D19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3</v>
      </c>
      <c r="E19" s="2" cm="1">
        <f t="array" ref="E19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5</v>
      </c>
      <c r="F19" s="2" cm="1">
        <f t="array" ref="F19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4</v>
      </c>
      <c r="G19" s="2" cm="1">
        <f t="array" ref="G19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11</v>
      </c>
      <c r="H19" s="2" cm="1">
        <f t="array" ref="H19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9</v>
      </c>
      <c r="I19" s="2" cm="1">
        <f t="array" ref="I19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7</v>
      </c>
      <c r="J19" s="2" cm="1">
        <f t="array" ref="J19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3</v>
      </c>
      <c r="K19" s="2" cm="1">
        <f t="array" ref="K19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12</v>
      </c>
      <c r="L19" s="2" cm="1">
        <f t="array" ref="L19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>3</v>
      </c>
      <c r="M19" s="2" cm="1">
        <f t="array" ref="M19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>3</v>
      </c>
      <c r="N19" s="2" cm="1">
        <f t="array" ref="N19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>8</v>
      </c>
      <c r="O19" s="2" cm="1">
        <f t="array" ref="O19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>5</v>
      </c>
      <c r="P19" s="2" cm="1">
        <f t="array" ref="P19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>4</v>
      </c>
    </row>
    <row r="20" spans="2:16" x14ac:dyDescent="0.2">
      <c r="B20" s="4" t="s">
        <v>172</v>
      </c>
      <c r="C20" s="2" cm="1">
        <f t="array" ref="C20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13</v>
      </c>
      <c r="D20" s="2" cm="1">
        <f t="array" ref="D20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4</v>
      </c>
      <c r="E20" s="2" cm="1">
        <f t="array" ref="E20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6</v>
      </c>
      <c r="F20" s="2" cm="1">
        <f t="array" ref="F20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4</v>
      </c>
      <c r="G20" s="2" cm="1">
        <f t="array" ref="G20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7</v>
      </c>
      <c r="H20" s="2" cm="1">
        <f t="array" ref="H20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10</v>
      </c>
      <c r="I20" s="2" cm="1">
        <f t="array" ref="I20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9</v>
      </c>
      <c r="J20" s="2" cm="1">
        <f t="array" ref="J20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3</v>
      </c>
      <c r="K20" s="2" cm="1">
        <f t="array" ref="K20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8</v>
      </c>
      <c r="L20" s="2" cm="1">
        <f t="array" ref="L20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>4</v>
      </c>
      <c r="M20" s="2" cm="1">
        <f t="array" ref="M20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>2</v>
      </c>
      <c r="N20" s="2" cm="1">
        <f t="array" ref="N20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>7</v>
      </c>
      <c r="O20" s="2" cm="1">
        <f t="array" ref="O20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>17</v>
      </c>
      <c r="P20" s="2" cm="1">
        <f t="array" ref="P20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>4</v>
      </c>
    </row>
    <row r="21" spans="2:16" x14ac:dyDescent="0.2">
      <c r="B21" s="4" t="s">
        <v>175</v>
      </c>
      <c r="C21" s="2" cm="1">
        <f t="array" ref="C21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4</v>
      </c>
      <c r="D21" s="2" cm="1">
        <f t="array" ref="D21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4</v>
      </c>
      <c r="E21" s="2" cm="1">
        <f t="array" ref="E21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5</v>
      </c>
      <c r="F21" s="2" cm="1">
        <f t="array" ref="F21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3</v>
      </c>
      <c r="G21" s="2" cm="1">
        <f t="array" ref="G21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5</v>
      </c>
      <c r="H21" s="2" cm="1">
        <f t="array" ref="H21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9</v>
      </c>
      <c r="I21" s="2" cm="1">
        <f t="array" ref="I21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4</v>
      </c>
      <c r="J21" s="2" cm="1">
        <f t="array" ref="J21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2</v>
      </c>
      <c r="K21" s="2" cm="1">
        <f t="array" ref="K21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5</v>
      </c>
      <c r="L21" s="2" cm="1">
        <f t="array" ref="L21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>9</v>
      </c>
      <c r="M21" s="2" cm="1">
        <f t="array" ref="M21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>2</v>
      </c>
      <c r="N21" s="2" cm="1">
        <f t="array" ref="N21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>9</v>
      </c>
      <c r="O21" s="2" cm="1">
        <f t="array" ref="O21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>9</v>
      </c>
      <c r="P21" s="2" cm="1">
        <f t="array" ref="P21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>3</v>
      </c>
    </row>
    <row r="22" spans="2:16" x14ac:dyDescent="0.2">
      <c r="B22" s="4" t="s">
        <v>180</v>
      </c>
      <c r="C22" s="2" cm="1">
        <f t="array" ref="C22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29</v>
      </c>
      <c r="D22" s="2" cm="1">
        <f t="array" ref="D22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2</v>
      </c>
      <c r="E22" s="2" cm="1">
        <f t="array" ref="E22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4</v>
      </c>
      <c r="F22" s="2" cm="1">
        <f t="array" ref="F22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6</v>
      </c>
      <c r="G22" s="2" cm="1">
        <f t="array" ref="G22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5</v>
      </c>
      <c r="H22" s="2" cm="1">
        <f t="array" ref="H22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6</v>
      </c>
      <c r="I22" s="2" cm="1">
        <f t="array" ref="I22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5</v>
      </c>
      <c r="J22" s="2" cm="1">
        <f t="array" ref="J22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3</v>
      </c>
      <c r="K22" s="2" cm="1">
        <f t="array" ref="K22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4</v>
      </c>
      <c r="L22" s="2" t="str" cm="1">
        <f t="array" ref="L22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/>
      </c>
      <c r="M22" s="2" t="str" cm="1">
        <f t="array" ref="M22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/>
      </c>
      <c r="N22" s="2" t="str" cm="1">
        <f t="array" ref="N22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/>
      </c>
      <c r="O22" s="2" t="str" cm="1">
        <f t="array" ref="O22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/>
      </c>
      <c r="P22" s="2" t="str" cm="1">
        <f t="array" ref="P22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/>
      </c>
    </row>
    <row r="23" spans="2:16" x14ac:dyDescent="0.2">
      <c r="B23" s="26" t="s">
        <v>187</v>
      </c>
      <c r="C23" s="2" cm="1">
        <f t="array" ref="C23">IF(VLOOKUP(ToricoTimeTable[[#This Row],[token]:[token]],DB[],MATCH(ToricoTimeTable[[#Headers],[tiempos_Torico0]],DB[#Headers],0),0) = 0,"",VLOOKUP(ToricoTimeTable[[#This Row],[token]:[token]],DB[],MATCH(ToricoTimeTable[[#Headers],[tiempos_Torico0]],MainTable[#Headers],0),0))</f>
        <v>3</v>
      </c>
      <c r="D23" s="2" cm="1">
        <f t="array" ref="D23">IF(VLOOKUP(ToricoTimeTable[[#This Row],[token]:[token]],DB[],MATCH(ToricoTimeTable[[#Headers],[tiempos_Torico1]],DB[#Headers],0),0) = 0,"",VLOOKUP(ToricoTimeTable[[#This Row],[token]:[token]],DB[],MATCH(ToricoTimeTable[[#Headers],[tiempos_Torico1]],MainTable[#Headers],0),0))</f>
        <v>3</v>
      </c>
      <c r="E23" s="2" cm="1">
        <f t="array" ref="E23">IF(VLOOKUP(ToricoTimeTable[[#This Row],[token]:[token]],DB[],MATCH(ToricoTimeTable[[#Headers],[tiempos_Torico2]],DB[#Headers],0),0) = 0,"",VLOOKUP(ToricoTimeTable[[#This Row],[token]:[token]],DB[],MATCH(ToricoTimeTable[[#Headers],[tiempos_Torico2]],MainTable[#Headers],0),0))</f>
        <v>4</v>
      </c>
      <c r="F23" s="2" cm="1">
        <f t="array" ref="F23">IF(VLOOKUP(ToricoTimeTable[[#This Row],[token]:[token]],DB[],MATCH(ToricoTimeTable[[#Headers],[tiempos_Torico3]],DB[#Headers],0),0) = 0,"",VLOOKUP(ToricoTimeTable[[#This Row],[token]:[token]],DB[],MATCH(ToricoTimeTable[[#Headers],[tiempos_Torico3]],MainTable[#Headers],0),0))</f>
        <v>4</v>
      </c>
      <c r="G23" s="2" cm="1">
        <f t="array" ref="G23">IF(VLOOKUP(ToricoTimeTable[[#This Row],[token]:[token]],DB[],MATCH(ToricoTimeTable[[#Headers],[tiempos_Torico4]],DB[#Headers],0),0) = 0,"",VLOOKUP(ToricoTimeTable[[#This Row],[token]:[token]],DB[],MATCH(ToricoTimeTable[[#Headers],[tiempos_Torico4]],MainTable[#Headers],0),0))</f>
        <v>5</v>
      </c>
      <c r="H23" s="2" cm="1">
        <f t="array" ref="H23">IF(VLOOKUP(ToricoTimeTable[[#This Row],[token]:[token]],DB[],MATCH(ToricoTimeTable[[#Headers],[tiempos_Torico5]],DB[#Headers],0),0) = 0,"",VLOOKUP(ToricoTimeTable[[#This Row],[token]:[token]],DB[],MATCH(ToricoTimeTable[[#Headers],[tiempos_Torico5]],MainTable[#Headers],0),0))</f>
        <v>5</v>
      </c>
      <c r="I23" s="2" cm="1">
        <f t="array" ref="I23">IF(VLOOKUP(ToricoTimeTable[[#This Row],[token]:[token]],DB[],MATCH(ToricoTimeTable[[#Headers],[tiempos_Torico6]],DB[#Headers],0),0) = 0,"",VLOOKUP(ToricoTimeTable[[#This Row],[token]:[token]],DB[],MATCH(ToricoTimeTable[[#Headers],[tiempos_Torico6]],MainTable[#Headers],0),0))</f>
        <v>4</v>
      </c>
      <c r="J23" s="2" cm="1">
        <f t="array" ref="J23">IF(VLOOKUP(ToricoTimeTable[[#This Row],[token]:[token]],DB[],MATCH(ToricoTimeTable[[#Headers],[tiempos_Torico7]],DB[#Headers],0),0) = 0,"",VLOOKUP(ToricoTimeTable[[#This Row],[token]:[token]],DB[],MATCH(ToricoTimeTable[[#Headers],[tiempos_Torico7]],MainTable[#Headers],0),0))</f>
        <v>3</v>
      </c>
      <c r="K23" s="2" cm="1">
        <f t="array" ref="K23">IF(VLOOKUP(ToricoTimeTable[[#This Row],[token]:[token]],DB[],MATCH(ToricoTimeTable[[#Headers],[tiempos_Torico8]],DB[#Headers],0),0) = 0,"",VLOOKUP(ToricoTimeTable[[#This Row],[token]:[token]],DB[],MATCH(ToricoTimeTable[[#Headers],[tiempos_Torico8]],MainTable[#Headers],0),0))</f>
        <v>4</v>
      </c>
      <c r="L23" s="2" cm="1">
        <f t="array" ref="L23">IF(VLOOKUP(ToricoTimeTable[[#This Row],[token]:[token]],DB[],MATCH(ToricoTimeTable[[#Headers],[tiempos_Torico9]],DB[#Headers],0),0) = 0,"",VLOOKUP(ToricoTimeTable[[#This Row],[token]:[token]],DB[],MATCH(ToricoTimeTable[[#Headers],[tiempos_Torico9]],MainTable[#Headers],0),0))</f>
        <v>3</v>
      </c>
      <c r="M23" s="2" cm="1">
        <f t="array" ref="M23">IF(VLOOKUP(ToricoTimeTable[[#This Row],[token]:[token]],DB[],MATCH(ToricoTimeTable[[#Headers],[tiempos_Torico10]],DB[#Headers],0),0) = 0,"",VLOOKUP(ToricoTimeTable[[#This Row],[token]:[token]],DB[],MATCH(ToricoTimeTable[[#Headers],[tiempos_Torico10]],MainTable[#Headers],0),0))</f>
        <v>3</v>
      </c>
      <c r="N23" s="2" cm="1">
        <f t="array" ref="N23">IF(VLOOKUP(ToricoTimeTable[[#This Row],[token]:[token]],DB[],MATCH(ToricoTimeTable[[#Headers],[tiempos_Torico11]],DB[#Headers],0),0) = 0,"",VLOOKUP(ToricoTimeTable[[#This Row],[token]:[token]],DB[],MATCH(ToricoTimeTable[[#Headers],[tiempos_Torico11]],MainTable[#Headers],0),0))</f>
        <v>4</v>
      </c>
      <c r="O23" s="2" cm="1">
        <f t="array" ref="O23">IF(VLOOKUP(ToricoTimeTable[[#This Row],[token]:[token]],DB[],MATCH(ToricoTimeTable[[#Headers],[tiempos_Torico12]],DB[#Headers],0),0) = 0,"",VLOOKUP(ToricoTimeTable[[#This Row],[token]:[token]],DB[],MATCH(ToricoTimeTable[[#Headers],[tiempos_Torico12]],MainTable[#Headers],0),0))</f>
        <v>5</v>
      </c>
      <c r="P23" s="2" cm="1">
        <f t="array" ref="P23">IF(VLOOKUP(ToricoTimeTable[[#This Row],[token]:[token]],DB[],MATCH(ToricoTimeTable[[#Headers],[tiempos_Torico13]],DB[#Headers],0),0) = 0,"",VLOOKUP(ToricoTimeTable[[#This Row],[token]:[token]],DB[],MATCH(ToricoTimeTable[[#Headers],[tiempos_Torico13]],MainTable[#Headers],0),0))</f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21A5-F7C0-E14E-926B-C5637ADB9B5A}">
  <dimension ref="B3:J23"/>
  <sheetViews>
    <sheetView topLeftCell="B1" workbookViewId="0">
      <selection activeCell="G10" sqref="G10"/>
    </sheetView>
  </sheetViews>
  <sheetFormatPr baseColWidth="10" defaultRowHeight="16" x14ac:dyDescent="0.2"/>
  <cols>
    <col min="2" max="2" width="50.5" bestFit="1" customWidth="1"/>
    <col min="3" max="10" width="21.83203125" bestFit="1" customWidth="1"/>
  </cols>
  <sheetData>
    <row r="3" spans="2:10" x14ac:dyDescent="0.2">
      <c r="B3" s="7" t="s">
        <v>0</v>
      </c>
      <c r="C3" s="7" t="s">
        <v>91</v>
      </c>
      <c r="D3" s="7" t="s">
        <v>92</v>
      </c>
      <c r="E3" s="8" t="s">
        <v>93</v>
      </c>
      <c r="F3" s="7" t="s">
        <v>94</v>
      </c>
      <c r="G3" s="7" t="s">
        <v>95</v>
      </c>
      <c r="H3" s="8" t="s">
        <v>96</v>
      </c>
      <c r="I3" s="7" t="s">
        <v>97</v>
      </c>
      <c r="J3" s="7" t="s">
        <v>98</v>
      </c>
    </row>
    <row r="4" spans="2:10" x14ac:dyDescent="0.2">
      <c r="B4" s="6" t="s">
        <v>218</v>
      </c>
      <c r="C4" cm="1">
        <f t="array" ref="C4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>12</v>
      </c>
      <c r="D4" cm="1">
        <f t="array" ref="D4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>14</v>
      </c>
      <c r="E4" cm="1">
        <f t="array" ref="E4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>11</v>
      </c>
      <c r="F4" cm="1">
        <f t="array" ref="F4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>5</v>
      </c>
      <c r="G4" cm="1">
        <f t="array" ref="G4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>8</v>
      </c>
      <c r="H4" cm="1">
        <f t="array" ref="H4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>15</v>
      </c>
      <c r="I4" cm="1">
        <f t="array" ref="I4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>8</v>
      </c>
      <c r="J4" cm="1">
        <f t="array" ref="J4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>14</v>
      </c>
    </row>
    <row r="5" spans="2:10" x14ac:dyDescent="0.2">
      <c r="B5" s="20" t="s">
        <v>220</v>
      </c>
      <c r="C5" cm="1">
        <f t="array" ref="C5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>11</v>
      </c>
      <c r="D5" cm="1">
        <f t="array" ref="D5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>14</v>
      </c>
      <c r="E5" cm="1">
        <f t="array" ref="E5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>12</v>
      </c>
      <c r="F5" cm="1">
        <f t="array" ref="F5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>7</v>
      </c>
      <c r="G5" cm="1">
        <f t="array" ref="G5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>13</v>
      </c>
      <c r="H5" cm="1">
        <f t="array" ref="H5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>18</v>
      </c>
      <c r="I5" cm="1">
        <f t="array" ref="I5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>10</v>
      </c>
      <c r="J5" cm="1">
        <f t="array" ref="J5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>8</v>
      </c>
    </row>
    <row r="6" spans="2:10" x14ac:dyDescent="0.2">
      <c r="B6" s="20" t="s">
        <v>221</v>
      </c>
      <c r="C6" cm="1">
        <f t="array" ref="C6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>5</v>
      </c>
      <c r="D6" cm="1">
        <f t="array" ref="D6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>5</v>
      </c>
      <c r="E6" cm="1">
        <f t="array" ref="E6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>6</v>
      </c>
      <c r="F6" cm="1">
        <f t="array" ref="F6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>3</v>
      </c>
      <c r="G6" cm="1">
        <f t="array" ref="G6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>4</v>
      </c>
      <c r="H6" cm="1">
        <f t="array" ref="H6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>6</v>
      </c>
      <c r="I6" cm="1">
        <f t="array" ref="I6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>8</v>
      </c>
      <c r="J6" cm="1">
        <f t="array" ref="J6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>5</v>
      </c>
    </row>
    <row r="7" spans="2:10" x14ac:dyDescent="0.2">
      <c r="B7" s="6" t="s">
        <v>222</v>
      </c>
      <c r="C7" cm="1">
        <f t="array" ref="C7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>5</v>
      </c>
      <c r="D7" cm="1">
        <f t="array" ref="D7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>7</v>
      </c>
      <c r="E7" cm="1">
        <f t="array" ref="E7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>8</v>
      </c>
      <c r="F7" cm="1">
        <f t="array" ref="F7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>4</v>
      </c>
      <c r="G7" cm="1">
        <f t="array" ref="G7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>5</v>
      </c>
      <c r="H7" cm="1">
        <f t="array" ref="H7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>8</v>
      </c>
      <c r="I7" cm="1">
        <f t="array" ref="I7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>7</v>
      </c>
      <c r="J7" cm="1">
        <f t="array" ref="J7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>7</v>
      </c>
    </row>
    <row r="8" spans="2:10" x14ac:dyDescent="0.2">
      <c r="B8" s="6" t="s">
        <v>223</v>
      </c>
      <c r="C8" cm="1">
        <f t="array" ref="C8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>5</v>
      </c>
      <c r="D8" cm="1">
        <f t="array" ref="D8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>8</v>
      </c>
      <c r="E8" cm="1">
        <f t="array" ref="E8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>5</v>
      </c>
      <c r="F8" cm="1">
        <f t="array" ref="F8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>4</v>
      </c>
      <c r="G8" cm="1">
        <f t="array" ref="G8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>6</v>
      </c>
      <c r="H8" cm="1">
        <f t="array" ref="H8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>12</v>
      </c>
      <c r="I8" cm="1">
        <f t="array" ref="I8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>7</v>
      </c>
      <c r="J8" cm="1">
        <f t="array" ref="J8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>7</v>
      </c>
    </row>
    <row r="9" spans="2:10" x14ac:dyDescent="0.2">
      <c r="B9" s="6" t="s">
        <v>224</v>
      </c>
      <c r="C9" cm="1">
        <f t="array" ref="C9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>3</v>
      </c>
      <c r="D9" cm="1">
        <f t="array" ref="D9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>4</v>
      </c>
      <c r="E9" cm="1">
        <f t="array" ref="E9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>6</v>
      </c>
      <c r="F9" cm="1">
        <f t="array" ref="F9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>3</v>
      </c>
      <c r="G9" cm="1">
        <f t="array" ref="G9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>3</v>
      </c>
      <c r="H9" cm="1">
        <f t="array" ref="H9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>5</v>
      </c>
      <c r="I9" cm="1">
        <f t="array" ref="I9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>4</v>
      </c>
      <c r="J9" cm="1">
        <f t="array" ref="J9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>5</v>
      </c>
    </row>
    <row r="10" spans="2:10" x14ac:dyDescent="0.2">
      <c r="B10" s="6" t="s">
        <v>226</v>
      </c>
      <c r="C10" cm="1">
        <f t="array" ref="C10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>8</v>
      </c>
      <c r="D10" cm="1">
        <f t="array" ref="D10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>3</v>
      </c>
      <c r="E10" cm="1">
        <f t="array" ref="E10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>2</v>
      </c>
      <c r="F10" cm="1">
        <f t="array" ref="F10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>8</v>
      </c>
      <c r="G10" cm="1">
        <f t="array" ref="G10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>3</v>
      </c>
      <c r="H10" cm="1">
        <f t="array" ref="H10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>7</v>
      </c>
      <c r="I10" cm="1">
        <f t="array" ref="I10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>6</v>
      </c>
      <c r="J10" cm="1">
        <f t="array" ref="J10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>7</v>
      </c>
    </row>
    <row r="11" spans="2:10" x14ac:dyDescent="0.2">
      <c r="B11" s="6" t="s">
        <v>227</v>
      </c>
      <c r="C11" cm="1">
        <f t="array" ref="C11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>3</v>
      </c>
      <c r="D11" cm="1">
        <f t="array" ref="D11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>4</v>
      </c>
      <c r="E11" cm="1">
        <f t="array" ref="E11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>5</v>
      </c>
      <c r="F11" cm="1">
        <f t="array" ref="F11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>3</v>
      </c>
      <c r="G11" cm="1">
        <f t="array" ref="G11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>3</v>
      </c>
      <c r="H11" cm="1">
        <f t="array" ref="H11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>5</v>
      </c>
      <c r="I11" cm="1">
        <f t="array" ref="I11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>5</v>
      </c>
      <c r="J11" cm="1">
        <f t="array" ref="J11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>5</v>
      </c>
    </row>
    <row r="12" spans="2:10" x14ac:dyDescent="0.2">
      <c r="B12" s="6" t="s">
        <v>228</v>
      </c>
      <c r="C12" cm="1">
        <f t="array" ref="C12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>3</v>
      </c>
      <c r="D12" cm="1">
        <f t="array" ref="D12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>4</v>
      </c>
      <c r="E12" cm="1">
        <f t="array" ref="E12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>5</v>
      </c>
      <c r="F12" cm="1">
        <f t="array" ref="F12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>6</v>
      </c>
      <c r="G12" cm="1">
        <f t="array" ref="G12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>4</v>
      </c>
      <c r="H12" cm="1">
        <f t="array" ref="H12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>10</v>
      </c>
      <c r="I12" cm="1">
        <f t="array" ref="I12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>5</v>
      </c>
      <c r="J12" cm="1">
        <f t="array" ref="J12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>5</v>
      </c>
    </row>
    <row r="13" spans="2:10" x14ac:dyDescent="0.2">
      <c r="B13" s="6" t="s">
        <v>229</v>
      </c>
      <c r="C13" t="str" cm="1">
        <f t="array" ref="C13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/>
      </c>
      <c r="D13" t="str" cm="1">
        <f t="array" ref="D13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/>
      </c>
      <c r="E13" t="str" cm="1">
        <f t="array" ref="E13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/>
      </c>
      <c r="F13" t="str" cm="1">
        <f t="array" ref="F13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/>
      </c>
      <c r="G13" t="str" cm="1">
        <f t="array" ref="G13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/>
      </c>
      <c r="H13" t="str" cm="1">
        <f t="array" ref="H13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/>
      </c>
      <c r="I13" t="str" cm="1">
        <f t="array" ref="I13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/>
      </c>
      <c r="J13" t="str" cm="1">
        <f t="array" ref="J13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/>
      </c>
    </row>
    <row r="14" spans="2:10" x14ac:dyDescent="0.2">
      <c r="B14" s="6" t="s">
        <v>230</v>
      </c>
      <c r="C14" cm="1">
        <f t="array" ref="C14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>4</v>
      </c>
      <c r="D14" cm="1">
        <f t="array" ref="D14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>7</v>
      </c>
      <c r="E14" cm="1">
        <f t="array" ref="E14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>9</v>
      </c>
      <c r="F14" cm="1">
        <f t="array" ref="F14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>4</v>
      </c>
      <c r="G14" cm="1">
        <f t="array" ref="G14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>5</v>
      </c>
      <c r="H14" cm="1">
        <f t="array" ref="H14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>9</v>
      </c>
      <c r="I14" cm="1">
        <f t="array" ref="I14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>8</v>
      </c>
      <c r="J14" cm="1">
        <f t="array" ref="J14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>7</v>
      </c>
    </row>
    <row r="15" spans="2:10" x14ac:dyDescent="0.2">
      <c r="B15" s="6" t="s">
        <v>233</v>
      </c>
      <c r="C15" cm="1">
        <f t="array" ref="C15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>6</v>
      </c>
      <c r="D15" cm="1">
        <f t="array" ref="D15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>7</v>
      </c>
      <c r="E15" cm="1">
        <f t="array" ref="E15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>9</v>
      </c>
      <c r="F15" cm="1">
        <f t="array" ref="F15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>4</v>
      </c>
      <c r="G15" cm="1">
        <f t="array" ref="G15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>5</v>
      </c>
      <c r="H15" cm="1">
        <f t="array" ref="H15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>8</v>
      </c>
      <c r="I15" cm="1">
        <f t="array" ref="I15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>7</v>
      </c>
      <c r="J15" cm="1">
        <f t="array" ref="J15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>8</v>
      </c>
    </row>
    <row r="16" spans="2:10" x14ac:dyDescent="0.2">
      <c r="B16" s="6" t="s">
        <v>234</v>
      </c>
      <c r="C16" cm="1">
        <f t="array" ref="C16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>9</v>
      </c>
      <c r="D16" cm="1">
        <f t="array" ref="D16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>4</v>
      </c>
      <c r="E16" cm="1">
        <f t="array" ref="E16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>8</v>
      </c>
      <c r="F16" cm="1">
        <f t="array" ref="F16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>5</v>
      </c>
      <c r="G16" cm="1">
        <f t="array" ref="G16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>4</v>
      </c>
      <c r="H16" cm="1">
        <f t="array" ref="H16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>7</v>
      </c>
      <c r="I16" cm="1">
        <f t="array" ref="I16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>8</v>
      </c>
      <c r="J16" cm="1">
        <f t="array" ref="J16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>7</v>
      </c>
    </row>
    <row r="17" spans="2:10" x14ac:dyDescent="0.2">
      <c r="B17" s="6" t="s">
        <v>183</v>
      </c>
      <c r="C17" cm="1">
        <f t="array" ref="C17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>2</v>
      </c>
      <c r="D17" cm="1">
        <f t="array" ref="D17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>4</v>
      </c>
      <c r="E17" cm="1">
        <f t="array" ref="E17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>4</v>
      </c>
      <c r="F17" cm="1">
        <f t="array" ref="F17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>4</v>
      </c>
      <c r="G17" cm="1">
        <f t="array" ref="G17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>2</v>
      </c>
      <c r="H17" cm="1">
        <f t="array" ref="H17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>3</v>
      </c>
      <c r="I17" cm="1">
        <f t="array" ref="I17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>7</v>
      </c>
      <c r="J17" cm="1">
        <f t="array" ref="J17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>3</v>
      </c>
    </row>
    <row r="18" spans="2:10" x14ac:dyDescent="0.2">
      <c r="B18" s="6" t="s">
        <v>139</v>
      </c>
      <c r="C18" cm="1">
        <f t="array" ref="C18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>6</v>
      </c>
      <c r="D18" cm="1">
        <f t="array" ref="D18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>13</v>
      </c>
      <c r="E18" cm="1">
        <f t="array" ref="E18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>7</v>
      </c>
      <c r="F18" cm="1">
        <f t="array" ref="F18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>7</v>
      </c>
      <c r="G18" cm="1">
        <f t="array" ref="G18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>5</v>
      </c>
      <c r="H18" cm="1">
        <f t="array" ref="H18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>7</v>
      </c>
      <c r="I18" cm="1">
        <f t="array" ref="I18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>8</v>
      </c>
      <c r="J18" cm="1">
        <f t="array" ref="J18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>8</v>
      </c>
    </row>
    <row r="19" spans="2:10" x14ac:dyDescent="0.2">
      <c r="B19" s="6" t="s">
        <v>162</v>
      </c>
      <c r="C19" cm="1">
        <f t="array" ref="C19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>4</v>
      </c>
      <c r="D19" cm="1">
        <f t="array" ref="D19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>21</v>
      </c>
      <c r="E19" cm="1">
        <f t="array" ref="E19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>6</v>
      </c>
      <c r="F19" cm="1">
        <f t="array" ref="F19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>4</v>
      </c>
      <c r="G19" cm="1">
        <f t="array" ref="G19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>5</v>
      </c>
      <c r="H19" cm="1">
        <f t="array" ref="H19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>7</v>
      </c>
      <c r="I19" cm="1">
        <f t="array" ref="I19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>7</v>
      </c>
      <c r="J19" cm="1">
        <f t="array" ref="J19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>6</v>
      </c>
    </row>
    <row r="20" spans="2:10" x14ac:dyDescent="0.2">
      <c r="B20" s="6" t="s">
        <v>172</v>
      </c>
      <c r="C20" cm="1">
        <f t="array" ref="C20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>5</v>
      </c>
      <c r="D20" cm="1">
        <f t="array" ref="D20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>7</v>
      </c>
      <c r="E20" cm="1">
        <f t="array" ref="E20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>7</v>
      </c>
      <c r="F20" cm="1">
        <f t="array" ref="F20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>5</v>
      </c>
      <c r="G20" cm="1">
        <f t="array" ref="G20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>5</v>
      </c>
      <c r="H20" cm="1">
        <f t="array" ref="H20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>7</v>
      </c>
      <c r="I20" cm="1">
        <f t="array" ref="I20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>7</v>
      </c>
      <c r="J20" cm="1">
        <f t="array" ref="J20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>7</v>
      </c>
    </row>
    <row r="21" spans="2:10" x14ac:dyDescent="0.2">
      <c r="B21" s="6" t="s">
        <v>175</v>
      </c>
      <c r="C21" cm="1">
        <f t="array" ref="C21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>3</v>
      </c>
      <c r="D21" cm="1">
        <f t="array" ref="D21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>4</v>
      </c>
      <c r="E21" cm="1">
        <f t="array" ref="E21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>9</v>
      </c>
      <c r="F21" cm="1">
        <f t="array" ref="F21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>6</v>
      </c>
      <c r="G21" cm="1">
        <f t="array" ref="G21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>3</v>
      </c>
      <c r="H21" cm="1">
        <f t="array" ref="H21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>5</v>
      </c>
      <c r="I21" cm="1">
        <f t="array" ref="I21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>5</v>
      </c>
      <c r="J21" cm="1">
        <f t="array" ref="J21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>16</v>
      </c>
    </row>
    <row r="22" spans="2:10" x14ac:dyDescent="0.2">
      <c r="B22" s="6" t="s">
        <v>180</v>
      </c>
      <c r="C22" t="str" cm="1">
        <f t="array" ref="C22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/>
      </c>
      <c r="D22" t="str" cm="1">
        <f t="array" ref="D22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/>
      </c>
      <c r="E22" t="str" cm="1">
        <f t="array" ref="E22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/>
      </c>
      <c r="F22" t="str" cm="1">
        <f t="array" ref="F22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/>
      </c>
      <c r="G22" t="str" cm="1">
        <f t="array" ref="G22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/>
      </c>
      <c r="H22" t="str" cm="1">
        <f t="array" ref="H22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/>
      </c>
      <c r="I22" t="str" cm="1">
        <f t="array" ref="I22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/>
      </c>
      <c r="J22" t="str" cm="1">
        <f t="array" ref="J22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/>
      </c>
    </row>
    <row r="23" spans="2:10" x14ac:dyDescent="0.2">
      <c r="B23" s="27" t="s">
        <v>187</v>
      </c>
      <c r="C23" cm="1">
        <f t="array" ref="C23">IF(VLOOKUP(CatedralTimeTable[[#This Row],[token]:[token]],DB[],MATCH(CatedralTimeTable[[#Headers],[tiempos_Catedral0]],DB[#Headers],0),0) = 0,"",VLOOKUP(CatedralTimeTable[[#This Row],[token]:[token]],DB[],MATCH(CatedralTimeTable[[#Headers],[tiempos_Catedral0]],DB[#Headers],0),0))</f>
        <v>4</v>
      </c>
      <c r="D23" cm="1">
        <f t="array" ref="D23">IF(VLOOKUP(CatedralTimeTable[[#This Row],[token]:[token]],DB[],MATCH(CatedralTimeTable[[#Headers],[tiempos_Catedral1]],DB[#Headers],0),0) = 0,"",VLOOKUP(CatedralTimeTable[[#This Row],[token]:[token]],DB[],MATCH(CatedralTimeTable[[#Headers],[tiempos_Catedral1]],DB[#Headers],0),0))</f>
        <v>5</v>
      </c>
      <c r="E23" cm="1">
        <f t="array" ref="E23">IF(VLOOKUP(CatedralTimeTable[[#This Row],[token]:[token]],DB[],MATCH(CatedralTimeTable[[#Headers],[tiempos_Catedral2]],DB[#Headers],0),0) = 0,"",VLOOKUP(CatedralTimeTable[[#This Row],[token]:[token]],DB[],MATCH(CatedralTimeTable[[#Headers],[tiempos_Catedral2]],DB[#Headers],0),0))</f>
        <v>5</v>
      </c>
      <c r="F23" cm="1">
        <f t="array" ref="F23">IF(VLOOKUP(CatedralTimeTable[[#This Row],[token]:[token]],DB[],MATCH(CatedralTimeTable[[#Headers],[tiempos_Catedral3]],DB[#Headers],0),0) = 0,"",VLOOKUP(CatedralTimeTable[[#This Row],[token]:[token]],DB[],MATCH(CatedralTimeTable[[#Headers],[tiempos_Catedral3]],DB[#Headers],0),0))</f>
        <v>4</v>
      </c>
      <c r="G23" cm="1">
        <f t="array" ref="G23">IF(VLOOKUP(CatedralTimeTable[[#This Row],[token]:[token]],DB[],MATCH(CatedralTimeTable[[#Headers],[tiempos_Catedral4]],DB[#Headers],0),0) = 0,"",VLOOKUP(CatedralTimeTable[[#This Row],[token]:[token]],DB[],MATCH(CatedralTimeTable[[#Headers],[tiempos_Catedral4]],DB[#Headers],0),0))</f>
        <v>4</v>
      </c>
      <c r="H23" cm="1">
        <f t="array" ref="H23">IF(VLOOKUP(CatedralTimeTable[[#This Row],[token]:[token]],DB[],MATCH(CatedralTimeTable[[#Headers],[tiempos_Catedral5]],DB[#Headers],0),0) = 0,"",VLOOKUP(CatedralTimeTable[[#This Row],[token]:[token]],DB[],MATCH(CatedralTimeTable[[#Headers],[tiempos_Catedral5]],DB[#Headers],0),0))</f>
        <v>5</v>
      </c>
      <c r="I23" cm="1">
        <f t="array" ref="I23">IF(VLOOKUP(CatedralTimeTable[[#This Row],[token]:[token]],DB[],MATCH(CatedralTimeTable[[#Headers],[tiempos_Catedral6]],DB[#Headers],0),0) = 0,"",VLOOKUP(CatedralTimeTable[[#This Row],[token]:[token]],DB[],MATCH(CatedralTimeTable[[#Headers],[tiempos_Catedral6]],DB[#Headers],0),0))</f>
        <v>5</v>
      </c>
      <c r="J23" cm="1">
        <f t="array" ref="J23">IF(VLOOKUP(CatedralTimeTable[[#This Row],[token]:[token]],DB[],MATCH(CatedralTimeTable[[#Headers],[tiempos_Catedral7]],DB[#Headers],0),0) = 0,"",VLOOKUP(CatedralTimeTable[[#This Row],[token]:[token]],DB[],MATCH(CatedralTimeTable[[#Headers],[tiempos_Catedral7]],DB[#Headers],0),0))</f>
        <v>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0D89-0A17-054E-BFD7-CB00C988D586}">
  <dimension ref="B3:M23"/>
  <sheetViews>
    <sheetView topLeftCell="D1" workbookViewId="0">
      <selection activeCell="A4" sqref="A4:XFD4"/>
    </sheetView>
  </sheetViews>
  <sheetFormatPr baseColWidth="10" defaultRowHeight="16" x14ac:dyDescent="0.2"/>
  <cols>
    <col min="2" max="2" width="50.5" bestFit="1" customWidth="1"/>
    <col min="3" max="12" width="23.5" bestFit="1" customWidth="1"/>
    <col min="13" max="13" width="24.5" bestFit="1" customWidth="1"/>
  </cols>
  <sheetData>
    <row r="3" spans="2:13" x14ac:dyDescent="0.2">
      <c r="B3" s="7" t="s">
        <v>0</v>
      </c>
      <c r="C3" s="7" t="s">
        <v>26</v>
      </c>
      <c r="D3" s="7" t="s">
        <v>27</v>
      </c>
      <c r="E3" s="7" t="s">
        <v>28</v>
      </c>
      <c r="F3" s="7" t="s">
        <v>99</v>
      </c>
      <c r="G3" s="7" t="s">
        <v>100</v>
      </c>
      <c r="H3" s="7" t="s">
        <v>101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</row>
    <row r="4" spans="2:13" x14ac:dyDescent="0.2">
      <c r="B4" s="4" t="s">
        <v>218</v>
      </c>
      <c r="C4" cm="1">
        <f t="array" ref="C4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7</v>
      </c>
      <c r="D4" cm="1">
        <f t="array" ref="D4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9</v>
      </c>
      <c r="E4" cm="1">
        <f t="array" ref="E4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14</v>
      </c>
      <c r="F4" cm="1">
        <f t="array" ref="F4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>8</v>
      </c>
      <c r="G4" cm="1">
        <f t="array" ref="G4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>10</v>
      </c>
      <c r="H4" cm="1">
        <f t="array" ref="H4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>5</v>
      </c>
      <c r="I4" cm="1">
        <f t="array" ref="I4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>8</v>
      </c>
      <c r="J4" cm="1">
        <f t="array" ref="J4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>11</v>
      </c>
      <c r="K4" cm="1">
        <f t="array" ref="K4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>4</v>
      </c>
      <c r="L4" cm="1">
        <f t="array" ref="L4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>10</v>
      </c>
      <c r="M4" cm="1">
        <f t="array" ref="M4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>8</v>
      </c>
    </row>
    <row r="5" spans="2:13" x14ac:dyDescent="0.2">
      <c r="B5" s="16" t="s">
        <v>220</v>
      </c>
      <c r="C5" cm="1">
        <f t="array" ref="C5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8</v>
      </c>
      <c r="D5" cm="1">
        <f t="array" ref="D5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14</v>
      </c>
      <c r="E5" cm="1">
        <f t="array" ref="E5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8</v>
      </c>
      <c r="F5" cm="1">
        <f t="array" ref="F5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>6</v>
      </c>
      <c r="G5" cm="1">
        <f t="array" ref="G5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>23</v>
      </c>
      <c r="H5" cm="1">
        <f t="array" ref="H5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>8</v>
      </c>
      <c r="I5" cm="1">
        <f t="array" ref="I5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>9</v>
      </c>
      <c r="J5" cm="1">
        <f t="array" ref="J5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>17</v>
      </c>
      <c r="K5" cm="1">
        <f t="array" ref="K5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>4</v>
      </c>
      <c r="L5" cm="1">
        <f t="array" ref="L5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>12</v>
      </c>
      <c r="M5" cm="1">
        <f t="array" ref="M5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>13</v>
      </c>
    </row>
    <row r="6" spans="2:13" x14ac:dyDescent="0.2">
      <c r="B6" s="16" t="s">
        <v>221</v>
      </c>
      <c r="C6" cm="1">
        <f t="array" ref="C6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9</v>
      </c>
      <c r="D6" cm="1">
        <f t="array" ref="D6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5</v>
      </c>
      <c r="E6" cm="1">
        <f t="array" ref="E6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10</v>
      </c>
      <c r="F6" cm="1">
        <f t="array" ref="F6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>3</v>
      </c>
      <c r="G6" cm="1">
        <f t="array" ref="G6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>9</v>
      </c>
      <c r="H6" cm="1">
        <f t="array" ref="H6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>3</v>
      </c>
      <c r="I6" cm="1">
        <f t="array" ref="I6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>5</v>
      </c>
      <c r="J6" cm="1">
        <f t="array" ref="J6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>6</v>
      </c>
      <c r="K6" cm="1">
        <f t="array" ref="K6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>2</v>
      </c>
      <c r="L6" cm="1">
        <f t="array" ref="L6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>8</v>
      </c>
      <c r="M6" cm="1">
        <f t="array" ref="M6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>6</v>
      </c>
    </row>
    <row r="7" spans="2:13" x14ac:dyDescent="0.2">
      <c r="B7" s="4" t="s">
        <v>222</v>
      </c>
      <c r="C7" cm="1">
        <f t="array" ref="C7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4</v>
      </c>
      <c r="D7" cm="1">
        <f t="array" ref="D7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6</v>
      </c>
      <c r="E7" cm="1">
        <f t="array" ref="E7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8</v>
      </c>
      <c r="F7" cm="1">
        <f t="array" ref="F7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>5</v>
      </c>
      <c r="G7" cm="1">
        <f t="array" ref="G7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>8</v>
      </c>
      <c r="H7" cm="1">
        <f t="array" ref="H7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>4</v>
      </c>
      <c r="I7" cm="1">
        <f t="array" ref="I7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>3</v>
      </c>
      <c r="J7" cm="1">
        <f t="array" ref="J7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>2</v>
      </c>
      <c r="K7" cm="1">
        <f t="array" ref="K7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>58</v>
      </c>
      <c r="L7" cm="1">
        <f t="array" ref="L7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>2</v>
      </c>
      <c r="M7" cm="1">
        <f t="array" ref="M7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>1</v>
      </c>
    </row>
    <row r="8" spans="2:13" x14ac:dyDescent="0.2">
      <c r="B8" s="4" t="s">
        <v>223</v>
      </c>
      <c r="C8" cm="1">
        <f t="array" ref="C8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4</v>
      </c>
      <c r="D8" cm="1">
        <f t="array" ref="D8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6</v>
      </c>
      <c r="E8" cm="1">
        <f t="array" ref="E8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7</v>
      </c>
      <c r="F8" cm="1">
        <f t="array" ref="F8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>5</v>
      </c>
      <c r="G8" cm="1">
        <f t="array" ref="G8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>7</v>
      </c>
      <c r="H8" cm="1">
        <f t="array" ref="H8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>5</v>
      </c>
      <c r="I8" cm="1">
        <f t="array" ref="I8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>5</v>
      </c>
      <c r="J8" cm="1">
        <f t="array" ref="J8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>7</v>
      </c>
      <c r="K8" cm="1">
        <f t="array" ref="K8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>3</v>
      </c>
      <c r="L8" cm="1">
        <f t="array" ref="L8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>7</v>
      </c>
      <c r="M8" cm="1">
        <f t="array" ref="M8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>7</v>
      </c>
    </row>
    <row r="9" spans="2:13" x14ac:dyDescent="0.2">
      <c r="B9" s="4" t="s">
        <v>224</v>
      </c>
      <c r="C9" cm="1">
        <f t="array" ref="C9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3</v>
      </c>
      <c r="D9" cm="1">
        <f t="array" ref="D9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4</v>
      </c>
      <c r="E9" cm="1">
        <f t="array" ref="E9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7</v>
      </c>
      <c r="F9" cm="1">
        <f t="array" ref="F9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>6</v>
      </c>
      <c r="G9" cm="1">
        <f t="array" ref="G9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>5</v>
      </c>
      <c r="H9" cm="1">
        <f t="array" ref="H9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>3</v>
      </c>
      <c r="I9" cm="1">
        <f t="array" ref="I9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>3</v>
      </c>
      <c r="J9" cm="1">
        <f t="array" ref="J9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>8</v>
      </c>
      <c r="K9" cm="1">
        <f t="array" ref="K9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>8</v>
      </c>
      <c r="L9" cm="1">
        <f t="array" ref="L9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>9</v>
      </c>
      <c r="M9" cm="1">
        <f t="array" ref="M9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>9</v>
      </c>
    </row>
    <row r="10" spans="2:13" x14ac:dyDescent="0.2">
      <c r="B10" s="4" t="s">
        <v>226</v>
      </c>
      <c r="C10" cm="1">
        <f t="array" ref="C10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4</v>
      </c>
      <c r="D10" cm="1">
        <f t="array" ref="D10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6</v>
      </c>
      <c r="E10" cm="1">
        <f t="array" ref="E10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8</v>
      </c>
      <c r="F10" cm="1">
        <f t="array" ref="F10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>4</v>
      </c>
      <c r="G10" cm="1">
        <f t="array" ref="G10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>9</v>
      </c>
      <c r="H10" cm="1">
        <f t="array" ref="H10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>5</v>
      </c>
      <c r="I10" cm="1">
        <f t="array" ref="I10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>4</v>
      </c>
      <c r="J10" cm="1">
        <f t="array" ref="J10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>7</v>
      </c>
      <c r="K10" cm="1">
        <f t="array" ref="K10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>3</v>
      </c>
      <c r="L10" cm="1">
        <f t="array" ref="L10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>6</v>
      </c>
      <c r="M10" cm="1">
        <f t="array" ref="M10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>8</v>
      </c>
    </row>
    <row r="11" spans="2:13" x14ac:dyDescent="0.2">
      <c r="B11" s="4" t="s">
        <v>227</v>
      </c>
      <c r="C11" cm="1">
        <f t="array" ref="C11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3</v>
      </c>
      <c r="D11" cm="1">
        <f t="array" ref="D11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4</v>
      </c>
      <c r="E11" cm="1">
        <f t="array" ref="E11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5</v>
      </c>
      <c r="F11" cm="1">
        <f t="array" ref="F11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>3</v>
      </c>
      <c r="G11" cm="1">
        <f t="array" ref="G11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>5</v>
      </c>
      <c r="H11" cm="1">
        <f t="array" ref="H11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>3</v>
      </c>
      <c r="I11" cm="1">
        <f t="array" ref="I11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>4</v>
      </c>
      <c r="J11" cm="1">
        <f t="array" ref="J11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>5</v>
      </c>
      <c r="K11" cm="1">
        <f t="array" ref="K11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>2</v>
      </c>
      <c r="L11" cm="1">
        <f t="array" ref="L11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>4</v>
      </c>
      <c r="M11" cm="1">
        <f t="array" ref="M11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>5</v>
      </c>
    </row>
    <row r="12" spans="2:13" x14ac:dyDescent="0.2">
      <c r="B12" s="4" t="s">
        <v>228</v>
      </c>
      <c r="C12" cm="1">
        <f t="array" ref="C12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4</v>
      </c>
      <c r="D12" cm="1">
        <f t="array" ref="D12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4</v>
      </c>
      <c r="E12" cm="1">
        <f t="array" ref="E12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5</v>
      </c>
      <c r="F12" cm="1">
        <f t="array" ref="F12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>3</v>
      </c>
      <c r="G12" cm="1">
        <f t="array" ref="G12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>6</v>
      </c>
      <c r="H12" cm="1">
        <f t="array" ref="H12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>4</v>
      </c>
      <c r="I12" cm="1">
        <f t="array" ref="I12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>3</v>
      </c>
      <c r="J12" cm="1">
        <f t="array" ref="J12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>4</v>
      </c>
      <c r="K12" cm="1">
        <f t="array" ref="K12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>4</v>
      </c>
      <c r="L12" cm="1">
        <f t="array" ref="L12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>3</v>
      </c>
      <c r="M12" cm="1">
        <f t="array" ref="M12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>4</v>
      </c>
    </row>
    <row r="13" spans="2:13" x14ac:dyDescent="0.2">
      <c r="B13" s="4" t="s">
        <v>229</v>
      </c>
      <c r="C13" t="str" cm="1">
        <f t="array" ref="C13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/>
      </c>
      <c r="D13" t="str" cm="1">
        <f t="array" ref="D13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/>
      </c>
      <c r="E13" t="str" cm="1">
        <f t="array" ref="E13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/>
      </c>
      <c r="F13" t="str" cm="1">
        <f t="array" ref="F13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/>
      </c>
      <c r="G13" t="str" cm="1">
        <f t="array" ref="G13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/>
      </c>
      <c r="H13" t="str" cm="1">
        <f t="array" ref="H13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/>
      </c>
      <c r="I13" t="str" cm="1">
        <f t="array" ref="I13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/>
      </c>
      <c r="J13" t="str" cm="1">
        <f t="array" ref="J13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/>
      </c>
      <c r="K13" t="str" cm="1">
        <f t="array" ref="K13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/>
      </c>
      <c r="L13" t="str" cm="1">
        <f t="array" ref="L13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/>
      </c>
      <c r="M13" t="str" cm="1">
        <f t="array" ref="M13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/>
      </c>
    </row>
    <row r="14" spans="2:13" x14ac:dyDescent="0.2">
      <c r="B14" s="4" t="s">
        <v>230</v>
      </c>
      <c r="C14" cm="1">
        <f t="array" ref="C14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4</v>
      </c>
      <c r="D14" cm="1">
        <f t="array" ref="D14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5</v>
      </c>
      <c r="E14" cm="1">
        <f t="array" ref="E14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6</v>
      </c>
      <c r="F14" cm="1">
        <f t="array" ref="F14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>3</v>
      </c>
      <c r="G14" cm="1">
        <f t="array" ref="G14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>8</v>
      </c>
      <c r="H14" cm="1">
        <f t="array" ref="H14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>4</v>
      </c>
      <c r="I14" cm="1">
        <f t="array" ref="I14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>6</v>
      </c>
      <c r="J14" cm="1">
        <f t="array" ref="J14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>7</v>
      </c>
      <c r="K14" cm="1">
        <f t="array" ref="K14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>3</v>
      </c>
      <c r="L14" cm="1">
        <f t="array" ref="L14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>5</v>
      </c>
      <c r="M14" cm="1">
        <f t="array" ref="M14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>11</v>
      </c>
    </row>
    <row r="15" spans="2:13" x14ac:dyDescent="0.2">
      <c r="B15" s="4" t="s">
        <v>233</v>
      </c>
      <c r="C15" cm="1">
        <f t="array" ref="C15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5</v>
      </c>
      <c r="D15" cm="1">
        <f t="array" ref="D15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8</v>
      </c>
      <c r="E15" cm="1">
        <f t="array" ref="E15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9</v>
      </c>
      <c r="F15" cm="1">
        <f t="array" ref="F15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>5</v>
      </c>
      <c r="G15" cm="1">
        <f t="array" ref="G15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>10</v>
      </c>
      <c r="H15" cm="1">
        <f t="array" ref="H15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>5</v>
      </c>
      <c r="I15" cm="1">
        <f t="array" ref="I15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>6</v>
      </c>
      <c r="J15" cm="1">
        <f t="array" ref="J15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>7</v>
      </c>
      <c r="K15" cm="1">
        <f t="array" ref="K15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>3</v>
      </c>
      <c r="L15" cm="1">
        <f t="array" ref="L15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>6</v>
      </c>
      <c r="M15" cm="1">
        <f t="array" ref="M15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>9</v>
      </c>
    </row>
    <row r="16" spans="2:13" x14ac:dyDescent="0.2">
      <c r="B16" s="4" t="s">
        <v>234</v>
      </c>
      <c r="C16" cm="1">
        <f t="array" ref="C16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3</v>
      </c>
      <c r="D16" cm="1">
        <f t="array" ref="D16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6</v>
      </c>
      <c r="E16" cm="1">
        <f t="array" ref="E16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8</v>
      </c>
      <c r="F16" cm="1">
        <f t="array" ref="F16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>4</v>
      </c>
      <c r="G16" cm="1">
        <f t="array" ref="G16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>9</v>
      </c>
      <c r="H16" cm="1">
        <f t="array" ref="H16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>5</v>
      </c>
      <c r="I16" cm="1">
        <f t="array" ref="I16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>5</v>
      </c>
      <c r="J16" cm="1">
        <f t="array" ref="J16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>7</v>
      </c>
      <c r="K16" cm="1">
        <f t="array" ref="K16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>3</v>
      </c>
      <c r="L16" cm="1">
        <f t="array" ref="L16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>6</v>
      </c>
      <c r="M16" cm="1">
        <f t="array" ref="M16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>16</v>
      </c>
    </row>
    <row r="17" spans="2:13" x14ac:dyDescent="0.2">
      <c r="B17" s="4" t="s">
        <v>183</v>
      </c>
      <c r="C17" cm="1">
        <f t="array" ref="C17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3</v>
      </c>
      <c r="D17" cm="1">
        <f t="array" ref="D17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6</v>
      </c>
      <c r="E17" cm="1">
        <f t="array" ref="E17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3</v>
      </c>
      <c r="F17" cm="1">
        <f t="array" ref="F17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>2</v>
      </c>
      <c r="G17" cm="1">
        <f t="array" ref="G17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>6</v>
      </c>
      <c r="H17" cm="1">
        <f t="array" ref="H17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>2</v>
      </c>
      <c r="I17" cm="1">
        <f t="array" ref="I17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>3</v>
      </c>
      <c r="J17" cm="1">
        <f t="array" ref="J17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>2</v>
      </c>
      <c r="K17" t="str" cm="1">
        <f t="array" ref="K17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/>
      </c>
      <c r="L17" t="str" cm="1">
        <f t="array" ref="L17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/>
      </c>
      <c r="M17" t="str" cm="1">
        <f t="array" ref="M17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/>
      </c>
    </row>
    <row r="18" spans="2:13" x14ac:dyDescent="0.2">
      <c r="B18" s="4" t="s">
        <v>139</v>
      </c>
      <c r="C18" cm="1">
        <f t="array" ref="C18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11</v>
      </c>
      <c r="D18" cm="1">
        <f t="array" ref="D18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4</v>
      </c>
      <c r="E18" cm="1">
        <f t="array" ref="E18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16</v>
      </c>
      <c r="F18" cm="1">
        <f t="array" ref="F18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>4</v>
      </c>
      <c r="G18" cm="1">
        <f t="array" ref="G18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>6</v>
      </c>
      <c r="H18" cm="1">
        <f t="array" ref="H18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>5</v>
      </c>
      <c r="I18" cm="1">
        <f t="array" ref="I18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>8</v>
      </c>
      <c r="J18" cm="1">
        <f t="array" ref="J18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>5</v>
      </c>
      <c r="K18" cm="1">
        <f t="array" ref="K18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>4</v>
      </c>
      <c r="L18" cm="1">
        <f t="array" ref="L18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>6</v>
      </c>
      <c r="M18" cm="1">
        <f t="array" ref="M18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>7</v>
      </c>
    </row>
    <row r="19" spans="2:13" x14ac:dyDescent="0.2">
      <c r="B19" s="4" t="s">
        <v>162</v>
      </c>
      <c r="C19" cm="1">
        <f t="array" ref="C19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3</v>
      </c>
      <c r="D19" cm="1">
        <f t="array" ref="D19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7</v>
      </c>
      <c r="E19" cm="1">
        <f t="array" ref="E19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6</v>
      </c>
      <c r="F19" cm="1">
        <f t="array" ref="F19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>4</v>
      </c>
      <c r="G19" cm="1">
        <f t="array" ref="G19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>18</v>
      </c>
      <c r="H19" cm="1">
        <f t="array" ref="H19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>4</v>
      </c>
      <c r="I19" cm="1">
        <f t="array" ref="I19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>4</v>
      </c>
      <c r="J19" cm="1">
        <f t="array" ref="J19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>6</v>
      </c>
      <c r="K19" cm="1">
        <f t="array" ref="K19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>2</v>
      </c>
      <c r="L19" cm="1">
        <f t="array" ref="L19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>4</v>
      </c>
      <c r="M19" cm="1">
        <f t="array" ref="M19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>6</v>
      </c>
    </row>
    <row r="20" spans="2:13" x14ac:dyDescent="0.2">
      <c r="B20" s="4" t="s">
        <v>172</v>
      </c>
      <c r="C20" cm="1">
        <f t="array" ref="C20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6</v>
      </c>
      <c r="D20" cm="1">
        <f t="array" ref="D20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5</v>
      </c>
      <c r="E20" cm="1">
        <f t="array" ref="E20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8</v>
      </c>
      <c r="F20" cm="1">
        <f t="array" ref="F20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>5</v>
      </c>
      <c r="G20" cm="1">
        <f t="array" ref="G20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>9</v>
      </c>
      <c r="H20" cm="1">
        <f t="array" ref="H20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>4</v>
      </c>
      <c r="I20" cm="1">
        <f t="array" ref="I20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>5</v>
      </c>
      <c r="J20" cm="1">
        <f t="array" ref="J20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>6</v>
      </c>
      <c r="K20" cm="1">
        <f t="array" ref="K20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>5</v>
      </c>
      <c r="L20" cm="1">
        <f t="array" ref="L20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>5</v>
      </c>
      <c r="M20" cm="1">
        <f t="array" ref="M20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>7</v>
      </c>
    </row>
    <row r="21" spans="2:13" x14ac:dyDescent="0.2">
      <c r="B21" s="4" t="s">
        <v>175</v>
      </c>
      <c r="C21" cm="1">
        <f t="array" ref="C21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3</v>
      </c>
      <c r="D21" cm="1">
        <f t="array" ref="D21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4</v>
      </c>
      <c r="E21" cm="1">
        <f t="array" ref="E21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8</v>
      </c>
      <c r="F21" cm="1">
        <f t="array" ref="F21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>8</v>
      </c>
      <c r="G21" cm="1">
        <f t="array" ref="G21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>6</v>
      </c>
      <c r="H21" cm="1">
        <f t="array" ref="H21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>3</v>
      </c>
      <c r="I21" cm="1">
        <f t="array" ref="I21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>3</v>
      </c>
      <c r="J21" cm="1">
        <f t="array" ref="J21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>6</v>
      </c>
      <c r="K21" cm="1">
        <f t="array" ref="K21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>10</v>
      </c>
      <c r="L21" cm="1">
        <f t="array" ref="L21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>6</v>
      </c>
      <c r="M21" cm="1">
        <f t="array" ref="M21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>7</v>
      </c>
    </row>
    <row r="22" spans="2:13" x14ac:dyDescent="0.2">
      <c r="B22" s="4" t="s">
        <v>180</v>
      </c>
      <c r="C22" cm="1">
        <f t="array" ref="C22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3</v>
      </c>
      <c r="D22" cm="1">
        <f t="array" ref="D22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5</v>
      </c>
      <c r="E22" cm="1">
        <f t="array" ref="E22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5</v>
      </c>
      <c r="F22" t="str" cm="1">
        <f t="array" ref="F22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/>
      </c>
      <c r="G22" t="str" cm="1">
        <f t="array" ref="G22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/>
      </c>
      <c r="H22" t="str" cm="1">
        <f t="array" ref="H22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/>
      </c>
      <c r="I22" t="str" cm="1">
        <f t="array" ref="I22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/>
      </c>
      <c r="J22" t="str" cm="1">
        <f t="array" ref="J22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/>
      </c>
      <c r="K22" t="str" cm="1">
        <f t="array" ref="K22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/>
      </c>
      <c r="L22" t="str" cm="1">
        <f t="array" ref="L22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/>
      </c>
      <c r="M22" t="str" cm="1">
        <f t="array" ref="M22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/>
      </c>
    </row>
    <row r="23" spans="2:13" x14ac:dyDescent="0.2">
      <c r="B23" s="26" t="s">
        <v>187</v>
      </c>
      <c r="C23" cm="1">
        <f t="array" ref="C23">IF(VLOOKUP(SanMartinTimeTable[[#This Row],[token]:[token]],DB[],MATCH(SanMartinTimeTable[[#Headers],[tiempos_SanMartin0]],DB[#Headers],0),0) = 0,"",VLOOKUP(SanMartinTimeTable[[#This Row],[token]:[token]],DB[],MATCH(SanMartinTimeTable[[#Headers],[tiempos_SanMartin0]],DB[#Headers],0),0))</f>
        <v>5</v>
      </c>
      <c r="D23" cm="1">
        <f t="array" ref="D23">IF(VLOOKUP(SanMartinTimeTable[[#This Row],[token]:[token]],DB[],MATCH(SanMartinTimeTable[[#Headers],[tiempos_SanMartin1]],DB[#Headers],0),0) = 0,"",VLOOKUP(SanMartinTimeTable[[#This Row],[token]:[token]],DB[],MATCH(SanMartinTimeTable[[#Headers],[tiempos_SanMartin1]],DB[#Headers],0),0))</f>
        <v>7</v>
      </c>
      <c r="E23" cm="1">
        <f t="array" ref="E23">IF(VLOOKUP(SanMartinTimeTable[[#This Row],[token]:[token]],DB[],MATCH(SanMartinTimeTable[[#Headers],[tiempos_SanMartin2]],DB[#Headers],0),0) = 0,"",VLOOKUP(SanMartinTimeTable[[#This Row],[token]:[token]],DB[],MATCH(SanMartinTimeTable[[#Headers],[tiempos_SanMartin2]],DB[#Headers],0),0))</f>
        <v>6</v>
      </c>
      <c r="F23" cm="1">
        <f t="array" ref="F23">IF(VLOOKUP(SanMartinTimeTable[[#This Row],[token]:[token]],DB[],MATCH(SanMartinTimeTable[[#Headers],[tiempos_SanMartin3]],DB[#Headers],0),0) = 0,"",VLOOKUP(SanMartinTimeTable[[#This Row],[token]:[token]],DB[],MATCH(SanMartinTimeTable[[#Headers],[tiempos_SanMartin3]],DB[#Headers],0),0))</f>
        <v>3</v>
      </c>
      <c r="G23" cm="1">
        <f t="array" ref="G23">IF(VLOOKUP(SanMartinTimeTable[[#This Row],[token]:[token]],DB[],MATCH(SanMartinTimeTable[[#Headers],[tiempos_SanMartin4]],DB[#Headers],0),0) = 0,"",VLOOKUP(SanMartinTimeTable[[#This Row],[token]:[token]],DB[],MATCH(SanMartinTimeTable[[#Headers],[tiempos_SanMartin4]],DB[#Headers],0),0))</f>
        <v>8</v>
      </c>
      <c r="H23" cm="1">
        <f t="array" ref="H23">IF(VLOOKUP(SanMartinTimeTable[[#This Row],[token]:[token]],DB[],MATCH(SanMartinTimeTable[[#Headers],[tiempos_SanMartin5]],DB[#Headers],0),0) = 0,"",VLOOKUP(SanMartinTimeTable[[#This Row],[token]:[token]],DB[],MATCH(SanMartinTimeTable[[#Headers],[tiempos_SanMartin5]],DB[#Headers],0),0))</f>
        <v>5</v>
      </c>
      <c r="I23" cm="1">
        <f t="array" ref="I23">IF(VLOOKUP(SanMartinTimeTable[[#This Row],[token]:[token]],DB[],MATCH(SanMartinTimeTable[[#Headers],[tiempos_SanMartin6]],DB[#Headers],0),0) = 0,"",VLOOKUP(SanMartinTimeTable[[#This Row],[token]:[token]],DB[],MATCH(SanMartinTimeTable[[#Headers],[tiempos_SanMartin6]],DB[#Headers],0),0))</f>
        <v>5</v>
      </c>
      <c r="J23" cm="1">
        <f t="array" ref="J23">IF(VLOOKUP(SanMartinTimeTable[[#This Row],[token]:[token]],DB[],MATCH(SanMartinTimeTable[[#Headers],[tiempos_SanMartin7]],DB[#Headers],0),0) = 0,"",VLOOKUP(SanMartinTimeTable[[#This Row],[token]:[token]],DB[],MATCH(SanMartinTimeTable[[#Headers],[tiempos_SanMartin7]],DB[#Headers],0),0))</f>
        <v>6</v>
      </c>
      <c r="K23" cm="1">
        <f t="array" ref="K23">IF(VLOOKUP(SanMartinTimeTable[[#This Row],[token]:[token]],DB[],MATCH(SanMartinTimeTable[[#Headers],[tiempos_SanMartin8]],DB[#Headers],0),0) = 0,"",VLOOKUP(SanMartinTimeTable[[#This Row],[token]:[token]],DB[],MATCH(SanMartinTimeTable[[#Headers],[tiempos_SanMartin8]],DB[#Headers],0),0))</f>
        <v>5</v>
      </c>
      <c r="L23" cm="1">
        <f t="array" ref="L23">IF(VLOOKUP(SanMartinTimeTable[[#This Row],[token]:[token]],DB[],MATCH(SanMartinTimeTable[[#Headers],[tiempos_SanMartin9]],DB[#Headers],0),0) = 0,"",VLOOKUP(SanMartinTimeTable[[#This Row],[token]:[token]],DB[],MATCH(SanMartinTimeTable[[#Headers],[tiempos_SanMartin9]],DB[#Headers],0),0))</f>
        <v>4</v>
      </c>
      <c r="M23" cm="1">
        <f t="array" ref="M23">IF(VLOOKUP(SanMartinTimeTable[[#This Row],[token]:[token]],DB[],MATCH(SanMartinTimeTable[[#Headers],[tiempos_SanMartin10]],DB[#Headers],0),0) = 0,"",VLOOKUP(SanMartinTimeTable[[#This Row],[token]:[token]],DB[],MATCH(SanMartinTimeTable[[#Headers],[tiempos_SanMartin10]],DB[#Headers],0),0))</f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9638-305A-3641-9BDD-43B68D1B28A4}">
  <dimension ref="B3:S23"/>
  <sheetViews>
    <sheetView topLeftCell="J1" workbookViewId="0">
      <selection activeCell="E28" sqref="E28"/>
    </sheetView>
  </sheetViews>
  <sheetFormatPr baseColWidth="10" defaultRowHeight="16" x14ac:dyDescent="0.2"/>
  <cols>
    <col min="2" max="2" width="50.5" bestFit="1" customWidth="1"/>
    <col min="3" max="12" width="22.1640625" bestFit="1" customWidth="1"/>
    <col min="13" max="19" width="23.1640625" bestFit="1" customWidth="1"/>
  </cols>
  <sheetData>
    <row r="3" spans="2:19" x14ac:dyDescent="0.2">
      <c r="B3" s="7" t="s">
        <v>0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J3" s="7" t="s">
        <v>36</v>
      </c>
      <c r="K3" s="7" t="s">
        <v>37</v>
      </c>
      <c r="L3" s="7" t="s">
        <v>38</v>
      </c>
      <c r="M3" s="7" t="s">
        <v>39</v>
      </c>
      <c r="N3" s="7" t="s">
        <v>40</v>
      </c>
      <c r="O3" s="7" t="s">
        <v>41</v>
      </c>
      <c r="P3" s="7" t="s">
        <v>42</v>
      </c>
      <c r="Q3" s="7" t="s">
        <v>43</v>
      </c>
      <c r="R3" s="7" t="s">
        <v>44</v>
      </c>
      <c r="S3" s="7" t="s">
        <v>45</v>
      </c>
    </row>
    <row r="4" spans="2:19" x14ac:dyDescent="0.2">
      <c r="B4" s="4" t="s">
        <v>218</v>
      </c>
      <c r="C4" cm="1">
        <f t="array" ref="C4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>15</v>
      </c>
      <c r="D4" cm="1">
        <f t="array" ref="D4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>8</v>
      </c>
      <c r="E4" cm="1">
        <f t="array" ref="E4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>6</v>
      </c>
      <c r="F4" cm="1">
        <f t="array" ref="F4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>6</v>
      </c>
      <c r="G4" cm="1">
        <f t="array" ref="G4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>4</v>
      </c>
      <c r="H4" cm="1">
        <f t="array" ref="H4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>6</v>
      </c>
      <c r="I4" cm="1">
        <f t="array" ref="I4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>7</v>
      </c>
      <c r="J4" cm="1">
        <f t="array" ref="J4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>5</v>
      </c>
      <c r="K4" cm="1">
        <f t="array" ref="K4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>9</v>
      </c>
      <c r="L4" cm="1">
        <f t="array" ref="L4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>8</v>
      </c>
      <c r="M4" cm="1">
        <f t="array" ref="M4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>6</v>
      </c>
      <c r="N4" cm="1">
        <f t="array" ref="N4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>7</v>
      </c>
      <c r="O4" cm="1">
        <f t="array" ref="O4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>4</v>
      </c>
      <c r="P4" cm="1">
        <f t="array" ref="P4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>6</v>
      </c>
      <c r="Q4" cm="1">
        <f t="array" ref="Q4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>12</v>
      </c>
      <c r="R4" cm="1">
        <f t="array" ref="R4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>6</v>
      </c>
      <c r="S4" cm="1">
        <f t="array" ref="S4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>9</v>
      </c>
    </row>
    <row r="5" spans="2:19" x14ac:dyDescent="0.2">
      <c r="B5" s="16" t="s">
        <v>220</v>
      </c>
      <c r="C5" cm="1">
        <f t="array" ref="C5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>15</v>
      </c>
      <c r="D5" cm="1">
        <f t="array" ref="D5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>15</v>
      </c>
      <c r="E5" cm="1">
        <f t="array" ref="E5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>10</v>
      </c>
      <c r="F5" cm="1">
        <f t="array" ref="F5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>11</v>
      </c>
      <c r="G5" cm="1">
        <f t="array" ref="G5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>5</v>
      </c>
      <c r="H5" cm="1">
        <f t="array" ref="H5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>9</v>
      </c>
      <c r="I5" cm="1">
        <f t="array" ref="I5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>10</v>
      </c>
      <c r="J5" cm="1">
        <f t="array" ref="J5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>9</v>
      </c>
      <c r="K5" cm="1">
        <f t="array" ref="K5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>14</v>
      </c>
      <c r="L5" cm="1">
        <f t="array" ref="L5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>9</v>
      </c>
      <c r="M5" cm="1">
        <f t="array" ref="M5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>6</v>
      </c>
      <c r="N5" cm="1">
        <f t="array" ref="N5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>8</v>
      </c>
      <c r="O5" cm="1">
        <f t="array" ref="O5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>6</v>
      </c>
      <c r="P5" cm="1">
        <f t="array" ref="P5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>8</v>
      </c>
      <c r="Q5" cm="1">
        <f t="array" ref="Q5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>11</v>
      </c>
      <c r="R5" cm="1">
        <f t="array" ref="R5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>9</v>
      </c>
      <c r="S5" cm="1">
        <f t="array" ref="S5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>11</v>
      </c>
    </row>
    <row r="6" spans="2:19" x14ac:dyDescent="0.2">
      <c r="B6" s="16" t="s">
        <v>221</v>
      </c>
      <c r="C6" cm="1">
        <f t="array" ref="C6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>8</v>
      </c>
      <c r="D6" cm="1">
        <f t="array" ref="D6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>5</v>
      </c>
      <c r="E6" cm="1">
        <f t="array" ref="E6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>5</v>
      </c>
      <c r="F6" cm="1">
        <f t="array" ref="F6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>4</v>
      </c>
      <c r="G6" cm="1">
        <f t="array" ref="G6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>3</v>
      </c>
      <c r="H6" cm="1">
        <f t="array" ref="H6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>4</v>
      </c>
      <c r="I6" cm="1">
        <f t="array" ref="I6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>5</v>
      </c>
      <c r="J6" cm="1">
        <f t="array" ref="J6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>4</v>
      </c>
      <c r="K6" cm="1">
        <f t="array" ref="K6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>9</v>
      </c>
      <c r="L6" cm="1">
        <f t="array" ref="L6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>4</v>
      </c>
      <c r="M6" cm="1">
        <f t="array" ref="M6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>3</v>
      </c>
      <c r="N6" cm="1">
        <f t="array" ref="N6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>4</v>
      </c>
      <c r="O6" cm="1">
        <f t="array" ref="O6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>5</v>
      </c>
      <c r="P6" cm="1">
        <f t="array" ref="P6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>4</v>
      </c>
      <c r="Q6" cm="1">
        <f t="array" ref="Q6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>10</v>
      </c>
      <c r="R6" cm="1">
        <f t="array" ref="R6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>18</v>
      </c>
      <c r="S6" cm="1">
        <f t="array" ref="S6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>6</v>
      </c>
    </row>
    <row r="7" spans="2:19" x14ac:dyDescent="0.2">
      <c r="B7" s="4" t="s">
        <v>222</v>
      </c>
      <c r="C7" cm="1">
        <f t="array" ref="C7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>5</v>
      </c>
      <c r="D7" cm="1">
        <f t="array" ref="D7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>3</v>
      </c>
      <c r="E7" cm="1">
        <f t="array" ref="E7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>6</v>
      </c>
      <c r="F7" cm="1">
        <f t="array" ref="F7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>3</v>
      </c>
      <c r="G7" cm="1">
        <f t="array" ref="G7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>4</v>
      </c>
      <c r="H7" cm="1">
        <f t="array" ref="H7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>4</v>
      </c>
      <c r="I7" cm="1">
        <f t="array" ref="I7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>4</v>
      </c>
      <c r="J7" cm="1">
        <f t="array" ref="J7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>5</v>
      </c>
      <c r="K7" cm="1">
        <f t="array" ref="K7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>9</v>
      </c>
      <c r="L7" cm="1">
        <f t="array" ref="L7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>6</v>
      </c>
      <c r="M7" cm="1">
        <f t="array" ref="M7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>5</v>
      </c>
      <c r="N7" cm="1">
        <f t="array" ref="N7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>8</v>
      </c>
      <c r="O7" cm="1">
        <f t="array" ref="O7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>5</v>
      </c>
      <c r="P7" cm="1">
        <f t="array" ref="P7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>6</v>
      </c>
      <c r="Q7" cm="1">
        <f t="array" ref="Q7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>7</v>
      </c>
      <c r="R7" cm="1">
        <f t="array" ref="R7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>6</v>
      </c>
      <c r="S7" cm="1">
        <f t="array" ref="S7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>8</v>
      </c>
    </row>
    <row r="8" spans="2:19" x14ac:dyDescent="0.2">
      <c r="B8" s="4" t="s">
        <v>223</v>
      </c>
      <c r="C8" cm="1">
        <f t="array" ref="C8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>12</v>
      </c>
      <c r="D8" cm="1">
        <f t="array" ref="D8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>9</v>
      </c>
      <c r="E8" cm="1">
        <f t="array" ref="E8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>8</v>
      </c>
      <c r="F8" cm="1">
        <f t="array" ref="F8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>7</v>
      </c>
      <c r="G8" cm="1">
        <f t="array" ref="G8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>7</v>
      </c>
      <c r="H8" cm="1">
        <f t="array" ref="H8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>7</v>
      </c>
      <c r="I8" cm="1">
        <f t="array" ref="I8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>8</v>
      </c>
      <c r="J8" cm="1">
        <f t="array" ref="J8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>6</v>
      </c>
      <c r="K8" cm="1">
        <f t="array" ref="K8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>8</v>
      </c>
      <c r="L8" cm="1">
        <f t="array" ref="L8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>6</v>
      </c>
      <c r="M8" cm="1">
        <f t="array" ref="M8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>5</v>
      </c>
      <c r="N8" cm="1">
        <f t="array" ref="N8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>7</v>
      </c>
      <c r="O8" cm="1">
        <f t="array" ref="O8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>4</v>
      </c>
      <c r="P8" cm="1">
        <f t="array" ref="P8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>6</v>
      </c>
      <c r="Q8" cm="1">
        <f t="array" ref="Q8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>6</v>
      </c>
      <c r="R8" cm="1">
        <f t="array" ref="R8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>6</v>
      </c>
      <c r="S8" cm="1">
        <f t="array" ref="S8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>7</v>
      </c>
    </row>
    <row r="9" spans="2:19" x14ac:dyDescent="0.2">
      <c r="B9" s="4" t="s">
        <v>224</v>
      </c>
      <c r="C9" cm="1">
        <f t="array" ref="C9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>5</v>
      </c>
      <c r="D9" cm="1">
        <f t="array" ref="D9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>5</v>
      </c>
      <c r="E9" cm="1">
        <f t="array" ref="E9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>4</v>
      </c>
      <c r="F9" cm="1">
        <f t="array" ref="F9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>9</v>
      </c>
      <c r="G9" cm="1">
        <f t="array" ref="G9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>7</v>
      </c>
      <c r="H9" cm="1">
        <f t="array" ref="H9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>8</v>
      </c>
      <c r="I9" cm="1">
        <f t="array" ref="I9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>8</v>
      </c>
      <c r="J9" cm="1">
        <f t="array" ref="J9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>3</v>
      </c>
      <c r="K9" cm="1">
        <f t="array" ref="K9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>5</v>
      </c>
      <c r="L9" cm="1">
        <f t="array" ref="L9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>4</v>
      </c>
      <c r="M9" cm="1">
        <f t="array" ref="M9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>3</v>
      </c>
      <c r="N9" cm="1">
        <f t="array" ref="N9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>4</v>
      </c>
      <c r="O9" cm="1">
        <f t="array" ref="O9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>3</v>
      </c>
      <c r="P9" cm="1">
        <f t="array" ref="P9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>3</v>
      </c>
      <c r="Q9" cm="1">
        <f t="array" ref="Q9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>4</v>
      </c>
      <c r="R9" cm="1">
        <f t="array" ref="R9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>4</v>
      </c>
      <c r="S9" cm="1">
        <f t="array" ref="S9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>4</v>
      </c>
    </row>
    <row r="10" spans="2:19" x14ac:dyDescent="0.2">
      <c r="B10" s="4" t="s">
        <v>226</v>
      </c>
      <c r="C10" cm="1">
        <f t="array" ref="C10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>14</v>
      </c>
      <c r="D10" cm="1">
        <f t="array" ref="D10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>12</v>
      </c>
      <c r="E10" cm="1">
        <f t="array" ref="E10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>12</v>
      </c>
      <c r="F10" cm="1">
        <f t="array" ref="F10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>7</v>
      </c>
      <c r="G10" cm="1">
        <f t="array" ref="G10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>5</v>
      </c>
      <c r="H10" cm="1">
        <f t="array" ref="H10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>7</v>
      </c>
      <c r="I10" cm="1">
        <f t="array" ref="I10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>8</v>
      </c>
      <c r="J10" cm="1">
        <f t="array" ref="J10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>6</v>
      </c>
      <c r="K10" cm="1">
        <f t="array" ref="K10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>9</v>
      </c>
      <c r="L10" cm="1">
        <f t="array" ref="L10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>6</v>
      </c>
      <c r="M10" cm="1">
        <f t="array" ref="M10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>5</v>
      </c>
      <c r="N10" cm="1">
        <f t="array" ref="N10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>7</v>
      </c>
      <c r="O10" cm="1">
        <f t="array" ref="O10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>5</v>
      </c>
      <c r="P10" cm="1">
        <f t="array" ref="P10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>6</v>
      </c>
      <c r="Q10" cm="1">
        <f t="array" ref="Q10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>7</v>
      </c>
      <c r="R10" cm="1">
        <f t="array" ref="R10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>6</v>
      </c>
      <c r="S10" cm="1">
        <f t="array" ref="S10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>8</v>
      </c>
    </row>
    <row r="11" spans="2:19" x14ac:dyDescent="0.2">
      <c r="B11" s="4" t="s">
        <v>227</v>
      </c>
      <c r="C11" cm="1">
        <f t="array" ref="C11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>7</v>
      </c>
      <c r="D11" cm="1">
        <f t="array" ref="D11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>5</v>
      </c>
      <c r="E11" cm="1">
        <f t="array" ref="E11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>5</v>
      </c>
      <c r="F11" cm="1">
        <f t="array" ref="F11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>4</v>
      </c>
      <c r="G11" cm="1">
        <f t="array" ref="G11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>3</v>
      </c>
      <c r="H11" cm="1">
        <f t="array" ref="H11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>4</v>
      </c>
      <c r="I11" cm="1">
        <f t="array" ref="I11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>4</v>
      </c>
      <c r="J11" cm="1">
        <f t="array" ref="J11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>4</v>
      </c>
      <c r="K11" cm="1">
        <f t="array" ref="K11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>5</v>
      </c>
      <c r="L11" cm="1">
        <f t="array" ref="L11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>4</v>
      </c>
      <c r="M11" cm="1">
        <f t="array" ref="M11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>3</v>
      </c>
      <c r="N11" cm="1">
        <f t="array" ref="N11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>5</v>
      </c>
      <c r="O11" cm="1">
        <f t="array" ref="O11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>3</v>
      </c>
      <c r="P11" cm="1">
        <f t="array" ref="P11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>4</v>
      </c>
      <c r="Q11" cm="1">
        <f t="array" ref="Q11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>4</v>
      </c>
      <c r="R11" cm="1">
        <f t="array" ref="R11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>4</v>
      </c>
      <c r="S11" cm="1">
        <f t="array" ref="S11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>5</v>
      </c>
    </row>
    <row r="12" spans="2:19" x14ac:dyDescent="0.2">
      <c r="B12" s="4" t="s">
        <v>228</v>
      </c>
      <c r="C12" cm="1">
        <f t="array" ref="C12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>4</v>
      </c>
      <c r="D12" cm="1">
        <f t="array" ref="D12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>5</v>
      </c>
      <c r="E12" cm="1">
        <f t="array" ref="E12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>4</v>
      </c>
      <c r="F12" cm="1">
        <f t="array" ref="F12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>4</v>
      </c>
      <c r="G12" cm="1">
        <f t="array" ref="G12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>3</v>
      </c>
      <c r="H12" cm="1">
        <f t="array" ref="H12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>4</v>
      </c>
      <c r="I12" cm="1">
        <f t="array" ref="I12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>4</v>
      </c>
      <c r="J12" cm="1">
        <f t="array" ref="J12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>4</v>
      </c>
      <c r="K12" cm="1">
        <f t="array" ref="K12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>5</v>
      </c>
      <c r="L12" cm="1">
        <f t="array" ref="L12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>4</v>
      </c>
      <c r="M12" cm="1">
        <f t="array" ref="M12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>4</v>
      </c>
      <c r="N12" cm="1">
        <f t="array" ref="N12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>4</v>
      </c>
      <c r="O12" cm="1">
        <f t="array" ref="O12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>3</v>
      </c>
      <c r="P12" cm="1">
        <f t="array" ref="P12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>4</v>
      </c>
      <c r="Q12" cm="1">
        <f t="array" ref="Q12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>4</v>
      </c>
      <c r="R12" cm="1">
        <f t="array" ref="R12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>3</v>
      </c>
      <c r="S12" cm="1">
        <f t="array" ref="S12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>3</v>
      </c>
    </row>
    <row r="13" spans="2:19" x14ac:dyDescent="0.2">
      <c r="B13" s="4" t="s">
        <v>229</v>
      </c>
      <c r="C13" t="str" cm="1">
        <f t="array" ref="C13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/>
      </c>
      <c r="D13" t="str" cm="1">
        <f t="array" ref="D13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/>
      </c>
      <c r="E13" t="str" cm="1">
        <f t="array" ref="E13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/>
      </c>
      <c r="F13" t="str" cm="1">
        <f t="array" ref="F13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/>
      </c>
      <c r="G13" t="str" cm="1">
        <f t="array" ref="G13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/>
      </c>
      <c r="H13" t="str" cm="1">
        <f t="array" ref="H13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/>
      </c>
      <c r="I13" t="str" cm="1">
        <f t="array" ref="I13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/>
      </c>
      <c r="J13" t="str" cm="1">
        <f t="array" ref="J13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/>
      </c>
      <c r="K13" t="str" cm="1">
        <f t="array" ref="K13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/>
      </c>
      <c r="L13" t="str" cm="1">
        <f t="array" ref="L13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/>
      </c>
      <c r="M13" t="str" cm="1">
        <f t="array" ref="M13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/>
      </c>
      <c r="N13" t="str" cm="1">
        <f t="array" ref="N13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/>
      </c>
      <c r="O13" t="str" cm="1">
        <f t="array" ref="O13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/>
      </c>
      <c r="P13" t="str" cm="1">
        <f t="array" ref="P13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/>
      </c>
      <c r="Q13" t="str" cm="1">
        <f t="array" ref="Q13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/>
      </c>
      <c r="R13" t="str" cm="1">
        <f t="array" ref="R13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/>
      </c>
      <c r="S13" t="str" cm="1">
        <f t="array" ref="S13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/>
      </c>
    </row>
    <row r="14" spans="2:19" x14ac:dyDescent="0.2">
      <c r="B14" s="4" t="s">
        <v>230</v>
      </c>
      <c r="C14" cm="1">
        <f t="array" ref="C14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>4</v>
      </c>
      <c r="D14" cm="1">
        <f t="array" ref="D14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>3</v>
      </c>
      <c r="E14" cm="1">
        <f t="array" ref="E14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>4</v>
      </c>
      <c r="F14" cm="1">
        <f t="array" ref="F14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>4</v>
      </c>
      <c r="G14" cm="1">
        <f t="array" ref="G14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>3</v>
      </c>
      <c r="H14" cm="1">
        <f t="array" ref="H14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>4</v>
      </c>
      <c r="I14" cm="1">
        <f t="array" ref="I14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>4</v>
      </c>
      <c r="J14" cm="1">
        <f t="array" ref="J14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>4</v>
      </c>
      <c r="K14" cm="1">
        <f t="array" ref="K14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>5</v>
      </c>
      <c r="L14" cm="1">
        <f t="array" ref="L14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>4</v>
      </c>
      <c r="M14" cm="1">
        <f t="array" ref="M14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>3</v>
      </c>
      <c r="N14" cm="1">
        <f t="array" ref="N14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>5</v>
      </c>
      <c r="O14" cm="1">
        <f t="array" ref="O14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>3</v>
      </c>
      <c r="P14" cm="1">
        <f t="array" ref="P14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>4</v>
      </c>
      <c r="Q14" cm="1">
        <f t="array" ref="Q14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>5</v>
      </c>
      <c r="R14" cm="1">
        <f t="array" ref="R14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>4</v>
      </c>
      <c r="S14" cm="1">
        <f t="array" ref="S14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>5</v>
      </c>
    </row>
    <row r="15" spans="2:19" x14ac:dyDescent="0.2">
      <c r="B15" s="4" t="s">
        <v>233</v>
      </c>
      <c r="C15" cm="1">
        <f t="array" ref="C15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>10</v>
      </c>
      <c r="D15" cm="1">
        <f t="array" ref="D15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>13</v>
      </c>
      <c r="E15" cm="1">
        <f t="array" ref="E15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>10</v>
      </c>
      <c r="F15" cm="1">
        <f t="array" ref="F15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>11</v>
      </c>
      <c r="G15" cm="1">
        <f t="array" ref="G15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>4</v>
      </c>
      <c r="H15" cm="1">
        <f t="array" ref="H15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>6</v>
      </c>
      <c r="I15" cm="1">
        <f t="array" ref="I15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>10</v>
      </c>
      <c r="J15" cm="1">
        <f t="array" ref="J15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>5</v>
      </c>
      <c r="K15" cm="1">
        <f t="array" ref="K15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>10</v>
      </c>
      <c r="L15" cm="1">
        <f t="array" ref="L15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>8</v>
      </c>
      <c r="M15" cm="1">
        <f t="array" ref="M15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>6</v>
      </c>
      <c r="N15" cm="1">
        <f t="array" ref="N15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>9</v>
      </c>
      <c r="O15" cm="1">
        <f t="array" ref="O15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>5</v>
      </c>
      <c r="P15" cm="1">
        <f t="array" ref="P15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>7</v>
      </c>
      <c r="Q15" cm="1">
        <f t="array" ref="Q15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>9</v>
      </c>
      <c r="R15" cm="1">
        <f t="array" ref="R15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>7</v>
      </c>
      <c r="S15" cm="1">
        <f t="array" ref="S15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>10</v>
      </c>
    </row>
    <row r="16" spans="2:19" x14ac:dyDescent="0.2">
      <c r="B16" s="4" t="s">
        <v>234</v>
      </c>
      <c r="C16" cm="1">
        <f t="array" ref="C16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>14</v>
      </c>
      <c r="D16" cm="1">
        <f t="array" ref="D16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>22</v>
      </c>
      <c r="E16" cm="1">
        <f t="array" ref="E16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>17</v>
      </c>
      <c r="F16" cm="1">
        <f t="array" ref="F16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>6</v>
      </c>
      <c r="G16" cm="1">
        <f t="array" ref="G16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>4</v>
      </c>
      <c r="H16" cm="1">
        <f t="array" ref="H16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>5</v>
      </c>
      <c r="I16" cm="1">
        <f t="array" ref="I16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>8</v>
      </c>
      <c r="J16" cm="1">
        <f t="array" ref="J16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>8</v>
      </c>
      <c r="K16" cm="1">
        <f t="array" ref="K16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>9</v>
      </c>
      <c r="L16" cm="1">
        <f t="array" ref="L16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>6</v>
      </c>
      <c r="M16" cm="1">
        <f t="array" ref="M16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>6</v>
      </c>
      <c r="N16" cm="1">
        <f t="array" ref="N16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>7</v>
      </c>
      <c r="O16" cm="1">
        <f t="array" ref="O16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>4</v>
      </c>
      <c r="P16" cm="1">
        <f t="array" ref="P16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>5</v>
      </c>
      <c r="Q16" cm="1">
        <f t="array" ref="Q16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>6</v>
      </c>
      <c r="R16" cm="1">
        <f t="array" ref="R16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>6</v>
      </c>
      <c r="S16" cm="1">
        <f t="array" ref="S16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>8</v>
      </c>
    </row>
    <row r="17" spans="2:19" x14ac:dyDescent="0.2">
      <c r="B17" s="4" t="s">
        <v>183</v>
      </c>
      <c r="C17" t="str" cm="1">
        <f t="array" ref="C17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/>
      </c>
      <c r="D17" t="str" cm="1">
        <f t="array" ref="D17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/>
      </c>
      <c r="E17" t="str" cm="1">
        <f t="array" ref="E17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/>
      </c>
      <c r="F17" t="str" cm="1">
        <f t="array" ref="F17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/>
      </c>
      <c r="G17" t="str" cm="1">
        <f t="array" ref="G17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/>
      </c>
      <c r="H17" t="str" cm="1">
        <f t="array" ref="H17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/>
      </c>
      <c r="I17" t="str" cm="1">
        <f t="array" ref="I17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/>
      </c>
      <c r="J17" t="str" cm="1">
        <f t="array" ref="J17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/>
      </c>
      <c r="K17" t="str" cm="1">
        <f t="array" ref="K17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/>
      </c>
      <c r="L17" t="str" cm="1">
        <f t="array" ref="L17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/>
      </c>
      <c r="M17" t="str" cm="1">
        <f t="array" ref="M17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/>
      </c>
      <c r="N17" t="str" cm="1">
        <f t="array" ref="N17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/>
      </c>
      <c r="O17" t="str" cm="1">
        <f t="array" ref="O17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/>
      </c>
      <c r="P17" t="str" cm="1">
        <f t="array" ref="P17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/>
      </c>
      <c r="Q17" t="str" cm="1">
        <f t="array" ref="Q17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/>
      </c>
      <c r="R17" t="str" cm="1">
        <f t="array" ref="R17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/>
      </c>
      <c r="S17" t="str" cm="1">
        <f t="array" ref="S17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/>
      </c>
    </row>
    <row r="18" spans="2:19" x14ac:dyDescent="0.2">
      <c r="B18" s="4" t="s">
        <v>139</v>
      </c>
      <c r="C18" cm="1">
        <f t="array" ref="C18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>6</v>
      </c>
      <c r="D18" cm="1">
        <f t="array" ref="D18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>7</v>
      </c>
      <c r="E18" cm="1">
        <f t="array" ref="E18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>9</v>
      </c>
      <c r="F18" cm="1">
        <f t="array" ref="F18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>6</v>
      </c>
      <c r="G18" cm="1">
        <f t="array" ref="G18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>4</v>
      </c>
      <c r="H18" cm="1">
        <f t="array" ref="H18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>5</v>
      </c>
      <c r="I18" cm="1">
        <f t="array" ref="I18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>5</v>
      </c>
      <c r="J18" cm="1">
        <f t="array" ref="J18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>4</v>
      </c>
      <c r="K18" cm="1">
        <f t="array" ref="K18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>6</v>
      </c>
      <c r="L18" cm="1">
        <f t="array" ref="L18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>5</v>
      </c>
      <c r="M18" cm="1">
        <f t="array" ref="M18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>6</v>
      </c>
      <c r="N18" cm="1">
        <f t="array" ref="N18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>5</v>
      </c>
      <c r="O18" cm="1">
        <f t="array" ref="O18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>4</v>
      </c>
      <c r="P18" cm="1">
        <f t="array" ref="P18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>4</v>
      </c>
      <c r="Q18" cm="1">
        <f t="array" ref="Q18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>5</v>
      </c>
      <c r="R18" cm="1">
        <f t="array" ref="R18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>5</v>
      </c>
      <c r="S18" cm="1">
        <f t="array" ref="S18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>7</v>
      </c>
    </row>
    <row r="19" spans="2:19" x14ac:dyDescent="0.2">
      <c r="B19" s="4" t="s">
        <v>162</v>
      </c>
      <c r="C19" cm="1">
        <f t="array" ref="C19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>10</v>
      </c>
      <c r="D19" cm="1">
        <f t="array" ref="D19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>9</v>
      </c>
      <c r="E19" cm="1">
        <f t="array" ref="E19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>8</v>
      </c>
      <c r="F19" cm="1">
        <f t="array" ref="F19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>10</v>
      </c>
      <c r="G19" cm="1">
        <f t="array" ref="G19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>5</v>
      </c>
      <c r="H19" cm="1">
        <f t="array" ref="H19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>6</v>
      </c>
      <c r="I19" cm="1">
        <f t="array" ref="I19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>5</v>
      </c>
      <c r="J19" cm="1">
        <f t="array" ref="J19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>4</v>
      </c>
      <c r="K19" cm="1">
        <f t="array" ref="K19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>8</v>
      </c>
      <c r="L19" cm="1">
        <f t="array" ref="L19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>6</v>
      </c>
      <c r="M19" cm="1">
        <f t="array" ref="M19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>6</v>
      </c>
      <c r="N19" cm="1">
        <f t="array" ref="N19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>4</v>
      </c>
      <c r="O19" cm="1">
        <f t="array" ref="O19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>4</v>
      </c>
      <c r="P19" cm="1">
        <f t="array" ref="P19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>5</v>
      </c>
      <c r="Q19" cm="1">
        <f t="array" ref="Q19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>12</v>
      </c>
      <c r="R19" cm="1">
        <f t="array" ref="R19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>5</v>
      </c>
      <c r="S19" cm="1">
        <f t="array" ref="S19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>8</v>
      </c>
    </row>
    <row r="20" spans="2:19" x14ac:dyDescent="0.2">
      <c r="B20" s="4" t="s">
        <v>172</v>
      </c>
      <c r="C20" cm="1">
        <f t="array" ref="C20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>8</v>
      </c>
      <c r="D20" cm="1">
        <f t="array" ref="D20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>6</v>
      </c>
      <c r="E20" cm="1">
        <f t="array" ref="E20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>8</v>
      </c>
      <c r="F20" cm="1">
        <f t="array" ref="F20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>8</v>
      </c>
      <c r="G20" cm="1">
        <f t="array" ref="G20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>5</v>
      </c>
      <c r="H20" cm="1">
        <f t="array" ref="H20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>7</v>
      </c>
      <c r="I20" cm="1">
        <f t="array" ref="I20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>14</v>
      </c>
      <c r="J20" cm="1">
        <f t="array" ref="J20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>6</v>
      </c>
      <c r="K20" cm="1">
        <f t="array" ref="K20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>10</v>
      </c>
      <c r="L20" cm="1">
        <f t="array" ref="L20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>7</v>
      </c>
      <c r="M20" cm="1">
        <f t="array" ref="M20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>4</v>
      </c>
      <c r="N20" cm="1">
        <f t="array" ref="N20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>6</v>
      </c>
      <c r="O20" cm="1">
        <f t="array" ref="O20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>4</v>
      </c>
      <c r="P20" cm="1">
        <f t="array" ref="P20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>6</v>
      </c>
      <c r="Q20" cm="1">
        <f t="array" ref="Q20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>8</v>
      </c>
      <c r="R20" cm="1">
        <f t="array" ref="R20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>5</v>
      </c>
      <c r="S20" cm="1">
        <f t="array" ref="S20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>7</v>
      </c>
    </row>
    <row r="21" spans="2:19" x14ac:dyDescent="0.2">
      <c r="B21" s="4" t="s">
        <v>175</v>
      </c>
      <c r="C21" cm="1">
        <f t="array" ref="C21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>3</v>
      </c>
      <c r="D21" cm="1">
        <f t="array" ref="D21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>5</v>
      </c>
      <c r="E21" cm="1">
        <f t="array" ref="E21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>6</v>
      </c>
      <c r="F21" cm="1">
        <f t="array" ref="F21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>4</v>
      </c>
      <c r="G21" cm="1">
        <f t="array" ref="G21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>2</v>
      </c>
      <c r="H21" cm="1">
        <f t="array" ref="H21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>4</v>
      </c>
      <c r="I21" t="str" cm="1">
        <f t="array" ref="I21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/>
      </c>
      <c r="J21" t="str" cm="1">
        <f t="array" ref="J21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/>
      </c>
      <c r="K21" t="str" cm="1">
        <f t="array" ref="K21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/>
      </c>
      <c r="L21" t="str" cm="1">
        <f t="array" ref="L21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/>
      </c>
      <c r="M21" t="str" cm="1">
        <f t="array" ref="M21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/>
      </c>
      <c r="N21" t="str" cm="1">
        <f t="array" ref="N21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/>
      </c>
      <c r="O21" t="str" cm="1">
        <f t="array" ref="O21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/>
      </c>
      <c r="P21" t="str" cm="1">
        <f t="array" ref="P21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/>
      </c>
      <c r="Q21" t="str" cm="1">
        <f t="array" ref="Q21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/>
      </c>
      <c r="R21" t="str" cm="1">
        <f t="array" ref="R21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/>
      </c>
      <c r="S21" t="str" cm="1">
        <f t="array" ref="S21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/>
      </c>
    </row>
    <row r="22" spans="2:19" x14ac:dyDescent="0.2">
      <c r="B22" s="4" t="s">
        <v>180</v>
      </c>
      <c r="C22" cm="1">
        <f t="array" ref="C22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>25</v>
      </c>
      <c r="D22" cm="1">
        <f t="array" ref="D22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>6</v>
      </c>
      <c r="E22" cm="1">
        <f t="array" ref="E22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>5</v>
      </c>
      <c r="F22" cm="1">
        <f t="array" ref="F22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>5</v>
      </c>
      <c r="G22" cm="1">
        <f t="array" ref="G22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>3</v>
      </c>
      <c r="H22" cm="1">
        <f t="array" ref="H22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>4</v>
      </c>
      <c r="I22" cm="1">
        <f t="array" ref="I22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>18</v>
      </c>
      <c r="J22" cm="1">
        <f t="array" ref="J22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>4</v>
      </c>
      <c r="K22" cm="1">
        <f t="array" ref="K22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>5</v>
      </c>
      <c r="L22" cm="1">
        <f t="array" ref="L22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>5</v>
      </c>
      <c r="M22" cm="1">
        <f t="array" ref="M22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>3</v>
      </c>
      <c r="N22" cm="1">
        <f t="array" ref="N22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>5</v>
      </c>
      <c r="O22" cm="1">
        <f t="array" ref="O22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>7</v>
      </c>
      <c r="P22" cm="1">
        <f t="array" ref="P22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>4</v>
      </c>
      <c r="Q22" cm="1">
        <f t="array" ref="Q22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>5</v>
      </c>
      <c r="R22" cm="1">
        <f t="array" ref="R22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>4</v>
      </c>
      <c r="S22" cm="1">
        <f t="array" ref="S22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>5</v>
      </c>
    </row>
    <row r="23" spans="2:19" x14ac:dyDescent="0.2">
      <c r="B23" s="26" t="s">
        <v>187</v>
      </c>
      <c r="C23" cm="1">
        <f t="array" ref="C23">IF(VLOOKUP(SalvadorTimeTable[[#This Row],[token]:[token]],DB[],MATCH(SalvadorTimeTable[[#Headers],[tiempos_Salvador0]],DB[#Headers],0),0) = 0,"",VLOOKUP(SalvadorTimeTable[[#This Row],[token]:[token]],DB[],MATCH(SalvadorTimeTable[[#Headers],[tiempos_Salvador0]],DB[#Headers],0),0))</f>
        <v>7</v>
      </c>
      <c r="D23" cm="1">
        <f t="array" ref="D23">IF(VLOOKUP(SalvadorTimeTable[[#This Row],[token]:[token]],DB[],MATCH(SalvadorTimeTable[[#Headers],[tiempos_Salvador1]],DB[#Headers],0),0) = 0,"",VLOOKUP(SalvadorTimeTable[[#This Row],[token]:[token]],DB[],MATCH(SalvadorTimeTable[[#Headers],[tiempos_Salvador1]],DB[#Headers],0),0))</f>
        <v>6</v>
      </c>
      <c r="E23" cm="1">
        <f t="array" ref="E23">IF(VLOOKUP(SalvadorTimeTable[[#This Row],[token]:[token]],DB[],MATCH(SalvadorTimeTable[[#Headers],[tiempos_Salvador2]],DB[#Headers],0),0) = 0,"",VLOOKUP(SalvadorTimeTable[[#This Row],[token]:[token]],DB[],MATCH(SalvadorTimeTable[[#Headers],[tiempos_Salvador2]],DB[#Headers],0),0))</f>
        <v>5</v>
      </c>
      <c r="F23" cm="1">
        <f t="array" ref="F23">IF(VLOOKUP(SalvadorTimeTable[[#This Row],[token]:[token]],DB[],MATCH(SalvadorTimeTable[[#Headers],[tiempos_Salvador3]],DB[#Headers],0),0) = 0,"",VLOOKUP(SalvadorTimeTable[[#This Row],[token]:[token]],DB[],MATCH(SalvadorTimeTable[[#Headers],[tiempos_Salvador3]],DB[#Headers],0),0))</f>
        <v>5</v>
      </c>
      <c r="G23" cm="1">
        <f t="array" ref="G23">IF(VLOOKUP(SalvadorTimeTable[[#This Row],[token]:[token]],DB[],MATCH(SalvadorTimeTable[[#Headers],[tiempos_Salvador4]],DB[#Headers],0),0) = 0,"",VLOOKUP(SalvadorTimeTable[[#This Row],[token]:[token]],DB[],MATCH(SalvadorTimeTable[[#Headers],[tiempos_Salvador4]],DB[#Headers],0),0))</f>
        <v>4</v>
      </c>
      <c r="H23" cm="1">
        <f t="array" ref="H23">IF(VLOOKUP(SalvadorTimeTable[[#This Row],[token]:[token]],DB[],MATCH(SalvadorTimeTable[[#Headers],[tiempos_Salvador5]],DB[#Headers],0),0) = 0,"",VLOOKUP(SalvadorTimeTable[[#This Row],[token]:[token]],DB[],MATCH(SalvadorTimeTable[[#Headers],[tiempos_Salvador5]],DB[#Headers],0),0))</f>
        <v>4</v>
      </c>
      <c r="I23" cm="1">
        <f t="array" ref="I23">IF(VLOOKUP(SalvadorTimeTable[[#This Row],[token]:[token]],DB[],MATCH(SalvadorTimeTable[[#Headers],[tiempos_Salvador6]],DB[#Headers],0),0) = 0,"",VLOOKUP(SalvadorTimeTable[[#This Row],[token]:[token]],DB[],MATCH(SalvadorTimeTable[[#Headers],[tiempos_Salvador6]],DB[#Headers],0),0))</f>
        <v>5</v>
      </c>
      <c r="J23" cm="1">
        <f t="array" ref="J23">IF(VLOOKUP(SalvadorTimeTable[[#This Row],[token]:[token]],DB[],MATCH(SalvadorTimeTable[[#Headers],[tiempos_Salvador7]],DB[#Headers],0),0) = 0,"",VLOOKUP(SalvadorTimeTable[[#This Row],[token]:[token]],DB[],MATCH(SalvadorTimeTable[[#Headers],[tiempos_Salvador7]],DB[#Headers],0),0))</f>
        <v>4</v>
      </c>
      <c r="K23" cm="1">
        <f t="array" ref="K23">IF(VLOOKUP(SalvadorTimeTable[[#This Row],[token]:[token]],DB[],MATCH(SalvadorTimeTable[[#Headers],[tiempos_Salvador8]],DB[#Headers],0),0) = 0,"",VLOOKUP(SalvadorTimeTable[[#This Row],[token]:[token]],DB[],MATCH(SalvadorTimeTable[[#Headers],[tiempos_Salvador8]],DB[#Headers],0),0))</f>
        <v>5</v>
      </c>
      <c r="L23" cm="1">
        <f t="array" ref="L23">IF(VLOOKUP(SalvadorTimeTable[[#This Row],[token]:[token]],DB[],MATCH(SalvadorTimeTable[[#Headers],[tiempos_Salvador9]],DB[#Headers],0),0) = 0,"",VLOOKUP(SalvadorTimeTable[[#This Row],[token]:[token]],DB[],MATCH(SalvadorTimeTable[[#Headers],[tiempos_Salvador9]],DB[#Headers],0),0))</f>
        <v>4</v>
      </c>
      <c r="M23" cm="1">
        <f t="array" ref="M23">IF(VLOOKUP(SalvadorTimeTable[[#This Row],[token]:[token]],DB[],MATCH(SalvadorTimeTable[[#Headers],[tiempos_Salvador10]],DB[#Headers],0),0) = 0,"",VLOOKUP(SalvadorTimeTable[[#This Row],[token]:[token]],DB[],MATCH(SalvadorTimeTable[[#Headers],[tiempos_Salvador10]],DB[#Headers],0),0))</f>
        <v>4</v>
      </c>
      <c r="N23" cm="1">
        <f t="array" ref="N23">IF(VLOOKUP(SalvadorTimeTable[[#This Row],[token]:[token]],DB[],MATCH(SalvadorTimeTable[[#Headers],[tiempos_Salvador11]],DB[#Headers],0),0) = 0,"",VLOOKUP(SalvadorTimeTable[[#This Row],[token]:[token]],DB[],MATCH(SalvadorTimeTable[[#Headers],[tiempos_Salvador11]],DB[#Headers],0),0))</f>
        <v>5</v>
      </c>
      <c r="O23" cm="1">
        <f t="array" ref="O23">IF(VLOOKUP(SalvadorTimeTable[[#This Row],[token]:[token]],DB[],MATCH(SalvadorTimeTable[[#Headers],[tiempos_Salvador12]],DB[#Headers],0),0) = 0,"",VLOOKUP(SalvadorTimeTable[[#This Row],[token]:[token]],DB[],MATCH(SalvadorTimeTable[[#Headers],[tiempos_Salvador12]],DB[#Headers],0),0))</f>
        <v>4</v>
      </c>
      <c r="P23" cm="1">
        <f t="array" ref="P23">IF(VLOOKUP(SalvadorTimeTable[[#This Row],[token]:[token]],DB[],MATCH(SalvadorTimeTable[[#Headers],[tiempos_Salvador13]],DB[#Headers],0),0) = 0,"",VLOOKUP(SalvadorTimeTable[[#This Row],[token]:[token]],DB[],MATCH(SalvadorTimeTable[[#Headers],[tiempos_Salvador13]],DB[#Headers],0),0))</f>
        <v>4</v>
      </c>
      <c r="Q23" cm="1">
        <f t="array" ref="Q23">IF(VLOOKUP(SalvadorTimeTable[[#This Row],[token]:[token]],DB[],MATCH(SalvadorTimeTable[[#Headers],[tiempos_Salvador14]],DB[#Headers],0),0) = 0,"",VLOOKUP(SalvadorTimeTable[[#This Row],[token]:[token]],DB[],MATCH(SalvadorTimeTable[[#Headers],[tiempos_Salvador14]],DB[#Headers],0),0))</f>
        <v>4</v>
      </c>
      <c r="R23" cm="1">
        <f t="array" ref="R23">IF(VLOOKUP(SalvadorTimeTable[[#This Row],[token]:[token]],DB[],MATCH(SalvadorTimeTable[[#Headers],[tiempos_Salvador15]],DB[#Headers],0),0) = 0,"",VLOOKUP(SalvadorTimeTable[[#This Row],[token]:[token]],DB[],MATCH(SalvadorTimeTable[[#Headers],[tiempos_Salvador15]],DB[#Headers],0),0))</f>
        <v>4</v>
      </c>
      <c r="S23" cm="1">
        <f t="array" ref="S23">IF(VLOOKUP(SalvadorTimeTable[[#This Row],[token]:[token]],DB[],MATCH(SalvadorTimeTable[[#Headers],[tiempos_Salvador16]],DB[#Headers],0),0) = 0,"",VLOOKUP(SalvadorTimeTable[[#This Row],[token]:[token]],DB[],MATCH(SalvadorTimeTable[[#Headers],[tiempos_Salvador16]],DB[#Headers],0),0))</f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5AE7-4C84-8047-986C-82B8D456097E}">
  <dimension ref="B3:R23"/>
  <sheetViews>
    <sheetView topLeftCell="G1" workbookViewId="0">
      <selection activeCell="A4" sqref="A4:XFD4"/>
    </sheetView>
  </sheetViews>
  <sheetFormatPr baseColWidth="10" defaultRowHeight="16" x14ac:dyDescent="0.2"/>
  <cols>
    <col min="2" max="2" width="50.5" bestFit="1" customWidth="1"/>
    <col min="3" max="12" width="23.33203125" bestFit="1" customWidth="1"/>
    <col min="13" max="18" width="24.33203125" bestFit="1" customWidth="1"/>
  </cols>
  <sheetData>
    <row r="3" spans="2:18" x14ac:dyDescent="0.2">
      <c r="B3" s="7" t="s">
        <v>0</v>
      </c>
      <c r="C3" s="7" t="s">
        <v>46</v>
      </c>
      <c r="D3" s="7" t="s">
        <v>47</v>
      </c>
      <c r="E3" s="7" t="s">
        <v>48</v>
      </c>
      <c r="F3" s="7" t="s">
        <v>49</v>
      </c>
      <c r="G3" s="7" t="s">
        <v>50</v>
      </c>
      <c r="H3" s="7" t="s">
        <v>51</v>
      </c>
      <c r="I3" s="7" t="s">
        <v>123</v>
      </c>
      <c r="J3" s="7" t="s">
        <v>124</v>
      </c>
      <c r="K3" s="7" t="s">
        <v>125</v>
      </c>
      <c r="L3" s="7" t="s">
        <v>126</v>
      </c>
      <c r="M3" s="7" t="s">
        <v>127</v>
      </c>
      <c r="N3" s="7" t="s">
        <v>128</v>
      </c>
      <c r="O3" s="7" t="s">
        <v>129</v>
      </c>
      <c r="P3" s="7" t="s">
        <v>130</v>
      </c>
      <c r="Q3" s="7" t="s">
        <v>131</v>
      </c>
      <c r="R3" s="7" t="s">
        <v>132</v>
      </c>
    </row>
    <row r="4" spans="2:18" x14ac:dyDescent="0.2">
      <c r="B4" s="4" t="s">
        <v>218</v>
      </c>
      <c r="C4" cm="1">
        <f t="array" ref="C4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>5</v>
      </c>
      <c r="D4" cm="1">
        <f t="array" ref="D4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>10</v>
      </c>
      <c r="E4" cm="1">
        <f t="array" ref="E4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>10</v>
      </c>
      <c r="F4" cm="1">
        <f t="array" ref="F4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>8</v>
      </c>
      <c r="G4" cm="1">
        <f t="array" ref="G4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>10</v>
      </c>
      <c r="H4" cm="1">
        <f t="array" ref="H4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>5</v>
      </c>
      <c r="I4" cm="1">
        <f t="array" ref="I4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>13</v>
      </c>
      <c r="J4" cm="1">
        <f t="array" ref="J4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>5</v>
      </c>
      <c r="K4" cm="1">
        <f t="array" ref="K4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>9</v>
      </c>
      <c r="L4" cm="1">
        <f t="array" ref="L4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>9</v>
      </c>
      <c r="M4" cm="1">
        <f t="array" ref="M4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>5</v>
      </c>
      <c r="N4" cm="1">
        <f t="array" ref="N4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>7</v>
      </c>
      <c r="O4" cm="1">
        <f t="array" ref="O4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>9</v>
      </c>
      <c r="P4" cm="1">
        <f t="array" ref="P4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>15</v>
      </c>
      <c r="Q4" cm="1">
        <f t="array" ref="Q4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>13</v>
      </c>
      <c r="R4" cm="1">
        <f t="array" ref="R4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>6</v>
      </c>
    </row>
    <row r="5" spans="2:18" x14ac:dyDescent="0.2">
      <c r="B5" s="16" t="s">
        <v>220</v>
      </c>
      <c r="C5" cm="1">
        <f t="array" ref="C5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>7</v>
      </c>
      <c r="D5" cm="1">
        <f t="array" ref="D5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>10</v>
      </c>
      <c r="E5" cm="1">
        <f t="array" ref="E5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>14</v>
      </c>
      <c r="F5" cm="1">
        <f t="array" ref="F5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>8</v>
      </c>
      <c r="G5" cm="1">
        <f t="array" ref="G5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>9</v>
      </c>
      <c r="H5" cm="1">
        <f t="array" ref="H5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>4</v>
      </c>
      <c r="I5" cm="1">
        <f t="array" ref="I5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>15</v>
      </c>
      <c r="J5" cm="1">
        <f t="array" ref="J5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>6</v>
      </c>
      <c r="K5" cm="1">
        <f t="array" ref="K5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>11</v>
      </c>
      <c r="L5" cm="1">
        <f t="array" ref="L5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>9</v>
      </c>
      <c r="M5" cm="1">
        <f t="array" ref="M5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>7</v>
      </c>
      <c r="N5" cm="1">
        <f t="array" ref="N5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>11</v>
      </c>
      <c r="O5" cm="1">
        <f t="array" ref="O5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>8</v>
      </c>
      <c r="P5" cm="1">
        <f t="array" ref="P5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>19</v>
      </c>
      <c r="Q5" cm="1">
        <f t="array" ref="Q5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>14</v>
      </c>
      <c r="R5" cm="1">
        <f t="array" ref="R5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>7</v>
      </c>
    </row>
    <row r="6" spans="2:18" x14ac:dyDescent="0.2">
      <c r="B6" s="16" t="s">
        <v>221</v>
      </c>
      <c r="C6" cm="1">
        <f t="array" ref="C6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>5</v>
      </c>
      <c r="D6" cm="1">
        <f t="array" ref="D6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>9</v>
      </c>
      <c r="E6" cm="1">
        <f t="array" ref="E6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>10</v>
      </c>
      <c r="F6" cm="1">
        <f t="array" ref="F6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>9</v>
      </c>
      <c r="G6" cm="1">
        <f t="array" ref="G6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>15</v>
      </c>
      <c r="H6" cm="1">
        <f t="array" ref="H6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>3</v>
      </c>
      <c r="I6" cm="1">
        <f t="array" ref="I6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>9</v>
      </c>
      <c r="J6" cm="1">
        <f t="array" ref="J6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>3</v>
      </c>
      <c r="K6" cm="1">
        <f t="array" ref="K6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>5</v>
      </c>
      <c r="L6" cm="1">
        <f t="array" ref="L6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>6</v>
      </c>
      <c r="M6" cm="1">
        <f t="array" ref="M6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>3</v>
      </c>
      <c r="N6" cm="1">
        <f t="array" ref="N6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>5</v>
      </c>
      <c r="O6" cm="1">
        <f t="array" ref="O6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>5</v>
      </c>
      <c r="P6" cm="1">
        <f t="array" ref="P6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>8</v>
      </c>
      <c r="Q6" cm="1">
        <f t="array" ref="Q6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>12</v>
      </c>
      <c r="R6" cm="1">
        <f t="array" ref="R6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>7</v>
      </c>
    </row>
    <row r="7" spans="2:18" x14ac:dyDescent="0.2">
      <c r="B7" s="4" t="s">
        <v>222</v>
      </c>
      <c r="C7" cm="1">
        <f t="array" ref="C7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>5</v>
      </c>
      <c r="D7" cm="1">
        <f t="array" ref="D7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>6</v>
      </c>
      <c r="E7" cm="1">
        <f t="array" ref="E7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>15</v>
      </c>
      <c r="F7" cm="1">
        <f t="array" ref="F7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>6</v>
      </c>
      <c r="G7" cm="1">
        <f t="array" ref="G7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>4</v>
      </c>
      <c r="H7" cm="1">
        <f t="array" ref="H7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>3</v>
      </c>
      <c r="I7" cm="1">
        <f t="array" ref="I7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>5</v>
      </c>
      <c r="J7" cm="1">
        <f t="array" ref="J7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>4</v>
      </c>
      <c r="K7" cm="1">
        <f t="array" ref="K7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>3</v>
      </c>
      <c r="L7" cm="1">
        <f t="array" ref="L7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>6</v>
      </c>
      <c r="M7" cm="1">
        <f t="array" ref="M7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>4</v>
      </c>
      <c r="N7" cm="1">
        <f t="array" ref="N7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>5</v>
      </c>
      <c r="O7" cm="1">
        <f t="array" ref="O7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>5</v>
      </c>
      <c r="P7" cm="1">
        <f t="array" ref="P7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>3</v>
      </c>
      <c r="Q7" cm="1">
        <f t="array" ref="Q7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>2</v>
      </c>
      <c r="R7" cm="1">
        <f t="array" ref="R7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>4</v>
      </c>
    </row>
    <row r="8" spans="2:18" x14ac:dyDescent="0.2">
      <c r="B8" s="4" t="s">
        <v>223</v>
      </c>
      <c r="C8" cm="1">
        <f t="array" ref="C8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>5</v>
      </c>
      <c r="D8" cm="1">
        <f t="array" ref="D8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>7</v>
      </c>
      <c r="E8" cm="1">
        <f t="array" ref="E8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>9</v>
      </c>
      <c r="F8" cm="1">
        <f t="array" ref="F8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>7</v>
      </c>
      <c r="G8" cm="1">
        <f t="array" ref="G8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>8</v>
      </c>
      <c r="H8" cm="1">
        <f t="array" ref="H8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>3</v>
      </c>
      <c r="I8" cm="1">
        <f t="array" ref="I8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>10</v>
      </c>
      <c r="J8" cm="1">
        <f t="array" ref="J8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>4</v>
      </c>
      <c r="K8" cm="1">
        <f t="array" ref="K8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>8</v>
      </c>
      <c r="L8" cm="1">
        <f t="array" ref="L8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>9</v>
      </c>
      <c r="M8" cm="1">
        <f t="array" ref="M8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>7</v>
      </c>
      <c r="N8" cm="1">
        <f t="array" ref="N8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>6</v>
      </c>
      <c r="O8" cm="1">
        <f t="array" ref="O8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>8</v>
      </c>
      <c r="P8" cm="1">
        <f t="array" ref="P8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>5</v>
      </c>
      <c r="Q8" cm="1">
        <f t="array" ref="Q8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>8</v>
      </c>
      <c r="R8" cm="1">
        <f t="array" ref="R8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>2</v>
      </c>
    </row>
    <row r="9" spans="2:18" x14ac:dyDescent="0.2">
      <c r="B9" s="4" t="s">
        <v>224</v>
      </c>
      <c r="C9" cm="1">
        <f t="array" ref="C9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>3</v>
      </c>
      <c r="D9" cm="1">
        <f t="array" ref="D9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>9</v>
      </c>
      <c r="E9" cm="1">
        <f t="array" ref="E9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>8</v>
      </c>
      <c r="F9" cm="1">
        <f t="array" ref="F9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>4</v>
      </c>
      <c r="G9" cm="1">
        <f t="array" ref="G9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>13</v>
      </c>
      <c r="H9" cm="1">
        <f t="array" ref="H9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>14</v>
      </c>
      <c r="I9" cm="1">
        <f t="array" ref="I9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>12</v>
      </c>
      <c r="J9" cm="1">
        <f t="array" ref="J9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>11</v>
      </c>
      <c r="K9" cm="1">
        <f t="array" ref="K9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>10</v>
      </c>
      <c r="L9" cm="1">
        <f t="array" ref="L9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>10</v>
      </c>
      <c r="M9" cm="1">
        <f t="array" ref="M9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>9</v>
      </c>
      <c r="N9" cm="1">
        <f t="array" ref="N9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>12</v>
      </c>
      <c r="O9" cm="1">
        <f t="array" ref="O9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>9</v>
      </c>
      <c r="P9" cm="1">
        <f t="array" ref="P9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>9</v>
      </c>
      <c r="Q9" cm="1">
        <f t="array" ref="Q9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>10</v>
      </c>
      <c r="R9" cm="1">
        <f t="array" ref="R9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>7</v>
      </c>
    </row>
    <row r="10" spans="2:18" x14ac:dyDescent="0.2">
      <c r="B10" s="4" t="s">
        <v>226</v>
      </c>
      <c r="C10" cm="1">
        <f t="array" ref="C10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>5</v>
      </c>
      <c r="D10" cm="1">
        <f t="array" ref="D10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>8</v>
      </c>
      <c r="E10" cm="1">
        <f t="array" ref="E10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>9</v>
      </c>
      <c r="F10" cm="1">
        <f t="array" ref="F10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>8</v>
      </c>
      <c r="G10" cm="1">
        <f t="array" ref="G10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>6</v>
      </c>
      <c r="H10" cm="1">
        <f t="array" ref="H10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>3</v>
      </c>
      <c r="I10" cm="1">
        <f t="array" ref="I10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>21</v>
      </c>
      <c r="J10" cm="1">
        <f t="array" ref="J10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>4</v>
      </c>
      <c r="K10" cm="1">
        <f t="array" ref="K10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>4</v>
      </c>
      <c r="L10" cm="1">
        <f t="array" ref="L10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>2</v>
      </c>
      <c r="M10" cm="1">
        <f t="array" ref="M10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>2</v>
      </c>
      <c r="N10" cm="1">
        <f t="array" ref="N10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>2</v>
      </c>
      <c r="O10" t="str" cm="1">
        <f t="array" ref="O10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/>
      </c>
      <c r="P10" t="str" cm="1">
        <f t="array" ref="P10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/>
      </c>
      <c r="Q10" t="str" cm="1">
        <f t="array" ref="Q10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/>
      </c>
      <c r="R10" t="str" cm="1">
        <f t="array" ref="R10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/>
      </c>
    </row>
    <row r="11" spans="2:18" x14ac:dyDescent="0.2">
      <c r="B11" s="4" t="s">
        <v>227</v>
      </c>
      <c r="C11" cm="1">
        <f t="array" ref="C11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>3</v>
      </c>
      <c r="D11" cm="1">
        <f t="array" ref="D11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>5</v>
      </c>
      <c r="E11" cm="1">
        <f t="array" ref="E11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>6</v>
      </c>
      <c r="F11" cm="1">
        <f t="array" ref="F11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>5</v>
      </c>
      <c r="G11" cm="1">
        <f t="array" ref="G11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>5</v>
      </c>
      <c r="H11" cm="1">
        <f t="array" ref="H11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>2</v>
      </c>
      <c r="I11" cm="1">
        <f t="array" ref="I11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>10</v>
      </c>
      <c r="J11" cm="1">
        <f t="array" ref="J11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>3</v>
      </c>
      <c r="K11" cm="1">
        <f t="array" ref="K11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>5</v>
      </c>
      <c r="L11" cm="1">
        <f t="array" ref="L11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>4</v>
      </c>
      <c r="M11" cm="1">
        <f t="array" ref="M11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>3</v>
      </c>
      <c r="N11" cm="1">
        <f t="array" ref="N11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>4</v>
      </c>
      <c r="O11" cm="1">
        <f t="array" ref="O11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>7</v>
      </c>
      <c r="P11" cm="1">
        <f t="array" ref="P11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>7</v>
      </c>
      <c r="Q11" cm="1">
        <f t="array" ref="Q11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>6</v>
      </c>
      <c r="R11" cm="1">
        <f t="array" ref="R11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>3</v>
      </c>
    </row>
    <row r="12" spans="2:18" x14ac:dyDescent="0.2">
      <c r="B12" s="4" t="s">
        <v>228</v>
      </c>
      <c r="C12" cm="1">
        <f t="array" ref="C12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>3</v>
      </c>
      <c r="D12" cm="1">
        <f t="array" ref="D12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>3</v>
      </c>
      <c r="E12" cm="1">
        <f t="array" ref="E12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>4</v>
      </c>
      <c r="F12" cm="1">
        <f t="array" ref="F12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>4</v>
      </c>
      <c r="G12" cm="1">
        <f t="array" ref="G12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>3</v>
      </c>
      <c r="H12" cm="1">
        <f t="array" ref="H12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>2</v>
      </c>
      <c r="I12" cm="1">
        <f t="array" ref="I12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>15</v>
      </c>
      <c r="J12" cm="1">
        <f t="array" ref="J12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>2</v>
      </c>
      <c r="K12" cm="1">
        <f t="array" ref="K12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>5</v>
      </c>
      <c r="L12" cm="1">
        <f t="array" ref="L12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>11</v>
      </c>
      <c r="M12" cm="1">
        <f t="array" ref="M12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>3</v>
      </c>
      <c r="N12" cm="1">
        <f t="array" ref="N12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>4</v>
      </c>
      <c r="O12" cm="1">
        <f t="array" ref="O12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>7</v>
      </c>
      <c r="P12" cm="1">
        <f t="array" ref="P12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>10</v>
      </c>
      <c r="Q12" cm="1">
        <f t="array" ref="Q12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>6</v>
      </c>
      <c r="R12" cm="1">
        <f t="array" ref="R12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>3</v>
      </c>
    </row>
    <row r="13" spans="2:18" x14ac:dyDescent="0.2">
      <c r="B13" s="4" t="s">
        <v>229</v>
      </c>
      <c r="C13" t="str" cm="1">
        <f t="array" ref="C13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/>
      </c>
      <c r="D13" t="str" cm="1">
        <f t="array" ref="D13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/>
      </c>
      <c r="E13" t="str" cm="1">
        <f t="array" ref="E13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/>
      </c>
      <c r="F13" t="str" cm="1">
        <f t="array" ref="F13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/>
      </c>
      <c r="G13" t="str" cm="1">
        <f t="array" ref="G13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/>
      </c>
      <c r="H13" t="str" cm="1">
        <f t="array" ref="H13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/>
      </c>
      <c r="I13" t="str" cm="1">
        <f t="array" ref="I13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/>
      </c>
      <c r="J13" t="str" cm="1">
        <f t="array" ref="J13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/>
      </c>
      <c r="K13" t="str" cm="1">
        <f t="array" ref="K13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/>
      </c>
      <c r="L13" t="str" cm="1">
        <f t="array" ref="L13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/>
      </c>
      <c r="M13" t="str" cm="1">
        <f t="array" ref="M13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/>
      </c>
      <c r="N13" t="str" cm="1">
        <f t="array" ref="N13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/>
      </c>
      <c r="O13" t="str" cm="1">
        <f t="array" ref="O13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/>
      </c>
      <c r="P13" t="str" cm="1">
        <f t="array" ref="P13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/>
      </c>
      <c r="Q13" t="str" cm="1">
        <f t="array" ref="Q13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/>
      </c>
      <c r="R13" t="str" cm="1">
        <f t="array" ref="R13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/>
      </c>
    </row>
    <row r="14" spans="2:18" x14ac:dyDescent="0.2">
      <c r="B14" s="4" t="s">
        <v>230</v>
      </c>
      <c r="C14" cm="1">
        <f t="array" ref="C14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>3</v>
      </c>
      <c r="D14" cm="1">
        <f t="array" ref="D14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>7</v>
      </c>
      <c r="E14" cm="1">
        <f t="array" ref="E14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>6</v>
      </c>
      <c r="F14" cm="1">
        <f t="array" ref="F14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>5</v>
      </c>
      <c r="G14" cm="1">
        <f t="array" ref="G14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>7</v>
      </c>
      <c r="H14" cm="1">
        <f t="array" ref="H14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>3</v>
      </c>
      <c r="I14" cm="1">
        <f t="array" ref="I14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>9</v>
      </c>
      <c r="J14" cm="1">
        <f t="array" ref="J14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>3</v>
      </c>
      <c r="K14" cm="1">
        <f t="array" ref="K14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>5</v>
      </c>
      <c r="L14" cm="1">
        <f t="array" ref="L14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>5</v>
      </c>
      <c r="M14" cm="1">
        <f t="array" ref="M14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>3</v>
      </c>
      <c r="N14" cm="1">
        <f t="array" ref="N14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>4</v>
      </c>
      <c r="O14" cm="1">
        <f t="array" ref="O14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>5</v>
      </c>
      <c r="P14" cm="1">
        <f t="array" ref="P14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>7</v>
      </c>
      <c r="Q14" cm="1">
        <f t="array" ref="Q14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>6</v>
      </c>
      <c r="R14" cm="1">
        <f t="array" ref="R14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>4</v>
      </c>
    </row>
    <row r="15" spans="2:18" x14ac:dyDescent="0.2">
      <c r="B15" s="4" t="s">
        <v>233</v>
      </c>
      <c r="C15" cm="1">
        <f t="array" ref="C15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>6</v>
      </c>
      <c r="D15" cm="1">
        <f t="array" ref="D15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>15</v>
      </c>
      <c r="E15" cm="1">
        <f t="array" ref="E15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>12</v>
      </c>
      <c r="F15" cm="1">
        <f t="array" ref="F15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>13</v>
      </c>
      <c r="G15" cm="1">
        <f t="array" ref="G15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>9</v>
      </c>
      <c r="H15" cm="1">
        <f t="array" ref="H15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>5</v>
      </c>
      <c r="I15" cm="1">
        <f t="array" ref="I15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>13</v>
      </c>
      <c r="J15" cm="1">
        <f t="array" ref="J15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>4</v>
      </c>
      <c r="K15" cm="1">
        <f t="array" ref="K15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>7</v>
      </c>
      <c r="L15" cm="1">
        <f t="array" ref="L15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>9</v>
      </c>
      <c r="M15" cm="1">
        <f t="array" ref="M15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>6</v>
      </c>
      <c r="N15" cm="1">
        <f t="array" ref="N15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>8</v>
      </c>
      <c r="O15" cm="1">
        <f t="array" ref="O15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>10</v>
      </c>
      <c r="P15" cm="1">
        <f t="array" ref="P15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>10</v>
      </c>
      <c r="Q15" cm="1">
        <f t="array" ref="Q15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>12</v>
      </c>
      <c r="R15" cm="1">
        <f t="array" ref="R15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>9</v>
      </c>
    </row>
    <row r="16" spans="2:18" x14ac:dyDescent="0.2">
      <c r="B16" s="4" t="s">
        <v>234</v>
      </c>
      <c r="C16" cm="1">
        <f t="array" ref="C16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>7</v>
      </c>
      <c r="D16" cm="1">
        <f t="array" ref="D16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>6</v>
      </c>
      <c r="E16" cm="1">
        <f t="array" ref="E16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>8</v>
      </c>
      <c r="F16" cm="1">
        <f t="array" ref="F16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>8</v>
      </c>
      <c r="G16" cm="1">
        <f t="array" ref="G16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>5</v>
      </c>
      <c r="H16" cm="1">
        <f t="array" ref="H16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>10</v>
      </c>
      <c r="I16" cm="1">
        <f t="array" ref="I16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>14</v>
      </c>
      <c r="J16" cm="1">
        <f t="array" ref="J16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>4</v>
      </c>
      <c r="K16" cm="1">
        <f t="array" ref="K16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>9</v>
      </c>
      <c r="L16" cm="1">
        <f t="array" ref="L16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>11</v>
      </c>
      <c r="M16" cm="1">
        <f t="array" ref="M16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>5</v>
      </c>
      <c r="N16" cm="1">
        <f t="array" ref="N16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>7</v>
      </c>
      <c r="O16" cm="1">
        <f t="array" ref="O16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>9</v>
      </c>
      <c r="P16" cm="1">
        <f t="array" ref="P16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>22</v>
      </c>
      <c r="Q16" cm="1">
        <f t="array" ref="Q16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>12</v>
      </c>
      <c r="R16" cm="1">
        <f t="array" ref="R16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>6</v>
      </c>
    </row>
    <row r="17" spans="2:18" x14ac:dyDescent="0.2">
      <c r="B17" s="4" t="s">
        <v>183</v>
      </c>
      <c r="C17" t="str" cm="1">
        <f t="array" ref="C17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/>
      </c>
      <c r="D17" t="str" cm="1">
        <f t="array" ref="D17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/>
      </c>
      <c r="E17" t="str" cm="1">
        <f t="array" ref="E17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/>
      </c>
      <c r="F17" t="str" cm="1">
        <f t="array" ref="F17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/>
      </c>
      <c r="G17" t="str" cm="1">
        <f t="array" ref="G17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/>
      </c>
      <c r="H17" t="str" cm="1">
        <f t="array" ref="H17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/>
      </c>
      <c r="I17" t="str" cm="1">
        <f t="array" ref="I17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/>
      </c>
      <c r="J17" t="str" cm="1">
        <f t="array" ref="J17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/>
      </c>
      <c r="K17" t="str" cm="1">
        <f t="array" ref="K17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/>
      </c>
      <c r="L17" t="str" cm="1">
        <f t="array" ref="L17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/>
      </c>
      <c r="M17" t="str" cm="1">
        <f t="array" ref="M17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/>
      </c>
      <c r="N17" t="str" cm="1">
        <f t="array" ref="N17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/>
      </c>
      <c r="O17" t="str" cm="1">
        <f t="array" ref="O17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/>
      </c>
      <c r="P17" t="str" cm="1">
        <f t="array" ref="P17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/>
      </c>
      <c r="Q17" t="str" cm="1">
        <f t="array" ref="Q17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/>
      </c>
      <c r="R17" t="str" cm="1">
        <f t="array" ref="R17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/>
      </c>
    </row>
    <row r="18" spans="2:18" x14ac:dyDescent="0.2">
      <c r="B18" s="4" t="s">
        <v>139</v>
      </c>
      <c r="C18" cm="1">
        <f t="array" ref="C18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>18</v>
      </c>
      <c r="D18" cm="1">
        <f t="array" ref="D18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>5</v>
      </c>
      <c r="E18" cm="1">
        <f t="array" ref="E18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>11</v>
      </c>
      <c r="F18" cm="1">
        <f t="array" ref="F18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>5</v>
      </c>
      <c r="G18" cm="1">
        <f t="array" ref="G18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>3</v>
      </c>
      <c r="H18" cm="1">
        <f t="array" ref="H18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>3</v>
      </c>
      <c r="I18" cm="1">
        <f t="array" ref="I18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>12</v>
      </c>
      <c r="J18" cm="1">
        <f t="array" ref="J18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>3</v>
      </c>
      <c r="K18" cm="1">
        <f t="array" ref="K18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>6</v>
      </c>
      <c r="L18" cm="1">
        <f t="array" ref="L18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>7</v>
      </c>
      <c r="M18" cm="1">
        <f t="array" ref="M18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>4</v>
      </c>
      <c r="N18" cm="1">
        <f t="array" ref="N18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>5</v>
      </c>
      <c r="O18" cm="1">
        <f t="array" ref="O18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>6</v>
      </c>
      <c r="P18" cm="1">
        <f t="array" ref="P18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>7</v>
      </c>
      <c r="Q18" cm="1">
        <f t="array" ref="Q18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>6</v>
      </c>
      <c r="R18" cm="1">
        <f t="array" ref="R18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>4</v>
      </c>
    </row>
    <row r="19" spans="2:18" x14ac:dyDescent="0.2">
      <c r="B19" s="4" t="s">
        <v>162</v>
      </c>
      <c r="C19" cm="1">
        <f t="array" ref="C19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>8</v>
      </c>
      <c r="D19" cm="1">
        <f t="array" ref="D19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>17</v>
      </c>
      <c r="E19" cm="1">
        <f t="array" ref="E19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>14</v>
      </c>
      <c r="F19" cm="1">
        <f t="array" ref="F19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>6</v>
      </c>
      <c r="G19" cm="1">
        <f t="array" ref="G19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>16</v>
      </c>
      <c r="H19" cm="1">
        <f t="array" ref="H19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>2</v>
      </c>
      <c r="I19" cm="1">
        <f t="array" ref="I19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>18</v>
      </c>
      <c r="J19" cm="1">
        <f t="array" ref="J19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>5</v>
      </c>
      <c r="K19" cm="1">
        <f t="array" ref="K19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>10</v>
      </c>
      <c r="L19" cm="1">
        <f t="array" ref="L19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>5</v>
      </c>
      <c r="M19" cm="1">
        <f t="array" ref="M19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>7</v>
      </c>
      <c r="N19" cm="1">
        <f t="array" ref="N19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>9</v>
      </c>
      <c r="O19" cm="1">
        <f t="array" ref="O19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>8</v>
      </c>
      <c r="P19" cm="1">
        <f t="array" ref="P19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>11</v>
      </c>
      <c r="Q19" cm="1">
        <f t="array" ref="Q19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>9</v>
      </c>
      <c r="R19" cm="1">
        <f t="array" ref="R19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>5</v>
      </c>
    </row>
    <row r="20" spans="2:18" x14ac:dyDescent="0.2">
      <c r="B20" s="4" t="s">
        <v>172</v>
      </c>
      <c r="C20" cm="1">
        <f t="array" ref="C20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>5</v>
      </c>
      <c r="D20" cm="1">
        <f t="array" ref="D20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>4</v>
      </c>
      <c r="E20" cm="1">
        <f t="array" ref="E20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>9</v>
      </c>
      <c r="F20" cm="1">
        <f t="array" ref="F20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>7</v>
      </c>
      <c r="G20" cm="1">
        <f t="array" ref="G20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>7</v>
      </c>
      <c r="H20" cm="1">
        <f t="array" ref="H20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>3</v>
      </c>
      <c r="I20" cm="1">
        <f t="array" ref="I20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>7</v>
      </c>
      <c r="J20" cm="1">
        <f t="array" ref="J20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>3</v>
      </c>
      <c r="K20" cm="1">
        <f t="array" ref="K20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>6</v>
      </c>
      <c r="L20" cm="1">
        <f t="array" ref="L20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>6</v>
      </c>
      <c r="M20" cm="1">
        <f t="array" ref="M20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>5</v>
      </c>
      <c r="N20" cm="1">
        <f t="array" ref="N20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>6</v>
      </c>
      <c r="O20" cm="1">
        <f t="array" ref="O20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>6</v>
      </c>
      <c r="P20" cm="1">
        <f t="array" ref="P20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>7</v>
      </c>
      <c r="Q20" cm="1">
        <f t="array" ref="Q20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>9</v>
      </c>
      <c r="R20" cm="1">
        <f t="array" ref="R20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>6</v>
      </c>
    </row>
    <row r="21" spans="2:18" x14ac:dyDescent="0.2">
      <c r="B21" s="4" t="s">
        <v>175</v>
      </c>
      <c r="C21" cm="1">
        <f t="array" ref="C21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>3</v>
      </c>
      <c r="D21" cm="1">
        <f t="array" ref="D21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>3</v>
      </c>
      <c r="E21" cm="1">
        <f t="array" ref="E21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>4</v>
      </c>
      <c r="F21" cm="1">
        <f t="array" ref="F21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>5</v>
      </c>
      <c r="G21" cm="1">
        <f t="array" ref="G21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>3</v>
      </c>
      <c r="H21" cm="1">
        <f t="array" ref="H21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>2</v>
      </c>
      <c r="I21" t="str" cm="1">
        <f t="array" ref="I21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/>
      </c>
      <c r="J21" t="str" cm="1">
        <f t="array" ref="J21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/>
      </c>
      <c r="K21" t="str" cm="1">
        <f t="array" ref="K21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/>
      </c>
      <c r="L21" t="str" cm="1">
        <f t="array" ref="L21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/>
      </c>
      <c r="M21" t="str" cm="1">
        <f t="array" ref="M21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/>
      </c>
      <c r="N21" t="str" cm="1">
        <f t="array" ref="N21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/>
      </c>
      <c r="O21" t="str" cm="1">
        <f t="array" ref="O21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/>
      </c>
      <c r="P21" t="str" cm="1">
        <f t="array" ref="P21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/>
      </c>
      <c r="Q21" t="str" cm="1">
        <f t="array" ref="Q21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/>
      </c>
      <c r="R21" t="str" cm="1">
        <f t="array" ref="R21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/>
      </c>
    </row>
    <row r="22" spans="2:18" x14ac:dyDescent="0.2">
      <c r="B22" s="4" t="s">
        <v>180</v>
      </c>
      <c r="C22" cm="1">
        <f t="array" ref="C22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>5</v>
      </c>
      <c r="D22" cm="1">
        <f t="array" ref="D22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>5</v>
      </c>
      <c r="E22" cm="1">
        <f t="array" ref="E22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>6</v>
      </c>
      <c r="F22" cm="1">
        <f t="array" ref="F22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>5</v>
      </c>
      <c r="G22" cm="1">
        <f t="array" ref="G22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>7</v>
      </c>
      <c r="H22" cm="1">
        <f t="array" ref="H22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>3</v>
      </c>
      <c r="I22" t="str" cm="1">
        <f t="array" ref="I22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/>
      </c>
      <c r="J22" t="str" cm="1">
        <f t="array" ref="J22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/>
      </c>
      <c r="K22" t="str" cm="1">
        <f t="array" ref="K22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/>
      </c>
      <c r="L22" t="str" cm="1">
        <f t="array" ref="L22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/>
      </c>
      <c r="M22" t="str" cm="1">
        <f t="array" ref="M22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/>
      </c>
      <c r="N22" t="str" cm="1">
        <f t="array" ref="N22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/>
      </c>
      <c r="O22" t="str" cm="1">
        <f t="array" ref="O22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/>
      </c>
      <c r="P22" t="str" cm="1">
        <f t="array" ref="P22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/>
      </c>
      <c r="Q22" t="str" cm="1">
        <f t="array" ref="Q22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/>
      </c>
      <c r="R22" t="str" cm="1">
        <f t="array" ref="R22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/>
      </c>
    </row>
    <row r="23" spans="2:18" x14ac:dyDescent="0.2">
      <c r="B23" s="26" t="s">
        <v>187</v>
      </c>
      <c r="C23" cm="1">
        <f t="array" ref="C23">IF(VLOOKUP(EscalinataTimeTable[[#This Row],[token]:[token]],DB[],MATCH(EscalinataTimeTable[[#Headers],[tiempos_Escalinata0]],DB[#Headers],0),0) = 0,"",VLOOKUP(EscalinataTimeTable[[#This Row],[token]:[token]],DB[],MATCH(EscalinataTimeTable[[#Headers],[tiempos_Escalinata0]],DB[#Headers],0),0))</f>
        <v>2</v>
      </c>
      <c r="D23" cm="1">
        <f t="array" ref="D23">IF(VLOOKUP(EscalinataTimeTable[[#This Row],[token]:[token]],DB[],MATCH(EscalinataTimeTable[[#Headers],[tiempos_Escalinata1]],DB[#Headers],0),0) = 0,"",VLOOKUP(EscalinataTimeTable[[#This Row],[token]:[token]],DB[],MATCH(EscalinataTimeTable[[#Headers],[tiempos_Escalinata1]],DB[#Headers],0),0))</f>
        <v>4</v>
      </c>
      <c r="E23" cm="1">
        <f t="array" ref="E23">IF(VLOOKUP(EscalinataTimeTable[[#This Row],[token]:[token]],DB[],MATCH(EscalinataTimeTable[[#Headers],[tiempos_Escalinata2]],DB[#Headers],0),0) = 0,"",VLOOKUP(EscalinataTimeTable[[#This Row],[token]:[token]],DB[],MATCH(EscalinataTimeTable[[#Headers],[tiempos_Escalinata2]],DB[#Headers],0),0))</f>
        <v>5</v>
      </c>
      <c r="F23" cm="1">
        <f t="array" ref="F23">IF(VLOOKUP(EscalinataTimeTable[[#This Row],[token]:[token]],DB[],MATCH(EscalinataTimeTable[[#Headers],[tiempos_Escalinata3]],DB[#Headers],0),0) = 0,"",VLOOKUP(EscalinataTimeTable[[#This Row],[token]:[token]],DB[],MATCH(EscalinataTimeTable[[#Headers],[tiempos_Escalinata3]],DB[#Headers],0),0))</f>
        <v>12</v>
      </c>
      <c r="G23" cm="1">
        <f t="array" ref="G23">IF(VLOOKUP(EscalinataTimeTable[[#This Row],[token]:[token]],DB[],MATCH(EscalinataTimeTable[[#Headers],[tiempos_Escalinata4]],DB[#Headers],0),0) = 0,"",VLOOKUP(EscalinataTimeTable[[#This Row],[token]:[token]],DB[],MATCH(EscalinataTimeTable[[#Headers],[tiempos_Escalinata4]],DB[#Headers],0),0))</f>
        <v>4</v>
      </c>
      <c r="H23" cm="1">
        <f t="array" ref="H23">IF(VLOOKUP(EscalinataTimeTable[[#This Row],[token]:[token]],DB[],MATCH(EscalinataTimeTable[[#Headers],[tiempos_Escalinata5]],DB[#Headers],0),0) = 0,"",VLOOKUP(EscalinataTimeTable[[#This Row],[token]:[token]],DB[],MATCH(EscalinataTimeTable[[#Headers],[tiempos_Escalinata5]],DB[#Headers],0),0))</f>
        <v>3</v>
      </c>
      <c r="I23" cm="1">
        <f t="array" ref="I23">IF(VLOOKUP(EscalinataTimeTable[[#This Row],[token]:[token]],DB[],MATCH(EscalinataTimeTable[[#Headers],[tiempos_Escalinata6]],DB[#Headers],0),0) = 0,"",VLOOKUP(EscalinataTimeTable[[#This Row],[token]:[token]],DB[],MATCH(EscalinataTimeTable[[#Headers],[tiempos_Escalinata6]],DB[#Headers],0),0))</f>
        <v>6</v>
      </c>
      <c r="J23" cm="1">
        <f t="array" ref="J23">IF(VLOOKUP(EscalinataTimeTable[[#This Row],[token]:[token]],DB[],MATCH(EscalinataTimeTable[[#Headers],[tiempos_Escalinata7]],DB[#Headers],0),0) = 0,"",VLOOKUP(EscalinataTimeTable[[#This Row],[token]:[token]],DB[],MATCH(EscalinataTimeTable[[#Headers],[tiempos_Escalinata7]],DB[#Headers],0),0))</f>
        <v>3</v>
      </c>
      <c r="K23" cm="1">
        <f t="array" ref="K23">IF(VLOOKUP(EscalinataTimeTable[[#This Row],[token]:[token]],DB[],MATCH(EscalinataTimeTable[[#Headers],[tiempos_Escalinata8]],DB[#Headers],0),0) = 0,"",VLOOKUP(EscalinataTimeTable[[#This Row],[token]:[token]],DB[],MATCH(EscalinataTimeTable[[#Headers],[tiempos_Escalinata8]],DB[#Headers],0),0))</f>
        <v>6</v>
      </c>
      <c r="L23" cm="1">
        <f t="array" ref="L23">IF(VLOOKUP(EscalinataTimeTable[[#This Row],[token]:[token]],DB[],MATCH(EscalinataTimeTable[[#Headers],[tiempos_Escalinata9]],DB[#Headers],0),0) = 0,"",VLOOKUP(EscalinataTimeTable[[#This Row],[token]:[token]],DB[],MATCH(EscalinataTimeTable[[#Headers],[tiempos_Escalinata9]],DB[#Headers],0),0))</f>
        <v>5</v>
      </c>
      <c r="M23" cm="1">
        <f t="array" ref="M23">IF(VLOOKUP(EscalinataTimeTable[[#This Row],[token]:[token]],DB[],MATCH(EscalinataTimeTable[[#Headers],[tiempos_Escalinata10]],DB[#Headers],0),0) = 0,"",VLOOKUP(EscalinataTimeTable[[#This Row],[token]:[token]],DB[],MATCH(EscalinataTimeTable[[#Headers],[tiempos_Escalinata10]],DB[#Headers],0),0))</f>
        <v>4</v>
      </c>
      <c r="N23" cm="1">
        <f t="array" ref="N23">IF(VLOOKUP(EscalinataTimeTable[[#This Row],[token]:[token]],DB[],MATCH(EscalinataTimeTable[[#Headers],[tiempos_Escalinata11]],DB[#Headers],0),0) = 0,"",VLOOKUP(EscalinataTimeTable[[#This Row],[token]:[token]],DB[],MATCH(EscalinataTimeTable[[#Headers],[tiempos_Escalinata11]],DB[#Headers],0),0))</f>
        <v>4</v>
      </c>
      <c r="O23" cm="1">
        <f t="array" ref="O23">IF(VLOOKUP(EscalinataTimeTable[[#This Row],[token]:[token]],DB[],MATCH(EscalinataTimeTable[[#Headers],[tiempos_Escalinata12]],DB[#Headers],0),0) = 0,"",VLOOKUP(EscalinataTimeTable[[#This Row],[token]:[token]],DB[],MATCH(EscalinataTimeTable[[#Headers],[tiempos_Escalinata12]],DB[#Headers],0),0))</f>
        <v>6</v>
      </c>
      <c r="P23" cm="1">
        <f t="array" ref="P23">IF(VLOOKUP(EscalinataTimeTable[[#This Row],[token]:[token]],DB[],MATCH(EscalinataTimeTable[[#Headers],[tiempos_Escalinata13]],DB[#Headers],0),0) = 0,"",VLOOKUP(EscalinataTimeTable[[#This Row],[token]:[token]],DB[],MATCH(EscalinataTimeTable[[#Headers],[tiempos_Escalinata13]],DB[#Headers],0),0))</f>
        <v>7</v>
      </c>
      <c r="Q23" cm="1">
        <f t="array" ref="Q23">IF(VLOOKUP(EscalinataTimeTable[[#This Row],[token]:[token]],DB[],MATCH(EscalinataTimeTable[[#Headers],[tiempos_Escalinata14]],DB[#Headers],0),0) = 0,"",VLOOKUP(EscalinataTimeTable[[#This Row],[token]:[token]],DB[],MATCH(EscalinataTimeTable[[#Headers],[tiempos_Escalinata14]],DB[#Headers],0),0))</f>
        <v>9</v>
      </c>
      <c r="R23" cm="1">
        <f t="array" ref="R23">IF(VLOOKUP(EscalinataTimeTable[[#This Row],[token]:[token]],DB[],MATCH(EscalinataTimeTable[[#Headers],[tiempos_Escalinata15]],DB[#Headers],0),0) = 0,"",VLOOKUP(EscalinataTimeTable[[#This Row],[token]:[token]],DB[],MATCH(EscalinataTimeTable[[#Headers],[tiempos_Escalinata15]],DB[#Headers],0),0))</f>
        <v>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A001-2EEE-0848-8772-040F6EB03545}">
  <dimension ref="B3:O23"/>
  <sheetViews>
    <sheetView topLeftCell="E1" workbookViewId="0">
      <selection activeCell="F28" sqref="F28"/>
    </sheetView>
  </sheetViews>
  <sheetFormatPr baseColWidth="10" defaultRowHeight="16" x14ac:dyDescent="0.2"/>
  <cols>
    <col min="2" max="2" width="50.5" bestFit="1" customWidth="1"/>
    <col min="3" max="12" width="23" bestFit="1" customWidth="1"/>
    <col min="13" max="15" width="24" bestFit="1" customWidth="1"/>
  </cols>
  <sheetData>
    <row r="3" spans="2:15" x14ac:dyDescent="0.2">
      <c r="B3" s="7" t="s">
        <v>0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8" t="s">
        <v>61</v>
      </c>
      <c r="M3" s="8" t="s">
        <v>62</v>
      </c>
      <c r="N3" s="8" t="s">
        <v>63</v>
      </c>
      <c r="O3" s="8" t="s">
        <v>64</v>
      </c>
    </row>
    <row r="4" spans="2:15" x14ac:dyDescent="0.2">
      <c r="B4" s="6" t="s">
        <v>218</v>
      </c>
      <c r="C4" cm="1">
        <f t="array" ref="C4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>58</v>
      </c>
      <c r="D4" cm="1">
        <f t="array" ref="D4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>5</v>
      </c>
      <c r="E4" cm="1">
        <f t="array" ref="E4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>4</v>
      </c>
      <c r="F4" cm="1">
        <f t="array" ref="F4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>6</v>
      </c>
      <c r="G4" cm="1">
        <f t="array" ref="G4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>6</v>
      </c>
      <c r="H4" cm="1">
        <f t="array" ref="H4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>6</v>
      </c>
      <c r="I4" cm="1">
        <f t="array" ref="I4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>4</v>
      </c>
      <c r="J4" cm="1">
        <f t="array" ref="J4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>9</v>
      </c>
      <c r="K4" cm="1">
        <f t="array" ref="K4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>6</v>
      </c>
      <c r="L4" cm="1">
        <f t="array" ref="L4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>7</v>
      </c>
      <c r="M4" cm="1">
        <f t="array" ref="M4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>7</v>
      </c>
      <c r="N4" cm="1">
        <f t="array" ref="N4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>8</v>
      </c>
      <c r="O4" cm="1">
        <f t="array" ref="O4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>5</v>
      </c>
    </row>
    <row r="5" spans="2:15" x14ac:dyDescent="0.2">
      <c r="B5" s="20" t="s">
        <v>220</v>
      </c>
      <c r="C5" cm="1">
        <f t="array" ref="C5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>136</v>
      </c>
      <c r="D5" cm="1">
        <f t="array" ref="D5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>6</v>
      </c>
      <c r="E5" cm="1">
        <f t="array" ref="E5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>7</v>
      </c>
      <c r="F5" cm="1">
        <f t="array" ref="F5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>9</v>
      </c>
      <c r="G5" cm="1">
        <f t="array" ref="G5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>11</v>
      </c>
      <c r="H5" cm="1">
        <f t="array" ref="H5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>69</v>
      </c>
      <c r="I5" cm="1">
        <f t="array" ref="I5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>11</v>
      </c>
      <c r="J5" cm="1">
        <f t="array" ref="J5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>13</v>
      </c>
      <c r="K5" cm="1">
        <f t="array" ref="K5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>10</v>
      </c>
      <c r="L5" cm="1">
        <f t="array" ref="L5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>14</v>
      </c>
      <c r="M5" cm="1">
        <f t="array" ref="M5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>9</v>
      </c>
      <c r="N5" cm="1">
        <f t="array" ref="N5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>8</v>
      </c>
      <c r="O5" cm="1">
        <f t="array" ref="O5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>6</v>
      </c>
    </row>
    <row r="6" spans="2:15" x14ac:dyDescent="0.2">
      <c r="B6" s="20" t="s">
        <v>221</v>
      </c>
      <c r="C6" cm="1">
        <f t="array" ref="C6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>88</v>
      </c>
      <c r="D6" cm="1">
        <f t="array" ref="D6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>4</v>
      </c>
      <c r="E6" cm="1">
        <f t="array" ref="E6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>5</v>
      </c>
      <c r="F6" cm="1">
        <f t="array" ref="F6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>5</v>
      </c>
      <c r="G6" cm="1">
        <f t="array" ref="G6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>7</v>
      </c>
      <c r="H6" cm="1">
        <f t="array" ref="H6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>4</v>
      </c>
      <c r="I6" cm="1">
        <f t="array" ref="I6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>4</v>
      </c>
      <c r="J6" cm="1">
        <f t="array" ref="J6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>14</v>
      </c>
      <c r="K6" cm="1">
        <f t="array" ref="K6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>6</v>
      </c>
      <c r="L6" cm="1">
        <f t="array" ref="L6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>5</v>
      </c>
      <c r="M6" cm="1">
        <f t="array" ref="M6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>5</v>
      </c>
      <c r="N6" cm="1">
        <f t="array" ref="N6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>5</v>
      </c>
      <c r="O6" cm="1">
        <f t="array" ref="O6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>4</v>
      </c>
    </row>
    <row r="7" spans="2:15" x14ac:dyDescent="0.2">
      <c r="B7" s="6" t="s">
        <v>222</v>
      </c>
      <c r="C7" cm="1">
        <f t="array" ref="C7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>50</v>
      </c>
      <c r="D7" cm="1">
        <f t="array" ref="D7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>5</v>
      </c>
      <c r="E7" cm="1">
        <f t="array" ref="E7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>5</v>
      </c>
      <c r="F7" cm="1">
        <f t="array" ref="F7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>3</v>
      </c>
      <c r="G7" cm="1">
        <f t="array" ref="G7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>3</v>
      </c>
      <c r="H7" cm="1">
        <f t="array" ref="H7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>4</v>
      </c>
      <c r="I7" cm="1">
        <f t="array" ref="I7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>5</v>
      </c>
      <c r="J7" cm="1">
        <f t="array" ref="J7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>5</v>
      </c>
      <c r="K7" cm="1">
        <f t="array" ref="K7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>5</v>
      </c>
      <c r="L7" cm="1">
        <f t="array" ref="L7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>8</v>
      </c>
      <c r="M7" cm="1">
        <f t="array" ref="M7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>8</v>
      </c>
      <c r="N7" cm="1">
        <f t="array" ref="N7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>8</v>
      </c>
      <c r="O7" cm="1">
        <f t="array" ref="O7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>5</v>
      </c>
    </row>
    <row r="8" spans="2:15" x14ac:dyDescent="0.2">
      <c r="B8" s="6" t="s">
        <v>223</v>
      </c>
      <c r="C8" cm="1">
        <f t="array" ref="C8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>55</v>
      </c>
      <c r="D8" cm="1">
        <f t="array" ref="D8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>4</v>
      </c>
      <c r="E8" cm="1">
        <f t="array" ref="E8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>3</v>
      </c>
      <c r="F8" cm="1">
        <f t="array" ref="F8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>5</v>
      </c>
      <c r="G8" cm="1">
        <f t="array" ref="G8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>5</v>
      </c>
      <c r="H8" cm="1">
        <f t="array" ref="H8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>2</v>
      </c>
      <c r="I8" cm="1">
        <f t="array" ref="I8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>11</v>
      </c>
      <c r="J8" cm="1">
        <f t="array" ref="J8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>11</v>
      </c>
      <c r="K8" cm="1">
        <f t="array" ref="K8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>4</v>
      </c>
      <c r="L8" cm="1">
        <f t="array" ref="L8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>8</v>
      </c>
      <c r="M8" cm="1">
        <f t="array" ref="M8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>4</v>
      </c>
      <c r="N8" cm="1">
        <f t="array" ref="N8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>6</v>
      </c>
      <c r="O8" cm="1">
        <f t="array" ref="O8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>3</v>
      </c>
    </row>
    <row r="9" spans="2:15" x14ac:dyDescent="0.2">
      <c r="B9" s="6" t="s">
        <v>224</v>
      </c>
      <c r="C9" cm="1">
        <f t="array" ref="C9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>70</v>
      </c>
      <c r="D9" cm="1">
        <f t="array" ref="D9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>6</v>
      </c>
      <c r="E9" cm="1">
        <f t="array" ref="E9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>11</v>
      </c>
      <c r="F9" cm="1">
        <f t="array" ref="F9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>9</v>
      </c>
      <c r="G9" cm="1">
        <f t="array" ref="G9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>8</v>
      </c>
      <c r="H9" cm="1">
        <f t="array" ref="H9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>10</v>
      </c>
      <c r="I9" cm="1">
        <f t="array" ref="I9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>5</v>
      </c>
      <c r="J9" cm="1">
        <f t="array" ref="J9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>7</v>
      </c>
      <c r="K9" cm="1">
        <f t="array" ref="K9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>6</v>
      </c>
      <c r="L9" cm="1">
        <f t="array" ref="L9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>10</v>
      </c>
      <c r="M9" cm="1">
        <f t="array" ref="M9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>7</v>
      </c>
      <c r="N9" cm="1">
        <f t="array" ref="N9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>8</v>
      </c>
      <c r="O9" cm="1">
        <f t="array" ref="O9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>4</v>
      </c>
    </row>
    <row r="10" spans="2:15" x14ac:dyDescent="0.2">
      <c r="B10" s="6" t="s">
        <v>226</v>
      </c>
      <c r="C10" cm="1">
        <f t="array" ref="C10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>42</v>
      </c>
      <c r="D10" cm="1">
        <f t="array" ref="D10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>2</v>
      </c>
      <c r="E10" cm="1">
        <f t="array" ref="E10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>1</v>
      </c>
      <c r="F10" t="str" cm="1">
        <f t="array" ref="F10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/>
      </c>
      <c r="G10" t="str" cm="1">
        <f t="array" ref="G10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/>
      </c>
      <c r="H10" t="str" cm="1">
        <f t="array" ref="H10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/>
      </c>
      <c r="I10" t="str" cm="1">
        <f t="array" ref="I10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/>
      </c>
      <c r="J10" t="str" cm="1">
        <f t="array" ref="J10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/>
      </c>
      <c r="K10" t="str" cm="1">
        <f t="array" ref="K10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/>
      </c>
      <c r="L10" t="str" cm="1">
        <f t="array" ref="L10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/>
      </c>
      <c r="M10" t="str" cm="1">
        <f t="array" ref="M10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/>
      </c>
      <c r="N10" t="str" cm="1">
        <f t="array" ref="N10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/>
      </c>
      <c r="O10" t="str" cm="1">
        <f t="array" ref="O10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/>
      </c>
    </row>
    <row r="11" spans="2:15" x14ac:dyDescent="0.2">
      <c r="B11" s="6" t="s">
        <v>227</v>
      </c>
      <c r="C11" cm="1">
        <f t="array" ref="C11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>42</v>
      </c>
      <c r="D11" cm="1">
        <f t="array" ref="D11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>3</v>
      </c>
      <c r="E11" cm="1">
        <f t="array" ref="E11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>3</v>
      </c>
      <c r="F11" cm="1">
        <f t="array" ref="F11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>3</v>
      </c>
      <c r="G11" cm="1">
        <f t="array" ref="G11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>5</v>
      </c>
      <c r="H11" cm="1">
        <f t="array" ref="H11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>3</v>
      </c>
      <c r="I11" cm="1">
        <f t="array" ref="I11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>3</v>
      </c>
      <c r="J11" cm="1">
        <f t="array" ref="J11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>5</v>
      </c>
      <c r="K11" cm="1">
        <f t="array" ref="K11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>4</v>
      </c>
      <c r="L11" cm="1">
        <f t="array" ref="L11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>5</v>
      </c>
      <c r="M11" cm="1">
        <f t="array" ref="M11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>4</v>
      </c>
      <c r="N11" cm="1">
        <f t="array" ref="N11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>5</v>
      </c>
      <c r="O11" cm="1">
        <f t="array" ref="O11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>3</v>
      </c>
    </row>
    <row r="12" spans="2:15" x14ac:dyDescent="0.2">
      <c r="B12" s="6" t="s">
        <v>228</v>
      </c>
      <c r="C12" cm="1">
        <f t="array" ref="C12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>47</v>
      </c>
      <c r="D12" cm="1">
        <f t="array" ref="D12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>3</v>
      </c>
      <c r="E12" cm="1">
        <f t="array" ref="E12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>3</v>
      </c>
      <c r="F12" cm="1">
        <f t="array" ref="F12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>4</v>
      </c>
      <c r="G12" cm="1">
        <f t="array" ref="G12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>4</v>
      </c>
      <c r="H12" cm="1">
        <f t="array" ref="H12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>3</v>
      </c>
      <c r="I12" cm="1">
        <f t="array" ref="I12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>3</v>
      </c>
      <c r="J12" cm="1">
        <f t="array" ref="J12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>5</v>
      </c>
      <c r="K12" cm="1">
        <f t="array" ref="K12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>5</v>
      </c>
      <c r="L12" cm="1">
        <f t="array" ref="L12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>5</v>
      </c>
      <c r="M12" cm="1">
        <f t="array" ref="M12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>4</v>
      </c>
      <c r="N12" cm="1">
        <f t="array" ref="N12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>4</v>
      </c>
      <c r="O12" cm="1">
        <f t="array" ref="O12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>3</v>
      </c>
    </row>
    <row r="13" spans="2:15" x14ac:dyDescent="0.2">
      <c r="B13" s="6" t="s">
        <v>229</v>
      </c>
      <c r="C13" t="str" cm="1">
        <f t="array" ref="C13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/>
      </c>
      <c r="D13" t="str" cm="1">
        <f t="array" ref="D13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/>
      </c>
      <c r="E13" t="str" cm="1">
        <f t="array" ref="E13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/>
      </c>
      <c r="F13" t="str" cm="1">
        <f t="array" ref="F13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/>
      </c>
      <c r="G13" t="str" cm="1">
        <f t="array" ref="G13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/>
      </c>
      <c r="H13" t="str" cm="1">
        <f t="array" ref="H13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/>
      </c>
      <c r="I13" t="str" cm="1">
        <f t="array" ref="I13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/>
      </c>
      <c r="J13" t="str" cm="1">
        <f t="array" ref="J13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/>
      </c>
      <c r="K13" t="str" cm="1">
        <f t="array" ref="K13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/>
      </c>
      <c r="L13" t="str" cm="1">
        <f t="array" ref="L13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/>
      </c>
      <c r="M13" t="str" cm="1">
        <f t="array" ref="M13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/>
      </c>
      <c r="N13" t="str" cm="1">
        <f t="array" ref="N13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/>
      </c>
      <c r="O13" t="str" cm="1">
        <f t="array" ref="O13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/>
      </c>
    </row>
    <row r="14" spans="2:15" x14ac:dyDescent="0.2">
      <c r="B14" s="6" t="s">
        <v>230</v>
      </c>
      <c r="C14" cm="1">
        <f t="array" ref="C14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>41</v>
      </c>
      <c r="D14" cm="1">
        <f t="array" ref="D14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>4</v>
      </c>
      <c r="E14" cm="1">
        <f t="array" ref="E14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>3</v>
      </c>
      <c r="F14" cm="1">
        <f t="array" ref="F14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>4</v>
      </c>
      <c r="G14" cm="1">
        <f t="array" ref="G14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>5</v>
      </c>
      <c r="H14" cm="1">
        <f t="array" ref="H14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>4</v>
      </c>
      <c r="I14" cm="1">
        <f t="array" ref="I14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>3</v>
      </c>
      <c r="J14" cm="1">
        <f t="array" ref="J14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>7</v>
      </c>
      <c r="K14" cm="1">
        <f t="array" ref="K14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>4</v>
      </c>
      <c r="L14" cm="1">
        <f t="array" ref="L14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>5</v>
      </c>
      <c r="M14" cm="1">
        <f t="array" ref="M14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>4</v>
      </c>
      <c r="N14" cm="1">
        <f t="array" ref="N14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>4</v>
      </c>
      <c r="O14" cm="1">
        <f t="array" ref="O14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>3</v>
      </c>
    </row>
    <row r="15" spans="2:15" x14ac:dyDescent="0.2">
      <c r="B15" s="6" t="s">
        <v>233</v>
      </c>
      <c r="C15" cm="1">
        <f t="array" ref="C15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>57</v>
      </c>
      <c r="D15" cm="1">
        <f t="array" ref="D15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>5</v>
      </c>
      <c r="E15" cm="1">
        <f t="array" ref="E15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>4</v>
      </c>
      <c r="F15" cm="1">
        <f t="array" ref="F15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>7</v>
      </c>
      <c r="G15" cm="1">
        <f t="array" ref="G15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>8</v>
      </c>
      <c r="H15" cm="1">
        <f t="array" ref="H15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>6</v>
      </c>
      <c r="I15" cm="1">
        <f t="array" ref="I15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>5</v>
      </c>
      <c r="J15" cm="1">
        <f t="array" ref="J15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>10</v>
      </c>
      <c r="K15" cm="1">
        <f t="array" ref="K15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>7</v>
      </c>
      <c r="L15" cm="1">
        <f t="array" ref="L15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>10</v>
      </c>
      <c r="M15" cm="1">
        <f t="array" ref="M15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>8</v>
      </c>
      <c r="N15" cm="1">
        <f t="array" ref="N15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>8</v>
      </c>
      <c r="O15" cm="1">
        <f t="array" ref="O15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>4</v>
      </c>
    </row>
    <row r="16" spans="2:15" x14ac:dyDescent="0.2">
      <c r="B16" s="6" t="s">
        <v>234</v>
      </c>
      <c r="C16" cm="1">
        <f t="array" ref="C16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>117</v>
      </c>
      <c r="D16" cm="1">
        <f t="array" ref="D16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>12</v>
      </c>
      <c r="E16" cm="1">
        <f t="array" ref="E16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>12</v>
      </c>
      <c r="F16" cm="1">
        <f t="array" ref="F16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>11</v>
      </c>
      <c r="G16" cm="1">
        <f t="array" ref="G16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>9</v>
      </c>
      <c r="H16" cm="1">
        <f t="array" ref="H16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>8</v>
      </c>
      <c r="I16" cm="1">
        <f t="array" ref="I16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>6</v>
      </c>
      <c r="J16" cm="1">
        <f t="array" ref="J16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>11</v>
      </c>
      <c r="K16" cm="1">
        <f t="array" ref="K16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>8</v>
      </c>
      <c r="L16" cm="1">
        <f t="array" ref="L16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>31</v>
      </c>
      <c r="M16" cm="1">
        <f t="array" ref="M16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>8</v>
      </c>
      <c r="N16" cm="1">
        <f t="array" ref="N16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>21</v>
      </c>
      <c r="O16" cm="1">
        <f t="array" ref="O16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>11</v>
      </c>
    </row>
    <row r="17" spans="2:15" x14ac:dyDescent="0.2">
      <c r="B17" s="6" t="s">
        <v>183</v>
      </c>
      <c r="C17" t="str" cm="1">
        <f t="array" ref="C17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/>
      </c>
      <c r="D17" t="str" cm="1">
        <f t="array" ref="D17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/>
      </c>
      <c r="E17" t="str" cm="1">
        <f t="array" ref="E17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/>
      </c>
      <c r="F17" t="str" cm="1">
        <f t="array" ref="F17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/>
      </c>
      <c r="G17" t="str" cm="1">
        <f t="array" ref="G17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/>
      </c>
      <c r="H17" t="str" cm="1">
        <f t="array" ref="H17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/>
      </c>
      <c r="I17" t="str" cm="1">
        <f t="array" ref="I17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/>
      </c>
      <c r="J17" t="str" cm="1">
        <f t="array" ref="J17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/>
      </c>
      <c r="K17" t="str" cm="1">
        <f t="array" ref="K17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/>
      </c>
      <c r="L17" t="str" cm="1">
        <f t="array" ref="L17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/>
      </c>
      <c r="M17" t="str" cm="1">
        <f t="array" ref="M17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/>
      </c>
      <c r="N17" t="str" cm="1">
        <f t="array" ref="N17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/>
      </c>
      <c r="O17" t="str" cm="1">
        <f t="array" ref="O17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/>
      </c>
    </row>
    <row r="18" spans="2:15" x14ac:dyDescent="0.2">
      <c r="B18" s="6" t="s">
        <v>139</v>
      </c>
      <c r="C18" cm="1">
        <f t="array" ref="C18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>82</v>
      </c>
      <c r="D18" cm="1">
        <f t="array" ref="D18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>10</v>
      </c>
      <c r="E18" cm="1">
        <f t="array" ref="E18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>4</v>
      </c>
      <c r="F18" cm="1">
        <f t="array" ref="F18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>6</v>
      </c>
      <c r="G18" cm="1">
        <f t="array" ref="G18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>31</v>
      </c>
      <c r="H18" cm="1">
        <f t="array" ref="H18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>4</v>
      </c>
      <c r="I18" cm="1">
        <f t="array" ref="I18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>3</v>
      </c>
      <c r="J18" cm="1">
        <f t="array" ref="J18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>25</v>
      </c>
      <c r="K18" cm="1">
        <f t="array" ref="K18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>48</v>
      </c>
      <c r="L18" cm="1">
        <f t="array" ref="L18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>6</v>
      </c>
      <c r="M18" cm="1">
        <f t="array" ref="M18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>6</v>
      </c>
      <c r="N18" cm="1">
        <f t="array" ref="N18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>5</v>
      </c>
      <c r="O18" cm="1">
        <f t="array" ref="O18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>4</v>
      </c>
    </row>
    <row r="19" spans="2:15" x14ac:dyDescent="0.2">
      <c r="B19" s="6" t="s">
        <v>162</v>
      </c>
      <c r="C19" cm="1">
        <f t="array" ref="C19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>40</v>
      </c>
      <c r="D19" cm="1">
        <f t="array" ref="D19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>3</v>
      </c>
      <c r="E19" cm="1">
        <f t="array" ref="E19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>4</v>
      </c>
      <c r="F19" cm="1">
        <f t="array" ref="F19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>6</v>
      </c>
      <c r="G19" cm="1">
        <f t="array" ref="G19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>7</v>
      </c>
      <c r="H19" cm="1">
        <f t="array" ref="H19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>4</v>
      </c>
      <c r="I19" cm="1">
        <f t="array" ref="I19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>4</v>
      </c>
      <c r="J19" cm="1">
        <f t="array" ref="J19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>8</v>
      </c>
      <c r="K19" cm="1">
        <f t="array" ref="K19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>7</v>
      </c>
      <c r="L19" cm="1">
        <f t="array" ref="L19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>7</v>
      </c>
      <c r="M19" cm="1">
        <f t="array" ref="M19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>6</v>
      </c>
      <c r="N19" cm="1">
        <f t="array" ref="N19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>9</v>
      </c>
      <c r="O19" cm="1">
        <f t="array" ref="O19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>4</v>
      </c>
    </row>
    <row r="20" spans="2:15" x14ac:dyDescent="0.2">
      <c r="B20" s="6" t="s">
        <v>172</v>
      </c>
      <c r="C20" cm="1">
        <f t="array" ref="C20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>42</v>
      </c>
      <c r="D20" cm="1">
        <f t="array" ref="D20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>3</v>
      </c>
      <c r="E20" cm="1">
        <f t="array" ref="E20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>3</v>
      </c>
      <c r="F20" cm="1">
        <f t="array" ref="F20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>5</v>
      </c>
      <c r="G20" cm="1">
        <f t="array" ref="G20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>7</v>
      </c>
      <c r="H20" cm="1">
        <f t="array" ref="H20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>4</v>
      </c>
      <c r="I20" cm="1">
        <f t="array" ref="I20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>5</v>
      </c>
      <c r="J20" cm="1">
        <f t="array" ref="J20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>5</v>
      </c>
      <c r="K20" cm="1">
        <f t="array" ref="K20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>4</v>
      </c>
      <c r="L20" cm="1">
        <f t="array" ref="L20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>4</v>
      </c>
      <c r="M20" cm="1">
        <f t="array" ref="M20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>4</v>
      </c>
      <c r="N20" cm="1">
        <f t="array" ref="N20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>8</v>
      </c>
      <c r="O20" cm="1">
        <f t="array" ref="O20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>4</v>
      </c>
    </row>
    <row r="21" spans="2:15" x14ac:dyDescent="0.2">
      <c r="B21" s="6" t="s">
        <v>175</v>
      </c>
      <c r="C21" cm="1">
        <f t="array" ref="C21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>41</v>
      </c>
      <c r="D21" cm="1">
        <f t="array" ref="D21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>2</v>
      </c>
      <c r="E21" cm="1">
        <f t="array" ref="E21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>1</v>
      </c>
      <c r="F21" cm="1">
        <f t="array" ref="F21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>16</v>
      </c>
      <c r="G21" cm="1">
        <f t="array" ref="G21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>1</v>
      </c>
      <c r="H21" cm="1">
        <f t="array" ref="H21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>1</v>
      </c>
      <c r="I21" cm="1">
        <f t="array" ref="I21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>3</v>
      </c>
      <c r="J21" cm="1">
        <f t="array" ref="J21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>2</v>
      </c>
      <c r="K21" cm="1">
        <f t="array" ref="K21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>1</v>
      </c>
      <c r="L21" cm="1">
        <f t="array" ref="L21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>3</v>
      </c>
      <c r="M21" cm="1">
        <f t="array" ref="M21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>1</v>
      </c>
      <c r="N21" cm="1">
        <f t="array" ref="N21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>1</v>
      </c>
      <c r="O21" cm="1">
        <f t="array" ref="O21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>1</v>
      </c>
    </row>
    <row r="22" spans="2:15" x14ac:dyDescent="0.2">
      <c r="B22" s="6" t="s">
        <v>180</v>
      </c>
      <c r="C22" cm="1">
        <f t="array" ref="C22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>42</v>
      </c>
      <c r="D22" cm="1">
        <f t="array" ref="D22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>4</v>
      </c>
      <c r="E22" cm="1">
        <f t="array" ref="E22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>5</v>
      </c>
      <c r="F22" cm="1">
        <f t="array" ref="F22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>4</v>
      </c>
      <c r="G22" cm="1">
        <f t="array" ref="G22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>11</v>
      </c>
      <c r="H22" cm="1">
        <f t="array" ref="H22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>4</v>
      </c>
      <c r="I22" cm="1">
        <f t="array" ref="I22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>19</v>
      </c>
      <c r="J22" cm="1">
        <f t="array" ref="J22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>7</v>
      </c>
      <c r="K22" cm="1">
        <f t="array" ref="K22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>4</v>
      </c>
      <c r="L22" cm="1">
        <f t="array" ref="L22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>5</v>
      </c>
      <c r="M22" cm="1">
        <f t="array" ref="M22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>5</v>
      </c>
      <c r="N22" cm="1">
        <f t="array" ref="N22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>4</v>
      </c>
      <c r="O22" cm="1">
        <f t="array" ref="O22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>3</v>
      </c>
    </row>
    <row r="23" spans="2:15" x14ac:dyDescent="0.2">
      <c r="B23" s="27" t="s">
        <v>187</v>
      </c>
      <c r="C23" cm="1">
        <f t="array" ref="C23">IF(VLOOKUP(MausoleoTimeTable[[#This Row],[token]:[token]],DB[],MATCH(MausoleoTimeTable[[#Headers],[tiempos_Mausoleo0]],DB[#Headers],0),0) = 0,"",VLOOKUP(MausoleoTimeTable[[#This Row],[token]:[token]],DB[],MATCH(MausoleoTimeTable[[#Headers],[tiempos_Mausoleo0]],DB[#Headers],0),0))</f>
        <v>20</v>
      </c>
      <c r="D23" cm="1">
        <f t="array" ref="D23">IF(VLOOKUP(MausoleoTimeTable[[#This Row],[token]:[token]],DB[],MATCH(MausoleoTimeTable[[#Headers],[tiempos_Mausoleo1]],DB[#Headers],0),0) = 0,"",VLOOKUP(MausoleoTimeTable[[#This Row],[token]:[token]],DB[],MATCH(MausoleoTimeTable[[#Headers],[tiempos_Mausoleo1]],DB[#Headers],0),0))</f>
        <v>4</v>
      </c>
      <c r="E23" cm="1">
        <f t="array" ref="E23">IF(VLOOKUP(MausoleoTimeTable[[#This Row],[token]:[token]],DB[],MATCH(MausoleoTimeTable[[#Headers],[tiempos_Mausoleo2]],DB[#Headers],0),0) = 0,"",VLOOKUP(MausoleoTimeTable[[#This Row],[token]:[token]],DB[],MATCH(MausoleoTimeTable[[#Headers],[tiempos_Mausoleo2]],DB[#Headers],0),0))</f>
        <v>6</v>
      </c>
      <c r="F23" cm="1">
        <f t="array" ref="F23">IF(VLOOKUP(MausoleoTimeTable[[#This Row],[token]:[token]],DB[],MATCH(MausoleoTimeTable[[#Headers],[tiempos_Mausoleo3]],DB[#Headers],0),0) = 0,"",VLOOKUP(MausoleoTimeTable[[#This Row],[token]:[token]],DB[],MATCH(MausoleoTimeTable[[#Headers],[tiempos_Mausoleo3]],DB[#Headers],0),0))</f>
        <v>5</v>
      </c>
      <c r="G23" cm="1">
        <f t="array" ref="G23">IF(VLOOKUP(MausoleoTimeTable[[#This Row],[token]:[token]],DB[],MATCH(MausoleoTimeTable[[#Headers],[tiempos_Mausoleo4]],DB[#Headers],0),0) = 0,"",VLOOKUP(MausoleoTimeTable[[#This Row],[token]:[token]],DB[],MATCH(MausoleoTimeTable[[#Headers],[tiempos_Mausoleo4]],DB[#Headers],0),0))</f>
        <v>5</v>
      </c>
      <c r="H23" cm="1">
        <f t="array" ref="H23">IF(VLOOKUP(MausoleoTimeTable[[#This Row],[token]:[token]],DB[],MATCH(MausoleoTimeTable[[#Headers],[tiempos_Mausoleo5]],DB[#Headers],0),0) = 0,"",VLOOKUP(MausoleoTimeTable[[#This Row],[token]:[token]],DB[],MATCH(MausoleoTimeTable[[#Headers],[tiempos_Mausoleo5]],DB[#Headers],0),0))</f>
        <v>4</v>
      </c>
      <c r="I23" cm="1">
        <f t="array" ref="I23">IF(VLOOKUP(MausoleoTimeTable[[#This Row],[token]:[token]],DB[],MATCH(MausoleoTimeTable[[#Headers],[tiempos_Mausoleo6]],DB[#Headers],0),0) = 0,"",VLOOKUP(MausoleoTimeTable[[#This Row],[token]:[token]],DB[],MATCH(MausoleoTimeTable[[#Headers],[tiempos_Mausoleo6]],DB[#Headers],0),0))</f>
        <v>3</v>
      </c>
      <c r="J23" cm="1">
        <f t="array" ref="J23">IF(VLOOKUP(MausoleoTimeTable[[#This Row],[token]:[token]],DB[],MATCH(MausoleoTimeTable[[#Headers],[tiempos_Mausoleo7]],DB[#Headers],0),0) = 0,"",VLOOKUP(MausoleoTimeTable[[#This Row],[token]:[token]],DB[],MATCH(MausoleoTimeTable[[#Headers],[tiempos_Mausoleo7]],DB[#Headers],0),0))</f>
        <v>7</v>
      </c>
      <c r="K23" cm="1">
        <f t="array" ref="K23">IF(VLOOKUP(MausoleoTimeTable[[#This Row],[token]:[token]],DB[],MATCH(MausoleoTimeTable[[#Headers],[tiempos_Mausoleo8]],DB[#Headers],0),0) = 0,"",VLOOKUP(MausoleoTimeTable[[#This Row],[token]:[token]],DB[],MATCH(MausoleoTimeTable[[#Headers],[tiempos_Mausoleo8]],DB[#Headers],0),0))</f>
        <v>5</v>
      </c>
      <c r="L23" cm="1">
        <f t="array" ref="L23">IF(VLOOKUP(MausoleoTimeTable[[#This Row],[token]:[token]],DB[],MATCH(MausoleoTimeTable[[#Headers],[tiempos_Mausoleo9]],DB[#Headers],0),0) = 0,"",VLOOKUP(MausoleoTimeTable[[#This Row],[token]:[token]],DB[],MATCH(MausoleoTimeTable[[#Headers],[tiempos_Mausoleo9]],DB[#Headers],0),0))</f>
        <v>5</v>
      </c>
      <c r="M23" cm="1">
        <f t="array" ref="M23">IF(VLOOKUP(MausoleoTimeTable[[#This Row],[token]:[token]],DB[],MATCH(MausoleoTimeTable[[#Headers],[tiempos_Mausoleo10]],DB[#Headers],0),0) = 0,"",VLOOKUP(MausoleoTimeTable[[#This Row],[token]:[token]],DB[],MATCH(MausoleoTimeTable[[#Headers],[tiempos_Mausoleo10]],DB[#Headers],0),0))</f>
        <v>5</v>
      </c>
      <c r="N23" cm="1">
        <f t="array" ref="N23">IF(VLOOKUP(MausoleoTimeTable[[#This Row],[token]:[token]],DB[],MATCH(MausoleoTimeTable[[#Headers],[tiempos_Mausoleo11]],DB[#Headers],0),0) = 0,"",VLOOKUP(MausoleoTimeTable[[#This Row],[token]:[token]],DB[],MATCH(MausoleoTimeTable[[#Headers],[tiempos_Mausoleo11]],DB[#Headers],0),0))</f>
        <v>5</v>
      </c>
      <c r="O23" cm="1">
        <f t="array" ref="O23">IF(VLOOKUP(MausoleoTimeTable[[#This Row],[token]:[token]],DB[],MATCH(MausoleoTimeTable[[#Headers],[tiempos_Mausoleo12]],DB[#Headers],0),0) = 0,"",VLOOKUP(MausoleoTimeTable[[#This Row],[token]:[token]],DB[],MATCH(MausoleoTimeTable[[#Headers],[tiempos_Mausoleo12]],DB[#Headers],0),0))</f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Main</vt:lpstr>
      <vt:lpstr>Datos principales</vt:lpstr>
      <vt:lpstr>Datos aburrimiento</vt:lpstr>
      <vt:lpstr>Aburrimiento</vt:lpstr>
      <vt:lpstr>Caracterización</vt:lpstr>
      <vt:lpstr>Tiempos torico</vt:lpstr>
      <vt:lpstr>Tiempos catedral</vt:lpstr>
      <vt:lpstr>Tiempos SanMartin</vt:lpstr>
      <vt:lpstr>Tiempos Salvador</vt:lpstr>
      <vt:lpstr>Tiempos Escalinata</vt:lpstr>
      <vt:lpstr>Tiempos Mausoleo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2022-09-19T10:12:09Z</dcterms:created>
  <dcterms:modified xsi:type="dcterms:W3CDTF">2022-09-30T13:06:00Z</dcterms:modified>
</cp:coreProperties>
</file>