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E:\Development\DevWorkSpace\gitRepos\GrassRootsCrypto\GrassRootsCrypto.github.io\assets\documents\"/>
    </mc:Choice>
  </mc:AlternateContent>
  <xr:revisionPtr revIDLastSave="0" documentId="13_ncr:1_{D707D74F-AA22-4B40-A024-A1432C49257E}" xr6:coauthVersionLast="47" xr6:coauthVersionMax="47" xr10:uidLastSave="{00000000-0000-0000-0000-000000000000}"/>
  <bookViews>
    <workbookView xWindow="-108" yWindow="-108" windowWidth="46296" windowHeight="25536" xr2:uid="{00000000-000D-0000-FFFF-FFFF00000000}"/>
  </bookViews>
  <sheets>
    <sheet name="Sym, Asym, IL &amp; ILP" sheetId="2" r:id="rId1"/>
  </sheets>
  <calcPr calcId="181029"/>
</workbook>
</file>

<file path=xl/calcChain.xml><?xml version="1.0" encoding="utf-8"?>
<calcChain xmlns="http://schemas.openxmlformats.org/spreadsheetml/2006/main">
  <c r="B60" i="2" l="1"/>
  <c r="D51" i="2"/>
  <c r="B51" i="2"/>
  <c r="C49" i="2"/>
  <c r="C47" i="2"/>
  <c r="B40" i="2"/>
  <c r="D32" i="2"/>
  <c r="D35" i="2" s="1"/>
  <c r="C15" i="2"/>
  <c r="C56" i="2" l="1"/>
  <c r="B56" i="2"/>
  <c r="H47" i="2"/>
  <c r="I47" i="2" s="1"/>
  <c r="K47" i="2" s="1"/>
  <c r="L47" i="2" s="1"/>
  <c r="G47" i="2"/>
  <c r="I44" i="2"/>
  <c r="I40" i="2"/>
  <c r="B25" i="2"/>
  <c r="L35" i="2" s="1"/>
  <c r="I20" i="2"/>
  <c r="I18" i="2"/>
  <c r="D18" i="2"/>
  <c r="B17" i="2"/>
  <c r="B18" i="2" s="1"/>
  <c r="B20" i="2" s="1"/>
  <c r="G15" i="2"/>
  <c r="I15" i="2" s="1"/>
  <c r="J15" i="2" s="1"/>
  <c r="F15" i="2"/>
  <c r="I10" i="2"/>
  <c r="D9" i="2"/>
  <c r="D6" i="2"/>
  <c r="E5" i="2"/>
  <c r="B5" i="2"/>
  <c r="B6" i="2" s="1"/>
  <c r="I4" i="2"/>
  <c r="K4" i="2" s="1"/>
  <c r="F4" i="2"/>
  <c r="C4" i="2"/>
  <c r="C25" i="2" l="1"/>
  <c r="L33" i="2"/>
  <c r="B32" i="2"/>
  <c r="G25" i="2"/>
  <c r="I25" i="2" s="1"/>
  <c r="K25" i="2" s="1"/>
  <c r="K18" i="2"/>
  <c r="G28" i="2"/>
  <c r="K15" i="2"/>
  <c r="L15" i="2" s="1"/>
  <c r="K49" i="2"/>
  <c r="F6" i="2"/>
  <c r="C6" i="2"/>
  <c r="D7" i="2"/>
  <c r="D8" i="2" s="1"/>
  <c r="D19" i="2"/>
  <c r="D20" i="2" s="1"/>
  <c r="C18" i="2"/>
  <c r="B8" i="2"/>
  <c r="J20" i="2"/>
  <c r="J4" i="2"/>
  <c r="L4" i="2" s="1"/>
  <c r="J18" i="2"/>
  <c r="I28" i="2"/>
  <c r="K51" i="2"/>
  <c r="E17" i="2"/>
  <c r="F25" i="2"/>
  <c r="B33" i="2" l="1"/>
  <c r="L34" i="2"/>
  <c r="G49" i="2"/>
  <c r="H49" i="2"/>
  <c r="I49" i="2" s="1"/>
  <c r="L49" i="2" s="1"/>
  <c r="J25" i="2"/>
  <c r="L25" i="2" s="1"/>
  <c r="K20" i="2"/>
  <c r="C20" i="2"/>
  <c r="F20" i="2"/>
  <c r="F8" i="2"/>
  <c r="B10" i="2"/>
  <c r="D10" i="2"/>
  <c r="C8" i="2"/>
  <c r="B35" i="2" l="1"/>
  <c r="L20" i="2"/>
  <c r="E47" i="2"/>
  <c r="B28" i="2"/>
  <c r="F10" i="2"/>
  <c r="J10" i="2"/>
  <c r="D28" i="2"/>
  <c r="K10" i="2"/>
  <c r="C10" i="2"/>
  <c r="L10" i="2" l="1"/>
  <c r="F28" i="2"/>
  <c r="J28" i="2"/>
  <c r="C28" i="2"/>
  <c r="D40" i="2"/>
  <c r="K28" i="2"/>
  <c r="L28" i="2" l="1"/>
  <c r="F40" i="2"/>
  <c r="J40" i="2"/>
  <c r="K40" i="2"/>
  <c r="C40" i="2"/>
  <c r="L40" i="2" l="1"/>
  <c r="E56" i="2"/>
  <c r="G51" i="2"/>
  <c r="C51" i="2"/>
  <c r="E60" i="2"/>
  <c r="H51" i="2"/>
  <c r="D56" i="2"/>
  <c r="B61" i="2" s="1"/>
  <c r="I51" i="2" l="1"/>
  <c r="L51" i="2" s="1"/>
  <c r="G56" i="2"/>
  <c r="J62" i="2" s="1"/>
  <c r="B43" i="2"/>
  <c r="J63" i="2" l="1"/>
  <c r="J64" i="2" s="1"/>
  <c r="H56" i="2"/>
  <c r="J56" i="2" l="1"/>
  <c r="K56" i="2" s="1"/>
  <c r="B41" i="2"/>
  <c r="D41" i="2" l="1"/>
  <c r="B42" i="2"/>
  <c r="B44" i="2" s="1"/>
  <c r="J44" i="2" s="1"/>
  <c r="E61" i="2" l="1"/>
  <c r="D42" i="2"/>
  <c r="C42" i="2" l="1"/>
  <c r="D43" i="2"/>
  <c r="E62" i="2" s="1"/>
  <c r="E63" i="2" s="1"/>
  <c r="E66" i="2" l="1"/>
  <c r="E69" i="2"/>
  <c r="D44" i="2"/>
  <c r="K44" i="2" l="1"/>
  <c r="C44" i="2"/>
  <c r="L44" i="2" l="1"/>
</calcChain>
</file>

<file path=xl/sharedStrings.xml><?xml version="1.0" encoding="utf-8"?>
<sst xmlns="http://schemas.openxmlformats.org/spreadsheetml/2006/main" count="132" uniqueCount="82">
  <si>
    <t>RUNE</t>
  </si>
  <si>
    <t>Price</t>
  </si>
  <si>
    <t>liquidityUnits</t>
  </si>
  <si>
    <t>synthUnits</t>
  </si>
  <si>
    <t>poolUnits</t>
  </si>
  <si>
    <t>LP-RUNE</t>
  </si>
  <si>
    <t>LP-ASSET</t>
  </si>
  <si>
    <t>LP-Value</t>
  </si>
  <si>
    <t>Start Balance</t>
  </si>
  <si>
    <t>End Balance</t>
  </si>
  <si>
    <t>BTC Pool for Symmetrical Addition</t>
  </si>
  <si>
    <t>BTC</t>
  </si>
  <si>
    <t>Fee</t>
  </si>
  <si>
    <t>Rune / BTC Check</t>
  </si>
  <si>
    <t>Swap  (Rune in, Asset Out)</t>
  </si>
  <si>
    <t>ARB (Rune In, Asset Out)</t>
  </si>
  <si>
    <t>Symmetrical Add (Rune, Asset)</t>
  </si>
  <si>
    <t>BTC Pool for Asymmetrical Addition</t>
  </si>
  <si>
    <t>BTC Price</t>
  </si>
  <si>
    <t>Add (Rune, Asset)</t>
  </si>
  <si>
    <t>BUSD Pool - Rune Price -</t>
  </si>
  <si>
    <t>Org Price</t>
  </si>
  <si>
    <t>BUSD Price</t>
  </si>
  <si>
    <t>BUSD</t>
  </si>
  <si>
    <t>Balance</t>
  </si>
  <si>
    <t>BTC Pool - Rune at $10</t>
  </si>
  <si>
    <t>Pool Price vs Market Price</t>
  </si>
  <si>
    <t>Pool Price</t>
  </si>
  <si>
    <t>Market Price</t>
  </si>
  <si>
    <t>Rune Price =</t>
  </si>
  <si>
    <t>BTC Price =</t>
  </si>
  <si>
    <t>BTC to Rune Ratio</t>
  </si>
  <si>
    <t>Change Rune Price from $10 to $8</t>
  </si>
  <si>
    <t>BTC Pool - Rune at $8</t>
  </si>
  <si>
    <t>IL Swap</t>
  </si>
  <si>
    <t>Withdraw Swap</t>
  </si>
  <si>
    <t>End Balance (without arbing)</t>
  </si>
  <si>
    <t>Asset and Prices</t>
  </si>
  <si>
    <t>Rune</t>
  </si>
  <si>
    <t>Ratio</t>
  </si>
  <si>
    <t>Ownership</t>
  </si>
  <si>
    <t>Start Depth Rune</t>
  </si>
  <si>
    <t>Rune Value</t>
  </si>
  <si>
    <t>Asset Value</t>
  </si>
  <si>
    <t>Total Value (Pool Value)</t>
  </si>
  <si>
    <t>HOLD Value (Market Value)</t>
  </si>
  <si>
    <t>Difference (IL)</t>
  </si>
  <si>
    <t>Initial Addition</t>
  </si>
  <si>
    <t>Start Depth BTC</t>
  </si>
  <si>
    <t>Right After Market Price Change</t>
  </si>
  <si>
    <t>After Pool Rebalanced (Manually done)</t>
  </si>
  <si>
    <t>IL Protection - Fixed -</t>
  </si>
  <si>
    <t>Added Values</t>
  </si>
  <si>
    <t>Withdrawn Values</t>
  </si>
  <si>
    <t>Rune/Asset</t>
  </si>
  <si>
    <t xml:space="preserve"> Rune @ $8 and 0.1% Pool Ownership</t>
  </si>
  <si>
    <t>A0</t>
  </si>
  <si>
    <t>RO</t>
  </si>
  <si>
    <t>R1</t>
  </si>
  <si>
    <t>P1</t>
  </si>
  <si>
    <t>Coverage (Rune)</t>
  </si>
  <si>
    <t>protectionProgress</t>
  </si>
  <si>
    <t>Protection</t>
  </si>
  <si>
    <t>Value Paid</t>
  </si>
  <si>
    <t>Withdraw for Symmetrical Addition</t>
  </si>
  <si>
    <t>Withdraw for Asymmetrical Addition</t>
  </si>
  <si>
    <t>ILP Calculation</t>
  </si>
  <si>
    <t>BTC Side Asset</t>
  </si>
  <si>
    <t>coverage = (R0 - R1) + (A0 - A1) * P1</t>
  </si>
  <si>
    <t>ILP Swap</t>
  </si>
  <si>
    <t>(R0 + (A0xP1))</t>
  </si>
  <si>
    <t>Total BTC Withdraw</t>
  </si>
  <si>
    <t>(R1 + (A1xP1))</t>
  </si>
  <si>
    <t>ILP Payout in Rune</t>
  </si>
  <si>
    <t>BTC Added</t>
  </si>
  <si>
    <t>Differenfce</t>
  </si>
  <si>
    <t>Withdraw Value</t>
  </si>
  <si>
    <t>A1</t>
  </si>
  <si>
    <t>Pool Asset Price Forumlas</t>
  </si>
  <si>
    <t>BTC Pool Rune Depth * (Rune Price /  BTC Pool Asset Depth )</t>
  </si>
  <si>
    <t>(BTC Pool Rune Depth / BTC Depth) * (BUSD Depth/ BUSD Pool Rune Depth)</t>
  </si>
  <si>
    <t>coverage = (R0 + (A0xP1)) - (R1 + (A1xP1))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</si>
</sst>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44" formatCode="_-&quot;$&quot;* #,##0.00_-;\-&quot;$&quot;* #,##0.00_-;_-&quot;$&quot;* &quot;-&quot;??_-;_-@_-"/>
    <numFmt numFmtId="164" formatCode="#,##0.0000"/>
    <numFmt numFmtId="165" formatCode="0.000"/>
    <numFmt numFmtId="166" formatCode="#,##0.0000000000"/>
    <numFmt numFmtId="167" formatCode="#,##0.00000000"/>
    <numFmt numFmtId="168" formatCode="#,##0.0"/>
    <numFmt numFmtId="169" formatCode="#,##0.000000000"/>
    <numFmt numFmtId="170" formatCode="#,##0.00000"/>
    <numFmt numFmtId="171" formatCode="#,##0.000"/>
    <numFmt numFmtId="172" formatCode="_-&quot;$&quot;* #,##0_-;\-&quot;$&quot;* #,##0_-;_-&quot;$&quot;* &quot;-&quot;??_-;_-@"/>
    <numFmt numFmtId="173" formatCode="_-&quot;$&quot;* #,##0.00_-;\-&quot;$&quot;* #,##0.00_-;_-&quot;$&quot;* &quot;-&quot;??_-;_-@"/>
    <numFmt numFmtId="174" formatCode="#,##0.000000000000"/>
    <numFmt numFmtId="175" formatCode="#,##0.0000000"/>
    <numFmt numFmtId="176" formatCode="0.0000"/>
    <numFmt numFmtId="177" formatCode="0.0"/>
  </numFmts>
  <fonts count="22">
    <font>
      <sz val="11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mo"/>
    </font>
    <font>
      <sz val="11"/>
      <color theme="1"/>
      <name val="Calibri"/>
    </font>
    <font>
      <b/>
      <sz val="11"/>
      <color theme="1"/>
      <name val="Arial"/>
    </font>
    <font>
      <sz val="11"/>
      <color rgb="FFFFFFFF"/>
      <name val="Arial"/>
    </font>
    <font>
      <sz val="11"/>
      <color rgb="FF9C5700"/>
      <name val="Calibri"/>
    </font>
    <font>
      <sz val="11"/>
      <color theme="0"/>
      <name val="Calibri"/>
    </font>
    <font>
      <b/>
      <sz val="11"/>
      <color theme="1"/>
      <name val="Calibri"/>
    </font>
    <font>
      <sz val="11"/>
      <color theme="1"/>
      <name val="Calibri"/>
    </font>
    <font>
      <sz val="11"/>
      <color rgb="FF006100"/>
      <name val="Calibri"/>
    </font>
    <font>
      <sz val="11"/>
      <name val="Arial"/>
    </font>
    <font>
      <sz val="11"/>
      <color rgb="FF000000"/>
      <name val="Arial"/>
    </font>
    <font>
      <sz val="11"/>
      <color rgb="FF000000"/>
      <name val="&quot;Arial Unicode MS&quot;"/>
    </font>
    <font>
      <sz val="7"/>
      <color rgb="FF3366CC"/>
      <name val="Consolas"/>
    </font>
    <font>
      <sz val="7"/>
      <color rgb="FF000000"/>
      <name val="Consolas"/>
    </font>
    <font>
      <sz val="11"/>
      <color theme="1"/>
      <name val="Arial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A5A5A5"/>
        <bgColor rgb="FFA5A5A5"/>
      </patternFill>
    </fill>
    <fill>
      <patternFill patternType="solid">
        <fgColor theme="5"/>
        <bgColor theme="5"/>
      </patternFill>
    </fill>
    <fill>
      <patternFill patternType="solid">
        <fgColor rgb="FFFFEB9C"/>
        <bgColor rgb="FFFFEB9C"/>
      </patternFill>
    </fill>
    <fill>
      <patternFill patternType="solid">
        <fgColor rgb="FFC6EFCE"/>
        <bgColor rgb="FFC6EFCE"/>
      </patternFill>
    </fill>
  </fills>
  <borders count="3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DDDDDD"/>
      </left>
      <right/>
      <top/>
      <bottom/>
      <diagonal/>
    </border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4" fontId="18" fillId="0" borderId="0" applyFont="0" applyFill="0" applyBorder="0" applyAlignment="0" applyProtection="0"/>
  </cellStyleXfs>
  <cellXfs count="159">
    <xf numFmtId="0" fontId="0" fillId="0" borderId="0" xfId="0" applyFont="1" applyAlignment="1"/>
    <xf numFmtId="0" fontId="2" fillId="0" borderId="0" xfId="0" applyFont="1"/>
    <xf numFmtId="0" fontId="3" fillId="4" borderId="1" xfId="0" applyFont="1" applyFill="1" applyBorder="1"/>
    <xf numFmtId="0" fontId="1" fillId="0" borderId="0" xfId="0" applyFont="1"/>
    <xf numFmtId="4" fontId="1" fillId="0" borderId="0" xfId="0" applyNumberFormat="1" applyFont="1"/>
    <xf numFmtId="0" fontId="3" fillId="0" borderId="0" xfId="0" applyFont="1"/>
    <xf numFmtId="10" fontId="1" fillId="0" borderId="0" xfId="0" applyNumberFormat="1" applyFont="1"/>
    <xf numFmtId="4" fontId="2" fillId="0" borderId="0" xfId="0" applyNumberFormat="1" applyFont="1"/>
    <xf numFmtId="0" fontId="1" fillId="4" borderId="2" xfId="0" applyFont="1" applyFill="1" applyBorder="1"/>
    <xf numFmtId="0" fontId="3" fillId="4" borderId="3" xfId="0" applyFont="1" applyFill="1" applyBorder="1"/>
    <xf numFmtId="0" fontId="6" fillId="0" borderId="0" xfId="0" applyFont="1"/>
    <xf numFmtId="0" fontId="3" fillId="4" borderId="5" xfId="0" applyFont="1" applyFill="1" applyBorder="1"/>
    <xf numFmtId="0" fontId="3" fillId="4" borderId="6" xfId="0" applyFont="1" applyFill="1" applyBorder="1"/>
    <xf numFmtId="0" fontId="3" fillId="4" borderId="7" xfId="0" applyFont="1" applyFill="1" applyBorder="1"/>
    <xf numFmtId="0" fontId="1" fillId="4" borderId="8" xfId="0" applyFont="1" applyFill="1" applyBorder="1"/>
    <xf numFmtId="0" fontId="3" fillId="4" borderId="9" xfId="0" applyFont="1" applyFill="1" applyBorder="1"/>
    <xf numFmtId="0" fontId="1" fillId="0" borderId="10" xfId="0" applyFont="1" applyBorder="1"/>
    <xf numFmtId="1" fontId="1" fillId="0" borderId="0" xfId="0" applyNumberFormat="1" applyFont="1"/>
    <xf numFmtId="166" fontId="1" fillId="5" borderId="1" xfId="0" applyNumberFormat="1" applyFont="1" applyFill="1" applyBorder="1"/>
    <xf numFmtId="3" fontId="1" fillId="5" borderId="1" xfId="0" applyNumberFormat="1" applyFont="1" applyFill="1" applyBorder="1"/>
    <xf numFmtId="167" fontId="1" fillId="0" borderId="0" xfId="0" applyNumberFormat="1" applyFont="1"/>
    <xf numFmtId="0" fontId="0" fillId="0" borderId="0" xfId="0" applyFont="1"/>
    <xf numFmtId="168" fontId="1" fillId="0" borderId="0" xfId="0" applyNumberFormat="1" applyFont="1"/>
    <xf numFmtId="2" fontId="1" fillId="0" borderId="11" xfId="0" applyNumberFormat="1" applyFont="1" applyBorder="1"/>
    <xf numFmtId="0" fontId="3" fillId="0" borderId="10" xfId="0" applyFont="1" applyBorder="1"/>
    <xf numFmtId="1" fontId="1" fillId="3" borderId="1" xfId="0" applyNumberFormat="1" applyFont="1" applyFill="1" applyBorder="1"/>
    <xf numFmtId="169" fontId="1" fillId="0" borderId="0" xfId="0" applyNumberFormat="1" applyFont="1"/>
    <xf numFmtId="168" fontId="1" fillId="2" borderId="1" xfId="0" applyNumberFormat="1" applyFont="1" applyFill="1" applyBorder="1"/>
    <xf numFmtId="170" fontId="1" fillId="0" borderId="0" xfId="0" applyNumberFormat="1" applyFont="1"/>
    <xf numFmtId="1" fontId="1" fillId="5" borderId="1" xfId="0" applyNumberFormat="1" applyFont="1" applyFill="1" applyBorder="1"/>
    <xf numFmtId="168" fontId="1" fillId="5" borderId="1" xfId="0" applyNumberFormat="1" applyFont="1" applyFill="1" applyBorder="1"/>
    <xf numFmtId="1" fontId="1" fillId="2" borderId="1" xfId="0" applyNumberFormat="1" applyFont="1" applyFill="1" applyBorder="1"/>
    <xf numFmtId="1" fontId="1" fillId="6" borderId="1" xfId="0" applyNumberFormat="1" applyFont="1" applyFill="1" applyBorder="1"/>
    <xf numFmtId="168" fontId="1" fillId="6" borderId="1" xfId="0" applyNumberFormat="1" applyFont="1" applyFill="1" applyBorder="1"/>
    <xf numFmtId="0" fontId="3" fillId="4" borderId="8" xfId="0" applyFont="1" applyFill="1" applyBorder="1"/>
    <xf numFmtId="0" fontId="6" fillId="0" borderId="10" xfId="0" applyFont="1" applyBorder="1"/>
    <xf numFmtId="2" fontId="0" fillId="0" borderId="11" xfId="0" applyNumberFormat="1" applyFont="1" applyBorder="1"/>
    <xf numFmtId="2" fontId="3" fillId="4" borderId="9" xfId="0" applyNumberFormat="1" applyFont="1" applyFill="1" applyBorder="1"/>
    <xf numFmtId="171" fontId="1" fillId="5" borderId="1" xfId="0" applyNumberFormat="1" applyFont="1" applyFill="1" applyBorder="1"/>
    <xf numFmtId="1" fontId="0" fillId="0" borderId="0" xfId="0" applyNumberFormat="1" applyFont="1"/>
    <xf numFmtId="1" fontId="1" fillId="7" borderId="1" xfId="0" applyNumberFormat="1" applyFont="1" applyFill="1" applyBorder="1"/>
    <xf numFmtId="171" fontId="1" fillId="2" borderId="1" xfId="0" applyNumberFormat="1" applyFont="1" applyFill="1" applyBorder="1"/>
    <xf numFmtId="171" fontId="1" fillId="3" borderId="1" xfId="0" applyNumberFormat="1" applyFont="1" applyFill="1" applyBorder="1"/>
    <xf numFmtId="0" fontId="3" fillId="4" borderId="12" xfId="0" applyFont="1" applyFill="1" applyBorder="1"/>
    <xf numFmtId="0" fontId="3" fillId="4" borderId="13" xfId="0" applyFont="1" applyFill="1" applyBorder="1"/>
    <xf numFmtId="0" fontId="3" fillId="4" borderId="14" xfId="0" applyFont="1" applyFill="1" applyBorder="1"/>
    <xf numFmtId="2" fontId="0" fillId="0" borderId="0" xfId="0" applyNumberFormat="1" applyFont="1"/>
    <xf numFmtId="0" fontId="3" fillId="4" borderId="15" xfId="0" applyFont="1" applyFill="1" applyBorder="1"/>
    <xf numFmtId="172" fontId="7" fillId="8" borderId="16" xfId="0" applyNumberFormat="1" applyFont="1" applyFill="1" applyBorder="1" applyAlignment="1"/>
    <xf numFmtId="0" fontId="3" fillId="4" borderId="16" xfId="0" applyFont="1" applyFill="1" applyBorder="1"/>
    <xf numFmtId="2" fontId="3" fillId="4" borderId="17" xfId="0" applyNumberFormat="1" applyFont="1" applyFill="1" applyBorder="1"/>
    <xf numFmtId="2" fontId="3" fillId="4" borderId="3" xfId="0" applyNumberFormat="1" applyFont="1" applyFill="1" applyBorder="1"/>
    <xf numFmtId="0" fontId="1" fillId="0" borderId="18" xfId="0" applyFont="1" applyBorder="1"/>
    <xf numFmtId="166" fontId="1" fillId="5" borderId="20" xfId="0" applyNumberFormat="1" applyFont="1" applyFill="1" applyBorder="1"/>
    <xf numFmtId="4" fontId="1" fillId="5" borderId="20" xfId="0" applyNumberFormat="1" applyFont="1" applyFill="1" applyBorder="1"/>
    <xf numFmtId="0" fontId="2" fillId="0" borderId="19" xfId="0" applyFont="1" applyBorder="1"/>
    <xf numFmtId="167" fontId="1" fillId="0" borderId="19" xfId="0" applyNumberFormat="1" applyFont="1" applyBorder="1"/>
    <xf numFmtId="4" fontId="0" fillId="0" borderId="19" xfId="0" applyNumberFormat="1" applyFont="1" applyBorder="1"/>
    <xf numFmtId="0" fontId="1" fillId="0" borderId="19" xfId="0" applyFont="1" applyBorder="1"/>
    <xf numFmtId="4" fontId="1" fillId="0" borderId="19" xfId="0" applyNumberFormat="1" applyFont="1" applyBorder="1"/>
    <xf numFmtId="168" fontId="1" fillId="0" borderId="19" xfId="0" applyNumberFormat="1" applyFont="1" applyBorder="1"/>
    <xf numFmtId="2" fontId="1" fillId="0" borderId="21" xfId="0" applyNumberFormat="1" applyFont="1" applyBorder="1"/>
    <xf numFmtId="0" fontId="3" fillId="4" borderId="15" xfId="0" applyFont="1" applyFill="1" applyBorder="1" applyAlignment="1"/>
    <xf numFmtId="1" fontId="1" fillId="0" borderId="19" xfId="0" applyNumberFormat="1" applyFont="1" applyBorder="1"/>
    <xf numFmtId="3" fontId="1" fillId="5" borderId="20" xfId="0" applyNumberFormat="1" applyFont="1" applyFill="1" applyBorder="1"/>
    <xf numFmtId="1" fontId="0" fillId="0" borderId="19" xfId="0" applyNumberFormat="1" applyFont="1" applyBorder="1"/>
    <xf numFmtId="0" fontId="3" fillId="0" borderId="22" xfId="0" applyFont="1" applyBorder="1"/>
    <xf numFmtId="173" fontId="0" fillId="0" borderId="0" xfId="0" applyNumberFormat="1" applyFont="1"/>
    <xf numFmtId="172" fontId="0" fillId="0" borderId="0" xfId="0" applyNumberFormat="1" applyFont="1"/>
    <xf numFmtId="166" fontId="8" fillId="9" borderId="1" xfId="0" applyNumberFormat="1" applyFont="1" applyFill="1" applyBorder="1"/>
    <xf numFmtId="0" fontId="9" fillId="8" borderId="23" xfId="0" applyFont="1" applyFill="1" applyBorder="1"/>
    <xf numFmtId="0" fontId="1" fillId="0" borderId="24" xfId="0" applyFont="1" applyBorder="1"/>
    <xf numFmtId="174" fontId="8" fillId="9" borderId="23" xfId="0" applyNumberFormat="1" applyFont="1" applyFill="1" applyBorder="1"/>
    <xf numFmtId="2" fontId="1" fillId="0" borderId="4" xfId="0" applyNumberFormat="1" applyFont="1" applyBorder="1"/>
    <xf numFmtId="0" fontId="10" fillId="0" borderId="24" xfId="0" applyFont="1" applyBorder="1" applyAlignment="1"/>
    <xf numFmtId="1" fontId="1" fillId="2" borderId="25" xfId="0" applyNumberFormat="1" applyFont="1" applyFill="1" applyBorder="1" applyAlignment="1"/>
    <xf numFmtId="171" fontId="1" fillId="3" borderId="26" xfId="0" applyNumberFormat="1" applyFont="1" applyFill="1" applyBorder="1"/>
    <xf numFmtId="0" fontId="11" fillId="0" borderId="4" xfId="0" applyFont="1" applyBorder="1"/>
    <xf numFmtId="0" fontId="11" fillId="0" borderId="24" xfId="0" applyFont="1" applyBorder="1"/>
    <xf numFmtId="1" fontId="11" fillId="0" borderId="0" xfId="0" applyNumberFormat="1" applyFont="1"/>
    <xf numFmtId="166" fontId="1" fillId="5" borderId="0" xfId="0" applyNumberFormat="1" applyFont="1" applyFill="1"/>
    <xf numFmtId="3" fontId="11" fillId="0" borderId="0" xfId="0" applyNumberFormat="1" applyFont="1"/>
    <xf numFmtId="1" fontId="1" fillId="2" borderId="1" xfId="0" applyNumberFormat="1" applyFont="1" applyFill="1" applyBorder="1" applyAlignment="1"/>
    <xf numFmtId="0" fontId="1" fillId="0" borderId="18" xfId="0" applyFont="1" applyBorder="1" applyAlignment="1"/>
    <xf numFmtId="1" fontId="11" fillId="0" borderId="19" xfId="0" applyNumberFormat="1" applyFont="1" applyBorder="1"/>
    <xf numFmtId="3" fontId="11" fillId="0" borderId="19" xfId="0" applyNumberFormat="1" applyFont="1" applyBorder="1"/>
    <xf numFmtId="0" fontId="3" fillId="0" borderId="19" xfId="0" applyFont="1" applyBorder="1" applyAlignment="1"/>
    <xf numFmtId="0" fontId="3" fillId="0" borderId="19" xfId="0" applyFont="1" applyBorder="1"/>
    <xf numFmtId="0" fontId="0" fillId="0" borderId="19" xfId="0" applyFont="1" applyBorder="1"/>
    <xf numFmtId="0" fontId="3" fillId="0" borderId="0" xfId="0" applyFont="1" applyAlignment="1"/>
    <xf numFmtId="0" fontId="3" fillId="4" borderId="16" xfId="0" applyFont="1" applyFill="1" applyBorder="1" applyAlignment="1"/>
    <xf numFmtId="0" fontId="3" fillId="4" borderId="17" xfId="0" applyFont="1" applyFill="1" applyBorder="1"/>
    <xf numFmtId="0" fontId="0" fillId="0" borderId="24" xfId="0" applyFont="1" applyBorder="1"/>
    <xf numFmtId="4" fontId="0" fillId="0" borderId="0" xfId="0" applyNumberFormat="1" applyFont="1"/>
    <xf numFmtId="10" fontId="11" fillId="0" borderId="0" xfId="0" applyNumberFormat="1" applyFont="1"/>
    <xf numFmtId="0" fontId="11" fillId="0" borderId="0" xfId="0" applyFont="1"/>
    <xf numFmtId="173" fontId="0" fillId="0" borderId="4" xfId="0" applyNumberFormat="1" applyFont="1" applyBorder="1"/>
    <xf numFmtId="0" fontId="0" fillId="0" borderId="18" xfId="0" applyFont="1" applyBorder="1"/>
    <xf numFmtId="171" fontId="12" fillId="10" borderId="20" xfId="0" applyNumberFormat="1" applyFont="1" applyFill="1" applyBorder="1"/>
    <xf numFmtId="174" fontId="8" fillId="9" borderId="20" xfId="0" applyNumberFormat="1" applyFont="1" applyFill="1" applyBorder="1"/>
    <xf numFmtId="175" fontId="12" fillId="10" borderId="20" xfId="0" applyNumberFormat="1" applyFont="1" applyFill="1" applyBorder="1"/>
    <xf numFmtId="0" fontId="11" fillId="0" borderId="19" xfId="0" applyFont="1" applyBorder="1"/>
    <xf numFmtId="173" fontId="0" fillId="0" borderId="19" xfId="0" applyNumberFormat="1" applyFont="1" applyBorder="1"/>
    <xf numFmtId="173" fontId="0" fillId="0" borderId="21" xfId="0" applyNumberFormat="1" applyFont="1" applyBorder="1"/>
    <xf numFmtId="0" fontId="3" fillId="4" borderId="2" xfId="0" applyFont="1" applyFill="1" applyBorder="1" applyAlignment="1"/>
    <xf numFmtId="0" fontId="11" fillId="0" borderId="18" xfId="0" applyFont="1" applyBorder="1"/>
    <xf numFmtId="170" fontId="12" fillId="10" borderId="20" xfId="0" applyNumberFormat="1" applyFont="1" applyFill="1" applyBorder="1"/>
    <xf numFmtId="4" fontId="12" fillId="10" borderId="20" xfId="0" applyNumberFormat="1" applyFont="1" applyFill="1" applyBorder="1"/>
    <xf numFmtId="0" fontId="12" fillId="10" borderId="20" xfId="0" applyFont="1" applyFill="1" applyBorder="1"/>
    <xf numFmtId="165" fontId="4" fillId="0" borderId="19" xfId="0" applyNumberFormat="1" applyFont="1" applyBorder="1"/>
    <xf numFmtId="9" fontId="0" fillId="0" borderId="19" xfId="0" applyNumberFormat="1" applyFont="1" applyBorder="1" applyAlignment="1"/>
    <xf numFmtId="176" fontId="4" fillId="0" borderId="19" xfId="0" applyNumberFormat="1" applyFont="1" applyBorder="1"/>
    <xf numFmtId="0" fontId="10" fillId="0" borderId="0" xfId="0" applyFont="1" applyAlignment="1"/>
    <xf numFmtId="0" fontId="11" fillId="0" borderId="0" xfId="0" applyFont="1" applyAlignment="1"/>
    <xf numFmtId="4" fontId="14" fillId="0" borderId="0" xfId="0" applyNumberFormat="1" applyFont="1" applyAlignment="1"/>
    <xf numFmtId="164" fontId="14" fillId="0" borderId="0" xfId="0" applyNumberFormat="1" applyFont="1" applyAlignment="1"/>
    <xf numFmtId="0" fontId="15" fillId="0" borderId="0" xfId="0" applyFont="1" applyAlignment="1"/>
    <xf numFmtId="170" fontId="14" fillId="0" borderId="0" xfId="0" applyNumberFormat="1" applyFont="1" applyAlignment="1">
      <alignment horizontal="right"/>
    </xf>
    <xf numFmtId="171" fontId="14" fillId="0" borderId="0" xfId="0" applyNumberFormat="1" applyFont="1" applyAlignment="1"/>
    <xf numFmtId="0" fontId="14" fillId="0" borderId="0" xfId="0" applyFont="1" applyAlignment="1"/>
    <xf numFmtId="1" fontId="14" fillId="0" borderId="0" xfId="0" applyNumberFormat="1" applyFont="1" applyAlignment="1">
      <alignment horizontal="right"/>
    </xf>
    <xf numFmtId="0" fontId="14" fillId="0" borderId="0" xfId="0" applyFont="1" applyAlignment="1"/>
    <xf numFmtId="4" fontId="14" fillId="0" borderId="0" xfId="0" applyNumberFormat="1" applyFont="1" applyAlignment="1">
      <alignment horizontal="right"/>
    </xf>
    <xf numFmtId="0" fontId="14" fillId="0" borderId="0" xfId="0" applyFont="1" applyAlignment="1"/>
    <xf numFmtId="2" fontId="14" fillId="0" borderId="0" xfId="0" applyNumberFormat="1" applyFont="1" applyAlignment="1">
      <alignment horizontal="right"/>
    </xf>
    <xf numFmtId="0" fontId="13" fillId="0" borderId="0" xfId="0" applyFont="1" applyAlignment="1"/>
    <xf numFmtId="164" fontId="11" fillId="0" borderId="0" xfId="0" applyNumberFormat="1" applyFont="1"/>
    <xf numFmtId="0" fontId="16" fillId="0" borderId="29" xfId="0" applyFont="1" applyBorder="1" applyAlignment="1">
      <alignment horizontal="left" vertical="top" wrapText="1"/>
    </xf>
    <xf numFmtId="0" fontId="17" fillId="0" borderId="29" xfId="0" applyFont="1" applyBorder="1" applyAlignment="1">
      <alignment horizontal="left" vertical="top" wrapText="1"/>
    </xf>
    <xf numFmtId="44" fontId="0" fillId="0" borderId="0" xfId="0" applyNumberFormat="1" applyFont="1" applyAlignment="1"/>
    <xf numFmtId="44" fontId="0" fillId="0" borderId="0" xfId="1" applyFont="1"/>
    <xf numFmtId="0" fontId="20" fillId="0" borderId="0" xfId="0" applyFont="1" applyAlignment="1"/>
    <xf numFmtId="0" fontId="19" fillId="0" borderId="0" xfId="0" applyFont="1" applyAlignment="1"/>
    <xf numFmtId="0" fontId="21" fillId="4" borderId="1" xfId="0" applyFont="1" applyFill="1" applyBorder="1" applyAlignment="1"/>
    <xf numFmtId="177" fontId="0" fillId="0" borderId="0" xfId="0" applyNumberFormat="1" applyFont="1" applyAlignment="1"/>
    <xf numFmtId="3" fontId="14" fillId="0" borderId="0" xfId="0" applyNumberFormat="1" applyFont="1" applyAlignment="1">
      <alignment horizontal="right"/>
    </xf>
    <xf numFmtId="44" fontId="2" fillId="0" borderId="0" xfId="0" applyNumberFormat="1" applyFont="1"/>
    <xf numFmtId="171" fontId="2" fillId="0" borderId="0" xfId="0" applyNumberFormat="1" applyFont="1"/>
    <xf numFmtId="0" fontId="3" fillId="0" borderId="31" xfId="0" applyFont="1" applyBorder="1"/>
    <xf numFmtId="1" fontId="1" fillId="3" borderId="32" xfId="0" applyNumberFormat="1" applyFont="1" applyFill="1" applyBorder="1"/>
    <xf numFmtId="169" fontId="1" fillId="0" borderId="32" xfId="0" applyNumberFormat="1" applyFont="1" applyBorder="1"/>
    <xf numFmtId="168" fontId="1" fillId="2" borderId="32" xfId="0" applyNumberFormat="1" applyFont="1" applyFill="1" applyBorder="1"/>
    <xf numFmtId="4" fontId="2" fillId="0" borderId="33" xfId="0" applyNumberFormat="1" applyFont="1" applyBorder="1"/>
    <xf numFmtId="0" fontId="3" fillId="0" borderId="34" xfId="0" applyFont="1" applyBorder="1"/>
    <xf numFmtId="166" fontId="1" fillId="5" borderId="35" xfId="0" applyNumberFormat="1" applyFont="1" applyFill="1" applyBorder="1"/>
    <xf numFmtId="0" fontId="2" fillId="0" borderId="36" xfId="0" applyFont="1" applyBorder="1"/>
    <xf numFmtId="0" fontId="3" fillId="0" borderId="37" xfId="0" applyFont="1" applyBorder="1"/>
    <xf numFmtId="1" fontId="1" fillId="5" borderId="30" xfId="0" applyNumberFormat="1" applyFont="1" applyFill="1" applyBorder="1"/>
    <xf numFmtId="166" fontId="1" fillId="5" borderId="30" xfId="0" applyNumberFormat="1" applyFont="1" applyFill="1" applyBorder="1"/>
    <xf numFmtId="168" fontId="1" fillId="5" borderId="30" xfId="0" applyNumberFormat="1" applyFont="1" applyFill="1" applyBorder="1"/>
    <xf numFmtId="0" fontId="2" fillId="0" borderId="38" xfId="0" applyFont="1" applyBorder="1"/>
    <xf numFmtId="1" fontId="1" fillId="2" borderId="30" xfId="0" applyNumberFormat="1" applyFont="1" applyFill="1" applyBorder="1"/>
    <xf numFmtId="4" fontId="1" fillId="0" borderId="30" xfId="0" applyNumberFormat="1" applyFont="1" applyBorder="1"/>
    <xf numFmtId="168" fontId="1" fillId="3" borderId="30" xfId="0" applyNumberFormat="1" applyFont="1" applyFill="1" applyBorder="1"/>
    <xf numFmtId="1" fontId="1" fillId="6" borderId="35" xfId="0" applyNumberFormat="1" applyFont="1" applyFill="1" applyBorder="1"/>
    <xf numFmtId="168" fontId="1" fillId="6" borderId="35" xfId="0" applyNumberFormat="1" applyFont="1" applyFill="1" applyBorder="1"/>
    <xf numFmtId="0" fontId="3" fillId="4" borderId="27" xfId="0" applyFont="1" applyFill="1" applyBorder="1" applyAlignment="1">
      <alignment horizontal="center"/>
    </xf>
    <xf numFmtId="0" fontId="13" fillId="0" borderId="28" xfId="0" applyFont="1" applyBorder="1"/>
    <xf numFmtId="0" fontId="5" fillId="0" borderId="0" xfId="0" applyFont="1" applyAlignme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9"/>
  <sheetViews>
    <sheetView tabSelected="1" zoomScale="160" zoomScaleNormal="160" workbookViewId="0">
      <selection activeCell="G32" sqref="G32"/>
    </sheetView>
  </sheetViews>
  <sheetFormatPr defaultColWidth="12.59765625" defaultRowHeight="15" customHeight="1"/>
  <cols>
    <col min="1" max="1" width="34.69921875" customWidth="1"/>
    <col min="2" max="2" width="15" bestFit="1" customWidth="1"/>
    <col min="3" max="3" width="14.09765625" customWidth="1"/>
    <col min="4" max="4" width="28.8984375" bestFit="1" customWidth="1"/>
    <col min="5" max="5" width="15" bestFit="1" customWidth="1"/>
    <col min="6" max="6" width="15.3984375" hidden="1" customWidth="1"/>
    <col min="7" max="7" width="18.69921875" customWidth="1"/>
    <col min="8" max="8" width="16.19921875" customWidth="1"/>
    <col min="9" max="9" width="18" customWidth="1"/>
    <col min="10" max="10" width="10.5" customWidth="1"/>
    <col min="11" max="11" width="22.19921875" customWidth="1"/>
    <col min="12" max="12" width="16.69921875" customWidth="1"/>
    <col min="13" max="13" width="12.5" customWidth="1"/>
    <col min="14" max="15" width="8.59765625" customWidth="1"/>
    <col min="16" max="16" width="21.69921875" customWidth="1"/>
    <col min="17" max="26" width="8.59765625" customWidth="1"/>
  </cols>
  <sheetData>
    <row r="1" spans="1:12" ht="13.5" customHeight="1">
      <c r="A1" s="10"/>
    </row>
    <row r="2" spans="1:12" ht="13.5" customHeight="1">
      <c r="A2" s="11" t="s">
        <v>10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3"/>
    </row>
    <row r="3" spans="1:12" ht="13.5" customHeight="1">
      <c r="A3" s="14"/>
      <c r="B3" s="2" t="s">
        <v>0</v>
      </c>
      <c r="C3" s="2" t="s">
        <v>1</v>
      </c>
      <c r="D3" s="2" t="s">
        <v>11</v>
      </c>
      <c r="E3" s="2" t="s">
        <v>12</v>
      </c>
      <c r="F3" s="2" t="s">
        <v>13</v>
      </c>
      <c r="G3" s="2" t="s">
        <v>2</v>
      </c>
      <c r="H3" s="2" t="s">
        <v>3</v>
      </c>
      <c r="I3" s="2" t="s">
        <v>4</v>
      </c>
      <c r="J3" s="2" t="s">
        <v>5</v>
      </c>
      <c r="K3" s="2" t="s">
        <v>6</v>
      </c>
      <c r="L3" s="15" t="s">
        <v>7</v>
      </c>
    </row>
    <row r="4" spans="1:12" ht="13.5" customHeight="1">
      <c r="A4" s="16" t="s">
        <v>8</v>
      </c>
      <c r="B4" s="17">
        <v>4000000</v>
      </c>
      <c r="C4" s="18">
        <f>D4/B4</f>
        <v>2.5000000000000001E-4</v>
      </c>
      <c r="D4" s="19">
        <v>1000</v>
      </c>
      <c r="E4" s="1"/>
      <c r="F4" s="20">
        <f>B4/D4</f>
        <v>4000</v>
      </c>
      <c r="G4" s="21">
        <v>4000000</v>
      </c>
      <c r="H4" s="3">
        <v>0</v>
      </c>
      <c r="I4" s="3">
        <f>G4+H4</f>
        <v>4000000</v>
      </c>
      <c r="J4" s="22">
        <f>(G4/I4)*B4</f>
        <v>4000000</v>
      </c>
      <c r="K4" s="22">
        <f>(G4/I4)*D4</f>
        <v>1000</v>
      </c>
      <c r="L4" s="23">
        <f>J4+K4/C4</f>
        <v>8000000</v>
      </c>
    </row>
    <row r="5" spans="1:12" ht="13.5" customHeight="1">
      <c r="A5" s="138" t="s">
        <v>14</v>
      </c>
      <c r="B5" s="139">
        <f>(D5*B4*D4)/(D5+D4)^2</f>
        <v>3992.0119840199759</v>
      </c>
      <c r="C5" s="140"/>
      <c r="D5" s="141">
        <v>1</v>
      </c>
      <c r="E5" s="142">
        <f>4000-B5</f>
        <v>7.9880159800241017</v>
      </c>
      <c r="F5" s="28"/>
      <c r="G5" s="6"/>
      <c r="H5" s="1"/>
      <c r="I5" s="1"/>
      <c r="J5" s="22"/>
      <c r="K5" s="22"/>
      <c r="L5" s="23"/>
    </row>
    <row r="6" spans="1:12" ht="13.5" customHeight="1">
      <c r="A6" s="146"/>
      <c r="B6" s="147">
        <f>B4-B5</f>
        <v>3996007.98801598</v>
      </c>
      <c r="C6" s="148">
        <f>D6/B6</f>
        <v>2.5049999975024998E-4</v>
      </c>
      <c r="D6" s="149">
        <f>D4+D5</f>
        <v>1001</v>
      </c>
      <c r="E6" s="150"/>
      <c r="F6" s="20">
        <f>B6/D6</f>
        <v>3992.015972043936</v>
      </c>
      <c r="G6" s="6"/>
      <c r="H6" s="1"/>
      <c r="I6" s="1"/>
      <c r="J6" s="22"/>
      <c r="K6" s="22"/>
      <c r="L6" s="23"/>
    </row>
    <row r="7" spans="1:12" ht="13.5" customHeight="1">
      <c r="A7" s="146" t="s">
        <v>15</v>
      </c>
      <c r="B7" s="151">
        <v>3996.0079900000001</v>
      </c>
      <c r="C7" s="152"/>
      <c r="D7" s="153">
        <f>(B7*D6*B6)/(B7+(B6))^2</f>
        <v>0.99900099949601262</v>
      </c>
      <c r="E7" s="150"/>
      <c r="F7" s="21"/>
      <c r="G7" s="6"/>
      <c r="H7" s="1"/>
      <c r="I7" s="1"/>
      <c r="J7" s="22"/>
      <c r="K7" s="22"/>
      <c r="L7" s="23"/>
    </row>
    <row r="8" spans="1:12" ht="13.5" customHeight="1">
      <c r="A8" s="143"/>
      <c r="B8" s="154">
        <f>B6+B7</f>
        <v>4000003.9960059798</v>
      </c>
      <c r="C8" s="144">
        <f>D8/B8</f>
        <v>2.4999999999975227E-4</v>
      </c>
      <c r="D8" s="155">
        <f>D6-D7</f>
        <v>1000.000999000504</v>
      </c>
      <c r="E8" s="145"/>
      <c r="F8" s="20">
        <f>B8/D8</f>
        <v>4000.000000003964</v>
      </c>
      <c r="G8" s="6"/>
      <c r="H8" s="1"/>
      <c r="I8" s="1"/>
      <c r="J8" s="22"/>
      <c r="K8" s="22"/>
      <c r="L8" s="23"/>
    </row>
    <row r="9" spans="1:12" ht="13.5" customHeight="1">
      <c r="A9" s="24" t="s">
        <v>16</v>
      </c>
      <c r="B9" s="25">
        <v>4000</v>
      </c>
      <c r="C9" s="26"/>
      <c r="D9" s="27">
        <f>D5</f>
        <v>1</v>
      </c>
      <c r="E9" s="136"/>
      <c r="F9" s="28"/>
      <c r="G9" s="6"/>
      <c r="H9" s="1"/>
      <c r="I9" s="1"/>
      <c r="J9" s="22"/>
      <c r="K9" s="22"/>
      <c r="L9" s="23"/>
    </row>
    <row r="10" spans="1:12" ht="13.5" customHeight="1">
      <c r="A10" s="16" t="s">
        <v>9</v>
      </c>
      <c r="B10" s="29">
        <f>B8+B9</f>
        <v>4004003.9960059798</v>
      </c>
      <c r="C10" s="18">
        <f>D10/B10</f>
        <v>2.4999999999975248E-4</v>
      </c>
      <c r="D10" s="30">
        <f>D8+D9</f>
        <v>1001.000999000504</v>
      </c>
      <c r="E10" s="1"/>
      <c r="F10" s="20">
        <f>B10/D10</f>
        <v>4000.0000000039599</v>
      </c>
      <c r="G10" s="21">
        <v>4000000</v>
      </c>
      <c r="H10" s="3">
        <v>0</v>
      </c>
      <c r="I10" s="3">
        <f>G10+H10</f>
        <v>4000000</v>
      </c>
      <c r="J10" s="22">
        <f>(G10/I10)*B10</f>
        <v>4004003.9960059798</v>
      </c>
      <c r="K10" s="22">
        <f>(G10/I10)*D10</f>
        <v>1001.000999000504</v>
      </c>
      <c r="L10" s="23">
        <f>J10+K10/C10</f>
        <v>8008007.9920119606</v>
      </c>
    </row>
    <row r="11" spans="1:12" ht="13.5" customHeight="1">
      <c r="A11" s="34"/>
      <c r="B11" s="2"/>
      <c r="C11" s="2"/>
      <c r="D11" s="2"/>
      <c r="E11" s="2"/>
      <c r="F11" s="2"/>
      <c r="G11" s="2"/>
      <c r="H11" s="2"/>
      <c r="I11" s="2"/>
      <c r="J11" s="2"/>
      <c r="K11" s="2"/>
      <c r="L11" s="15"/>
    </row>
    <row r="12" spans="1:12" ht="13.5" customHeight="1">
      <c r="A12" s="35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36"/>
    </row>
    <row r="13" spans="1:12" ht="13.5" customHeight="1">
      <c r="A13" s="34" t="s">
        <v>17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37"/>
    </row>
    <row r="14" spans="1:12" ht="13.5" customHeight="1">
      <c r="A14" s="14"/>
      <c r="B14" s="2" t="s">
        <v>0</v>
      </c>
      <c r="C14" s="2" t="s">
        <v>18</v>
      </c>
      <c r="D14" s="2" t="s">
        <v>11</v>
      </c>
      <c r="E14" s="2" t="s">
        <v>12</v>
      </c>
      <c r="F14" s="2" t="s">
        <v>13</v>
      </c>
      <c r="G14" s="2" t="s">
        <v>2</v>
      </c>
      <c r="H14" s="2" t="s">
        <v>3</v>
      </c>
      <c r="I14" s="2" t="s">
        <v>4</v>
      </c>
      <c r="J14" s="2" t="s">
        <v>5</v>
      </c>
      <c r="K14" s="2" t="s">
        <v>6</v>
      </c>
      <c r="L14" s="37" t="s">
        <v>7</v>
      </c>
    </row>
    <row r="15" spans="1:12" ht="13.5" customHeight="1">
      <c r="A15" s="16" t="s">
        <v>8</v>
      </c>
      <c r="B15" s="17">
        <v>4000000</v>
      </c>
      <c r="C15" s="18">
        <f>D15/B15</f>
        <v>2.5000000000000001E-4</v>
      </c>
      <c r="D15" s="38">
        <v>1000</v>
      </c>
      <c r="E15" s="1"/>
      <c r="F15" s="20">
        <f>B15/D15</f>
        <v>4000</v>
      </c>
      <c r="G15" s="39">
        <f>B15</f>
        <v>4000000</v>
      </c>
      <c r="H15" s="3">
        <v>0</v>
      </c>
      <c r="I15" s="17">
        <f>G15+H15</f>
        <v>4000000</v>
      </c>
      <c r="J15" s="22">
        <f>(G15/I15)*B15</f>
        <v>4000000</v>
      </c>
      <c r="K15" s="22">
        <f>(G15/I15)*D15</f>
        <v>1000</v>
      </c>
      <c r="L15" s="23">
        <f>J15+K15/C15</f>
        <v>8000000</v>
      </c>
    </row>
    <row r="16" spans="1:12" ht="13.5" customHeight="1">
      <c r="A16" s="24" t="s">
        <v>19</v>
      </c>
      <c r="B16" s="40"/>
      <c r="C16" s="26"/>
      <c r="D16" s="41">
        <v>2</v>
      </c>
      <c r="E16" s="1"/>
      <c r="F16" s="20"/>
      <c r="G16" s="39"/>
      <c r="H16" s="3"/>
      <c r="I16" s="3"/>
      <c r="J16" s="22"/>
      <c r="K16" s="22"/>
      <c r="L16" s="23"/>
    </row>
    <row r="17" spans="1:16" ht="13.5" customHeight="1">
      <c r="A17" s="24" t="s">
        <v>14</v>
      </c>
      <c r="B17" s="25">
        <f>(D17*B15*D15)/(D17+D15)^2</f>
        <v>3992.0119840199759</v>
      </c>
      <c r="C17" s="26"/>
      <c r="D17" s="41">
        <v>1</v>
      </c>
      <c r="E17" s="7">
        <f>4000-B17</f>
        <v>7.9880159800241017</v>
      </c>
      <c r="F17" s="28"/>
      <c r="G17" s="6"/>
      <c r="H17" s="1"/>
      <c r="I17" s="1"/>
      <c r="J17" s="22"/>
      <c r="K17" s="22"/>
      <c r="L17" s="23"/>
    </row>
    <row r="18" spans="1:16" ht="13.5" customHeight="1">
      <c r="A18" s="16"/>
      <c r="B18" s="29">
        <f>B15+B17</f>
        <v>4003992.01198402</v>
      </c>
      <c r="C18" s="18">
        <f>D18/B18</f>
        <v>2.5000049875324151E-4</v>
      </c>
      <c r="D18" s="38">
        <f>D15+D17</f>
        <v>1001</v>
      </c>
      <c r="E18" s="1"/>
      <c r="F18" s="4"/>
      <c r="G18" s="21">
        <v>4000000</v>
      </c>
      <c r="H18" s="3">
        <v>0</v>
      </c>
      <c r="I18" s="3">
        <f>G18+H18</f>
        <v>4000000</v>
      </c>
      <c r="J18" s="22">
        <f>(G18/I18)*B18</f>
        <v>4003992.01198402</v>
      </c>
      <c r="K18" s="22">
        <f>(G18/I18)*D18</f>
        <v>1001</v>
      </c>
      <c r="L18" s="23"/>
    </row>
    <row r="19" spans="1:16" ht="13.5" customHeight="1">
      <c r="A19" s="24" t="s">
        <v>15</v>
      </c>
      <c r="B19" s="31">
        <v>3.992</v>
      </c>
      <c r="C19" s="4"/>
      <c r="D19" s="42">
        <f>(B19*D18*B18)/(B19+(B18))^2</f>
        <v>9.980000009999939E-4</v>
      </c>
      <c r="E19" s="1"/>
      <c r="F19" s="4"/>
      <c r="G19" s="6"/>
      <c r="H19" s="6"/>
      <c r="I19" s="1"/>
      <c r="J19" s="22"/>
      <c r="K19" s="22"/>
      <c r="L19" s="23"/>
    </row>
    <row r="20" spans="1:16" ht="13.5" customHeight="1">
      <c r="A20" s="16" t="s">
        <v>9</v>
      </c>
      <c r="B20" s="32">
        <f>B18+B19</f>
        <v>4003996.0039840201</v>
      </c>
      <c r="C20" s="18">
        <f>D20/B20</f>
        <v>2.50000000250748E-4</v>
      </c>
      <c r="D20" s="33">
        <f>D18-D19</f>
        <v>1000.999001999999</v>
      </c>
      <c r="E20" s="1"/>
      <c r="F20" s="20">
        <f>B20/D20</f>
        <v>3999.999995988032</v>
      </c>
      <c r="G20" s="21">
        <v>4000000</v>
      </c>
      <c r="H20" s="3">
        <v>0</v>
      </c>
      <c r="I20" s="3">
        <f>G20+H20</f>
        <v>4000000</v>
      </c>
      <c r="J20" s="22">
        <f>(G20/I20)*B20</f>
        <v>4003996.0039840201</v>
      </c>
      <c r="K20" s="22">
        <f>(G20/I20)*D20</f>
        <v>1000.999001999999</v>
      </c>
      <c r="L20" s="23">
        <f>J20+K20/C20</f>
        <v>8007992.0079680402</v>
      </c>
    </row>
    <row r="21" spans="1:16" ht="13.5" customHeight="1">
      <c r="A21" s="43"/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5"/>
    </row>
    <row r="22" spans="1:16" ht="13.5" customHeight="1">
      <c r="L22" s="46"/>
    </row>
    <row r="23" spans="1:16" ht="13.5" customHeight="1">
      <c r="A23" s="47" t="s">
        <v>20</v>
      </c>
      <c r="B23" s="48">
        <v>10</v>
      </c>
      <c r="C23" s="49"/>
      <c r="D23" s="49" t="s">
        <v>21</v>
      </c>
      <c r="E23" s="49">
        <v>10</v>
      </c>
      <c r="F23" s="49"/>
      <c r="G23" s="49"/>
      <c r="H23" s="49"/>
      <c r="I23" s="49"/>
      <c r="J23" s="49"/>
      <c r="K23" s="49"/>
      <c r="L23" s="50"/>
    </row>
    <row r="24" spans="1:16" ht="13.5" customHeight="1">
      <c r="A24" s="8"/>
      <c r="B24" s="133" t="s">
        <v>0</v>
      </c>
      <c r="C24" s="2" t="s">
        <v>22</v>
      </c>
      <c r="D24" s="2" t="s">
        <v>23</v>
      </c>
      <c r="E24" s="2"/>
      <c r="F24" s="2" t="s">
        <v>13</v>
      </c>
      <c r="G24" s="2" t="s">
        <v>2</v>
      </c>
      <c r="H24" s="2" t="s">
        <v>3</v>
      </c>
      <c r="I24" s="2" t="s">
        <v>4</v>
      </c>
      <c r="J24" s="2" t="s">
        <v>5</v>
      </c>
      <c r="K24" s="2" t="s">
        <v>6</v>
      </c>
      <c r="L24" s="51" t="s">
        <v>7</v>
      </c>
    </row>
    <row r="25" spans="1:16" ht="13.5" customHeight="1">
      <c r="A25" s="52" t="s">
        <v>24</v>
      </c>
      <c r="B25" s="54">
        <f>D25*B23</f>
        <v>10000000</v>
      </c>
      <c r="C25" s="53">
        <f>D25/B25</f>
        <v>0.1</v>
      </c>
      <c r="D25" s="54">
        <v>1000000</v>
      </c>
      <c r="E25" s="55"/>
      <c r="F25" s="56">
        <f>B25/D25</f>
        <v>10</v>
      </c>
      <c r="G25" s="57">
        <f>B25</f>
        <v>10000000</v>
      </c>
      <c r="H25" s="58">
        <v>0</v>
      </c>
      <c r="I25" s="59">
        <f>G25+H25</f>
        <v>10000000</v>
      </c>
      <c r="J25" s="60">
        <f>(G25/I25)*B25</f>
        <v>10000000</v>
      </c>
      <c r="K25" s="60">
        <f>(G25/I25)*D25</f>
        <v>1000000</v>
      </c>
      <c r="L25" s="61">
        <f>J25+K25/C25</f>
        <v>20000000</v>
      </c>
    </row>
    <row r="26" spans="1:16" ht="13.5" customHeight="1">
      <c r="A26" s="62" t="s">
        <v>25</v>
      </c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50"/>
      <c r="P26" s="129"/>
    </row>
    <row r="27" spans="1:16" ht="13.5" customHeight="1">
      <c r="A27" s="8"/>
      <c r="B27" s="2" t="s">
        <v>0</v>
      </c>
      <c r="C27" s="2" t="s">
        <v>18</v>
      </c>
      <c r="D27" s="2" t="s">
        <v>11</v>
      </c>
      <c r="E27" s="2" t="s">
        <v>12</v>
      </c>
      <c r="F27" s="2" t="s">
        <v>13</v>
      </c>
      <c r="G27" s="2" t="s">
        <v>2</v>
      </c>
      <c r="H27" s="2" t="s">
        <v>3</v>
      </c>
      <c r="I27" s="2" t="s">
        <v>4</v>
      </c>
      <c r="J27" s="2" t="s">
        <v>5</v>
      </c>
      <c r="K27" s="2" t="s">
        <v>6</v>
      </c>
      <c r="L27" s="51" t="s">
        <v>7</v>
      </c>
      <c r="P27" s="129"/>
    </row>
    <row r="28" spans="1:16" ht="13.5" customHeight="1">
      <c r="A28" s="52" t="s">
        <v>8</v>
      </c>
      <c r="B28" s="63">
        <f>B10</f>
        <v>4004003.9960059798</v>
      </c>
      <c r="C28" s="53">
        <f>D28/B28</f>
        <v>2.4999999999975248E-4</v>
      </c>
      <c r="D28" s="64">
        <f>D10</f>
        <v>1001.000999000504</v>
      </c>
      <c r="E28" s="55"/>
      <c r="F28" s="56">
        <f>B28/D28</f>
        <v>4000.0000000039599</v>
      </c>
      <c r="G28" s="65">
        <f>G15</f>
        <v>4000000</v>
      </c>
      <c r="H28" s="58">
        <v>0</v>
      </c>
      <c r="I28" s="63">
        <f>G28+H28</f>
        <v>4000000</v>
      </c>
      <c r="J28" s="60">
        <f>(G28/I28)*B28</f>
        <v>4004003.9960059798</v>
      </c>
      <c r="K28" s="60">
        <f>(G28/I28)*D28</f>
        <v>1001.000999000504</v>
      </c>
      <c r="L28" s="61">
        <f>J28+K28/C28</f>
        <v>8008007.9920119606</v>
      </c>
    </row>
    <row r="29" spans="1:16" ht="13.5" customHeight="1">
      <c r="A29" s="5"/>
      <c r="B29" s="5"/>
      <c r="C29" s="66"/>
      <c r="D29" s="66"/>
      <c r="E29" s="5"/>
      <c r="F29" s="5"/>
      <c r="G29" s="5"/>
      <c r="H29" s="5"/>
      <c r="I29" s="5"/>
      <c r="J29" s="5"/>
      <c r="K29" s="5"/>
      <c r="L29" s="5"/>
    </row>
    <row r="30" spans="1:16" ht="13.5" customHeight="1">
      <c r="A30" s="2" t="s">
        <v>26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6" ht="13.5" customHeight="1">
      <c r="A31" s="10"/>
      <c r="B31" s="10" t="s">
        <v>27</v>
      </c>
      <c r="D31" s="10" t="s">
        <v>28</v>
      </c>
      <c r="H31" s="131" t="s">
        <v>78</v>
      </c>
      <c r="L31" s="46"/>
    </row>
    <row r="32" spans="1:16" ht="13.5" customHeight="1">
      <c r="A32" s="21" t="s">
        <v>29</v>
      </c>
      <c r="B32" s="67">
        <f>B25/D25</f>
        <v>10</v>
      </c>
      <c r="D32" s="68">
        <f>B23</f>
        <v>10</v>
      </c>
      <c r="L32" s="46"/>
    </row>
    <row r="33" spans="1:12" ht="13.5" customHeight="1">
      <c r="A33" s="21" t="s">
        <v>30</v>
      </c>
      <c r="B33" s="67">
        <f>B15*B32/D15</f>
        <v>40000</v>
      </c>
      <c r="C33" s="67"/>
      <c r="D33" s="67">
        <v>40000</v>
      </c>
      <c r="H33" t="s">
        <v>80</v>
      </c>
      <c r="L33" s="129">
        <f>(B28/D28)*(B25/D25)</f>
        <v>40000.000000039596</v>
      </c>
    </row>
    <row r="34" spans="1:12" ht="13.5" customHeight="1">
      <c r="C34" s="67"/>
      <c r="D34" s="67"/>
      <c r="H34" t="s">
        <v>79</v>
      </c>
      <c r="L34" s="130">
        <f>B15*(B32/D15)</f>
        <v>40000</v>
      </c>
    </row>
    <row r="35" spans="1:12" ht="13.5" customHeight="1">
      <c r="A35" s="5" t="s">
        <v>31</v>
      </c>
      <c r="B35" s="18">
        <f>B32/B33</f>
        <v>2.5000000000000001E-4</v>
      </c>
      <c r="C35" s="67"/>
      <c r="D35" s="69">
        <f>D32/D33</f>
        <v>2.5000000000000001E-4</v>
      </c>
      <c r="L35" s="46">
        <f>(B40/D40)*(B25/D25)</f>
        <v>50000.000000049506</v>
      </c>
    </row>
    <row r="36" spans="1:12" ht="13.5" customHeight="1">
      <c r="L36" s="46"/>
    </row>
    <row r="37" spans="1:12" ht="13.5" customHeight="1">
      <c r="A37" s="70" t="s">
        <v>32</v>
      </c>
      <c r="B37" s="129"/>
      <c r="D37" s="129"/>
      <c r="E37" s="129"/>
    </row>
    <row r="38" spans="1:12" ht="13.5" customHeight="1">
      <c r="A38" s="62" t="s">
        <v>33</v>
      </c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50"/>
    </row>
    <row r="39" spans="1:12" ht="13.5" customHeight="1">
      <c r="A39" s="8"/>
      <c r="B39" s="2" t="s">
        <v>0</v>
      </c>
      <c r="C39" s="2" t="s">
        <v>18</v>
      </c>
      <c r="D39" s="2" t="s">
        <v>11</v>
      </c>
      <c r="E39" s="2" t="s">
        <v>12</v>
      </c>
      <c r="F39" s="2" t="s">
        <v>13</v>
      </c>
      <c r="G39" s="2" t="s">
        <v>2</v>
      </c>
      <c r="H39" s="2" t="s">
        <v>3</v>
      </c>
      <c r="I39" s="2" t="s">
        <v>4</v>
      </c>
      <c r="J39" s="2" t="s">
        <v>5</v>
      </c>
      <c r="K39" s="2" t="s">
        <v>6</v>
      </c>
      <c r="L39" s="51" t="s">
        <v>7</v>
      </c>
    </row>
    <row r="40" spans="1:12" ht="13.5" customHeight="1">
      <c r="A40" s="71" t="s">
        <v>8</v>
      </c>
      <c r="B40" s="17">
        <f>B28/0.9</f>
        <v>4448893.3288955335</v>
      </c>
      <c r="C40" s="72">
        <f>D40/B40</f>
        <v>1.9999999999980201E-4</v>
      </c>
      <c r="D40" s="30">
        <f>D28/1.125</f>
        <v>889.77866577822579</v>
      </c>
      <c r="E40" s="137"/>
      <c r="F40" s="20">
        <f>B40/D40</f>
        <v>5000.0000000049504</v>
      </c>
      <c r="G40" s="39">
        <v>4000000</v>
      </c>
      <c r="H40" s="3">
        <v>0</v>
      </c>
      <c r="I40" s="17">
        <f>G40+H40</f>
        <v>4000000</v>
      </c>
      <c r="J40" s="22">
        <f>(G40/I40)*B40</f>
        <v>4448893.3288955335</v>
      </c>
      <c r="K40" s="22">
        <f>(G40/I40)*D40</f>
        <v>889.77866577822579</v>
      </c>
      <c r="L40" s="73">
        <f>J40+K40/C40</f>
        <v>8897786.6577910669</v>
      </c>
    </row>
    <row r="41" spans="1:12" ht="13.5" customHeight="1">
      <c r="A41" s="74" t="s">
        <v>34</v>
      </c>
      <c r="B41" s="75">
        <f>H56</f>
        <v>111.11111111605987</v>
      </c>
      <c r="C41" s="4"/>
      <c r="D41" s="76">
        <f>(B41*D40*B40)/(B41+(B40))^2</f>
        <v>2.2221112264769655E-2</v>
      </c>
      <c r="L41" s="77"/>
    </row>
    <row r="42" spans="1:12" ht="13.5" customHeight="1">
      <c r="A42" s="78"/>
      <c r="B42" s="79">
        <f>B40+B41</f>
        <v>4449004.4400066491</v>
      </c>
      <c r="C42" s="80">
        <f>D42/B42</f>
        <v>1.9999001049876032E-4</v>
      </c>
      <c r="D42" s="81">
        <f>D40-D41</f>
        <v>889.756444665961</v>
      </c>
      <c r="L42" s="77"/>
    </row>
    <row r="43" spans="1:12" ht="13.5" customHeight="1">
      <c r="A43" s="74" t="s">
        <v>35</v>
      </c>
      <c r="B43" s="82">
        <f>E56</f>
        <v>4444.4444444444453</v>
      </c>
      <c r="C43" s="4"/>
      <c r="D43" s="42">
        <f>(B43*D42*B42)/(B43+(B42))^2</f>
        <v>0.88707128169122762</v>
      </c>
      <c r="L43" s="77"/>
    </row>
    <row r="44" spans="1:12" ht="13.5" customHeight="1">
      <c r="A44" s="83" t="s">
        <v>36</v>
      </c>
      <c r="B44" s="84">
        <f>B42+B43</f>
        <v>4453448.8844510932</v>
      </c>
      <c r="C44" s="53">
        <f>D44/B44</f>
        <v>1.9959123736385421E-4</v>
      </c>
      <c r="D44" s="85">
        <f>D42-D43</f>
        <v>888.86937338426981</v>
      </c>
      <c r="E44" s="86"/>
      <c r="F44" s="87"/>
      <c r="G44" s="88">
        <v>4000000</v>
      </c>
      <c r="H44" s="58">
        <v>0</v>
      </c>
      <c r="I44" s="58">
        <f>G44+H44</f>
        <v>4000000</v>
      </c>
      <c r="J44" s="60">
        <f>(G44/I44)*B44</f>
        <v>4453448.8844510932</v>
      </c>
      <c r="K44" s="60">
        <f>(G44/I44)*D44</f>
        <v>888.86937338426981</v>
      </c>
      <c r="L44" s="61">
        <f>J44+K44/C44</f>
        <v>8906897.7689021863</v>
      </c>
    </row>
    <row r="45" spans="1:12" ht="13.5" customHeight="1">
      <c r="A45" s="5"/>
      <c r="B45" s="5"/>
      <c r="C45" s="5"/>
      <c r="D45" s="5"/>
      <c r="E45" s="89"/>
      <c r="F45" s="5"/>
      <c r="G45" s="5"/>
      <c r="H45" s="5"/>
      <c r="I45" s="5"/>
      <c r="J45" s="5"/>
      <c r="K45" s="5"/>
      <c r="L45" s="5"/>
    </row>
    <row r="46" spans="1:12" ht="13.5" customHeight="1">
      <c r="A46" s="47" t="s">
        <v>37</v>
      </c>
      <c r="B46" s="49" t="s">
        <v>38</v>
      </c>
      <c r="C46" s="49" t="s">
        <v>39</v>
      </c>
      <c r="D46" s="49" t="s">
        <v>11</v>
      </c>
      <c r="E46" s="90" t="s">
        <v>40</v>
      </c>
      <c r="F46" s="49" t="s">
        <v>41</v>
      </c>
      <c r="G46" s="49" t="s">
        <v>42</v>
      </c>
      <c r="H46" s="49" t="s">
        <v>43</v>
      </c>
      <c r="I46" s="90" t="s">
        <v>44</v>
      </c>
      <c r="J46" s="49"/>
      <c r="K46" s="49" t="s">
        <v>45</v>
      </c>
      <c r="L46" s="91" t="s">
        <v>46</v>
      </c>
    </row>
    <row r="47" spans="1:12" ht="13.5" customHeight="1">
      <c r="A47" s="92" t="s">
        <v>47</v>
      </c>
      <c r="B47" s="93">
        <v>4000</v>
      </c>
      <c r="C47" s="80">
        <f>D47/B47</f>
        <v>2.5000000000000001E-4</v>
      </c>
      <c r="D47" s="93">
        <v>1</v>
      </c>
      <c r="E47" s="94">
        <f>B47/B10</f>
        <v>9.9900000199550911E-4</v>
      </c>
      <c r="F47" s="95" t="s">
        <v>48</v>
      </c>
      <c r="G47" s="67">
        <f>B47*E23</f>
        <v>40000</v>
      </c>
      <c r="H47" s="67">
        <f>D47*D33</f>
        <v>40000</v>
      </c>
      <c r="I47" s="67">
        <f>G47+H47</f>
        <v>80000</v>
      </c>
      <c r="K47" s="67">
        <f>I47</f>
        <v>80000</v>
      </c>
      <c r="L47" s="96">
        <f>K47-I47</f>
        <v>0</v>
      </c>
    </row>
    <row r="48" spans="1:12" ht="13.5" customHeight="1">
      <c r="A48" s="92"/>
      <c r="L48" s="77"/>
    </row>
    <row r="49" spans="1:12" ht="13.5" customHeight="1">
      <c r="A49" s="92" t="s">
        <v>49</v>
      </c>
      <c r="B49" s="93">
        <v>4000</v>
      </c>
      <c r="C49" s="80">
        <f>D49/B49</f>
        <v>2.5000000000000001E-4</v>
      </c>
      <c r="D49" s="93">
        <v>1</v>
      </c>
      <c r="G49" s="67">
        <f>B49*B32</f>
        <v>40000</v>
      </c>
      <c r="H49" s="67">
        <f>D49*B33</f>
        <v>40000</v>
      </c>
      <c r="I49" s="67">
        <f>G49+H49</f>
        <v>80000</v>
      </c>
      <c r="K49" s="67">
        <f>(D49*D33)+(B49*D32)</f>
        <v>80000</v>
      </c>
      <c r="L49" s="96">
        <f>K49-I49</f>
        <v>0</v>
      </c>
    </row>
    <row r="50" spans="1:12" ht="13.5" customHeight="1">
      <c r="A50" s="78"/>
      <c r="L50" s="77"/>
    </row>
    <row r="51" spans="1:12" ht="13.5" customHeight="1">
      <c r="A51" s="97" t="s">
        <v>50</v>
      </c>
      <c r="B51" s="98">
        <f>B40*E47</f>
        <v>4444.4444444444453</v>
      </c>
      <c r="C51" s="99">
        <f>D51/B51</f>
        <v>1.9999999999980198E-4</v>
      </c>
      <c r="D51" s="100">
        <f>D40*E47</f>
        <v>0.88888888888800899</v>
      </c>
      <c r="E51" s="101"/>
      <c r="F51" s="88"/>
      <c r="G51" s="102">
        <f>B51*D32</f>
        <v>44444.444444444453</v>
      </c>
      <c r="H51" s="102">
        <f>D51*D33</f>
        <v>35555.555555520361</v>
      </c>
      <c r="I51" s="102">
        <f>G51+H51</f>
        <v>79999.999999964813</v>
      </c>
      <c r="J51" s="101"/>
      <c r="K51" s="102">
        <f>(D49*D33)+(B49*D32)</f>
        <v>80000</v>
      </c>
      <c r="L51" s="103">
        <f>K51-I51</f>
        <v>3.5186531022191048E-8</v>
      </c>
    </row>
    <row r="52" spans="1:12" ht="13.5" customHeight="1">
      <c r="F52" s="21"/>
    </row>
    <row r="54" spans="1:12" ht="13.5" customHeight="1">
      <c r="A54" s="62" t="s">
        <v>51</v>
      </c>
      <c r="B54" s="156" t="s">
        <v>52</v>
      </c>
      <c r="C54" s="157"/>
      <c r="D54" s="156" t="s">
        <v>53</v>
      </c>
      <c r="E54" s="157"/>
      <c r="F54" s="49"/>
      <c r="G54" s="49" t="s">
        <v>54</v>
      </c>
      <c r="H54" s="49"/>
      <c r="I54" s="49"/>
      <c r="J54" s="49"/>
      <c r="K54" s="91"/>
    </row>
    <row r="55" spans="1:12" ht="13.5" customHeight="1">
      <c r="A55" s="104" t="s">
        <v>55</v>
      </c>
      <c r="B55" s="2" t="s">
        <v>56</v>
      </c>
      <c r="C55" s="2" t="s">
        <v>57</v>
      </c>
      <c r="D55" s="2" t="s">
        <v>77</v>
      </c>
      <c r="E55" s="2" t="s">
        <v>58</v>
      </c>
      <c r="F55" s="2"/>
      <c r="G55" s="2" t="s">
        <v>59</v>
      </c>
      <c r="H55" s="2" t="s">
        <v>60</v>
      </c>
      <c r="I55" s="2" t="s">
        <v>61</v>
      </c>
      <c r="J55" s="2" t="s">
        <v>62</v>
      </c>
      <c r="K55" s="9" t="s">
        <v>63</v>
      </c>
    </row>
    <row r="56" spans="1:12" ht="13.5" customHeight="1">
      <c r="A56" s="105"/>
      <c r="B56" s="65">
        <f>D47</f>
        <v>1</v>
      </c>
      <c r="C56" s="65">
        <f>B47</f>
        <v>4000</v>
      </c>
      <c r="D56" s="106">
        <f>D51</f>
        <v>0.88888888888800899</v>
      </c>
      <c r="E56" s="107">
        <f>B51</f>
        <v>4444.4444444444453</v>
      </c>
      <c r="F56" s="108"/>
      <c r="G56" s="108">
        <f>E56/D56</f>
        <v>5000.0000000049504</v>
      </c>
      <c r="H56" s="109">
        <f>(C56-E56)+(B56-D56)*G56</f>
        <v>111.11111111605987</v>
      </c>
      <c r="I56" s="110">
        <v>1</v>
      </c>
      <c r="J56" s="111">
        <f>H56*I56</f>
        <v>111.11111111605987</v>
      </c>
      <c r="K56" s="103">
        <f>J56*8</f>
        <v>888.88888892847899</v>
      </c>
    </row>
    <row r="57" spans="1:12" ht="13.5" customHeight="1"/>
    <row r="58" spans="1:12" ht="13.5" customHeight="1">
      <c r="A58" s="101"/>
      <c r="B58" s="101"/>
      <c r="C58" s="101"/>
      <c r="D58" s="101"/>
      <c r="E58" s="101"/>
      <c r="F58" s="101"/>
      <c r="G58" s="101"/>
      <c r="H58" s="101"/>
      <c r="I58" s="101"/>
      <c r="J58" s="101"/>
      <c r="K58" s="101"/>
    </row>
    <row r="59" spans="1:12" ht="13.5" customHeight="1">
      <c r="A59" s="112" t="s">
        <v>64</v>
      </c>
      <c r="D59" s="112" t="s">
        <v>65</v>
      </c>
      <c r="I59" s="112" t="s">
        <v>66</v>
      </c>
    </row>
    <row r="60" spans="1:12" ht="13.5" customHeight="1">
      <c r="A60" s="113" t="s">
        <v>38</v>
      </c>
      <c r="B60" s="114">
        <f>E56+H56</f>
        <v>4555.5555555605051</v>
      </c>
      <c r="D60" s="113" t="s">
        <v>67</v>
      </c>
      <c r="E60" s="115">
        <f>D51</f>
        <v>0.88888888888800899</v>
      </c>
      <c r="I60" s="116" t="s">
        <v>68</v>
      </c>
    </row>
    <row r="61" spans="1:12" ht="13.5" customHeight="1">
      <c r="A61" s="113" t="s">
        <v>11</v>
      </c>
      <c r="B61" s="117">
        <f>D56</f>
        <v>0.88888888888800899</v>
      </c>
      <c r="D61" s="113" t="s">
        <v>69</v>
      </c>
      <c r="E61" s="118">
        <f>D41</f>
        <v>2.2221112264769655E-2</v>
      </c>
      <c r="I61" s="158" t="s">
        <v>81</v>
      </c>
    </row>
    <row r="62" spans="1:12" ht="13.5" customHeight="1">
      <c r="D62" s="113" t="s">
        <v>35</v>
      </c>
      <c r="E62" s="118">
        <f>D43</f>
        <v>0.88707128169122762</v>
      </c>
      <c r="I62" s="119" t="s">
        <v>70</v>
      </c>
      <c r="J62" s="120">
        <f>C56+(B56*G56)</f>
        <v>9000.0000000049513</v>
      </c>
    </row>
    <row r="63" spans="1:12" ht="13.5" customHeight="1">
      <c r="D63" s="113" t="s">
        <v>71</v>
      </c>
      <c r="E63" s="115">
        <f>SUM(E60:E62)</f>
        <v>1.7981812828440062</v>
      </c>
      <c r="I63" s="121" t="s">
        <v>72</v>
      </c>
      <c r="J63" s="122">
        <f>E56+(D56*G56)</f>
        <v>8888.8888888888905</v>
      </c>
    </row>
    <row r="64" spans="1:12" ht="13.5" customHeight="1">
      <c r="E64" s="123"/>
      <c r="I64" s="119" t="s">
        <v>73</v>
      </c>
      <c r="J64" s="124">
        <f>J62-J63</f>
        <v>111.11111111606078</v>
      </c>
    </row>
    <row r="65" spans="2:5" ht="13.5" customHeight="1">
      <c r="B65" s="134"/>
      <c r="C65" s="135"/>
      <c r="D65" s="125" t="s">
        <v>74</v>
      </c>
      <c r="E65" s="119">
        <v>2</v>
      </c>
    </row>
    <row r="66" spans="2:5" ht="13.5" customHeight="1">
      <c r="D66" s="113" t="s">
        <v>75</v>
      </c>
      <c r="E66" s="126">
        <f>E63-E65</f>
        <v>-0.20181871715599375</v>
      </c>
    </row>
    <row r="67" spans="2:5" ht="13.5" customHeight="1"/>
    <row r="68" spans="2:5" ht="13.5" customHeight="1"/>
    <row r="69" spans="2:5" ht="13.5" customHeight="1">
      <c r="D69" s="132" t="s">
        <v>76</v>
      </c>
      <c r="E69" s="129">
        <f>E63*G47</f>
        <v>71927.251313760251</v>
      </c>
    </row>
    <row r="70" spans="2:5" ht="13.5" customHeight="1"/>
    <row r="71" spans="2:5" ht="13.5" customHeight="1"/>
    <row r="72" spans="2:5" ht="13.5" customHeight="1"/>
    <row r="73" spans="2:5" ht="13.5" customHeight="1">
      <c r="D73" s="127"/>
    </row>
    <row r="74" spans="2:5" ht="13.5" customHeight="1">
      <c r="D74" s="128"/>
    </row>
    <row r="75" spans="2:5" ht="13.5" customHeight="1">
      <c r="D75" s="128"/>
    </row>
    <row r="76" spans="2:5" ht="13.5" customHeight="1">
      <c r="D76" s="128"/>
    </row>
    <row r="77" spans="2:5" ht="13.5" customHeight="1">
      <c r="D77" s="128"/>
    </row>
    <row r="78" spans="2:5" ht="13.5" customHeight="1"/>
    <row r="79" spans="2:5" ht="13.5" customHeight="1"/>
    <row r="80" spans="2:5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  <row r="1002" ht="13.5" customHeight="1"/>
    <row r="1003" ht="13.5" customHeight="1"/>
    <row r="1004" ht="13.5" customHeight="1"/>
    <row r="1005" ht="13.5" customHeight="1"/>
    <row r="1006" ht="13.5" customHeight="1"/>
    <row r="1007" ht="13.5" customHeight="1"/>
    <row r="1008" ht="13.5" customHeight="1"/>
    <row r="1009" ht="13.5" customHeight="1"/>
  </sheetData>
  <mergeCells count="2">
    <mergeCell ref="B54:C54"/>
    <mergeCell ref="D54:E54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Sym, Asym, IL &amp; ILP</vt:lpstr>
    </vt:vector>
  </TitlesOfParts>
  <Company>GrassRoots Crypto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2021-08-16T06:43:34Z</dcterms:created>
  <dcterms:modified xsi:type="dcterms:W3CDTF">2021-08-16T06:45:33Z</dcterms:modified>
</cp:coreProperties>
</file>