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Development\DevWorkSpace\gitRepos\GrassRootsCrypto\GrassRootsCrypto.github.io\assets\documents\"/>
    </mc:Choice>
  </mc:AlternateContent>
  <xr:revisionPtr revIDLastSave="0" documentId="13_ncr:1_{D4316584-9792-42C9-9963-792F6604E9DB}" xr6:coauthVersionLast="47" xr6:coauthVersionMax="47" xr10:uidLastSave="{00000000-0000-0000-0000-000000000000}"/>
  <bookViews>
    <workbookView xWindow="-108" yWindow="-108" windowWidth="46296" windowHeight="25536" firstSheet="2" activeTab="2" xr2:uid="{00000000-000D-0000-FFFF-FFFF00000000}"/>
  </bookViews>
  <sheets>
    <sheet name="Synth Example" sheetId="1" state="hidden" r:id="rId1"/>
    <sheet name="Sym, Asym, IL &amp; ILP" sheetId="2" state="hidden" r:id="rId2"/>
    <sheet name="THORFi" sheetId="5" r:id="rId3"/>
    <sheet name="LP Units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5" l="1"/>
  <c r="C44" i="5"/>
  <c r="C43" i="5"/>
  <c r="D43" i="5" s="1"/>
  <c r="F20" i="5"/>
  <c r="B6" i="5"/>
  <c r="D9" i="5"/>
  <c r="B9" i="5"/>
  <c r="N39" i="5"/>
  <c r="D24" i="5" s="1"/>
  <c r="H35" i="5"/>
  <c r="G7" i="5"/>
  <c r="C7" i="5"/>
  <c r="B5" i="5"/>
  <c r="C6" i="5"/>
  <c r="D5" i="5"/>
  <c r="C4" i="5"/>
  <c r="B24" i="5" l="1"/>
  <c r="B28" i="5" s="1"/>
  <c r="F46" i="5" s="1"/>
  <c r="B14" i="5"/>
  <c r="C47" i="5" s="1"/>
  <c r="B8" i="5"/>
  <c r="G5" i="5"/>
  <c r="D8" i="5"/>
  <c r="G6" i="5"/>
  <c r="C5" i="5"/>
  <c r="C9" i="5" s="1"/>
  <c r="D27" i="5"/>
  <c r="B27" i="5"/>
  <c r="G23" i="5"/>
  <c r="G24" i="5" s="1"/>
  <c r="C23" i="5"/>
  <c r="G4" i="5"/>
  <c r="K82" i="2"/>
  <c r="K85" i="2"/>
  <c r="K81" i="2"/>
  <c r="K78" i="2"/>
  <c r="K80" i="2"/>
  <c r="C49" i="2"/>
  <c r="C47" i="2"/>
  <c r="D32" i="2"/>
  <c r="D35" i="2" s="1"/>
  <c r="C15" i="2"/>
  <c r="I74" i="4"/>
  <c r="K74" i="4" s="1"/>
  <c r="B82" i="4"/>
  <c r="B77" i="4" s="1"/>
  <c r="B78" i="4" s="1"/>
  <c r="C80" i="4"/>
  <c r="I76" i="4"/>
  <c r="D76" i="4"/>
  <c r="D78" i="4" s="1"/>
  <c r="C74" i="4"/>
  <c r="B70" i="4"/>
  <c r="C68" i="4"/>
  <c r="I64" i="4"/>
  <c r="B66" i="4"/>
  <c r="I62" i="4"/>
  <c r="K62" i="4" s="1"/>
  <c r="C62" i="4"/>
  <c r="B55" i="4"/>
  <c r="B17" i="4"/>
  <c r="E4" i="4"/>
  <c r="E12" i="4"/>
  <c r="E11" i="4"/>
  <c r="E5" i="4"/>
  <c r="D55" i="4"/>
  <c r="D58" i="4" s="1"/>
  <c r="I43" i="4"/>
  <c r="I41" i="4"/>
  <c r="D41" i="4"/>
  <c r="B40" i="4"/>
  <c r="B41" i="4" s="1"/>
  <c r="G38" i="4"/>
  <c r="F38" i="4"/>
  <c r="C38" i="4"/>
  <c r="I33" i="4"/>
  <c r="D32" i="4"/>
  <c r="D29" i="4"/>
  <c r="B28" i="4"/>
  <c r="B29" i="4" s="1"/>
  <c r="I27" i="4"/>
  <c r="J27" i="4" s="1"/>
  <c r="F27" i="4"/>
  <c r="C27" i="4"/>
  <c r="D28" i="5" l="1"/>
  <c r="F47" i="5" s="1"/>
  <c r="M48" i="5" s="1"/>
  <c r="F24" i="5"/>
  <c r="C8" i="5"/>
  <c r="G8" i="5"/>
  <c r="C55" i="5"/>
  <c r="C45" i="5"/>
  <c r="C46" i="5"/>
  <c r="C27" i="5"/>
  <c r="D14" i="5"/>
  <c r="C14" i="5" s="1"/>
  <c r="B34" i="5"/>
  <c r="B15" i="5" s="1"/>
  <c r="B16" i="5"/>
  <c r="B18" i="5" s="1"/>
  <c r="G27" i="5"/>
  <c r="N40" i="5" s="1"/>
  <c r="J4" i="5"/>
  <c r="K76" i="4"/>
  <c r="D77" i="4"/>
  <c r="F78" i="4" s="1"/>
  <c r="J76" i="4"/>
  <c r="C78" i="4"/>
  <c r="D79" i="4"/>
  <c r="B79" i="4" s="1"/>
  <c r="B80" i="4" s="1"/>
  <c r="J74" i="4"/>
  <c r="L74" i="4" s="1"/>
  <c r="D64" i="4"/>
  <c r="J62" i="4"/>
  <c r="L62" i="4" s="1"/>
  <c r="J64" i="4"/>
  <c r="E6" i="4"/>
  <c r="E7" i="4" s="1"/>
  <c r="C41" i="4"/>
  <c r="B43" i="4"/>
  <c r="J43" i="4" s="1"/>
  <c r="E40" i="4"/>
  <c r="K27" i="4"/>
  <c r="L27" i="4" s="1"/>
  <c r="D42" i="4"/>
  <c r="D43" i="4" s="1"/>
  <c r="K41" i="4"/>
  <c r="L57" i="4"/>
  <c r="B56" i="4"/>
  <c r="F29" i="4"/>
  <c r="D30" i="4"/>
  <c r="D31" i="4" s="1"/>
  <c r="B31" i="4"/>
  <c r="C29" i="4"/>
  <c r="C48" i="4"/>
  <c r="F48" i="4"/>
  <c r="E28" i="4"/>
  <c r="I38" i="4"/>
  <c r="K38" i="4" s="1"/>
  <c r="G48" i="4"/>
  <c r="G51" i="4"/>
  <c r="J41" i="4"/>
  <c r="C56" i="2"/>
  <c r="B56" i="2"/>
  <c r="H47" i="2"/>
  <c r="I47" i="2" s="1"/>
  <c r="K47" i="2" s="1"/>
  <c r="L47" i="2" s="1"/>
  <c r="G47" i="2"/>
  <c r="I44" i="2"/>
  <c r="I40" i="2"/>
  <c r="B25" i="2"/>
  <c r="I20" i="2"/>
  <c r="I18" i="2"/>
  <c r="D18" i="2"/>
  <c r="B17" i="2"/>
  <c r="B18" i="2" s="1"/>
  <c r="B20" i="2" s="1"/>
  <c r="G15" i="2"/>
  <c r="I15" i="2" s="1"/>
  <c r="J15" i="2" s="1"/>
  <c r="F15" i="2"/>
  <c r="I10" i="2"/>
  <c r="D9" i="2"/>
  <c r="D6" i="2"/>
  <c r="B5" i="2"/>
  <c r="B6" i="2" s="1"/>
  <c r="I4" i="2"/>
  <c r="K4" i="2" s="1"/>
  <c r="F4" i="2"/>
  <c r="C4" i="2"/>
  <c r="B55" i="1"/>
  <c r="D54" i="1"/>
  <c r="F54" i="1" s="1"/>
  <c r="H53" i="1"/>
  <c r="H55" i="1" s="1"/>
  <c r="C53" i="1"/>
  <c r="I44" i="1"/>
  <c r="D43" i="1"/>
  <c r="F40" i="1"/>
  <c r="F42" i="1" s="1"/>
  <c r="I28" i="1"/>
  <c r="I26" i="1"/>
  <c r="I17" i="1"/>
  <c r="B17" i="1"/>
  <c r="B19" i="1" s="1"/>
  <c r="I15" i="1"/>
  <c r="D15" i="1"/>
  <c r="C15" i="1" s="1"/>
  <c r="I10" i="1"/>
  <c r="I8" i="1"/>
  <c r="I6" i="1"/>
  <c r="B6" i="1"/>
  <c r="J6" i="1" s="1"/>
  <c r="D5" i="1"/>
  <c r="D6" i="1" s="1"/>
  <c r="D8" i="1" s="1"/>
  <c r="I4" i="1"/>
  <c r="K4" i="1" s="1"/>
  <c r="C4" i="1"/>
  <c r="G28" i="5" l="1"/>
  <c r="F43" i="5"/>
  <c r="B35" i="5"/>
  <c r="F28" i="5" s="1"/>
  <c r="D15" i="5"/>
  <c r="D17" i="5" s="1"/>
  <c r="C40" i="5"/>
  <c r="C48" i="5"/>
  <c r="D18" i="5"/>
  <c r="G18" i="5" s="1"/>
  <c r="D16" i="5"/>
  <c r="C18" i="5" s="1"/>
  <c r="C16" i="5"/>
  <c r="G14" i="5"/>
  <c r="M13" i="5"/>
  <c r="L4" i="5"/>
  <c r="K4" i="5"/>
  <c r="E5" i="2"/>
  <c r="F80" i="4"/>
  <c r="H80" i="4" s="1"/>
  <c r="H78" i="4"/>
  <c r="G53" i="1"/>
  <c r="C25" i="2"/>
  <c r="B32" i="2"/>
  <c r="G25" i="2"/>
  <c r="K18" i="2"/>
  <c r="G28" i="2"/>
  <c r="I78" i="4"/>
  <c r="K78" i="4" s="1"/>
  <c r="J78" i="4"/>
  <c r="D80" i="4"/>
  <c r="D65" i="4"/>
  <c r="F66" i="4" s="1"/>
  <c r="D66" i="4"/>
  <c r="D67" i="4" s="1"/>
  <c r="K64" i="4"/>
  <c r="F43" i="4"/>
  <c r="E13" i="4"/>
  <c r="C43" i="4"/>
  <c r="K43" i="4"/>
  <c r="L43" i="4" s="1"/>
  <c r="D33" i="4"/>
  <c r="C31" i="4"/>
  <c r="I48" i="4"/>
  <c r="K48" i="4" s="1"/>
  <c r="I51" i="4"/>
  <c r="J38" i="4"/>
  <c r="L38" i="4" s="1"/>
  <c r="B58" i="4"/>
  <c r="B33" i="4"/>
  <c r="F31" i="4"/>
  <c r="K15" i="2"/>
  <c r="L15" i="2" s="1"/>
  <c r="D26" i="1"/>
  <c r="K26" i="1" s="1"/>
  <c r="J4" i="1"/>
  <c r="L4" i="1" s="1"/>
  <c r="D17" i="1"/>
  <c r="D19" i="1" s="1"/>
  <c r="D21" i="1" s="1"/>
  <c r="O18" i="1" s="1"/>
  <c r="K8" i="1"/>
  <c r="K15" i="1"/>
  <c r="B20" i="1"/>
  <c r="B21" i="1" s="1"/>
  <c r="K49" i="2"/>
  <c r="K6" i="1"/>
  <c r="F6" i="2"/>
  <c r="C6" i="2"/>
  <c r="D7" i="2"/>
  <c r="D8" i="2" s="1"/>
  <c r="I25" i="2"/>
  <c r="K25" i="2" s="1"/>
  <c r="B8" i="1"/>
  <c r="D19" i="2"/>
  <c r="D20" i="2" s="1"/>
  <c r="C18" i="2"/>
  <c r="D10" i="1"/>
  <c r="J15" i="1"/>
  <c r="L15" i="1" s="1"/>
  <c r="B8" i="2"/>
  <c r="J8" i="1"/>
  <c r="D18" i="1"/>
  <c r="J26" i="1"/>
  <c r="H54" i="1"/>
  <c r="I55" i="1" s="1"/>
  <c r="I57" i="1" s="1"/>
  <c r="F55" i="1"/>
  <c r="J20" i="2"/>
  <c r="J17" i="1"/>
  <c r="D55" i="1"/>
  <c r="D56" i="1" s="1"/>
  <c r="B56" i="1" s="1"/>
  <c r="B57" i="1" s="1"/>
  <c r="J4" i="2"/>
  <c r="L4" i="2" s="1"/>
  <c r="J18" i="2"/>
  <c r="I28" i="2"/>
  <c r="K51" i="2"/>
  <c r="E17" i="2"/>
  <c r="F25" i="2"/>
  <c r="D40" i="5" l="1"/>
  <c r="G52" i="5"/>
  <c r="F44" i="5"/>
  <c r="C41" i="5"/>
  <c r="D41" i="5" s="1"/>
  <c r="C56" i="5"/>
  <c r="C58" i="5" s="1"/>
  <c r="M4" i="5"/>
  <c r="B17" i="5"/>
  <c r="H14" i="5"/>
  <c r="B27" i="1"/>
  <c r="D28" i="1"/>
  <c r="C26" i="1"/>
  <c r="L26" i="1" s="1"/>
  <c r="C19" i="1"/>
  <c r="I80" i="4"/>
  <c r="B33" i="2"/>
  <c r="L34" i="2"/>
  <c r="G49" i="2"/>
  <c r="H49" i="2"/>
  <c r="I49" i="2" s="1"/>
  <c r="L49" i="2" s="1"/>
  <c r="K80" i="4"/>
  <c r="J80" i="4"/>
  <c r="C66" i="4"/>
  <c r="F68" i="4"/>
  <c r="H66" i="4"/>
  <c r="I66" i="4" s="1"/>
  <c r="J48" i="4"/>
  <c r="L48" i="4" s="1"/>
  <c r="E33" i="4"/>
  <c r="B51" i="4"/>
  <c r="J51" i="4" s="1"/>
  <c r="F33" i="4"/>
  <c r="J33" i="4"/>
  <c r="E32" i="4"/>
  <c r="C33" i="4"/>
  <c r="D51" i="4"/>
  <c r="K33" i="4"/>
  <c r="K17" i="1"/>
  <c r="J25" i="2"/>
  <c r="L25" i="2" s="1"/>
  <c r="B29" i="1"/>
  <c r="B28" i="1"/>
  <c r="C28" i="1" s="1"/>
  <c r="D30" i="1"/>
  <c r="K28" i="1"/>
  <c r="K20" i="2"/>
  <c r="C20" i="2"/>
  <c r="F20" i="2"/>
  <c r="O17" i="1"/>
  <c r="C21" i="1"/>
  <c r="F8" i="2"/>
  <c r="B10" i="2"/>
  <c r="B9" i="1"/>
  <c r="B10" i="1" s="1"/>
  <c r="D10" i="2"/>
  <c r="C8" i="2"/>
  <c r="C8" i="1"/>
  <c r="D57" i="1"/>
  <c r="C57" i="1" s="1"/>
  <c r="C55" i="1"/>
  <c r="H56" i="1"/>
  <c r="O26" i="1"/>
  <c r="F19" i="1"/>
  <c r="G55" i="1"/>
  <c r="K10" i="1"/>
  <c r="C51" i="5" l="1"/>
  <c r="D51" i="5" s="1"/>
  <c r="C52" i="5"/>
  <c r="G16" i="5"/>
  <c r="H16" i="5" s="1"/>
  <c r="B35" i="2"/>
  <c r="L20" i="2"/>
  <c r="L80" i="4"/>
  <c r="J66" i="4"/>
  <c r="K66" i="4"/>
  <c r="L33" i="4"/>
  <c r="C51" i="4"/>
  <c r="L56" i="4"/>
  <c r="F51" i="4"/>
  <c r="K51" i="4"/>
  <c r="O27" i="1"/>
  <c r="J10" i="1"/>
  <c r="C10" i="1"/>
  <c r="B30" i="1"/>
  <c r="B31" i="1" s="1"/>
  <c r="J28" i="1"/>
  <c r="C30" i="1"/>
  <c r="D29" i="1"/>
  <c r="E47" i="2"/>
  <c r="B28" i="2"/>
  <c r="F10" i="2"/>
  <c r="J10" i="2"/>
  <c r="D28" i="2"/>
  <c r="K10" i="2"/>
  <c r="C10" i="2"/>
  <c r="O15" i="1"/>
  <c r="H19" i="1"/>
  <c r="I19" i="1" s="1"/>
  <c r="F21" i="1"/>
  <c r="H21" i="1" s="1"/>
  <c r="I21" i="1" s="1"/>
  <c r="F56" i="1"/>
  <c r="F57" i="1" s="1"/>
  <c r="H57" i="1"/>
  <c r="L51" i="4" l="1"/>
  <c r="B40" i="2"/>
  <c r="L33" i="2"/>
  <c r="L10" i="2"/>
  <c r="L10" i="1"/>
  <c r="B32" i="1"/>
  <c r="B40" i="1" s="1"/>
  <c r="B36" i="1" s="1"/>
  <c r="D31" i="1"/>
  <c r="D32" i="1" s="1"/>
  <c r="O19" i="1"/>
  <c r="K21" i="1"/>
  <c r="J21" i="1"/>
  <c r="F28" i="2"/>
  <c r="J28" i="2"/>
  <c r="G57" i="1"/>
  <c r="B35" i="1"/>
  <c r="D35" i="1" s="1"/>
  <c r="D36" i="1" s="1"/>
  <c r="F43" i="1"/>
  <c r="F41" i="1" s="1"/>
  <c r="F30" i="1"/>
  <c r="J19" i="1"/>
  <c r="K19" i="1"/>
  <c r="O16" i="1"/>
  <c r="O22" i="1"/>
  <c r="O21" i="1"/>
  <c r="C28" i="2"/>
  <c r="D40" i="2"/>
  <c r="D51" i="2" s="1"/>
  <c r="K28" i="2"/>
  <c r="L35" i="2" l="1"/>
  <c r="B51" i="2"/>
  <c r="L21" i="1"/>
  <c r="L28" i="2"/>
  <c r="F32" i="1"/>
  <c r="H32" i="1" s="1"/>
  <c r="I32" i="1" s="1"/>
  <c r="H30" i="1"/>
  <c r="I30" i="1" s="1"/>
  <c r="F40" i="2"/>
  <c r="J40" i="2"/>
  <c r="C32" i="1"/>
  <c r="D40" i="1"/>
  <c r="K40" i="2"/>
  <c r="C40" i="2"/>
  <c r="B41" i="1"/>
  <c r="B42" i="1" s="1"/>
  <c r="C36" i="1"/>
  <c r="L40" i="2" l="1"/>
  <c r="E56" i="2"/>
  <c r="G51" i="2"/>
  <c r="C51" i="2"/>
  <c r="E60" i="2"/>
  <c r="H51" i="2"/>
  <c r="D56" i="2"/>
  <c r="B61" i="2" s="1"/>
  <c r="B43" i="1"/>
  <c r="B45" i="1" s="1"/>
  <c r="C40" i="1"/>
  <c r="H40" i="1"/>
  <c r="I40" i="1" s="1"/>
  <c r="K30" i="1"/>
  <c r="J30" i="1"/>
  <c r="D41" i="1"/>
  <c r="D42" i="1" s="1"/>
  <c r="K32" i="1"/>
  <c r="J32" i="1"/>
  <c r="L32" i="1" l="1"/>
  <c r="K40" i="1"/>
  <c r="J40" i="1"/>
  <c r="C42" i="1"/>
  <c r="D44" i="1"/>
  <c r="H42" i="1"/>
  <c r="I42" i="1" s="1"/>
  <c r="B44" i="1"/>
  <c r="I51" i="2"/>
  <c r="L51" i="2" s="1"/>
  <c r="G56" i="2"/>
  <c r="J62" i="2" s="1"/>
  <c r="B43" i="2"/>
  <c r="L40" i="1" l="1"/>
  <c r="J63" i="2"/>
  <c r="J64" i="2" s="1"/>
  <c r="B46" i="1"/>
  <c r="J44" i="1"/>
  <c r="D45" i="1"/>
  <c r="D46" i="1" s="1"/>
  <c r="C44" i="1"/>
  <c r="K44" i="1"/>
  <c r="K42" i="1"/>
  <c r="J42" i="1"/>
  <c r="H56" i="2"/>
  <c r="B60" i="2" s="1"/>
  <c r="H46" i="1" l="1"/>
  <c r="I46" i="1" s="1"/>
  <c r="C46" i="1"/>
  <c r="D47" i="1"/>
  <c r="B47" i="1" s="1"/>
  <c r="B48" i="1" s="1"/>
  <c r="L42" i="1"/>
  <c r="J56" i="2"/>
  <c r="K56" i="2" s="1"/>
  <c r="B41" i="2"/>
  <c r="D41" i="2" l="1"/>
  <c r="B42" i="2"/>
  <c r="B44" i="2" s="1"/>
  <c r="J44" i="2" s="1"/>
  <c r="D48" i="1"/>
  <c r="J46" i="1"/>
  <c r="K46" i="1"/>
  <c r="C48" i="1" l="1"/>
  <c r="H48" i="1"/>
  <c r="I48" i="1" s="1"/>
  <c r="E61" i="2"/>
  <c r="D42" i="2"/>
  <c r="K48" i="1" l="1"/>
  <c r="J48" i="1"/>
  <c r="C42" i="2"/>
  <c r="D43" i="2"/>
  <c r="E62" i="2" s="1"/>
  <c r="E63" i="2" s="1"/>
  <c r="E66" i="2" l="1"/>
  <c r="E69" i="2"/>
  <c r="D44" i="2"/>
  <c r="L48" i="1"/>
  <c r="M48" i="1" s="1"/>
  <c r="K44" i="2" l="1"/>
  <c r="C44" i="2"/>
  <c r="D68" i="4"/>
  <c r="H68" i="4" s="1"/>
  <c r="I68" i="4" s="1"/>
  <c r="B67" i="4"/>
  <c r="B68" i="4" s="1"/>
  <c r="L44" i="2" l="1"/>
  <c r="K68" i="4"/>
  <c r="J68" i="4"/>
  <c r="L68" i="4" l="1"/>
</calcChain>
</file>

<file path=xl/sharedStrings.xml><?xml version="1.0" encoding="utf-8"?>
<sst xmlns="http://schemas.openxmlformats.org/spreadsheetml/2006/main" count="487" uniqueCount="232">
  <si>
    <t>Input</t>
  </si>
  <si>
    <t>Output</t>
  </si>
  <si>
    <t>Synth</t>
  </si>
  <si>
    <t xml:space="preserve"> y =(x*X*Y)/(x+X)^2</t>
  </si>
  <si>
    <t>1. Normal Swap</t>
  </si>
  <si>
    <t>RUNE</t>
  </si>
  <si>
    <t>Price</t>
  </si>
  <si>
    <t>ASSET</t>
  </si>
  <si>
    <t>Synth Depth Mult</t>
  </si>
  <si>
    <t>Synths</t>
  </si>
  <si>
    <t>liquidityUnits</t>
  </si>
  <si>
    <t>synthUnits</t>
  </si>
  <si>
    <t>poolUnits</t>
  </si>
  <si>
    <t>LP-RUNE</t>
  </si>
  <si>
    <t>LP-ASSET</t>
  </si>
  <si>
    <t>LP-Value</t>
  </si>
  <si>
    <t>Start Balance</t>
  </si>
  <si>
    <t>TRADE  (Rune in, Asset Out)</t>
  </si>
  <si>
    <t>End Balance</t>
  </si>
  <si>
    <t>MINT</t>
  </si>
  <si>
    <t>ARB (Asset in, Rune Out)</t>
  </si>
  <si>
    <t>synthAmount = (r * R * A)/(r + R)^2</t>
  </si>
  <si>
    <t>2. RUNE-&gt;Synth Mint</t>
  </si>
  <si>
    <t>(S*L)/(2*A-S)</t>
  </si>
  <si>
    <t>synthAmount = (r * R * 2 * A * 2)/(r + (R * 2))^2</t>
  </si>
  <si>
    <t>price</t>
  </si>
  <si>
    <t>Total Synths</t>
  </si>
  <si>
    <t>TRADE</t>
  </si>
  <si>
    <t>Synth Units</t>
  </si>
  <si>
    <t>Asset Depth</t>
  </si>
  <si>
    <t>MINT (Rune in, Synth Out)</t>
  </si>
  <si>
    <t>Rune Depth</t>
  </si>
  <si>
    <t>Pool Units</t>
  </si>
  <si>
    <t>Rune Value of Synth</t>
  </si>
  <si>
    <t>runeCollateralOfSynth</t>
  </si>
  <si>
    <t>3. ASSET-&gt;Synth Mint</t>
  </si>
  <si>
    <t>Synth Value To Redeem</t>
  </si>
  <si>
    <t>TRADE (Asset in, Rune Out)</t>
  </si>
  <si>
    <t>Asset Output</t>
  </si>
  <si>
    <t>rune = (s*A* R)/(s+A)^2</t>
  </si>
  <si>
    <t>rune = (s*A*2* R*2)/(s+(A*2))^2</t>
  </si>
  <si>
    <t>ARB (Rune in Asset Out)</t>
  </si>
  <si>
    <t>Gains</t>
  </si>
  <si>
    <t>In</t>
  </si>
  <si>
    <t>Out</t>
  </si>
  <si>
    <t>Interest Rate</t>
  </si>
  <si>
    <t>Approx Term</t>
  </si>
  <si>
    <t>Synth Vault Gains</t>
  </si>
  <si>
    <t>6 months</t>
  </si>
  <si>
    <t>Liquidity Pool Gains</t>
  </si>
  <si>
    <t>4. Synth -&gt; Asset Redeem</t>
  </si>
  <si>
    <t>Overall Pool Gain</t>
  </si>
  <si>
    <t>LP GAINS (Pool Growth)</t>
  </si>
  <si>
    <t>BURN / Redeem (Synth in, Rune Out)</t>
  </si>
  <si>
    <t>TRADE (Rune in, Asset Out)</t>
  </si>
  <si>
    <t>5. Synth -&gt; Synth Swap</t>
  </si>
  <si>
    <t>BTC Pool</t>
  </si>
  <si>
    <t>ETH Pool</t>
  </si>
  <si>
    <t>START</t>
  </si>
  <si>
    <t>BURN</t>
  </si>
  <si>
    <t>ARB</t>
  </si>
  <si>
    <t>BTC Pool for Symmetrical Addition</t>
  </si>
  <si>
    <t>BTC</t>
  </si>
  <si>
    <t>Fee</t>
  </si>
  <si>
    <t>Rune / BTC Check</t>
  </si>
  <si>
    <t>Swap  (Rune in, Asset Out)</t>
  </si>
  <si>
    <t>ARB (Rune In, Asset Out)</t>
  </si>
  <si>
    <t>Symmetrical Add (Rune, Asset)</t>
  </si>
  <si>
    <t>BTC Pool for Asymmetrical Addition</t>
  </si>
  <si>
    <t>BTC Price</t>
  </si>
  <si>
    <t>Add (Rune, Asset)</t>
  </si>
  <si>
    <t>BUSD Pool - Rune Price -</t>
  </si>
  <si>
    <t>Org Price</t>
  </si>
  <si>
    <t>BUSD Price</t>
  </si>
  <si>
    <t>BUSD</t>
  </si>
  <si>
    <t>Balance</t>
  </si>
  <si>
    <t>BTC Pool - Rune at $10</t>
  </si>
  <si>
    <t>Pool Price vs Market Price</t>
  </si>
  <si>
    <t>Pool Price</t>
  </si>
  <si>
    <t>Market Price</t>
  </si>
  <si>
    <t>Rune Price =</t>
  </si>
  <si>
    <t>BTC Price =</t>
  </si>
  <si>
    <t>BTC to Rune Ratio</t>
  </si>
  <si>
    <t>Change Rune Price from $10 to $8</t>
  </si>
  <si>
    <t>BTC Pool - Rune at $8</t>
  </si>
  <si>
    <t>IL Swap</t>
  </si>
  <si>
    <t>Withdraw Swap</t>
  </si>
  <si>
    <t>End Balance (without arbing)</t>
  </si>
  <si>
    <t>Asset and Prices</t>
  </si>
  <si>
    <t>Rune</t>
  </si>
  <si>
    <t>Ratio</t>
  </si>
  <si>
    <t>Ownership</t>
  </si>
  <si>
    <t>Start Depth Rune</t>
  </si>
  <si>
    <t>Rune Value</t>
  </si>
  <si>
    <t>Asset Value</t>
  </si>
  <si>
    <t>Total Value (Pool Value)</t>
  </si>
  <si>
    <t>HOLD Value (Market Value)</t>
  </si>
  <si>
    <t>Difference (IL)</t>
  </si>
  <si>
    <t>Initial Addition</t>
  </si>
  <si>
    <t>Start Depth BTC</t>
  </si>
  <si>
    <t>Right After Market Price Change</t>
  </si>
  <si>
    <t>After Pool Rebalanced (Manually done)</t>
  </si>
  <si>
    <t>IL Protection - Fixed -</t>
  </si>
  <si>
    <t>Added Values</t>
  </si>
  <si>
    <t>Withdrawn Values</t>
  </si>
  <si>
    <t>Rune/Asset</t>
  </si>
  <si>
    <t xml:space="preserve"> Rune @ $8 and 0.1% Pool Ownership</t>
  </si>
  <si>
    <t>A0</t>
  </si>
  <si>
    <t>RO</t>
  </si>
  <si>
    <t>R1</t>
  </si>
  <si>
    <t>P1</t>
  </si>
  <si>
    <t>Coverage (Rune)</t>
  </si>
  <si>
    <t>protectionProgress</t>
  </si>
  <si>
    <t>Protection</t>
  </si>
  <si>
    <t>Value Paid</t>
  </si>
  <si>
    <t>Withdraw for Symmetrical Addition</t>
  </si>
  <si>
    <t>Withdraw for Asymmetrical Addition</t>
  </si>
  <si>
    <t>ILP Calculation</t>
  </si>
  <si>
    <t>BTC Side Asset</t>
  </si>
  <si>
    <t>coverage = (R0 - R1) + (A0 - A1) * P1</t>
  </si>
  <si>
    <t>ILP Swap</t>
  </si>
  <si>
    <t>(R0 + (A0xP1)) - (R1 + (A1xP1))</t>
  </si>
  <si>
    <t>(R0 + (A0xP1))</t>
  </si>
  <si>
    <t>Total BTC Withdraw</t>
  </si>
  <si>
    <t>(R1 + (A1xP1))</t>
  </si>
  <si>
    <t>ILP Payout in Rune</t>
  </si>
  <si>
    <t>BTC Added</t>
  </si>
  <si>
    <t>Differenfce</t>
  </si>
  <si>
    <t>Pool Price Forumlas</t>
  </si>
  <si>
    <t>BTC Pool Rune Depth * ( BTC Pool Asset Depth / Rune Price)</t>
  </si>
  <si>
    <t>(Rune Price/BTC  Depth)*(BUSD Depth/Rune Depth)</t>
  </si>
  <si>
    <t>Withdraw Value</t>
  </si>
  <si>
    <t>P = Existing Pool Units</t>
  </si>
  <si>
    <t>R = Rune Balance (before)</t>
  </si>
  <si>
    <t>A = Asset Balance (before)</t>
  </si>
  <si>
    <t xml:space="preserve">r = rune deposited </t>
  </si>
  <si>
    <t>a = asset deposited</t>
  </si>
  <si>
    <t>Ra−rA</t>
  </si>
  <si>
    <t>(r+R)*(a+A)</t>
  </si>
  <si>
    <t>slipAdjustment</t>
  </si>
  <si>
    <t>Ra−rA / (r+R)*(a+A)</t>
  </si>
  <si>
    <t>Units</t>
  </si>
  <si>
    <t>P(Ra+rA)​</t>
  </si>
  <si>
    <t>2RA</t>
  </si>
  <si>
    <t>P(Ra+rA)​ / 2RA * slipAdjustment</t>
  </si>
  <si>
    <t>AAVE</t>
  </si>
  <si>
    <t>Rune Price</t>
  </si>
  <si>
    <t>Max Synth Rune Value (33% of Asset)</t>
  </si>
  <si>
    <t>A1</t>
  </si>
  <si>
    <t>Pool Asset Price Forumlas</t>
  </si>
  <si>
    <t>BTC Pool Rune Depth * (Rune Price /  BTC Pool Asset Depth )</t>
  </si>
  <si>
    <t>(BTC Pool Rune Depth / BTC Depth) * (BUSD Depth/ BUSD Pool Rune Depth)</t>
  </si>
  <si>
    <t>((A0 * R1/A1) + R0) - (R1+R1)</t>
  </si>
  <si>
    <t>(R1+R1)</t>
  </si>
  <si>
    <t>Orginal Version</t>
  </si>
  <si>
    <t>(R0 - R1) + (A0 - A1) * P1</t>
  </si>
  <si>
    <t>((A0 * P1) + R0) - ((A1 * P1) + R1) =&gt; ((A0 * R1/A1) + R0) - (R1 + R1)</t>
  </si>
  <si>
    <t>Updated - V2</t>
  </si>
  <si>
    <t>New -V3</t>
  </si>
  <si>
    <t>This is V2 just with the left and right re-ordered. Due to BODMAS, cal order is no change</t>
  </si>
  <si>
    <t>=&gt;</t>
  </si>
  <si>
    <t xml:space="preserve"> ((A0 * R1/A1) + R0) </t>
  </si>
  <si>
    <t>Works out the start position Rune (Same as (R0 + (A0xP1)) in V2)</t>
  </si>
  <si>
    <t xml:space="preserve">Works out ILP twice and checks it against each other. Statement is a boolean check really. </t>
  </si>
  <si>
    <t>V2 Breakdown</t>
  </si>
  <si>
    <t>Start Position in Rune</t>
  </si>
  <si>
    <t>End Position in Rune</t>
  </si>
  <si>
    <t>Start position - end position</t>
  </si>
  <si>
    <t>V3 Breakdown</t>
  </si>
  <si>
    <t>Works out the Rune value at withdraw. 
Doubles to find out Rune and Asset value in Rune - very asset blind</t>
  </si>
  <si>
    <t>Putting it together, same result as V2</t>
  </si>
  <si>
    <t>R1*2 should be the same as (R1 + (A1xP1)) but it could be more - no issues</t>
  </si>
  <si>
    <t>BTC  Ratio</t>
  </si>
  <si>
    <t>Rv</t>
  </si>
  <si>
    <t>r</t>
  </si>
  <si>
    <t>R</t>
  </si>
  <si>
    <t>u</t>
  </si>
  <si>
    <t>P</t>
  </si>
  <si>
    <t>C</t>
  </si>
  <si>
    <t>uC</t>
  </si>
  <si>
    <t>Asset Price</t>
  </si>
  <si>
    <t>Virtual USD Pool</t>
  </si>
  <si>
    <t>Virtual BTC Pool</t>
  </si>
  <si>
    <t>Swap (Rune In, Asset Out)</t>
  </si>
  <si>
    <t>USD</t>
  </si>
  <si>
    <t>USD Ratio</t>
  </si>
  <si>
    <t>Pool Prices</t>
  </si>
  <si>
    <t>THOR.BTC</t>
  </si>
  <si>
    <t>USD / PRICE</t>
  </si>
  <si>
    <t>Swap (Asset In, RUNE Out)</t>
  </si>
  <si>
    <t xml:space="preserve">a </t>
  </si>
  <si>
    <t>Rune Depth In v BTC Pool</t>
  </si>
  <si>
    <t>Asset Depth in vBTC Pool</t>
  </si>
  <si>
    <t>Debit (RUNE)</t>
  </si>
  <si>
    <t>User Rune Collateral</t>
  </si>
  <si>
    <t xml:space="preserve">CR = </t>
  </si>
  <si>
    <t xml:space="preserve">Max CR </t>
  </si>
  <si>
    <t>Uv</t>
  </si>
  <si>
    <t>d*CR</t>
  </si>
  <si>
    <t>USD Value of Debit (d*CR*2*USD Price)</t>
  </si>
  <si>
    <t>% of the pool in Debit</t>
  </si>
  <si>
    <t>USD Pool Prices</t>
  </si>
  <si>
    <t>BUSD Pool</t>
  </si>
  <si>
    <t>USDT Pool</t>
  </si>
  <si>
    <t>UST Pool</t>
  </si>
  <si>
    <t>USDC Pool</t>
  </si>
  <si>
    <t>RUNE Depth</t>
  </si>
  <si>
    <t>Median RUNE Price</t>
  </si>
  <si>
    <t>Totals</t>
  </si>
  <si>
    <t>V USD RUNE Depth</t>
  </si>
  <si>
    <t>V USD Asset Depth</t>
  </si>
  <si>
    <t>Total RUNE Pooled in vBTC Pool</t>
  </si>
  <si>
    <t>Total RUNE Pool as Loan</t>
  </si>
  <si>
    <t>(BTC Pool Rune Depth / BTC Depth) * (USD Depth/ USD Pool Rune Depth)</t>
  </si>
  <si>
    <t>LU RUNE Amount</t>
  </si>
  <si>
    <t>LU BTC Vaule</t>
  </si>
  <si>
    <t>LU Value - BTC Pool</t>
  </si>
  <si>
    <t xml:space="preserve">LU Rune Deposit </t>
  </si>
  <si>
    <t>LU Asset Deposit</t>
  </si>
  <si>
    <t>Savings</t>
  </si>
  <si>
    <t>Lending</t>
  </si>
  <si>
    <t>RUNE Burnt</t>
  </si>
  <si>
    <t>RUNE Worth of THOR.BTC sent to BTC Savings</t>
  </si>
  <si>
    <t>RUNE fee in L1 Swap</t>
  </si>
  <si>
    <t>Fee in RUNE</t>
  </si>
  <si>
    <t>BTC Entered into THOR BTC Savings</t>
  </si>
  <si>
    <t>USD Price</t>
  </si>
  <si>
    <t>of BTC Pool in Savings</t>
  </si>
  <si>
    <t>Worth in RUNE</t>
  </si>
  <si>
    <t>Worth</t>
  </si>
  <si>
    <t>If Lending Amount = Savings Deposited</t>
  </si>
  <si>
    <t xml:space="preserve">RUNE Burnt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</si>
</sst>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0.000"/>
    <numFmt numFmtId="166" formatCode="#,##0.0000000000"/>
    <numFmt numFmtId="167" formatCode="#,##0.00000000"/>
    <numFmt numFmtId="168" formatCode="#,##0.0"/>
    <numFmt numFmtId="169" formatCode="#,##0.000000000"/>
    <numFmt numFmtId="170" formatCode="#,##0.00000"/>
    <numFmt numFmtId="171" formatCode="#,##0.000"/>
    <numFmt numFmtId="172" formatCode="_-&quot;$&quot;* #,##0_-;\-&quot;$&quot;* #,##0_-;_-&quot;$&quot;* &quot;-&quot;??_-;_-@"/>
    <numFmt numFmtId="173" formatCode="_-&quot;$&quot;* #,##0.00_-;\-&quot;$&quot;* #,##0.00_-;_-&quot;$&quot;* &quot;-&quot;??_-;_-@"/>
    <numFmt numFmtId="174" formatCode="#,##0.000000000000"/>
    <numFmt numFmtId="175" formatCode="#,##0.0000000"/>
    <numFmt numFmtId="176" formatCode="0.0000"/>
    <numFmt numFmtId="177" formatCode="0.0"/>
    <numFmt numFmtId="178" formatCode="0.00000000000E+00"/>
    <numFmt numFmtId="179" formatCode="_-&quot;$&quot;* #,##0.00000_-;\-&quot;$&quot;* #,##0.00000_-;_-&quot;$&quot;* &quot;-&quot;??_-;_-@"/>
    <numFmt numFmtId="180" formatCode="#,##0.000000"/>
    <numFmt numFmtId="181" formatCode="_-* #,##0_-;\-* #,##0_-;_-* &quot;-&quot;??_-;_-@_-"/>
    <numFmt numFmtId="182" formatCode="_-* #,##0.00000_-;\-* #,##0.00000_-;_-* &quot;-&quot;??_-;_-@_-"/>
    <numFmt numFmtId="183" formatCode="_-* #,##0.00000_-;\-* #,##0.00000_-;_-* &quot;-&quot;?????_-;_-@_-"/>
    <numFmt numFmtId="184" formatCode="0.0000%"/>
    <numFmt numFmtId="185" formatCode="0.0%"/>
  </numFmts>
  <fonts count="30"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mo"/>
    </font>
    <font>
      <sz val="11"/>
      <color theme="1"/>
      <name val="Calibri"/>
    </font>
    <font>
      <b/>
      <sz val="11"/>
      <color theme="1"/>
      <name val="Arial"/>
    </font>
    <font>
      <sz val="11"/>
      <color rgb="FFFFFFFF"/>
      <name val="Arial"/>
    </font>
    <font>
      <sz val="11"/>
      <color rgb="FF9C5700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6100"/>
      <name val="Calibri"/>
    </font>
    <font>
      <sz val="11"/>
      <name val="Arial"/>
    </font>
    <font>
      <sz val="11"/>
      <color rgb="FF000000"/>
      <name val="Arial"/>
    </font>
    <font>
      <sz val="11"/>
      <color rgb="FF000000"/>
      <name val="&quot;Arial Unicode MS&quot;"/>
    </font>
    <font>
      <sz val="7"/>
      <color rgb="FF3366CC"/>
      <name val="Consolas"/>
    </font>
    <font>
      <sz val="7"/>
      <color rgb="FF000000"/>
      <name val="Consolas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79393"/>
        <bgColor rgb="FF979393"/>
      </patternFill>
    </fill>
    <fill>
      <patternFill patternType="solid">
        <fgColor rgb="FFEFEFEF"/>
        <bgColor rgb="FFEFEFEF"/>
      </patternFill>
    </fill>
    <fill>
      <patternFill patternType="solid">
        <fgColor rgb="FFA5A5A5"/>
        <bgColor rgb="FFA5A5A5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DDDDDD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</cellStyleXfs>
  <cellXfs count="315">
    <xf numFmtId="0" fontId="0" fillId="0" borderId="0" xfId="0" applyFont="1" applyAlignment="1"/>
    <xf numFmtId="4" fontId="1" fillId="2" borderId="1" xfId="0" applyNumberFormat="1" applyFont="1" applyFill="1" applyBorder="1"/>
    <xf numFmtId="4" fontId="1" fillId="3" borderId="1" xfId="0" applyNumberFormat="1" applyFont="1" applyFill="1" applyBorder="1"/>
    <xf numFmtId="4" fontId="1" fillId="4" borderId="1" xfId="0" applyNumberFormat="1" applyFont="1" applyFill="1" applyBorder="1"/>
    <xf numFmtId="0" fontId="2" fillId="0" borderId="0" xfId="0" applyFont="1"/>
    <xf numFmtId="0" fontId="3" fillId="5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4" fontId="1" fillId="6" borderId="1" xfId="0" applyNumberFormat="1" applyFont="1" applyFill="1" applyBorder="1"/>
    <xf numFmtId="4" fontId="1" fillId="0" borderId="0" xfId="0" applyNumberFormat="1" applyFont="1"/>
    <xf numFmtId="0" fontId="3" fillId="0" borderId="0" xfId="0" applyFont="1"/>
    <xf numFmtId="10" fontId="1" fillId="0" borderId="0" xfId="0" applyNumberFormat="1" applyFont="1"/>
    <xf numFmtId="4" fontId="1" fillId="7" borderId="1" xfId="0" applyNumberFormat="1" applyFont="1" applyFill="1" applyBorder="1"/>
    <xf numFmtId="4" fontId="1" fillId="8" borderId="1" xfId="0" applyNumberFormat="1" applyFont="1" applyFill="1" applyBorder="1"/>
    <xf numFmtId="164" fontId="1" fillId="0" borderId="0" xfId="0" applyNumberFormat="1" applyFont="1"/>
    <xf numFmtId="0" fontId="4" fillId="0" borderId="0" xfId="0" applyFont="1"/>
    <xf numFmtId="4" fontId="2" fillId="0" borderId="0" xfId="0" applyNumberFormat="1" applyFont="1"/>
    <xf numFmtId="0" fontId="2" fillId="7" borderId="1" xfId="0" applyFont="1" applyFill="1" applyBorder="1"/>
    <xf numFmtId="165" fontId="2" fillId="0" borderId="0" xfId="0" applyNumberFormat="1" applyFont="1"/>
    <xf numFmtId="2" fontId="2" fillId="0" borderId="0" xfId="0" applyNumberFormat="1" applyFont="1"/>
    <xf numFmtId="10" fontId="5" fillId="0" borderId="0" xfId="0" applyNumberFormat="1" applyFont="1"/>
    <xf numFmtId="2" fontId="1" fillId="0" borderId="0" xfId="0" applyNumberFormat="1" applyFont="1"/>
    <xf numFmtId="0" fontId="1" fillId="5" borderId="2" xfId="0" applyFont="1" applyFill="1" applyBorder="1"/>
    <xf numFmtId="0" fontId="3" fillId="5" borderId="3" xfId="0" applyFont="1" applyFill="1" applyBorder="1"/>
    <xf numFmtId="0" fontId="3" fillId="5" borderId="2" xfId="0" applyFont="1" applyFill="1" applyBorder="1"/>
    <xf numFmtId="4" fontId="1" fillId="6" borderId="2" xfId="0" applyNumberFormat="1" applyFont="1" applyFill="1" applyBorder="1"/>
    <xf numFmtId="4" fontId="1" fillId="6" borderId="3" xfId="0" applyNumberFormat="1" applyFont="1" applyFill="1" applyBorder="1"/>
    <xf numFmtId="4" fontId="1" fillId="0" borderId="4" xfId="0" applyNumberFormat="1" applyFont="1" applyBorder="1"/>
    <xf numFmtId="4" fontId="1" fillId="4" borderId="2" xfId="0" applyNumberFormat="1" applyFont="1" applyFill="1" applyBorder="1"/>
    <xf numFmtId="4" fontId="1" fillId="3" borderId="3" xfId="0" applyNumberFormat="1" applyFont="1" applyFill="1" applyBorder="1"/>
    <xf numFmtId="4" fontId="1" fillId="2" borderId="2" xfId="0" applyNumberFormat="1" applyFont="1" applyFill="1" applyBorder="1"/>
    <xf numFmtId="10" fontId="1" fillId="0" borderId="4" xfId="0" applyNumberFormat="1" applyFont="1" applyBorder="1"/>
    <xf numFmtId="4" fontId="1" fillId="8" borderId="2" xfId="0" applyNumberFormat="1" applyFont="1" applyFill="1" applyBorder="1"/>
    <xf numFmtId="4" fontId="1" fillId="8" borderId="3" xfId="0" applyNumberFormat="1" applyFont="1" applyFill="1" applyBorder="1"/>
    <xf numFmtId="4" fontId="1" fillId="3" borderId="2" xfId="0" applyNumberFormat="1" applyFont="1" applyFill="1" applyBorder="1"/>
    <xf numFmtId="4" fontId="1" fillId="2" borderId="3" xfId="0" applyNumberFormat="1" applyFont="1" applyFill="1" applyBorder="1"/>
    <xf numFmtId="0" fontId="6" fillId="0" borderId="0" xfId="0" applyFont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1" fillId="5" borderId="8" xfId="0" applyFont="1" applyFill="1" applyBorder="1"/>
    <xf numFmtId="0" fontId="3" fillId="5" borderId="9" xfId="0" applyFont="1" applyFill="1" applyBorder="1"/>
    <xf numFmtId="0" fontId="1" fillId="0" borderId="10" xfId="0" applyFont="1" applyBorder="1"/>
    <xf numFmtId="1" fontId="1" fillId="0" borderId="0" xfId="0" applyNumberFormat="1" applyFont="1"/>
    <xf numFmtId="166" fontId="1" fillId="6" borderId="1" xfId="0" applyNumberFormat="1" applyFont="1" applyFill="1" applyBorder="1"/>
    <xf numFmtId="3" fontId="1" fillId="6" borderId="1" xfId="0" applyNumberFormat="1" applyFont="1" applyFill="1" applyBorder="1"/>
    <xf numFmtId="167" fontId="1" fillId="0" borderId="0" xfId="0" applyNumberFormat="1" applyFont="1"/>
    <xf numFmtId="0" fontId="0" fillId="0" borderId="0" xfId="0" applyFont="1"/>
    <xf numFmtId="168" fontId="1" fillId="0" borderId="0" xfId="0" applyNumberFormat="1" applyFont="1"/>
    <xf numFmtId="2" fontId="1" fillId="0" borderId="11" xfId="0" applyNumberFormat="1" applyFont="1" applyBorder="1"/>
    <xf numFmtId="0" fontId="3" fillId="0" borderId="10" xfId="0" applyFont="1" applyBorder="1"/>
    <xf numFmtId="1" fontId="1" fillId="3" borderId="1" xfId="0" applyNumberFormat="1" applyFont="1" applyFill="1" applyBorder="1"/>
    <xf numFmtId="169" fontId="1" fillId="0" borderId="0" xfId="0" applyNumberFormat="1" applyFont="1"/>
    <xf numFmtId="168" fontId="1" fillId="2" borderId="1" xfId="0" applyNumberFormat="1" applyFont="1" applyFill="1" applyBorder="1"/>
    <xf numFmtId="170" fontId="1" fillId="0" borderId="0" xfId="0" applyNumberFormat="1" applyFont="1"/>
    <xf numFmtId="1" fontId="1" fillId="6" borderId="1" xfId="0" applyNumberFormat="1" applyFont="1" applyFill="1" applyBorder="1"/>
    <xf numFmtId="168" fontId="1" fillId="6" borderId="1" xfId="0" applyNumberFormat="1" applyFont="1" applyFill="1" applyBorder="1"/>
    <xf numFmtId="1" fontId="1" fillId="2" borderId="1" xfId="0" applyNumberFormat="1" applyFont="1" applyFill="1" applyBorder="1"/>
    <xf numFmtId="168" fontId="1" fillId="3" borderId="1" xfId="0" applyNumberFormat="1" applyFont="1" applyFill="1" applyBorder="1"/>
    <xf numFmtId="1" fontId="1" fillId="8" borderId="1" xfId="0" applyNumberFormat="1" applyFont="1" applyFill="1" applyBorder="1"/>
    <xf numFmtId="168" fontId="1" fillId="8" borderId="1" xfId="0" applyNumberFormat="1" applyFont="1" applyFill="1" applyBorder="1"/>
    <xf numFmtId="0" fontId="3" fillId="5" borderId="8" xfId="0" applyFont="1" applyFill="1" applyBorder="1"/>
    <xf numFmtId="0" fontId="6" fillId="0" borderId="10" xfId="0" applyFont="1" applyBorder="1"/>
    <xf numFmtId="2" fontId="0" fillId="0" borderId="11" xfId="0" applyNumberFormat="1" applyFont="1" applyBorder="1"/>
    <xf numFmtId="2" fontId="3" fillId="5" borderId="9" xfId="0" applyNumberFormat="1" applyFont="1" applyFill="1" applyBorder="1"/>
    <xf numFmtId="171" fontId="1" fillId="6" borderId="1" xfId="0" applyNumberFormat="1" applyFont="1" applyFill="1" applyBorder="1"/>
    <xf numFmtId="1" fontId="0" fillId="0" borderId="0" xfId="0" applyNumberFormat="1" applyFont="1"/>
    <xf numFmtId="1" fontId="1" fillId="9" borderId="1" xfId="0" applyNumberFormat="1" applyFont="1" applyFill="1" applyBorder="1"/>
    <xf numFmtId="171" fontId="1" fillId="2" borderId="1" xfId="0" applyNumberFormat="1" applyFont="1" applyFill="1" applyBorder="1"/>
    <xf numFmtId="171" fontId="1" fillId="3" borderId="1" xfId="0" applyNumberFormat="1" applyFont="1" applyFill="1" applyBorder="1"/>
    <xf numFmtId="171" fontId="1" fillId="8" borderId="1" xfId="0" applyNumberFormat="1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2" fontId="0" fillId="0" borderId="0" xfId="0" applyNumberFormat="1" applyFont="1"/>
    <xf numFmtId="0" fontId="3" fillId="5" borderId="15" xfId="0" applyFont="1" applyFill="1" applyBorder="1"/>
    <xf numFmtId="172" fontId="7" fillId="10" borderId="16" xfId="0" applyNumberFormat="1" applyFont="1" applyFill="1" applyBorder="1" applyAlignment="1"/>
    <xf numFmtId="0" fontId="3" fillId="5" borderId="16" xfId="0" applyFont="1" applyFill="1" applyBorder="1"/>
    <xf numFmtId="2" fontId="3" fillId="5" borderId="17" xfId="0" applyNumberFormat="1" applyFont="1" applyFill="1" applyBorder="1"/>
    <xf numFmtId="2" fontId="3" fillId="5" borderId="3" xfId="0" applyNumberFormat="1" applyFont="1" applyFill="1" applyBorder="1"/>
    <xf numFmtId="0" fontId="1" fillId="0" borderId="18" xfId="0" applyFont="1" applyBorder="1"/>
    <xf numFmtId="166" fontId="1" fillId="6" borderId="20" xfId="0" applyNumberFormat="1" applyFont="1" applyFill="1" applyBorder="1"/>
    <xf numFmtId="4" fontId="1" fillId="6" borderId="20" xfId="0" applyNumberFormat="1" applyFont="1" applyFill="1" applyBorder="1"/>
    <xf numFmtId="0" fontId="2" fillId="0" borderId="19" xfId="0" applyFont="1" applyBorder="1"/>
    <xf numFmtId="167" fontId="1" fillId="0" borderId="19" xfId="0" applyNumberFormat="1" applyFont="1" applyBorder="1"/>
    <xf numFmtId="4" fontId="0" fillId="0" borderId="19" xfId="0" applyNumberFormat="1" applyFont="1" applyBorder="1"/>
    <xf numFmtId="0" fontId="1" fillId="0" borderId="19" xfId="0" applyFont="1" applyBorder="1"/>
    <xf numFmtId="4" fontId="1" fillId="0" borderId="19" xfId="0" applyNumberFormat="1" applyFont="1" applyBorder="1"/>
    <xf numFmtId="168" fontId="1" fillId="0" borderId="19" xfId="0" applyNumberFormat="1" applyFont="1" applyBorder="1"/>
    <xf numFmtId="2" fontId="1" fillId="0" borderId="21" xfId="0" applyNumberFormat="1" applyFont="1" applyBorder="1"/>
    <xf numFmtId="0" fontId="3" fillId="5" borderId="15" xfId="0" applyFont="1" applyFill="1" applyBorder="1" applyAlignment="1"/>
    <xf numFmtId="1" fontId="1" fillId="0" borderId="19" xfId="0" applyNumberFormat="1" applyFont="1" applyBorder="1"/>
    <xf numFmtId="3" fontId="1" fillId="6" borderId="20" xfId="0" applyNumberFormat="1" applyFont="1" applyFill="1" applyBorder="1"/>
    <xf numFmtId="1" fontId="0" fillId="0" borderId="19" xfId="0" applyNumberFormat="1" applyFont="1" applyBorder="1"/>
    <xf numFmtId="0" fontId="3" fillId="0" borderId="22" xfId="0" applyFont="1" applyBorder="1"/>
    <xf numFmtId="173" fontId="0" fillId="0" borderId="0" xfId="0" applyNumberFormat="1" applyFont="1"/>
    <xf numFmtId="172" fontId="0" fillId="0" borderId="0" xfId="0" applyNumberFormat="1" applyFont="1"/>
    <xf numFmtId="166" fontId="8" fillId="11" borderId="1" xfId="0" applyNumberFormat="1" applyFont="1" applyFill="1" applyBorder="1"/>
    <xf numFmtId="0" fontId="9" fillId="10" borderId="23" xfId="0" applyFont="1" applyFill="1" applyBorder="1"/>
    <xf numFmtId="0" fontId="1" fillId="0" borderId="24" xfId="0" applyFont="1" applyBorder="1"/>
    <xf numFmtId="174" fontId="8" fillId="11" borderId="23" xfId="0" applyNumberFormat="1" applyFont="1" applyFill="1" applyBorder="1"/>
    <xf numFmtId="2" fontId="1" fillId="0" borderId="4" xfId="0" applyNumberFormat="1" applyFont="1" applyBorder="1"/>
    <xf numFmtId="0" fontId="10" fillId="0" borderId="24" xfId="0" applyFont="1" applyBorder="1" applyAlignment="1"/>
    <xf numFmtId="1" fontId="1" fillId="2" borderId="25" xfId="0" applyNumberFormat="1" applyFont="1" applyFill="1" applyBorder="1" applyAlignment="1"/>
    <xf numFmtId="171" fontId="1" fillId="3" borderId="26" xfId="0" applyNumberFormat="1" applyFont="1" applyFill="1" applyBorder="1"/>
    <xf numFmtId="0" fontId="11" fillId="0" borderId="4" xfId="0" applyFont="1" applyBorder="1"/>
    <xf numFmtId="0" fontId="11" fillId="0" borderId="24" xfId="0" applyFont="1" applyBorder="1"/>
    <xf numFmtId="1" fontId="11" fillId="0" borderId="0" xfId="0" applyNumberFormat="1" applyFont="1"/>
    <xf numFmtId="166" fontId="1" fillId="6" borderId="0" xfId="0" applyNumberFormat="1" applyFont="1" applyFill="1"/>
    <xf numFmtId="3" fontId="11" fillId="0" borderId="0" xfId="0" applyNumberFormat="1" applyFont="1"/>
    <xf numFmtId="1" fontId="1" fillId="2" borderId="1" xfId="0" applyNumberFormat="1" applyFont="1" applyFill="1" applyBorder="1" applyAlignment="1"/>
    <xf numFmtId="0" fontId="1" fillId="0" borderId="18" xfId="0" applyFont="1" applyBorder="1" applyAlignment="1"/>
    <xf numFmtId="1" fontId="11" fillId="0" borderId="19" xfId="0" applyNumberFormat="1" applyFont="1" applyBorder="1"/>
    <xf numFmtId="3" fontId="11" fillId="0" borderId="19" xfId="0" applyNumberFormat="1" applyFont="1" applyBorder="1"/>
    <xf numFmtId="0" fontId="3" fillId="0" borderId="19" xfId="0" applyFont="1" applyBorder="1" applyAlignment="1"/>
    <xf numFmtId="0" fontId="3" fillId="0" borderId="19" xfId="0" applyFont="1" applyBorder="1"/>
    <xf numFmtId="0" fontId="0" fillId="0" borderId="19" xfId="0" applyFont="1" applyBorder="1"/>
    <xf numFmtId="0" fontId="3" fillId="0" borderId="0" xfId="0" applyFont="1" applyAlignment="1"/>
    <xf numFmtId="0" fontId="3" fillId="5" borderId="16" xfId="0" applyFont="1" applyFill="1" applyBorder="1" applyAlignment="1"/>
    <xf numFmtId="0" fontId="3" fillId="5" borderId="17" xfId="0" applyFont="1" applyFill="1" applyBorder="1"/>
    <xf numFmtId="0" fontId="0" fillId="0" borderId="24" xfId="0" applyFont="1" applyBorder="1"/>
    <xf numFmtId="4" fontId="0" fillId="0" borderId="0" xfId="0" applyNumberFormat="1" applyFont="1"/>
    <xf numFmtId="10" fontId="11" fillId="0" borderId="0" xfId="0" applyNumberFormat="1" applyFont="1"/>
    <xf numFmtId="0" fontId="11" fillId="0" borderId="0" xfId="0" applyFont="1"/>
    <xf numFmtId="173" fontId="0" fillId="0" borderId="4" xfId="0" applyNumberFormat="1" applyFont="1" applyBorder="1"/>
    <xf numFmtId="0" fontId="0" fillId="0" borderId="18" xfId="0" applyFont="1" applyBorder="1"/>
    <xf numFmtId="171" fontId="12" fillId="12" borderId="20" xfId="0" applyNumberFormat="1" applyFont="1" applyFill="1" applyBorder="1"/>
    <xf numFmtId="174" fontId="8" fillId="11" borderId="20" xfId="0" applyNumberFormat="1" applyFont="1" applyFill="1" applyBorder="1"/>
    <xf numFmtId="175" fontId="12" fillId="12" borderId="20" xfId="0" applyNumberFormat="1" applyFont="1" applyFill="1" applyBorder="1"/>
    <xf numFmtId="0" fontId="11" fillId="0" borderId="19" xfId="0" applyFont="1" applyBorder="1"/>
    <xf numFmtId="173" fontId="0" fillId="0" borderId="19" xfId="0" applyNumberFormat="1" applyFont="1" applyBorder="1"/>
    <xf numFmtId="173" fontId="0" fillId="0" borderId="21" xfId="0" applyNumberFormat="1" applyFont="1" applyBorder="1"/>
    <xf numFmtId="0" fontId="3" fillId="5" borderId="2" xfId="0" applyFont="1" applyFill="1" applyBorder="1" applyAlignment="1"/>
    <xf numFmtId="0" fontId="11" fillId="0" borderId="18" xfId="0" applyFont="1" applyBorder="1"/>
    <xf numFmtId="170" fontId="12" fillId="12" borderId="20" xfId="0" applyNumberFormat="1" applyFont="1" applyFill="1" applyBorder="1"/>
    <xf numFmtId="4" fontId="12" fillId="12" borderId="20" xfId="0" applyNumberFormat="1" applyFont="1" applyFill="1" applyBorder="1"/>
    <xf numFmtId="0" fontId="12" fillId="12" borderId="20" xfId="0" applyFont="1" applyFill="1" applyBorder="1"/>
    <xf numFmtId="165" fontId="4" fillId="0" borderId="19" xfId="0" applyNumberFormat="1" applyFont="1" applyBorder="1"/>
    <xf numFmtId="9" fontId="0" fillId="0" borderId="19" xfId="0" applyNumberFormat="1" applyFont="1" applyBorder="1" applyAlignment="1"/>
    <xf numFmtId="176" fontId="4" fillId="0" borderId="19" xfId="0" applyNumberFormat="1" applyFont="1" applyBorder="1"/>
    <xf numFmtId="0" fontId="10" fillId="0" borderId="0" xfId="0" applyFont="1" applyAlignment="1"/>
    <xf numFmtId="0" fontId="11" fillId="0" borderId="0" xfId="0" applyFont="1" applyAlignment="1"/>
    <xf numFmtId="4" fontId="14" fillId="0" borderId="0" xfId="0" applyNumberFormat="1" applyFont="1" applyAlignment="1"/>
    <xf numFmtId="164" fontId="14" fillId="0" borderId="0" xfId="0" applyNumberFormat="1" applyFont="1" applyAlignment="1"/>
    <xf numFmtId="0" fontId="15" fillId="0" borderId="0" xfId="0" applyFont="1" applyAlignment="1"/>
    <xf numFmtId="170" fontId="14" fillId="0" borderId="0" xfId="0" applyNumberFormat="1" applyFont="1" applyAlignment="1">
      <alignment horizontal="right"/>
    </xf>
    <xf numFmtId="171" fontId="14" fillId="0" borderId="0" xfId="0" applyNumberFormat="1" applyFont="1" applyAlignment="1"/>
    <xf numFmtId="0" fontId="11" fillId="0" borderId="0" xfId="0" applyFont="1" applyAlignment="1"/>
    <xf numFmtId="0" fontId="14" fillId="0" borderId="0" xfId="0" applyFont="1" applyAlignment="1"/>
    <xf numFmtId="1" fontId="14" fillId="0" borderId="0" xfId="0" applyNumberFormat="1" applyFont="1" applyAlignment="1">
      <alignment horizontal="right"/>
    </xf>
    <xf numFmtId="0" fontId="14" fillId="0" borderId="0" xfId="0" applyFont="1" applyAlignment="1"/>
    <xf numFmtId="4" fontId="14" fillId="0" borderId="0" xfId="0" applyNumberFormat="1" applyFont="1" applyAlignment="1">
      <alignment horizontal="right"/>
    </xf>
    <xf numFmtId="0" fontId="14" fillId="0" borderId="0" xfId="0" applyFont="1" applyAlignment="1"/>
    <xf numFmtId="2" fontId="14" fillId="0" borderId="0" xfId="0" applyNumberFormat="1" applyFont="1" applyAlignment="1">
      <alignment horizontal="right"/>
    </xf>
    <xf numFmtId="0" fontId="13" fillId="0" borderId="0" xfId="0" applyFont="1" applyAlignment="1"/>
    <xf numFmtId="164" fontId="11" fillId="0" borderId="0" xfId="0" applyNumberFormat="1" applyFont="1"/>
    <xf numFmtId="0" fontId="16" fillId="0" borderId="29" xfId="0" applyFont="1" applyBorder="1" applyAlignment="1">
      <alignment horizontal="left" vertical="top" wrapText="1"/>
    </xf>
    <xf numFmtId="0" fontId="17" fillId="0" borderId="29" xfId="0" applyFont="1" applyBorder="1" applyAlignment="1">
      <alignment horizontal="left" vertical="top" wrapText="1"/>
    </xf>
    <xf numFmtId="44" fontId="0" fillId="0" borderId="0" xfId="0" applyNumberFormat="1" applyFont="1" applyAlignment="1"/>
    <xf numFmtId="44" fontId="0" fillId="0" borderId="0" xfId="1" applyFont="1"/>
    <xf numFmtId="0" fontId="20" fillId="0" borderId="0" xfId="0" applyFont="1" applyAlignment="1"/>
    <xf numFmtId="0" fontId="19" fillId="0" borderId="0" xfId="0" applyFont="1" applyAlignment="1"/>
    <xf numFmtId="0" fontId="21" fillId="5" borderId="1" xfId="0" applyFont="1" applyFill="1" applyBorder="1" applyAlignment="1"/>
    <xf numFmtId="177" fontId="0" fillId="0" borderId="0" xfId="0" applyNumberFormat="1" applyFont="1" applyAlignment="1"/>
    <xf numFmtId="3" fontId="14" fillId="0" borderId="0" xfId="0" applyNumberFormat="1" applyFont="1" applyAlignment="1">
      <alignment horizontal="right"/>
    </xf>
    <xf numFmtId="44" fontId="2" fillId="0" borderId="0" xfId="0" applyNumberFormat="1" applyFont="1"/>
    <xf numFmtId="0" fontId="0" fillId="0" borderId="0" xfId="0" applyFont="1" applyAlignment="1"/>
    <xf numFmtId="171" fontId="2" fillId="0" borderId="0" xfId="0" applyNumberFormat="1" applyFont="1"/>
    <xf numFmtId="0" fontId="0" fillId="0" borderId="0" xfId="0" applyFont="1" applyAlignment="1">
      <alignment wrapText="1"/>
    </xf>
    <xf numFmtId="0" fontId="22" fillId="0" borderId="0" xfId="0" applyFont="1" applyAlignment="1">
      <alignment vertical="center"/>
    </xf>
    <xf numFmtId="0" fontId="21" fillId="5" borderId="1" xfId="0" applyFont="1" applyFill="1" applyBorder="1"/>
    <xf numFmtId="178" fontId="0" fillId="0" borderId="0" xfId="0" applyNumberFormat="1" applyFont="1" applyAlignment="1"/>
    <xf numFmtId="0" fontId="0" fillId="0" borderId="0" xfId="0" applyFont="1" applyAlignment="1"/>
    <xf numFmtId="0" fontId="3" fillId="0" borderId="31" xfId="0" applyFont="1" applyBorder="1"/>
    <xf numFmtId="1" fontId="1" fillId="3" borderId="32" xfId="0" applyNumberFormat="1" applyFont="1" applyFill="1" applyBorder="1"/>
    <xf numFmtId="169" fontId="1" fillId="0" borderId="32" xfId="0" applyNumberFormat="1" applyFont="1" applyBorder="1"/>
    <xf numFmtId="168" fontId="1" fillId="2" borderId="32" xfId="0" applyNumberFormat="1" applyFont="1" applyFill="1" applyBorder="1"/>
    <xf numFmtId="4" fontId="2" fillId="0" borderId="33" xfId="0" applyNumberFormat="1" applyFont="1" applyBorder="1"/>
    <xf numFmtId="0" fontId="3" fillId="0" borderId="34" xfId="0" applyFont="1" applyBorder="1"/>
    <xf numFmtId="166" fontId="1" fillId="6" borderId="35" xfId="0" applyNumberFormat="1" applyFont="1" applyFill="1" applyBorder="1"/>
    <xf numFmtId="0" fontId="2" fillId="0" borderId="36" xfId="0" applyFont="1" applyBorder="1"/>
    <xf numFmtId="0" fontId="3" fillId="0" borderId="37" xfId="0" applyFont="1" applyBorder="1"/>
    <xf numFmtId="1" fontId="1" fillId="6" borderId="30" xfId="0" applyNumberFormat="1" applyFont="1" applyFill="1" applyBorder="1"/>
    <xf numFmtId="166" fontId="1" fillId="6" borderId="30" xfId="0" applyNumberFormat="1" applyFont="1" applyFill="1" applyBorder="1"/>
    <xf numFmtId="168" fontId="1" fillId="6" borderId="30" xfId="0" applyNumberFormat="1" applyFont="1" applyFill="1" applyBorder="1"/>
    <xf numFmtId="0" fontId="2" fillId="0" borderId="38" xfId="0" applyFont="1" applyBorder="1"/>
    <xf numFmtId="1" fontId="1" fillId="2" borderId="30" xfId="0" applyNumberFormat="1" applyFont="1" applyFill="1" applyBorder="1"/>
    <xf numFmtId="4" fontId="1" fillId="0" borderId="30" xfId="0" applyNumberFormat="1" applyFont="1" applyBorder="1"/>
    <xf numFmtId="168" fontId="1" fillId="3" borderId="30" xfId="0" applyNumberFormat="1" applyFont="1" applyFill="1" applyBorder="1"/>
    <xf numFmtId="1" fontId="1" fillId="8" borderId="35" xfId="0" applyNumberFormat="1" applyFont="1" applyFill="1" applyBorder="1"/>
    <xf numFmtId="168" fontId="1" fillId="8" borderId="35" xfId="0" applyNumberFormat="1" applyFont="1" applyFill="1" applyBorder="1"/>
    <xf numFmtId="1" fontId="0" fillId="0" borderId="0" xfId="0" applyNumberFormat="1" applyFont="1" applyAlignment="1"/>
    <xf numFmtId="4" fontId="0" fillId="0" borderId="0" xfId="0" applyNumberFormat="1" applyFont="1" applyAlignment="1"/>
    <xf numFmtId="0" fontId="23" fillId="0" borderId="0" xfId="0" applyFont="1" applyAlignment="1"/>
    <xf numFmtId="0" fontId="24" fillId="0" borderId="0" xfId="0" applyFont="1" applyAlignment="1"/>
    <xf numFmtId="0" fontId="19" fillId="0" borderId="0" xfId="0" quotePrefix="1" applyFont="1" applyAlignment="1"/>
    <xf numFmtId="0" fontId="19" fillId="0" borderId="0" xfId="0" applyFont="1" applyAlignment="1">
      <alignment wrapText="1"/>
    </xf>
    <xf numFmtId="180" fontId="1" fillId="6" borderId="20" xfId="0" applyNumberFormat="1" applyFont="1" applyFill="1" applyBorder="1"/>
    <xf numFmtId="0" fontId="3" fillId="5" borderId="30" xfId="0" applyFont="1" applyFill="1" applyBorder="1"/>
    <xf numFmtId="171" fontId="1" fillId="6" borderId="30" xfId="0" applyNumberFormat="1" applyFont="1" applyFill="1" applyBorder="1"/>
    <xf numFmtId="3" fontId="0" fillId="0" borderId="0" xfId="0" applyNumberFormat="1" applyFont="1" applyAlignment="1"/>
    <xf numFmtId="44" fontId="1" fillId="0" borderId="21" xfId="1" applyFont="1" applyBorder="1"/>
    <xf numFmtId="0" fontId="0" fillId="0" borderId="30" xfId="0" applyFont="1" applyFill="1" applyBorder="1" applyAlignment="1"/>
    <xf numFmtId="43" fontId="1" fillId="3" borderId="30" xfId="2" applyFont="1" applyFill="1" applyBorder="1"/>
    <xf numFmtId="43" fontId="1" fillId="2" borderId="30" xfId="2" applyFont="1" applyFill="1" applyBorder="1"/>
    <xf numFmtId="43" fontId="0" fillId="0" borderId="0" xfId="0" applyNumberFormat="1" applyFont="1" applyAlignment="1"/>
    <xf numFmtId="181" fontId="0" fillId="0" borderId="0" xfId="0" applyNumberFormat="1" applyFont="1" applyAlignment="1"/>
    <xf numFmtId="184" fontId="0" fillId="0" borderId="0" xfId="3" applyNumberFormat="1" applyFont="1" applyAlignment="1"/>
    <xf numFmtId="0" fontId="0" fillId="0" borderId="32" xfId="0" applyFont="1" applyBorder="1" applyAlignment="1"/>
    <xf numFmtId="2" fontId="0" fillId="0" borderId="33" xfId="0" applyNumberFormat="1" applyFont="1" applyBorder="1" applyAlignment="1"/>
    <xf numFmtId="0" fontId="0" fillId="0" borderId="35" xfId="0" applyFont="1" applyBorder="1" applyAlignment="1"/>
    <xf numFmtId="182" fontId="0" fillId="0" borderId="36" xfId="0" applyNumberFormat="1" applyFont="1" applyBorder="1" applyAlignment="1"/>
    <xf numFmtId="0" fontId="3" fillId="5" borderId="39" xfId="0" applyFont="1" applyFill="1" applyBorder="1"/>
    <xf numFmtId="0" fontId="3" fillId="5" borderId="40" xfId="0" applyFont="1" applyFill="1" applyBorder="1"/>
    <xf numFmtId="0" fontId="3" fillId="5" borderId="41" xfId="0" applyFont="1" applyFill="1" applyBorder="1"/>
    <xf numFmtId="0" fontId="6" fillId="0" borderId="42" xfId="0" applyFont="1" applyBorder="1"/>
    <xf numFmtId="0" fontId="6" fillId="0" borderId="30" xfId="0" applyFont="1" applyBorder="1"/>
    <xf numFmtId="0" fontId="20" fillId="0" borderId="30" xfId="0" applyFont="1" applyBorder="1" applyAlignment="1"/>
    <xf numFmtId="0" fontId="0" fillId="0" borderId="30" xfId="0" applyFont="1" applyBorder="1" applyAlignment="1"/>
    <xf numFmtId="2" fontId="0" fillId="0" borderId="43" xfId="0" applyNumberFormat="1" applyFont="1" applyBorder="1"/>
    <xf numFmtId="0" fontId="0" fillId="0" borderId="42" xfId="0" applyFont="1" applyBorder="1"/>
    <xf numFmtId="179" fontId="0" fillId="0" borderId="30" xfId="0" applyNumberFormat="1" applyFont="1" applyBorder="1"/>
    <xf numFmtId="0" fontId="0" fillId="0" borderId="44" xfId="0" applyFont="1" applyBorder="1"/>
    <xf numFmtId="173" fontId="0" fillId="0" borderId="45" xfId="0" applyNumberFormat="1" applyFont="1" applyBorder="1"/>
    <xf numFmtId="0" fontId="0" fillId="0" borderId="45" xfId="0" applyFont="1" applyBorder="1" applyAlignment="1"/>
    <xf numFmtId="44" fontId="0" fillId="0" borderId="46" xfId="0" applyNumberFormat="1" applyFont="1" applyBorder="1" applyAlignment="1"/>
    <xf numFmtId="0" fontId="0" fillId="0" borderId="44" xfId="0" applyFont="1" applyBorder="1" applyAlignment="1"/>
    <xf numFmtId="3" fontId="1" fillId="6" borderId="45" xfId="0" applyNumberFormat="1" applyFont="1" applyFill="1" applyBorder="1"/>
    <xf numFmtId="166" fontId="1" fillId="6" borderId="45" xfId="0" applyNumberFormat="1" applyFont="1" applyFill="1" applyBorder="1"/>
    <xf numFmtId="171" fontId="1" fillId="6" borderId="45" xfId="0" applyNumberFormat="1" applyFont="1" applyFill="1" applyBorder="1"/>
    <xf numFmtId="0" fontId="0" fillId="0" borderId="46" xfId="0" applyFont="1" applyBorder="1" applyAlignment="1"/>
    <xf numFmtId="0" fontId="3" fillId="5" borderId="42" xfId="0" applyFont="1" applyFill="1" applyBorder="1"/>
    <xf numFmtId="0" fontId="3" fillId="5" borderId="43" xfId="0" applyFont="1" applyFill="1" applyBorder="1"/>
    <xf numFmtId="0" fontId="1" fillId="5" borderId="42" xfId="0" applyFont="1" applyFill="1" applyBorder="1"/>
    <xf numFmtId="0" fontId="0" fillId="0" borderId="43" xfId="0" applyFont="1" applyBorder="1" applyAlignment="1"/>
    <xf numFmtId="0" fontId="0" fillId="0" borderId="42" xfId="0" applyFont="1" applyFill="1" applyBorder="1" applyAlignment="1"/>
    <xf numFmtId="181" fontId="0" fillId="0" borderId="30" xfId="0" applyNumberFormat="1" applyFont="1" applyBorder="1" applyAlignment="1"/>
    <xf numFmtId="176" fontId="0" fillId="0" borderId="30" xfId="0" applyNumberFormat="1" applyFont="1" applyBorder="1" applyAlignment="1"/>
    <xf numFmtId="43" fontId="0" fillId="0" borderId="43" xfId="0" applyNumberFormat="1" applyFont="1" applyBorder="1" applyAlignment="1"/>
    <xf numFmtId="0" fontId="3" fillId="0" borderId="42" xfId="0" applyFont="1" applyBorder="1"/>
    <xf numFmtId="43" fontId="26" fillId="0" borderId="30" xfId="0" applyNumberFormat="1" applyFont="1" applyBorder="1" applyAlignment="1"/>
    <xf numFmtId="43" fontId="0" fillId="0" borderId="30" xfId="0" applyNumberFormat="1" applyFont="1" applyBorder="1" applyAlignment="1"/>
    <xf numFmtId="0" fontId="0" fillId="0" borderId="42" xfId="0" applyFont="1" applyBorder="1" applyAlignment="1"/>
    <xf numFmtId="4" fontId="25" fillId="3" borderId="30" xfId="0" applyNumberFormat="1" applyFont="1" applyFill="1" applyBorder="1"/>
    <xf numFmtId="43" fontId="0" fillId="0" borderId="45" xfId="0" applyNumberFormat="1" applyFont="1" applyBorder="1" applyAlignment="1"/>
    <xf numFmtId="176" fontId="0" fillId="0" borderId="45" xfId="0" applyNumberFormat="1" applyFont="1" applyBorder="1" applyAlignment="1"/>
    <xf numFmtId="0" fontId="21" fillId="5" borderId="30" xfId="0" applyFont="1" applyFill="1" applyBorder="1" applyAlignment="1"/>
    <xf numFmtId="0" fontId="1" fillId="0" borderId="47" xfId="0" applyFont="1" applyBorder="1"/>
    <xf numFmtId="0" fontId="2" fillId="0" borderId="20" xfId="0" applyFont="1" applyBorder="1"/>
    <xf numFmtId="167" fontId="1" fillId="0" borderId="20" xfId="0" applyNumberFormat="1" applyFont="1" applyBorder="1"/>
    <xf numFmtId="4" fontId="0" fillId="0" borderId="48" xfId="0" applyNumberFormat="1" applyFont="1" applyBorder="1"/>
    <xf numFmtId="0" fontId="6" fillId="0" borderId="44" xfId="0" applyFont="1" applyBorder="1"/>
    <xf numFmtId="180" fontId="1" fillId="6" borderId="45" xfId="0" applyNumberFormat="1" applyFont="1" applyFill="1" applyBorder="1"/>
    <xf numFmtId="0" fontId="6" fillId="0" borderId="45" xfId="0" applyFont="1" applyBorder="1"/>
    <xf numFmtId="0" fontId="0" fillId="0" borderId="49" xfId="0" applyFont="1" applyBorder="1" applyAlignment="1"/>
    <xf numFmtId="0" fontId="0" fillId="0" borderId="50" xfId="0" applyFont="1" applyBorder="1" applyAlignment="1"/>
    <xf numFmtId="180" fontId="1" fillId="6" borderId="50" xfId="0" applyNumberFormat="1" applyFont="1" applyFill="1" applyBorder="1" applyAlignment="1"/>
    <xf numFmtId="0" fontId="6" fillId="0" borderId="50" xfId="0" applyFont="1" applyBorder="1"/>
    <xf numFmtId="0" fontId="0" fillId="0" borderId="51" xfId="0" applyFont="1" applyBorder="1" applyAlignment="1"/>
    <xf numFmtId="0" fontId="1" fillId="5" borderId="52" xfId="0" applyFont="1" applyFill="1" applyBorder="1"/>
    <xf numFmtId="0" fontId="3" fillId="5" borderId="35" xfId="0" applyFont="1" applyFill="1" applyBorder="1"/>
    <xf numFmtId="0" fontId="3" fillId="5" borderId="53" xfId="0" applyFont="1" applyFill="1" applyBorder="1"/>
    <xf numFmtId="0" fontId="1" fillId="0" borderId="44" xfId="0" applyFont="1" applyBorder="1"/>
    <xf numFmtId="0" fontId="2" fillId="0" borderId="45" xfId="0" applyFont="1" applyBorder="1"/>
    <xf numFmtId="1" fontId="0" fillId="0" borderId="46" xfId="0" applyNumberFormat="1" applyFont="1" applyBorder="1"/>
    <xf numFmtId="168" fontId="1" fillId="0" borderId="45" xfId="0" applyNumberFormat="1" applyFont="1" applyBorder="1"/>
    <xf numFmtId="1" fontId="0" fillId="0" borderId="30" xfId="1" applyNumberFormat="1" applyFont="1" applyBorder="1" applyAlignment="1"/>
    <xf numFmtId="44" fontId="0" fillId="0" borderId="30" xfId="1" applyFont="1" applyBorder="1" applyAlignment="1"/>
    <xf numFmtId="0" fontId="0" fillId="0" borderId="54" xfId="0" applyFont="1" applyBorder="1" applyAlignment="1"/>
    <xf numFmtId="0" fontId="0" fillId="0" borderId="52" xfId="0" applyFont="1" applyBorder="1" applyAlignment="1"/>
    <xf numFmtId="3" fontId="0" fillId="0" borderId="30" xfId="0" applyNumberFormat="1" applyFont="1" applyBorder="1" applyAlignment="1"/>
    <xf numFmtId="171" fontId="0" fillId="0" borderId="30" xfId="0" applyNumberFormat="1" applyFont="1" applyBorder="1" applyAlignment="1"/>
    <xf numFmtId="0" fontId="19" fillId="0" borderId="30" xfId="0" applyFont="1" applyBorder="1" applyAlignment="1"/>
    <xf numFmtId="0" fontId="20" fillId="0" borderId="42" xfId="0" applyFont="1" applyBorder="1" applyAlignment="1"/>
    <xf numFmtId="183" fontId="0" fillId="0" borderId="30" xfId="0" applyNumberFormat="1" applyFont="1" applyBorder="1" applyAlignment="1"/>
    <xf numFmtId="43" fontId="0" fillId="0" borderId="30" xfId="2" applyFont="1" applyBorder="1" applyAlignment="1"/>
    <xf numFmtId="0" fontId="20" fillId="0" borderId="44" xfId="0" applyFont="1" applyBorder="1" applyAlignment="1"/>
    <xf numFmtId="1" fontId="0" fillId="0" borderId="45" xfId="0" applyNumberFormat="1" applyFont="1" applyBorder="1" applyAlignment="1"/>
    <xf numFmtId="185" fontId="0" fillId="0" borderId="45" xfId="3" applyNumberFormat="1" applyFont="1" applyBorder="1" applyAlignment="1"/>
    <xf numFmtId="168" fontId="1" fillId="0" borderId="30" xfId="0" applyNumberFormat="1" applyFont="1" applyBorder="1"/>
    <xf numFmtId="1" fontId="0" fillId="0" borderId="30" xfId="0" applyNumberFormat="1" applyFont="1" applyBorder="1"/>
    <xf numFmtId="171" fontId="1" fillId="0" borderId="30" xfId="0" applyNumberFormat="1" applyFont="1" applyFill="1" applyBorder="1"/>
    <xf numFmtId="168" fontId="1" fillId="0" borderId="30" xfId="0" applyNumberFormat="1" applyFont="1" applyFill="1" applyBorder="1"/>
    <xf numFmtId="0" fontId="21" fillId="5" borderId="35" xfId="0" applyFont="1" applyFill="1" applyBorder="1"/>
    <xf numFmtId="181" fontId="2" fillId="0" borderId="30" xfId="0" applyNumberFormat="1" applyFont="1" applyBorder="1"/>
    <xf numFmtId="0" fontId="3" fillId="0" borderId="42" xfId="0" applyFont="1" applyFill="1" applyBorder="1"/>
    <xf numFmtId="4" fontId="25" fillId="0" borderId="30" xfId="0" applyNumberFormat="1" applyFont="1" applyFill="1" applyBorder="1"/>
    <xf numFmtId="43" fontId="1" fillId="0" borderId="30" xfId="2" applyFont="1" applyFill="1" applyBorder="1"/>
    <xf numFmtId="181" fontId="2" fillId="0" borderId="30" xfId="0" applyNumberFormat="1" applyFont="1" applyFill="1" applyBorder="1"/>
    <xf numFmtId="1" fontId="0" fillId="0" borderId="30" xfId="0" applyNumberFormat="1" applyFont="1" applyFill="1" applyBorder="1"/>
    <xf numFmtId="0" fontId="0" fillId="0" borderId="0" xfId="0" applyFont="1" applyFill="1" applyAlignment="1"/>
    <xf numFmtId="0" fontId="21" fillId="5" borderId="30" xfId="0" applyFont="1" applyFill="1" applyBorder="1"/>
    <xf numFmtId="2" fontId="0" fillId="0" borderId="43" xfId="0" applyNumberFormat="1" applyFont="1" applyBorder="1" applyAlignment="1"/>
    <xf numFmtId="181" fontId="0" fillId="0" borderId="43" xfId="0" applyNumberFormat="1" applyFont="1" applyBorder="1" applyAlignment="1"/>
    <xf numFmtId="181" fontId="0" fillId="0" borderId="42" xfId="0" applyNumberFormat="1" applyFont="1" applyBorder="1" applyAlignment="1"/>
    <xf numFmtId="43" fontId="0" fillId="0" borderId="42" xfId="0" applyNumberFormat="1" applyFont="1" applyBorder="1" applyAlignment="1"/>
    <xf numFmtId="0" fontId="19" fillId="0" borderId="30" xfId="0" applyFont="1" applyFill="1" applyBorder="1" applyAlignment="1"/>
    <xf numFmtId="8" fontId="0" fillId="0" borderId="30" xfId="0" applyNumberFormat="1" applyFont="1" applyBorder="1" applyAlignment="1"/>
    <xf numFmtId="6" fontId="27" fillId="13" borderId="30" xfId="4" applyNumberFormat="1" applyBorder="1" applyAlignment="1"/>
    <xf numFmtId="9" fontId="27" fillId="13" borderId="30" xfId="4" applyNumberFormat="1" applyBorder="1" applyAlignment="1"/>
    <xf numFmtId="185" fontId="27" fillId="13" borderId="42" xfId="4" applyNumberFormat="1" applyBorder="1" applyAlignment="1"/>
    <xf numFmtId="3" fontId="27" fillId="13" borderId="20" xfId="4" applyNumberFormat="1" applyBorder="1"/>
    <xf numFmtId="3" fontId="27" fillId="13" borderId="45" xfId="4" applyNumberFormat="1" applyBorder="1"/>
    <xf numFmtId="181" fontId="27" fillId="13" borderId="20" xfId="4" applyNumberFormat="1" applyBorder="1"/>
    <xf numFmtId="181" fontId="27" fillId="13" borderId="45" xfId="4" applyNumberFormat="1" applyBorder="1"/>
    <xf numFmtId="0" fontId="19" fillId="0" borderId="42" xfId="0" applyFont="1" applyBorder="1" applyAlignment="1"/>
    <xf numFmtId="181" fontId="0" fillId="0" borderId="30" xfId="2" applyNumberFormat="1" applyFont="1" applyBorder="1" applyAlignment="1"/>
    <xf numFmtId="9" fontId="27" fillId="13" borderId="30" xfId="3" applyFont="1" applyFill="1" applyBorder="1" applyAlignment="1"/>
    <xf numFmtId="0" fontId="0" fillId="15" borderId="41" xfId="0" applyFont="1" applyFill="1" applyBorder="1" applyAlignment="1"/>
    <xf numFmtId="43" fontId="28" fillId="14" borderId="30" xfId="5" applyNumberFormat="1" applyBorder="1" applyAlignment="1"/>
    <xf numFmtId="0" fontId="3" fillId="5" borderId="27" xfId="0" applyFont="1" applyFill="1" applyBorder="1" applyAlignment="1">
      <alignment horizontal="center"/>
    </xf>
    <xf numFmtId="0" fontId="13" fillId="0" borderId="28" xfId="0" applyFont="1" applyBorder="1"/>
    <xf numFmtId="0" fontId="29" fillId="15" borderId="39" xfId="0" applyFont="1" applyFill="1" applyBorder="1" applyAlignment="1">
      <alignment horizontal="center"/>
    </xf>
    <xf numFmtId="0" fontId="29" fillId="15" borderId="40" xfId="0" applyFont="1" applyFill="1" applyBorder="1" applyAlignment="1">
      <alignment horizontal="center"/>
    </xf>
    <xf numFmtId="0" fontId="29" fillId="15" borderId="41" xfId="0" applyFont="1" applyFill="1" applyBorder="1" applyAlignment="1">
      <alignment horizontal="center"/>
    </xf>
  </cellXfs>
  <cellStyles count="6">
    <cellStyle name="Comma" xfId="2" builtinId="3"/>
    <cellStyle name="Currency" xfId="1" builtinId="4"/>
    <cellStyle name="Good" xfId="4" builtinId="26"/>
    <cellStyle name="Neutral" xfId="5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56" sqref="D56"/>
    </sheetView>
  </sheetViews>
  <sheetFormatPr defaultColWidth="12.59765625" defaultRowHeight="15" customHeight="1"/>
  <cols>
    <col min="1" max="1" width="30.59765625" customWidth="1"/>
    <col min="3" max="3" width="9.8984375" customWidth="1"/>
    <col min="5" max="6" width="14.19921875" customWidth="1"/>
    <col min="7" max="7" width="11.3984375" customWidth="1"/>
    <col min="8" max="8" width="9.19921875" customWidth="1"/>
    <col min="13" max="13" width="14.19921875" customWidth="1"/>
    <col min="14" max="14" width="19.5" customWidth="1"/>
  </cols>
  <sheetData>
    <row r="1" spans="1:26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6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7" t="s">
        <v>16</v>
      </c>
      <c r="B4" s="8">
        <v>1000</v>
      </c>
      <c r="C4" s="8">
        <f>D4/B4</f>
        <v>1</v>
      </c>
      <c r="D4" s="8">
        <v>1000</v>
      </c>
      <c r="E4" s="4"/>
      <c r="F4" s="9"/>
      <c r="G4" s="7">
        <v>1000</v>
      </c>
      <c r="H4" s="7">
        <v>0</v>
      </c>
      <c r="I4" s="7">
        <f>G4+H4</f>
        <v>1000</v>
      </c>
      <c r="J4" s="9">
        <f>(G4/I4)*B4</f>
        <v>1000</v>
      </c>
      <c r="K4" s="9">
        <f>(G4/I4)*D4</f>
        <v>1000</v>
      </c>
      <c r="L4" s="9">
        <f>J4+K4/C4</f>
        <v>2000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0" t="s">
        <v>17</v>
      </c>
      <c r="B5" s="1">
        <v>10</v>
      </c>
      <c r="C5" s="9"/>
      <c r="D5" s="2">
        <f>(B5*D4*E5*B4*E5)/(B5+(B4*E5))^2</f>
        <v>9.8029604940692092</v>
      </c>
      <c r="E5" s="4">
        <v>1</v>
      </c>
      <c r="F5" s="9"/>
      <c r="G5" s="11"/>
      <c r="H5" s="4"/>
      <c r="I5" s="4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7" t="s">
        <v>18</v>
      </c>
      <c r="B6" s="8">
        <f>B5+B4</f>
        <v>1010</v>
      </c>
      <c r="C6" s="8"/>
      <c r="D6" s="8">
        <f>D4-D5</f>
        <v>990.19703950593077</v>
      </c>
      <c r="E6" s="4"/>
      <c r="F6" s="9"/>
      <c r="G6" s="7">
        <v>1000</v>
      </c>
      <c r="H6" s="7">
        <v>0</v>
      </c>
      <c r="I6" s="7">
        <f>G6+H6</f>
        <v>1000</v>
      </c>
      <c r="J6" s="9">
        <f>(G6/I6)*B6</f>
        <v>1010</v>
      </c>
      <c r="K6" s="9">
        <f>(G6/I6)*D6</f>
        <v>990.19703950593077</v>
      </c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0" t="s">
        <v>19</v>
      </c>
      <c r="B7" s="12"/>
      <c r="C7" s="12"/>
      <c r="D7" s="12"/>
      <c r="E7" s="12"/>
      <c r="F7" s="9"/>
      <c r="G7" s="4"/>
      <c r="H7" s="4"/>
      <c r="I7" s="4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7" t="s">
        <v>16</v>
      </c>
      <c r="B8" s="8">
        <f>B7+B6</f>
        <v>1010</v>
      </c>
      <c r="C8" s="8">
        <f>D8/B8</f>
        <v>0.98039310842171368</v>
      </c>
      <c r="D8" s="8">
        <f>D6</f>
        <v>990.19703950593077</v>
      </c>
      <c r="E8" s="4"/>
      <c r="F8" s="9"/>
      <c r="G8" s="7">
        <v>1000</v>
      </c>
      <c r="H8" s="7">
        <v>0</v>
      </c>
      <c r="I8" s="7">
        <f>G8+H8</f>
        <v>1000</v>
      </c>
      <c r="J8" s="9">
        <f>(G8/I8)*B8</f>
        <v>1010</v>
      </c>
      <c r="K8" s="9">
        <f>(G8/I8)*D8</f>
        <v>990.19703950593077</v>
      </c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0" t="s">
        <v>20</v>
      </c>
      <c r="B9" s="2">
        <f>(D9*B8*D8)/(D9+D8)^2</f>
        <v>9.8990589052329874</v>
      </c>
      <c r="C9" s="9"/>
      <c r="D9" s="1">
        <v>9.9</v>
      </c>
      <c r="E9" s="4">
        <v>1</v>
      </c>
      <c r="F9" s="9"/>
      <c r="G9" s="11"/>
      <c r="H9" s="11"/>
      <c r="I9" s="4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7" t="s">
        <v>18</v>
      </c>
      <c r="B10" s="13">
        <f>B8-B9</f>
        <v>1000.100941094767</v>
      </c>
      <c r="C10" s="9">
        <f>D10/B10</f>
        <v>0.99999609880495466</v>
      </c>
      <c r="D10" s="13">
        <f>D8+D9</f>
        <v>1000.0970395059308</v>
      </c>
      <c r="E10" s="4"/>
      <c r="F10" s="9"/>
      <c r="G10" s="7">
        <v>1000</v>
      </c>
      <c r="H10" s="7">
        <v>0</v>
      </c>
      <c r="I10" s="7">
        <f>G10+H10</f>
        <v>1000</v>
      </c>
      <c r="J10" s="9">
        <f>(G10/I10)*B10</f>
        <v>1000.100941094767</v>
      </c>
      <c r="K10" s="9">
        <f>(G10/I10)*D10</f>
        <v>1000.0970395059308</v>
      </c>
      <c r="L10" s="9">
        <f>J10+K10/C10</f>
        <v>2000.201882189534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0"/>
      <c r="B11" s="9"/>
      <c r="C11" s="14"/>
      <c r="D11" s="9"/>
      <c r="E11" s="4"/>
      <c r="F11" s="9"/>
      <c r="G11" s="11"/>
      <c r="H11" s="11"/>
      <c r="I11" s="4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0"/>
      <c r="B12" s="9"/>
      <c r="C12" s="14"/>
      <c r="D12" s="9"/>
      <c r="E12" s="4"/>
      <c r="F12" s="9"/>
      <c r="G12" s="4"/>
      <c r="H12" s="4"/>
      <c r="I12" s="4"/>
      <c r="J12" s="9"/>
      <c r="K12" s="9"/>
      <c r="L12" s="9"/>
      <c r="M12" s="4"/>
      <c r="N12" s="15" t="s">
        <v>21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" t="s">
        <v>22</v>
      </c>
      <c r="B13" s="5"/>
      <c r="C13" s="5"/>
      <c r="D13" s="5"/>
      <c r="E13" s="5"/>
      <c r="F13" s="5"/>
      <c r="G13" s="5"/>
      <c r="H13" s="6" t="s">
        <v>23</v>
      </c>
      <c r="I13" s="5"/>
      <c r="J13" s="5"/>
      <c r="K13" s="5"/>
      <c r="L13" s="5"/>
      <c r="M13" s="4"/>
      <c r="N13" s="15" t="s">
        <v>24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6"/>
      <c r="B14" s="5" t="s">
        <v>5</v>
      </c>
      <c r="C14" s="5" t="s">
        <v>25</v>
      </c>
      <c r="D14" s="5" t="s">
        <v>7</v>
      </c>
      <c r="E14" s="5" t="s">
        <v>8</v>
      </c>
      <c r="F14" s="5" t="s">
        <v>9</v>
      </c>
      <c r="G14" s="5" t="s">
        <v>10</v>
      </c>
      <c r="H14" s="5" t="s">
        <v>11</v>
      </c>
      <c r="I14" s="5" t="s">
        <v>12</v>
      </c>
      <c r="J14" s="5" t="s">
        <v>13</v>
      </c>
      <c r="K14" s="5" t="s">
        <v>14</v>
      </c>
      <c r="L14" s="5" t="s">
        <v>15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7" t="s">
        <v>16</v>
      </c>
      <c r="B15" s="8">
        <v>1000</v>
      </c>
      <c r="C15" s="8">
        <f>D15/B15</f>
        <v>1</v>
      </c>
      <c r="D15" s="8">
        <f>D4</f>
        <v>1000</v>
      </c>
      <c r="E15" s="4"/>
      <c r="F15" s="9"/>
      <c r="G15" s="7">
        <v>1000</v>
      </c>
      <c r="H15" s="7">
        <v>0</v>
      </c>
      <c r="I15" s="7">
        <f>G15+H15</f>
        <v>1000</v>
      </c>
      <c r="J15" s="9">
        <f>(G15/I15)*B15</f>
        <v>1000</v>
      </c>
      <c r="K15" s="9">
        <f>(G15/I15)*D15</f>
        <v>1000</v>
      </c>
      <c r="L15" s="9">
        <f>J15+K15/C15</f>
        <v>2000</v>
      </c>
      <c r="M15" s="4"/>
      <c r="N15" s="4" t="s">
        <v>26</v>
      </c>
      <c r="O15" s="16">
        <f>F19</f>
        <v>9.9007450310635878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0" t="s">
        <v>27</v>
      </c>
      <c r="B16" s="12"/>
      <c r="C16" s="12"/>
      <c r="D16" s="12"/>
      <c r="E16" s="17"/>
      <c r="F16" s="9"/>
      <c r="G16" s="11"/>
      <c r="H16" s="4"/>
      <c r="I16" s="4"/>
      <c r="J16" s="9"/>
      <c r="K16" s="9"/>
      <c r="L16" s="9"/>
      <c r="M16" s="4"/>
      <c r="N16" s="4" t="s">
        <v>28</v>
      </c>
      <c r="O16" s="16">
        <f>(O15*G21)/(2*O17-O15)</f>
        <v>4.9501262405944511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7" t="s">
        <v>18</v>
      </c>
      <c r="B17" s="8">
        <f>B16+B15</f>
        <v>1000</v>
      </c>
      <c r="C17" s="8"/>
      <c r="D17" s="8">
        <f>D15-D16</f>
        <v>1000</v>
      </c>
      <c r="E17" s="4"/>
      <c r="F17" s="9"/>
      <c r="G17" s="7">
        <v>1000</v>
      </c>
      <c r="H17" s="7">
        <v>0</v>
      </c>
      <c r="I17" s="7">
        <f>G17+H17</f>
        <v>1000</v>
      </c>
      <c r="J17" s="9">
        <f>(G17/I17)*B17</f>
        <v>1000</v>
      </c>
      <c r="K17" s="9">
        <f>(G17/I17)*D17</f>
        <v>1000</v>
      </c>
      <c r="L17" s="9"/>
      <c r="M17" s="4"/>
      <c r="N17" s="4" t="s">
        <v>29</v>
      </c>
      <c r="O17" s="16">
        <f>B21</f>
        <v>1005.0001237593129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0" t="s">
        <v>30</v>
      </c>
      <c r="B18" s="1">
        <v>10</v>
      </c>
      <c r="C18" s="9"/>
      <c r="D18" s="3">
        <f>(B18*B17*E18*D17*E18)/(B18+(B17*E18))^2</f>
        <v>9.9007450310635878</v>
      </c>
      <c r="E18" s="4">
        <v>2</v>
      </c>
      <c r="F18" s="4"/>
      <c r="G18" s="4"/>
      <c r="H18" s="4"/>
      <c r="I18" s="4"/>
      <c r="J18" s="9"/>
      <c r="K18" s="9"/>
      <c r="L18" s="9"/>
      <c r="M18" s="4"/>
      <c r="N18" s="4" t="s">
        <v>31</v>
      </c>
      <c r="O18" s="16">
        <f>D21</f>
        <v>1005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7" t="s">
        <v>16</v>
      </c>
      <c r="B19" s="8">
        <f>B18+B17</f>
        <v>1010</v>
      </c>
      <c r="C19" s="8">
        <f>D19/B19</f>
        <v>0.99009900990099009</v>
      </c>
      <c r="D19" s="8">
        <f>D17</f>
        <v>1000</v>
      </c>
      <c r="E19" s="4"/>
      <c r="F19" s="9">
        <f>D18</f>
        <v>9.9007450310635878</v>
      </c>
      <c r="G19" s="7">
        <v>1000</v>
      </c>
      <c r="H19" s="9">
        <f>(F19*G19)/(2*D19-F19)</f>
        <v>4.9750006218750782</v>
      </c>
      <c r="I19" s="9">
        <f>G19+H19</f>
        <v>1004.9750006218751</v>
      </c>
      <c r="J19" s="9">
        <f>(G19/I19)*B19</f>
        <v>1005.0001237593129</v>
      </c>
      <c r="K19" s="9">
        <f>(G19/I19)*D19</f>
        <v>995.04962748446826</v>
      </c>
      <c r="L19" s="9"/>
      <c r="M19" s="4"/>
      <c r="N19" s="4" t="s">
        <v>32</v>
      </c>
      <c r="O19" s="16">
        <f>I21</f>
        <v>1004.9501268531883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0" t="s">
        <v>20</v>
      </c>
      <c r="B20" s="2">
        <f>(D20*B19*D19)/(D20+D19)^2</f>
        <v>4.9998762406871116</v>
      </c>
      <c r="C20" s="9"/>
      <c r="D20" s="1">
        <v>5</v>
      </c>
      <c r="E20" s="4">
        <v>1</v>
      </c>
      <c r="F20" s="9"/>
      <c r="G20" s="11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7" t="s">
        <v>18</v>
      </c>
      <c r="B21" s="13">
        <f>B19-B20</f>
        <v>1005.0001237593129</v>
      </c>
      <c r="C21" s="9">
        <f>D21/B21</f>
        <v>0.99999987685642022</v>
      </c>
      <c r="D21" s="13">
        <f>D19+D20</f>
        <v>1005</v>
      </c>
      <c r="E21" s="4"/>
      <c r="F21" s="9">
        <f>F19</f>
        <v>9.9007450310635878</v>
      </c>
      <c r="G21" s="7">
        <v>1000</v>
      </c>
      <c r="H21" s="9">
        <f>(F21*G21)/(2*D21-F21)</f>
        <v>4.9501268531882721</v>
      </c>
      <c r="I21" s="9">
        <f>G21+H21</f>
        <v>1004.9501268531883</v>
      </c>
      <c r="J21" s="9">
        <f>(G21/I21)*B21</f>
        <v>1000.0497506341744</v>
      </c>
      <c r="K21" s="9">
        <f>(G21/I21)*D21</f>
        <v>1000.0496274844681</v>
      </c>
      <c r="L21" s="9">
        <f>J21+K21/C21</f>
        <v>2000.0995012683488</v>
      </c>
      <c r="M21" s="4"/>
      <c r="N21" s="4" t="s">
        <v>33</v>
      </c>
      <c r="O21" s="18">
        <f>O15*(O18/O17)</f>
        <v>9.9007438118504023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9"/>
      <c r="C22" s="9"/>
      <c r="D22" s="9"/>
      <c r="E22" s="4"/>
      <c r="F22" s="4"/>
      <c r="G22" s="4"/>
      <c r="H22" s="4"/>
      <c r="I22" s="4"/>
      <c r="J22" s="4"/>
      <c r="K22" s="4"/>
      <c r="L22" s="4"/>
      <c r="M22" s="4"/>
      <c r="N22" s="4" t="s">
        <v>34</v>
      </c>
      <c r="O22" s="18">
        <f>(O15*O18)/(2*O17)</f>
        <v>4.9503719059252012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9"/>
      <c r="C23" s="14"/>
      <c r="D23" s="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 t="s">
        <v>35</v>
      </c>
      <c r="B24" s="5"/>
      <c r="C24" s="5"/>
      <c r="D24" s="5"/>
      <c r="E24" s="5"/>
      <c r="F24" s="5"/>
      <c r="G24" s="5"/>
      <c r="H24" s="6" t="s">
        <v>23</v>
      </c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6"/>
      <c r="B25" s="5" t="s">
        <v>5</v>
      </c>
      <c r="C25" s="5" t="s">
        <v>25</v>
      </c>
      <c r="D25" s="5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5" t="s">
        <v>12</v>
      </c>
      <c r="J25" s="5" t="s">
        <v>13</v>
      </c>
      <c r="K25" s="5" t="s">
        <v>14</v>
      </c>
      <c r="L25" s="5" t="s">
        <v>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7" t="s">
        <v>16</v>
      </c>
      <c r="B26" s="8">
        <v>1000</v>
      </c>
      <c r="C26" s="8">
        <f>D26/B26</f>
        <v>1</v>
      </c>
      <c r="D26" s="8">
        <f>D15</f>
        <v>1000</v>
      </c>
      <c r="E26" s="4"/>
      <c r="F26" s="9"/>
      <c r="G26" s="7">
        <v>1000</v>
      </c>
      <c r="H26" s="7">
        <v>0</v>
      </c>
      <c r="I26" s="7">
        <f>G26+H26</f>
        <v>1000</v>
      </c>
      <c r="J26" s="9">
        <f>(G26/I26)*B26</f>
        <v>1000</v>
      </c>
      <c r="K26" s="9">
        <f>(G26/I26)*D26</f>
        <v>1000</v>
      </c>
      <c r="L26" s="9">
        <f>J26+K26/C26</f>
        <v>2000</v>
      </c>
      <c r="M26" s="4"/>
      <c r="N26" s="4" t="s">
        <v>36</v>
      </c>
      <c r="O26" s="16">
        <f>D18</f>
        <v>9.9007450310635878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0" t="s">
        <v>37</v>
      </c>
      <c r="B27" s="2">
        <f>(D27*B26*D26)/(D27+D26)^2</f>
        <v>9.8990297980496962</v>
      </c>
      <c r="C27" s="9"/>
      <c r="D27" s="1">
        <v>10.1</v>
      </c>
      <c r="E27" s="4">
        <v>1</v>
      </c>
      <c r="F27" s="9"/>
      <c r="G27" s="11"/>
      <c r="H27" s="4"/>
      <c r="I27" s="4"/>
      <c r="J27" s="9"/>
      <c r="K27" s="9"/>
      <c r="L27" s="9"/>
      <c r="M27" s="4"/>
      <c r="N27" s="4" t="s">
        <v>38</v>
      </c>
      <c r="O27" s="19">
        <f>(O26*E18*O17*E18*O18)/(O26+(O18*E29))^2</f>
        <v>9.80392513131771</v>
      </c>
      <c r="P27" s="4" t="s">
        <v>39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7"/>
      <c r="B28" s="13">
        <f>B26-B27</f>
        <v>990.1009702019503</v>
      </c>
      <c r="C28" s="9">
        <f>D28/B28</f>
        <v>1.0201989801039892</v>
      </c>
      <c r="D28" s="13">
        <f>D26+D27</f>
        <v>1010.1</v>
      </c>
      <c r="E28" s="4"/>
      <c r="F28" s="9"/>
      <c r="G28" s="7">
        <v>1000</v>
      </c>
      <c r="H28" s="7">
        <v>0</v>
      </c>
      <c r="I28" s="7">
        <f>G28+H28</f>
        <v>1000</v>
      </c>
      <c r="J28" s="9">
        <f>(G28/I28)*B28</f>
        <v>990.1009702019503</v>
      </c>
      <c r="K28" s="9">
        <f>(G28/I28)*D28</f>
        <v>1010.1</v>
      </c>
      <c r="L28" s="9"/>
      <c r="M28" s="4"/>
      <c r="N28" s="4"/>
      <c r="O28" s="4"/>
      <c r="P28" s="4" t="s">
        <v>40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0" t="s">
        <v>30</v>
      </c>
      <c r="B29" s="1">
        <f>B27</f>
        <v>9.8990297980496962</v>
      </c>
      <c r="C29" s="9"/>
      <c r="D29" s="3">
        <f>(B29*E29*B28*E29*D28)/(B29+(B28*E29))^2</f>
        <v>9.9987626033691903</v>
      </c>
      <c r="E29" s="4">
        <v>2</v>
      </c>
      <c r="F29" s="4"/>
      <c r="G29" s="4"/>
      <c r="H29" s="4"/>
      <c r="I29" s="4"/>
      <c r="J29" s="9"/>
      <c r="K29" s="9"/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7"/>
      <c r="B30" s="8">
        <f>B28+B29</f>
        <v>1000</v>
      </c>
      <c r="C30" s="8">
        <f>D30/B30</f>
        <v>1.0101</v>
      </c>
      <c r="D30" s="8">
        <f>D28</f>
        <v>1010.1</v>
      </c>
      <c r="E30" s="4"/>
      <c r="F30" s="9">
        <f>D29</f>
        <v>9.9987626033691903</v>
      </c>
      <c r="G30" s="7">
        <v>1000</v>
      </c>
      <c r="H30" s="9">
        <f>(F30*G30)/(2*D30-F30)</f>
        <v>4.9740107693488325</v>
      </c>
      <c r="I30" s="9">
        <f>G30+H30</f>
        <v>1004.9740107693489</v>
      </c>
      <c r="J30" s="9">
        <f>(G30/I30)*B30</f>
        <v>995.05060756193973</v>
      </c>
      <c r="K30" s="9">
        <f>(G30/I30)*D30</f>
        <v>1005.1006186983153</v>
      </c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0" t="s">
        <v>41</v>
      </c>
      <c r="B31" s="1">
        <f>(D30-B30)/2</f>
        <v>5.0500000000000114</v>
      </c>
      <c r="C31" s="9"/>
      <c r="D31" s="2">
        <f>(B31*D30*B30)/(B31+B30)^2</f>
        <v>5.0498725033427343</v>
      </c>
      <c r="E31" s="4">
        <v>1</v>
      </c>
      <c r="F31" s="9"/>
      <c r="G31" s="11"/>
      <c r="H31" s="9"/>
      <c r="I31" s="9"/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7" t="s">
        <v>18</v>
      </c>
      <c r="B32" s="8">
        <f>B31+B30</f>
        <v>1005.05</v>
      </c>
      <c r="C32" s="8">
        <f>D32/B32</f>
        <v>1.0000001268560343</v>
      </c>
      <c r="D32" s="8">
        <f>D30-D31</f>
        <v>1005.0501274966573</v>
      </c>
      <c r="E32" s="4"/>
      <c r="F32" s="9">
        <f>F30</f>
        <v>9.9987626033691903</v>
      </c>
      <c r="G32" s="7">
        <v>1000</v>
      </c>
      <c r="H32" s="9">
        <f>(F32*G32)/(2*D32-F32)</f>
        <v>4.999127614979952</v>
      </c>
      <c r="I32" s="9">
        <f>G32+H32</f>
        <v>1004.9991276149799</v>
      </c>
      <c r="J32" s="9">
        <f>(G32/I32)*B32</f>
        <v>1000.0506193325169</v>
      </c>
      <c r="K32" s="9">
        <f>(G32/I32)*D32</f>
        <v>1000.0507461949727</v>
      </c>
      <c r="L32" s="9">
        <f>J32+K32/C32</f>
        <v>2000.1012386650341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0"/>
      <c r="B33" s="8"/>
      <c r="C33" s="8"/>
      <c r="D33" s="8"/>
      <c r="E33" s="4"/>
      <c r="F33" s="9"/>
      <c r="G33" s="7"/>
      <c r="H33" s="9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 t="s">
        <v>42</v>
      </c>
      <c r="B34" s="5" t="s">
        <v>43</v>
      </c>
      <c r="C34" s="5" t="s">
        <v>44</v>
      </c>
      <c r="D34" s="5" t="s">
        <v>45</v>
      </c>
      <c r="E34" s="5" t="s">
        <v>46</v>
      </c>
      <c r="F34" s="5"/>
      <c r="G34" s="5"/>
      <c r="H34" s="9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">
        <v>47</v>
      </c>
      <c r="B35" s="3">
        <f>D29</f>
        <v>9.9987626033691903</v>
      </c>
      <c r="C35" s="3">
        <v>12</v>
      </c>
      <c r="D35" s="20">
        <f>(C35-B35)/B35</f>
        <v>0.20014850597177608</v>
      </c>
      <c r="E35" s="4" t="s">
        <v>48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7" t="s">
        <v>49</v>
      </c>
      <c r="B36" s="16">
        <f>B40*2</f>
        <v>2010.1</v>
      </c>
      <c r="C36" s="16">
        <f>(B36*D36)+B36</f>
        <v>2814.7370237077339</v>
      </c>
      <c r="D36" s="20">
        <f>D35*2</f>
        <v>0.40029701194355216</v>
      </c>
      <c r="E36" s="4" t="s">
        <v>48</v>
      </c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 t="s">
        <v>50</v>
      </c>
      <c r="B38" s="5"/>
      <c r="C38" s="5"/>
      <c r="D38" s="5"/>
      <c r="E38" s="5"/>
      <c r="F38" s="5"/>
      <c r="G38" s="5"/>
      <c r="H38" s="6" t="s">
        <v>23</v>
      </c>
      <c r="I38" s="5"/>
      <c r="J38" s="5"/>
      <c r="K38" s="5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6"/>
      <c r="B39" s="5" t="s">
        <v>5</v>
      </c>
      <c r="C39" s="5" t="s">
        <v>25</v>
      </c>
      <c r="D39" s="5" t="s">
        <v>7</v>
      </c>
      <c r="E39" s="5" t="s">
        <v>8</v>
      </c>
      <c r="F39" s="5" t="s">
        <v>9</v>
      </c>
      <c r="G39" s="5" t="s">
        <v>10</v>
      </c>
      <c r="H39" s="5" t="s">
        <v>11</v>
      </c>
      <c r="I39" s="5" t="s">
        <v>12</v>
      </c>
      <c r="J39" s="5" t="s">
        <v>13</v>
      </c>
      <c r="K39" s="5" t="s">
        <v>14</v>
      </c>
      <c r="L39" s="5" t="s">
        <v>15</v>
      </c>
      <c r="M39" s="5" t="s">
        <v>51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7" t="s">
        <v>16</v>
      </c>
      <c r="B40" s="8">
        <f>B32</f>
        <v>1005.05</v>
      </c>
      <c r="C40" s="8">
        <f>D40/B40</f>
        <v>1.0000001268560343</v>
      </c>
      <c r="D40" s="8">
        <f>D32</f>
        <v>1005.0501274966573</v>
      </c>
      <c r="E40" s="4"/>
      <c r="F40" s="9">
        <f>C35</f>
        <v>12</v>
      </c>
      <c r="G40" s="7">
        <v>1000</v>
      </c>
      <c r="H40" s="21">
        <f>(F40*G40)/(2*D40-F40)</f>
        <v>6.0057046537137602</v>
      </c>
      <c r="I40" s="9">
        <f>G40+H40</f>
        <v>1006.0057046537138</v>
      </c>
      <c r="J40" s="9">
        <f>(G40/I40)*B40</f>
        <v>999.05000076113606</v>
      </c>
      <c r="K40" s="9">
        <f>(G40/I40)*D40</f>
        <v>999.0501274966573</v>
      </c>
      <c r="L40" s="9">
        <f>J40+K40/C40</f>
        <v>1998.1000015222721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0" t="s">
        <v>52</v>
      </c>
      <c r="B41" s="1">
        <f>F41*B40</f>
        <v>402.31851185386711</v>
      </c>
      <c r="C41" s="9"/>
      <c r="D41" s="1">
        <f>F41*D40</f>
        <v>402.31856289039803</v>
      </c>
      <c r="E41" s="4"/>
      <c r="F41" s="11">
        <f>F43*2</f>
        <v>0.40029701194355216</v>
      </c>
      <c r="G41" s="11"/>
      <c r="H41" s="4"/>
      <c r="I41" s="4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7"/>
      <c r="B42" s="8">
        <f>B41+B40</f>
        <v>1407.3685118538669</v>
      </c>
      <c r="C42" s="9">
        <f>D42/B42</f>
        <v>1.0000001268560343</v>
      </c>
      <c r="D42" s="8">
        <f>D41+D40</f>
        <v>1407.3686903870553</v>
      </c>
      <c r="E42" s="4"/>
      <c r="F42" s="8">
        <f>F40</f>
        <v>12</v>
      </c>
      <c r="G42" s="7">
        <v>1000</v>
      </c>
      <c r="H42" s="21">
        <f>(F42*G42)/(2*D42-F42)</f>
        <v>4.2815285093481084</v>
      </c>
      <c r="I42" s="9">
        <f>G42+H42</f>
        <v>1004.2815285093482</v>
      </c>
      <c r="J42" s="9">
        <f>(G42/I42)*B42</f>
        <v>1401.3685126150031</v>
      </c>
      <c r="K42" s="9">
        <f>(G42/I42)*D42</f>
        <v>1401.3686903870553</v>
      </c>
      <c r="L42" s="9">
        <f>J42+K42/C42</f>
        <v>2802.7370252300061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0" t="s">
        <v>53</v>
      </c>
      <c r="B43" s="2">
        <f>(D43*E43*B42*E43*D42)/(D43+(D42*E43)^2)</f>
        <v>11.999980302242395</v>
      </c>
      <c r="C43" s="9"/>
      <c r="D43" s="3">
        <f>C35</f>
        <v>12</v>
      </c>
      <c r="E43" s="4">
        <v>2</v>
      </c>
      <c r="F43" s="11">
        <f>(D43-D29)/D29</f>
        <v>0.20014850597177608</v>
      </c>
      <c r="G43" s="11"/>
      <c r="H43" s="4"/>
      <c r="I43" s="4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0"/>
      <c r="B44" s="13">
        <f>B42-B43</f>
        <v>1395.3685315516245</v>
      </c>
      <c r="C44" s="9">
        <f>D44/B44</f>
        <v>1.0085999924493687</v>
      </c>
      <c r="D44" s="13">
        <f>D42</f>
        <v>1407.3686903870553</v>
      </c>
      <c r="E44" s="4"/>
      <c r="F44" s="9"/>
      <c r="G44" s="7">
        <v>1000</v>
      </c>
      <c r="H44" s="7">
        <v>0</v>
      </c>
      <c r="I44" s="7">
        <f>G44+H44</f>
        <v>1000</v>
      </c>
      <c r="J44" s="9">
        <f>(G44/I44)*B44</f>
        <v>1395.3685315516245</v>
      </c>
      <c r="K44" s="9">
        <f>(G44/I44)*D44</f>
        <v>1407.3686903870553</v>
      </c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0" t="s">
        <v>54</v>
      </c>
      <c r="B45" s="1">
        <f>B43</f>
        <v>11.999980302242395</v>
      </c>
      <c r="C45" s="9"/>
      <c r="D45" s="2">
        <f>(B45*B44*D44)/(B45+B44)^2</f>
        <v>11.897663530257077</v>
      </c>
      <c r="E45" s="4">
        <v>1</v>
      </c>
      <c r="F45" s="4"/>
      <c r="G45" s="4"/>
      <c r="H45" s="4"/>
      <c r="I45" s="4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0"/>
      <c r="B46" s="8">
        <f>B44+B45</f>
        <v>1407.3685118538669</v>
      </c>
      <c r="C46" s="8">
        <f>D46/B46</f>
        <v>0.99154629018849039</v>
      </c>
      <c r="D46" s="8">
        <f>D44-D45</f>
        <v>1395.4710268567983</v>
      </c>
      <c r="E46" s="4"/>
      <c r="F46" s="9">
        <v>0</v>
      </c>
      <c r="G46" s="7">
        <v>1000</v>
      </c>
      <c r="H46" s="9">
        <f>(F46*G46)/(2*D46-F46)</f>
        <v>0</v>
      </c>
      <c r="I46" s="9">
        <f>G46+H46</f>
        <v>1000</v>
      </c>
      <c r="J46" s="9">
        <f>(G46/I46)*B46</f>
        <v>1407.3685118538669</v>
      </c>
      <c r="K46" s="9">
        <f>(G46/I46)*D46</f>
        <v>1395.4710268567983</v>
      </c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0" t="s">
        <v>20</v>
      </c>
      <c r="B47" s="2">
        <f>(D47*B46*D46)/(D47+D46)^2</f>
        <v>5.9486353122956483</v>
      </c>
      <c r="C47" s="9"/>
      <c r="D47" s="1">
        <f>(B46-D46)/2</f>
        <v>5.9487424985343296</v>
      </c>
      <c r="E47" s="4">
        <v>1</v>
      </c>
      <c r="F47" s="9"/>
      <c r="G47" s="11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7" t="s">
        <v>18</v>
      </c>
      <c r="B48" s="13">
        <f>B46-B47</f>
        <v>1401.4198765415713</v>
      </c>
      <c r="C48" s="9">
        <f>D48/B48</f>
        <v>0.99999992351597089</v>
      </c>
      <c r="D48" s="13">
        <f>D46+D47</f>
        <v>1401.4197693553326</v>
      </c>
      <c r="E48" s="4"/>
      <c r="F48" s="9">
        <v>0</v>
      </c>
      <c r="G48" s="7">
        <v>1000</v>
      </c>
      <c r="H48" s="9">
        <f>(F48*G48)/(2*D48-F48)</f>
        <v>0</v>
      </c>
      <c r="I48" s="9">
        <f>G48+H48</f>
        <v>1000</v>
      </c>
      <c r="J48" s="9">
        <f>(G48/I48)*B48</f>
        <v>1401.4198765415713</v>
      </c>
      <c r="K48" s="9">
        <f>(G48/I48)*D48</f>
        <v>1401.4197693553326</v>
      </c>
      <c r="L48" s="9">
        <f>J48+K48/C48</f>
        <v>2802.8397530831426</v>
      </c>
      <c r="M48" s="11">
        <f>(L48-L40)/L40</f>
        <v>0.4027524903397085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 t="s">
        <v>55</v>
      </c>
      <c r="B51" s="22"/>
      <c r="C51" s="5" t="s">
        <v>56</v>
      </c>
      <c r="D51" s="23"/>
      <c r="E51" s="6"/>
      <c r="F51" s="24" t="s">
        <v>57</v>
      </c>
      <c r="G51" s="5"/>
      <c r="H51" s="5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6"/>
      <c r="B52" s="24" t="s">
        <v>7</v>
      </c>
      <c r="C52" s="5" t="s">
        <v>25</v>
      </c>
      <c r="D52" s="23" t="s">
        <v>5</v>
      </c>
      <c r="E52" s="5" t="s">
        <v>8</v>
      </c>
      <c r="F52" s="24" t="s">
        <v>5</v>
      </c>
      <c r="G52" s="5" t="s">
        <v>25</v>
      </c>
      <c r="H52" s="5" t="s">
        <v>7</v>
      </c>
      <c r="I52" s="23" t="s">
        <v>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0" t="s">
        <v>58</v>
      </c>
      <c r="B53" s="25">
        <v>1000</v>
      </c>
      <c r="C53" s="8">
        <f>D53/B53</f>
        <v>1</v>
      </c>
      <c r="D53" s="26">
        <v>1000</v>
      </c>
      <c r="E53" s="4"/>
      <c r="F53" s="25">
        <v>1000</v>
      </c>
      <c r="G53" s="8">
        <f>H53/F53</f>
        <v>1</v>
      </c>
      <c r="H53" s="13">
        <f>1000</f>
        <v>1000</v>
      </c>
      <c r="I53" s="2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0" t="s">
        <v>59</v>
      </c>
      <c r="B54" s="28">
        <v>10</v>
      </c>
      <c r="C54" s="9"/>
      <c r="D54" s="29">
        <f>(B54*E54*B53*E54*D53)/(B54+(E54*B53))^2</f>
        <v>9.9007450310635878</v>
      </c>
      <c r="E54" s="7">
        <v>2</v>
      </c>
      <c r="F54" s="30">
        <f>D54</f>
        <v>9.9007450310635878</v>
      </c>
      <c r="G54" s="9"/>
      <c r="H54" s="3">
        <f>(F54*E54*F53*E54*H53)/(F54+(F53*E54))^2</f>
        <v>9.8034433925799469</v>
      </c>
      <c r="I54" s="3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0"/>
      <c r="B55" s="32">
        <f>B53</f>
        <v>1000</v>
      </c>
      <c r="C55" s="9">
        <f>D55/B55</f>
        <v>0.99009925496893636</v>
      </c>
      <c r="D55" s="33">
        <f>D53-D54</f>
        <v>990.09925496893641</v>
      </c>
      <c r="E55" s="4"/>
      <c r="F55" s="25">
        <f>F53+F54</f>
        <v>1009.9007450310636</v>
      </c>
      <c r="G55" s="8">
        <f>H55/F55</f>
        <v>0.99019631871767844</v>
      </c>
      <c r="H55" s="8">
        <f>H53</f>
        <v>1000</v>
      </c>
      <c r="I55" s="27">
        <f>H54</f>
        <v>9.8034433925799469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0" t="s">
        <v>60</v>
      </c>
      <c r="B56" s="34">
        <f>(D56*B55*D55)/(D56+D55)^2</f>
        <v>4.950249990687424</v>
      </c>
      <c r="C56" s="9"/>
      <c r="D56" s="35">
        <f>(B55-D55)/2</f>
        <v>4.9503725155317966</v>
      </c>
      <c r="E56" s="4">
        <v>1</v>
      </c>
      <c r="F56" s="34">
        <f>(H56*F55*H55)/(H56+H55)^2</f>
        <v>4.9502523930181743</v>
      </c>
      <c r="G56" s="9"/>
      <c r="H56" s="1">
        <f>(F55-H55)/2</f>
        <v>4.9503725155317966</v>
      </c>
      <c r="I56" s="2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0"/>
      <c r="B57" s="32">
        <f>B55-B56</f>
        <v>995.04975000931256</v>
      </c>
      <c r="C57" s="9">
        <f>D57/B57</f>
        <v>0.99999987686560954</v>
      </c>
      <c r="D57" s="33">
        <f>D55+D56</f>
        <v>995.04962748446815</v>
      </c>
      <c r="E57" s="4"/>
      <c r="F57" s="32">
        <f>F55-F56</f>
        <v>1004.9504926380454</v>
      </c>
      <c r="G57" s="9">
        <f>H57/F57</f>
        <v>0.99999988046922272</v>
      </c>
      <c r="H57" s="13">
        <f>H55+H56</f>
        <v>1004.9503725155319</v>
      </c>
      <c r="I57" s="27">
        <f>I55</f>
        <v>9.8034433925799469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0866141732283472" right="0.70866141732283472" top="0.74803149606299213" bottom="0.74803149606299213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opLeftCell="A26" zoomScale="160" zoomScaleNormal="160" workbookViewId="0">
      <selection activeCell="A65" sqref="A65"/>
    </sheetView>
  </sheetViews>
  <sheetFormatPr defaultColWidth="12.59765625" defaultRowHeight="15" customHeight="1"/>
  <cols>
    <col min="1" max="1" width="34.69921875" customWidth="1"/>
    <col min="2" max="2" width="15" bestFit="1" customWidth="1"/>
    <col min="3" max="3" width="14.09765625" customWidth="1"/>
    <col min="4" max="4" width="28.8984375" bestFit="1" customWidth="1"/>
    <col min="5" max="5" width="15" bestFit="1" customWidth="1"/>
    <col min="6" max="6" width="15.3984375" hidden="1" customWidth="1"/>
    <col min="7" max="7" width="18.69921875" customWidth="1"/>
    <col min="8" max="8" width="16.19921875" customWidth="1"/>
    <col min="9" max="9" width="18" customWidth="1"/>
    <col min="10" max="10" width="10.5" customWidth="1"/>
    <col min="11" max="11" width="22.8984375" customWidth="1"/>
    <col min="12" max="12" width="57.296875" customWidth="1"/>
    <col min="13" max="13" width="12.5" customWidth="1"/>
    <col min="14" max="15" width="8.59765625" customWidth="1"/>
    <col min="16" max="16" width="21.69921875" customWidth="1"/>
    <col min="17" max="26" width="8.59765625" customWidth="1"/>
  </cols>
  <sheetData>
    <row r="1" spans="1:12" ht="13.5" customHeight="1">
      <c r="A1" s="36"/>
    </row>
    <row r="2" spans="1:12" ht="13.5" customHeight="1">
      <c r="A2" s="37" t="s">
        <v>61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2" ht="13.5" customHeight="1">
      <c r="A3" s="40"/>
      <c r="B3" s="5" t="s">
        <v>5</v>
      </c>
      <c r="C3" s="5" t="s">
        <v>6</v>
      </c>
      <c r="D3" s="5" t="s">
        <v>62</v>
      </c>
      <c r="E3" s="5" t="s">
        <v>63</v>
      </c>
      <c r="F3" s="5" t="s">
        <v>64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1" t="s">
        <v>15</v>
      </c>
    </row>
    <row r="4" spans="1:12" ht="13.5" customHeight="1">
      <c r="A4" s="42" t="s">
        <v>16</v>
      </c>
      <c r="B4" s="43">
        <v>4000000</v>
      </c>
      <c r="C4" s="44">
        <f>D4/B4</f>
        <v>2.5000000000000001E-4</v>
      </c>
      <c r="D4" s="45">
        <v>1000</v>
      </c>
      <c r="E4" s="4"/>
      <c r="F4" s="46">
        <f>B4/D4</f>
        <v>4000</v>
      </c>
      <c r="G4" s="47">
        <v>4000000</v>
      </c>
      <c r="H4" s="7">
        <v>0</v>
      </c>
      <c r="I4" s="7">
        <f>G4+H4</f>
        <v>4000000</v>
      </c>
      <c r="J4" s="48">
        <f>(G4/I4)*B4</f>
        <v>4000000</v>
      </c>
      <c r="K4" s="48">
        <f>(G4/I4)*D4</f>
        <v>1000</v>
      </c>
      <c r="L4" s="49">
        <f>J4+K4/C4</f>
        <v>8000000</v>
      </c>
    </row>
    <row r="5" spans="1:12" ht="13.5" customHeight="1">
      <c r="A5" s="173" t="s">
        <v>65</v>
      </c>
      <c r="B5" s="174">
        <f>(D5*B4*D4)/(D5+D4)^2</f>
        <v>3992.0119840199759</v>
      </c>
      <c r="C5" s="175"/>
      <c r="D5" s="176">
        <v>1</v>
      </c>
      <c r="E5" s="177">
        <f>4000-B5</f>
        <v>7.9880159800241017</v>
      </c>
      <c r="F5" s="54"/>
      <c r="G5" s="11"/>
      <c r="H5" s="4"/>
      <c r="I5" s="4"/>
      <c r="J5" s="48"/>
      <c r="K5" s="48"/>
      <c r="L5" s="49"/>
    </row>
    <row r="6" spans="1:12" ht="13.5" customHeight="1">
      <c r="A6" s="181"/>
      <c r="B6" s="182">
        <f>B4-B5</f>
        <v>3996007.98801598</v>
      </c>
      <c r="C6" s="183">
        <f>D6/B6</f>
        <v>2.5049999975024998E-4</v>
      </c>
      <c r="D6" s="184">
        <f>D4+D5</f>
        <v>1001</v>
      </c>
      <c r="E6" s="185"/>
      <c r="F6" s="46">
        <f>B6/D6</f>
        <v>3992.015972043936</v>
      </c>
      <c r="G6" s="11"/>
      <c r="H6" s="4"/>
      <c r="I6" s="4"/>
      <c r="J6" s="48"/>
      <c r="K6" s="48"/>
      <c r="L6" s="49"/>
    </row>
    <row r="7" spans="1:12" ht="13.5" customHeight="1">
      <c r="A7" s="181" t="s">
        <v>66</v>
      </c>
      <c r="B7" s="186">
        <v>3996.0079900000001</v>
      </c>
      <c r="C7" s="187"/>
      <c r="D7" s="188">
        <f>(B7*D6*B6)/(B7+(B6))^2</f>
        <v>0.99900099949601262</v>
      </c>
      <c r="E7" s="185"/>
      <c r="F7" s="47"/>
      <c r="G7" s="11"/>
      <c r="H7" s="4"/>
      <c r="I7" s="4"/>
      <c r="J7" s="48"/>
      <c r="K7" s="48"/>
      <c r="L7" s="49"/>
    </row>
    <row r="8" spans="1:12" ht="13.5" customHeight="1">
      <c r="A8" s="178"/>
      <c r="B8" s="189">
        <f>B6+B7</f>
        <v>4000003.9960059798</v>
      </c>
      <c r="C8" s="179">
        <f>D8/B8</f>
        <v>2.4999999999975227E-4</v>
      </c>
      <c r="D8" s="190">
        <f>D6-D7</f>
        <v>1000.000999000504</v>
      </c>
      <c r="E8" s="180"/>
      <c r="F8" s="46">
        <f>B8/D8</f>
        <v>4000.000000003964</v>
      </c>
      <c r="G8" s="11"/>
      <c r="H8" s="4"/>
      <c r="I8" s="4"/>
      <c r="J8" s="48"/>
      <c r="K8" s="48"/>
      <c r="L8" s="49"/>
    </row>
    <row r="9" spans="1:12" ht="13.5" customHeight="1">
      <c r="A9" s="50" t="s">
        <v>67</v>
      </c>
      <c r="B9" s="51">
        <v>4000</v>
      </c>
      <c r="C9" s="52"/>
      <c r="D9" s="53">
        <f>D5</f>
        <v>1</v>
      </c>
      <c r="E9" s="165"/>
      <c r="F9" s="54"/>
      <c r="G9" s="11"/>
      <c r="H9" s="4"/>
      <c r="I9" s="4"/>
      <c r="J9" s="48"/>
      <c r="K9" s="48"/>
      <c r="L9" s="49"/>
    </row>
    <row r="10" spans="1:12" ht="13.5" customHeight="1">
      <c r="A10" s="42" t="s">
        <v>18</v>
      </c>
      <c r="B10" s="55">
        <f>B8+B9</f>
        <v>4004003.9960059798</v>
      </c>
      <c r="C10" s="44">
        <f>D10/B10</f>
        <v>2.4999999999975248E-4</v>
      </c>
      <c r="D10" s="56">
        <f>D8+D9</f>
        <v>1001.000999000504</v>
      </c>
      <c r="E10" s="4"/>
      <c r="F10" s="46">
        <f>B10/D10</f>
        <v>4000.0000000039599</v>
      </c>
      <c r="G10" s="47">
        <v>4000000</v>
      </c>
      <c r="H10" s="7">
        <v>0</v>
      </c>
      <c r="I10" s="7">
        <f>G10+H10</f>
        <v>4000000</v>
      </c>
      <c r="J10" s="48">
        <f>(G10/I10)*B10</f>
        <v>4004003.9960059798</v>
      </c>
      <c r="K10" s="48">
        <f>(G10/I10)*D10</f>
        <v>1001.000999000504</v>
      </c>
      <c r="L10" s="49">
        <f>J10+K10/C10</f>
        <v>8008007.9920119606</v>
      </c>
    </row>
    <row r="11" spans="1:12" ht="13.5" customHeight="1">
      <c r="A11" s="61"/>
      <c r="B11" s="5"/>
      <c r="C11" s="5"/>
      <c r="D11" s="5"/>
      <c r="E11" s="5"/>
      <c r="F11" s="5"/>
      <c r="G11" s="5"/>
      <c r="H11" s="5"/>
      <c r="I11" s="5"/>
      <c r="J11" s="5"/>
      <c r="K11" s="5"/>
      <c r="L11" s="41"/>
    </row>
    <row r="12" spans="1:12" ht="13.5" customHeight="1">
      <c r="A12" s="6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63"/>
    </row>
    <row r="13" spans="1:12" ht="13.5" customHeight="1">
      <c r="A13" s="61" t="s">
        <v>68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64"/>
    </row>
    <row r="14" spans="1:12" ht="13.5" customHeight="1">
      <c r="A14" s="40"/>
      <c r="B14" s="5" t="s">
        <v>5</v>
      </c>
      <c r="C14" s="5" t="s">
        <v>69</v>
      </c>
      <c r="D14" s="5" t="s">
        <v>62</v>
      </c>
      <c r="E14" s="5" t="s">
        <v>63</v>
      </c>
      <c r="F14" s="5" t="s">
        <v>64</v>
      </c>
      <c r="G14" s="5" t="s">
        <v>10</v>
      </c>
      <c r="H14" s="5" t="s">
        <v>11</v>
      </c>
      <c r="I14" s="5" t="s">
        <v>12</v>
      </c>
      <c r="J14" s="5" t="s">
        <v>13</v>
      </c>
      <c r="K14" s="5" t="s">
        <v>14</v>
      </c>
      <c r="L14" s="64" t="s">
        <v>15</v>
      </c>
    </row>
    <row r="15" spans="1:12" ht="13.5" customHeight="1">
      <c r="A15" s="42" t="s">
        <v>16</v>
      </c>
      <c r="B15" s="43">
        <v>4000000</v>
      </c>
      <c r="C15" s="44">
        <f>D15/B15</f>
        <v>2.5000000000000001E-4</v>
      </c>
      <c r="D15" s="65">
        <v>1000</v>
      </c>
      <c r="E15" s="4"/>
      <c r="F15" s="46">
        <f>B15/D15</f>
        <v>4000</v>
      </c>
      <c r="G15" s="66">
        <f>B15</f>
        <v>4000000</v>
      </c>
      <c r="H15" s="7">
        <v>0</v>
      </c>
      <c r="I15" s="43">
        <f>G15+H15</f>
        <v>4000000</v>
      </c>
      <c r="J15" s="48">
        <f>(G15/I15)*B15</f>
        <v>4000000</v>
      </c>
      <c r="K15" s="48">
        <f>(G15/I15)*D15</f>
        <v>1000</v>
      </c>
      <c r="L15" s="49">
        <f>J15+K15/C15</f>
        <v>8000000</v>
      </c>
    </row>
    <row r="16" spans="1:12" ht="13.5" customHeight="1">
      <c r="A16" s="50" t="s">
        <v>70</v>
      </c>
      <c r="B16" s="67"/>
      <c r="C16" s="52"/>
      <c r="D16" s="68">
        <v>2</v>
      </c>
      <c r="E16" s="4"/>
      <c r="F16" s="46"/>
      <c r="G16" s="66"/>
      <c r="H16" s="7"/>
      <c r="I16" s="7"/>
      <c r="J16" s="48"/>
      <c r="K16" s="48"/>
      <c r="L16" s="49"/>
    </row>
    <row r="17" spans="1:16" ht="13.5" customHeight="1">
      <c r="A17" s="50" t="s">
        <v>65</v>
      </c>
      <c r="B17" s="51">
        <f>(D17*B15*D15)/(D17+D15)^2</f>
        <v>3992.0119840199759</v>
      </c>
      <c r="C17" s="52"/>
      <c r="D17" s="68">
        <v>1</v>
      </c>
      <c r="E17" s="16">
        <f>4000-B17</f>
        <v>7.9880159800241017</v>
      </c>
      <c r="F17" s="54"/>
      <c r="G17" s="11"/>
      <c r="H17" s="4"/>
      <c r="I17" s="4"/>
      <c r="J17" s="48"/>
      <c r="K17" s="48"/>
      <c r="L17" s="49"/>
    </row>
    <row r="18" spans="1:16" ht="13.5" customHeight="1">
      <c r="A18" s="42"/>
      <c r="B18" s="55">
        <f>B15+B17</f>
        <v>4003992.01198402</v>
      </c>
      <c r="C18" s="44">
        <f>D18/B18</f>
        <v>2.5000049875324151E-4</v>
      </c>
      <c r="D18" s="65">
        <f>D15+D17</f>
        <v>1001</v>
      </c>
      <c r="E18" s="4"/>
      <c r="F18" s="9"/>
      <c r="G18" s="47">
        <v>4000000</v>
      </c>
      <c r="H18" s="7">
        <v>0</v>
      </c>
      <c r="I18" s="7">
        <f>G18+H18</f>
        <v>4000000</v>
      </c>
      <c r="J18" s="48">
        <f>(G18/I18)*B18</f>
        <v>4003992.01198402</v>
      </c>
      <c r="K18" s="48">
        <f>(G18/I18)*D18</f>
        <v>1001</v>
      </c>
      <c r="L18" s="49"/>
    </row>
    <row r="19" spans="1:16" ht="13.5" customHeight="1">
      <c r="A19" s="50" t="s">
        <v>66</v>
      </c>
      <c r="B19" s="57">
        <v>3.992</v>
      </c>
      <c r="C19" s="9"/>
      <c r="D19" s="69">
        <f>(B19*D18*B18)/(B19+(B18))^2</f>
        <v>9.980000009999939E-4</v>
      </c>
      <c r="E19" s="4"/>
      <c r="F19" s="9"/>
      <c r="G19" s="11"/>
      <c r="H19" s="11"/>
      <c r="I19" s="4"/>
      <c r="J19" s="48"/>
      <c r="K19" s="48"/>
      <c r="L19" s="49"/>
    </row>
    <row r="20" spans="1:16" ht="13.5" customHeight="1">
      <c r="A20" s="42" t="s">
        <v>18</v>
      </c>
      <c r="B20" s="59">
        <f>B18+B19</f>
        <v>4003996.0039840201</v>
      </c>
      <c r="C20" s="44">
        <f>D20/B20</f>
        <v>2.50000000250748E-4</v>
      </c>
      <c r="D20" s="60">
        <f>D18-D19</f>
        <v>1000.999001999999</v>
      </c>
      <c r="E20" s="4"/>
      <c r="F20" s="46">
        <f>B20/D20</f>
        <v>3999.999995988032</v>
      </c>
      <c r="G20" s="47">
        <v>4000000</v>
      </c>
      <c r="H20" s="7">
        <v>0</v>
      </c>
      <c r="I20" s="7">
        <f>G20+H20</f>
        <v>4000000</v>
      </c>
      <c r="J20" s="48">
        <f>(G20/I20)*B20</f>
        <v>4003996.0039840201</v>
      </c>
      <c r="K20" s="48">
        <f>(G20/I20)*D20</f>
        <v>1000.999001999999</v>
      </c>
      <c r="L20" s="49">
        <f>J20+K20/C20</f>
        <v>8007992.0079680402</v>
      </c>
    </row>
    <row r="21" spans="1:16" ht="13.5" customHeight="1">
      <c r="A21" s="71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3"/>
    </row>
    <row r="22" spans="1:16" ht="13.5" customHeight="1">
      <c r="L22" s="74"/>
    </row>
    <row r="23" spans="1:16" ht="13.5" customHeight="1">
      <c r="A23" s="75" t="s">
        <v>71</v>
      </c>
      <c r="B23" s="76">
        <v>8</v>
      </c>
      <c r="C23" s="77"/>
      <c r="D23" s="77" t="s">
        <v>72</v>
      </c>
      <c r="E23" s="77">
        <v>10</v>
      </c>
      <c r="F23" s="77"/>
      <c r="G23" s="77"/>
      <c r="H23" s="77"/>
      <c r="I23" s="77"/>
      <c r="J23" s="77"/>
      <c r="K23" s="77"/>
      <c r="L23" s="78"/>
    </row>
    <row r="24" spans="1:16" ht="13.5" customHeight="1">
      <c r="A24" s="22"/>
      <c r="B24" s="162" t="s">
        <v>5</v>
      </c>
      <c r="C24" s="5" t="s">
        <v>73</v>
      </c>
      <c r="D24" s="5" t="s">
        <v>74</v>
      </c>
      <c r="E24" s="5"/>
      <c r="F24" s="5" t="s">
        <v>64</v>
      </c>
      <c r="G24" s="5" t="s">
        <v>10</v>
      </c>
      <c r="H24" s="5" t="s">
        <v>11</v>
      </c>
      <c r="I24" s="5" t="s">
        <v>12</v>
      </c>
      <c r="J24" s="5" t="s">
        <v>13</v>
      </c>
      <c r="K24" s="5" t="s">
        <v>14</v>
      </c>
      <c r="L24" s="79" t="s">
        <v>15</v>
      </c>
    </row>
    <row r="25" spans="1:16" ht="13.5" customHeight="1">
      <c r="A25" s="80" t="s">
        <v>75</v>
      </c>
      <c r="B25" s="82">
        <f>D25*B23</f>
        <v>8000000</v>
      </c>
      <c r="C25" s="81">
        <f>D25/B25</f>
        <v>0.125</v>
      </c>
      <c r="D25" s="82">
        <v>1000000</v>
      </c>
      <c r="E25" s="83"/>
      <c r="F25" s="84">
        <f>B25/D25</f>
        <v>8</v>
      </c>
      <c r="G25" s="85">
        <f>B25</f>
        <v>8000000</v>
      </c>
      <c r="H25" s="86">
        <v>0</v>
      </c>
      <c r="I25" s="87">
        <f>G25+H25</f>
        <v>8000000</v>
      </c>
      <c r="J25" s="88">
        <f>(G25/I25)*B25</f>
        <v>8000000</v>
      </c>
      <c r="K25" s="88">
        <f>(G25/I25)*D25</f>
        <v>1000000</v>
      </c>
      <c r="L25" s="89">
        <f>J25+K25/C25</f>
        <v>16000000</v>
      </c>
    </row>
    <row r="26" spans="1:16" ht="13.5" customHeight="1">
      <c r="A26" s="90" t="s">
        <v>76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8"/>
      <c r="P26" s="158"/>
    </row>
    <row r="27" spans="1:16" ht="13.5" customHeight="1">
      <c r="A27" s="22"/>
      <c r="B27" s="5" t="s">
        <v>5</v>
      </c>
      <c r="C27" s="5" t="s">
        <v>69</v>
      </c>
      <c r="D27" s="5" t="s">
        <v>62</v>
      </c>
      <c r="E27" s="5" t="s">
        <v>63</v>
      </c>
      <c r="F27" s="5" t="s">
        <v>64</v>
      </c>
      <c r="G27" s="5" t="s">
        <v>10</v>
      </c>
      <c r="H27" s="5" t="s">
        <v>11</v>
      </c>
      <c r="I27" s="5" t="s">
        <v>12</v>
      </c>
      <c r="J27" s="5" t="s">
        <v>13</v>
      </c>
      <c r="K27" s="5" t="s">
        <v>14</v>
      </c>
      <c r="L27" s="79" t="s">
        <v>15</v>
      </c>
      <c r="P27" s="158"/>
    </row>
    <row r="28" spans="1:16" ht="13.5" customHeight="1">
      <c r="A28" s="80" t="s">
        <v>16</v>
      </c>
      <c r="B28" s="91">
        <f>B10</f>
        <v>4004003.9960059798</v>
      </c>
      <c r="C28" s="81">
        <f>D28/B28</f>
        <v>2.4999999999975248E-4</v>
      </c>
      <c r="D28" s="92">
        <f>D10</f>
        <v>1001.000999000504</v>
      </c>
      <c r="E28" s="83"/>
      <c r="F28" s="84">
        <f>B28/D28</f>
        <v>4000.0000000039599</v>
      </c>
      <c r="G28" s="93">
        <f>G15</f>
        <v>4000000</v>
      </c>
      <c r="H28" s="86">
        <v>0</v>
      </c>
      <c r="I28" s="91">
        <f>G28+H28</f>
        <v>4000000</v>
      </c>
      <c r="J28" s="88">
        <f>(G28/I28)*B28</f>
        <v>4004003.9960059798</v>
      </c>
      <c r="K28" s="88">
        <f>(G28/I28)*D28</f>
        <v>1001.000999000504</v>
      </c>
      <c r="L28" s="89">
        <f>J28+K28/C28</f>
        <v>8008007.9920119606</v>
      </c>
    </row>
    <row r="29" spans="1:16" ht="13.5" customHeight="1">
      <c r="A29" s="10"/>
      <c r="B29" s="10"/>
      <c r="C29" s="94"/>
      <c r="D29" s="94"/>
      <c r="E29" s="10"/>
      <c r="F29" s="10"/>
      <c r="G29" s="10"/>
      <c r="H29" s="10"/>
      <c r="I29" s="10"/>
      <c r="J29" s="10"/>
      <c r="K29" s="10"/>
      <c r="L29" s="10"/>
    </row>
    <row r="30" spans="1:16" ht="13.5" customHeight="1">
      <c r="A30" s="5" t="s">
        <v>77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6" ht="13.5" customHeight="1">
      <c r="A31" s="36"/>
      <c r="B31" s="36" t="s">
        <v>78</v>
      </c>
      <c r="D31" s="36" t="s">
        <v>79</v>
      </c>
      <c r="H31" s="160" t="s">
        <v>149</v>
      </c>
      <c r="L31" s="74"/>
    </row>
    <row r="32" spans="1:16" ht="13.5" customHeight="1">
      <c r="A32" s="47" t="s">
        <v>80</v>
      </c>
      <c r="B32" s="95">
        <f>B25/D25</f>
        <v>8</v>
      </c>
      <c r="D32" s="96">
        <f>B23</f>
        <v>8</v>
      </c>
      <c r="L32" s="74"/>
    </row>
    <row r="33" spans="1:12" ht="13.5" customHeight="1">
      <c r="A33" s="47" t="s">
        <v>81</v>
      </c>
      <c r="B33" s="95">
        <f>B15*B32/D15</f>
        <v>32000</v>
      </c>
      <c r="C33" s="95"/>
      <c r="D33" s="95">
        <v>40000</v>
      </c>
      <c r="H33" t="s">
        <v>151</v>
      </c>
      <c r="L33" s="158">
        <f>(B28/D28)*(B25/D25)</f>
        <v>32000.00000003168</v>
      </c>
    </row>
    <row r="34" spans="1:12" ht="13.5" customHeight="1">
      <c r="C34" s="95"/>
      <c r="D34" s="95"/>
      <c r="H34" t="s">
        <v>150</v>
      </c>
      <c r="L34" s="159">
        <f>B15*(B32/D15)</f>
        <v>32000</v>
      </c>
    </row>
    <row r="35" spans="1:12" ht="13.5" customHeight="1">
      <c r="A35" s="10" t="s">
        <v>82</v>
      </c>
      <c r="B35" s="44">
        <f>B32/B33</f>
        <v>2.5000000000000001E-4</v>
      </c>
      <c r="C35" s="95"/>
      <c r="D35" s="97">
        <f>D32/D33</f>
        <v>2.0000000000000001E-4</v>
      </c>
      <c r="L35" s="74">
        <f>(B40/D40)*(B25/D25)</f>
        <v>40000.000000039603</v>
      </c>
    </row>
    <row r="36" spans="1:12" ht="13.5" customHeight="1">
      <c r="L36" s="74"/>
    </row>
    <row r="37" spans="1:12" ht="13.5" customHeight="1">
      <c r="A37" s="98" t="s">
        <v>83</v>
      </c>
      <c r="B37" s="158"/>
      <c r="D37" s="158"/>
      <c r="E37" s="158"/>
    </row>
    <row r="38" spans="1:12" ht="13.5" customHeight="1">
      <c r="A38" s="90" t="s">
        <v>84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8"/>
    </row>
    <row r="39" spans="1:12" ht="13.5" customHeight="1">
      <c r="A39" s="22"/>
      <c r="B39" s="5" t="s">
        <v>5</v>
      </c>
      <c r="C39" s="5" t="s">
        <v>69</v>
      </c>
      <c r="D39" s="5" t="s">
        <v>62</v>
      </c>
      <c r="E39" s="5" t="s">
        <v>63</v>
      </c>
      <c r="F39" s="5" t="s">
        <v>64</v>
      </c>
      <c r="G39" s="5" t="s">
        <v>10</v>
      </c>
      <c r="H39" s="5" t="s">
        <v>11</v>
      </c>
      <c r="I39" s="5" t="s">
        <v>12</v>
      </c>
      <c r="J39" s="5" t="s">
        <v>13</v>
      </c>
      <c r="K39" s="5" t="s">
        <v>14</v>
      </c>
      <c r="L39" s="79" t="s">
        <v>15</v>
      </c>
    </row>
    <row r="40" spans="1:12" ht="13.5" customHeight="1">
      <c r="A40" s="99" t="s">
        <v>16</v>
      </c>
      <c r="B40" s="43">
        <f>B28/0.9</f>
        <v>4448893.3288955335</v>
      </c>
      <c r="C40" s="100">
        <f>D40/B40</f>
        <v>1.9999999999980201E-4</v>
      </c>
      <c r="D40" s="56">
        <f>D28/1.125</f>
        <v>889.77866577822579</v>
      </c>
      <c r="E40" s="167"/>
      <c r="F40" s="46">
        <f>B40/D40</f>
        <v>5000.0000000049504</v>
      </c>
      <c r="G40" s="66">
        <v>4000000</v>
      </c>
      <c r="H40" s="7">
        <v>0</v>
      </c>
      <c r="I40" s="43">
        <f>G40+H40</f>
        <v>4000000</v>
      </c>
      <c r="J40" s="48">
        <f>(G40/I40)*B40</f>
        <v>4448893.3288955335</v>
      </c>
      <c r="K40" s="48">
        <f>(G40/I40)*D40</f>
        <v>889.77866577822579</v>
      </c>
      <c r="L40" s="101">
        <f>J40+K40/C40</f>
        <v>8897786.6577910669</v>
      </c>
    </row>
    <row r="41" spans="1:12" ht="13.5" customHeight="1">
      <c r="A41" s="102" t="s">
        <v>85</v>
      </c>
      <c r="B41" s="103">
        <f>H56</f>
        <v>111.11111111605987</v>
      </c>
      <c r="C41" s="9"/>
      <c r="D41" s="104">
        <f>(B41*D40*B40)/(B41+(B40))^2</f>
        <v>2.2221112264769655E-2</v>
      </c>
      <c r="L41" s="105"/>
    </row>
    <row r="42" spans="1:12" ht="13.5" customHeight="1">
      <c r="A42" s="106"/>
      <c r="B42" s="107">
        <f>B40+B41</f>
        <v>4449004.4400066491</v>
      </c>
      <c r="C42" s="108">
        <f>D42/B42</f>
        <v>1.9999001049876032E-4</v>
      </c>
      <c r="D42" s="109">
        <f>D40-D41</f>
        <v>889.756444665961</v>
      </c>
      <c r="L42" s="105"/>
    </row>
    <row r="43" spans="1:12" ht="13.5" customHeight="1">
      <c r="A43" s="102" t="s">
        <v>86</v>
      </c>
      <c r="B43" s="110">
        <f>E56</f>
        <v>4444.4444444444453</v>
      </c>
      <c r="C43" s="9"/>
      <c r="D43" s="69">
        <f>(B43*D42*B42)/(B43+(B42))^2</f>
        <v>0.88707128169122762</v>
      </c>
      <c r="L43" s="105"/>
    </row>
    <row r="44" spans="1:12" ht="13.5" customHeight="1">
      <c r="A44" s="111" t="s">
        <v>87</v>
      </c>
      <c r="B44" s="112">
        <f>B42+B43</f>
        <v>4453448.8844510932</v>
      </c>
      <c r="C44" s="81">
        <f>D44/B44</f>
        <v>1.9959123736385421E-4</v>
      </c>
      <c r="D44" s="113">
        <f>D42-D43</f>
        <v>888.86937338426981</v>
      </c>
      <c r="E44" s="114"/>
      <c r="F44" s="115"/>
      <c r="G44" s="116">
        <v>4000000</v>
      </c>
      <c r="H44" s="86">
        <v>0</v>
      </c>
      <c r="I44" s="86">
        <f>G44+H44</f>
        <v>4000000</v>
      </c>
      <c r="J44" s="88">
        <f>(G44/I44)*B44</f>
        <v>4453448.8844510932</v>
      </c>
      <c r="K44" s="88">
        <f>(G44/I44)*D44</f>
        <v>888.86937338426981</v>
      </c>
      <c r="L44" s="89">
        <f>J44+K44/C44</f>
        <v>8906897.7689021863</v>
      </c>
    </row>
    <row r="45" spans="1:12" ht="13.5" customHeight="1">
      <c r="A45" s="10"/>
      <c r="B45" s="10"/>
      <c r="C45" s="10"/>
      <c r="D45" s="10"/>
      <c r="E45" s="117"/>
      <c r="F45" s="10"/>
      <c r="G45" s="10"/>
      <c r="H45" s="10"/>
      <c r="I45" s="10"/>
      <c r="J45" s="10"/>
      <c r="K45" s="10"/>
      <c r="L45" s="10"/>
    </row>
    <row r="46" spans="1:12" ht="13.5" customHeight="1">
      <c r="A46" s="75" t="s">
        <v>88</v>
      </c>
      <c r="B46" s="77" t="s">
        <v>89</v>
      </c>
      <c r="C46" s="77" t="s">
        <v>90</v>
      </c>
      <c r="D46" s="77" t="s">
        <v>62</v>
      </c>
      <c r="E46" s="118" t="s">
        <v>91</v>
      </c>
      <c r="F46" s="77" t="s">
        <v>92</v>
      </c>
      <c r="G46" s="77" t="s">
        <v>93</v>
      </c>
      <c r="H46" s="77" t="s">
        <v>94</v>
      </c>
      <c r="I46" s="118" t="s">
        <v>95</v>
      </c>
      <c r="J46" s="77"/>
      <c r="K46" s="77" t="s">
        <v>96</v>
      </c>
      <c r="L46" s="119" t="s">
        <v>97</v>
      </c>
    </row>
    <row r="47" spans="1:12" ht="13.5" customHeight="1">
      <c r="A47" s="120" t="s">
        <v>98</v>
      </c>
      <c r="B47" s="121">
        <v>4000</v>
      </c>
      <c r="C47" s="108">
        <f>D47/B47</f>
        <v>2.5000000000000001E-4</v>
      </c>
      <c r="D47" s="121">
        <v>1</v>
      </c>
      <c r="E47" s="122">
        <f>B47/B10</f>
        <v>9.9900000199550911E-4</v>
      </c>
      <c r="F47" s="123" t="s">
        <v>99</v>
      </c>
      <c r="G47" s="95">
        <f>B47*E23</f>
        <v>40000</v>
      </c>
      <c r="H47" s="95">
        <f>D47*D33</f>
        <v>40000</v>
      </c>
      <c r="I47" s="95">
        <f>G47+H47</f>
        <v>80000</v>
      </c>
      <c r="K47" s="95">
        <f>I47</f>
        <v>80000</v>
      </c>
      <c r="L47" s="124">
        <f>K47-I47</f>
        <v>0</v>
      </c>
    </row>
    <row r="48" spans="1:12" ht="13.5" customHeight="1">
      <c r="A48" s="120"/>
      <c r="L48" s="105"/>
    </row>
    <row r="49" spans="1:12" ht="13.5" customHeight="1">
      <c r="A49" s="120" t="s">
        <v>100</v>
      </c>
      <c r="B49" s="121">
        <v>4000</v>
      </c>
      <c r="C49" s="108">
        <f>D49/B49</f>
        <v>2.5000000000000001E-4</v>
      </c>
      <c r="D49" s="121">
        <v>1</v>
      </c>
      <c r="G49" s="95">
        <f>B49*B32</f>
        <v>32000</v>
      </c>
      <c r="H49" s="95">
        <f>D49*B33</f>
        <v>32000</v>
      </c>
      <c r="I49" s="95">
        <f>G49+H49</f>
        <v>64000</v>
      </c>
      <c r="K49" s="95">
        <f>(D49*D33)+(B49*D32)</f>
        <v>72000</v>
      </c>
      <c r="L49" s="124">
        <f>K49-I49</f>
        <v>8000</v>
      </c>
    </row>
    <row r="50" spans="1:12" ht="13.5" customHeight="1">
      <c r="A50" s="106"/>
      <c r="L50" s="105"/>
    </row>
    <row r="51" spans="1:12" ht="13.5" customHeight="1">
      <c r="A51" s="125" t="s">
        <v>101</v>
      </c>
      <c r="B51" s="126">
        <f>B40*E47</f>
        <v>4444.4444444444453</v>
      </c>
      <c r="C51" s="127">
        <f>D51/B51</f>
        <v>1.9999999999980198E-4</v>
      </c>
      <c r="D51" s="128">
        <f>D40*E47</f>
        <v>0.88888888888800899</v>
      </c>
      <c r="E51" s="129"/>
      <c r="F51" s="116"/>
      <c r="G51" s="130">
        <f>B51*D32</f>
        <v>35555.555555555562</v>
      </c>
      <c r="H51" s="130">
        <f>D51*D33</f>
        <v>35555.555555520361</v>
      </c>
      <c r="I51" s="130">
        <f>G51+H51</f>
        <v>71111.111111075923</v>
      </c>
      <c r="J51" s="129"/>
      <c r="K51" s="130">
        <f>(D49*D33)+(B49*D32)</f>
        <v>72000</v>
      </c>
      <c r="L51" s="131">
        <f>K51-I51</f>
        <v>888.88888892407704</v>
      </c>
    </row>
    <row r="52" spans="1:12" ht="13.5" customHeight="1">
      <c r="F52" s="47"/>
    </row>
    <row r="54" spans="1:12" ht="13.5" customHeight="1">
      <c r="A54" s="90" t="s">
        <v>102</v>
      </c>
      <c r="B54" s="310" t="s">
        <v>103</v>
      </c>
      <c r="C54" s="311"/>
      <c r="D54" s="310" t="s">
        <v>104</v>
      </c>
      <c r="E54" s="311"/>
      <c r="F54" s="77"/>
      <c r="G54" s="77" t="s">
        <v>105</v>
      </c>
      <c r="H54" s="77"/>
      <c r="I54" s="77"/>
      <c r="J54" s="77"/>
      <c r="K54" s="119"/>
    </row>
    <row r="55" spans="1:12" ht="13.5" customHeight="1">
      <c r="A55" s="132" t="s">
        <v>106</v>
      </c>
      <c r="B55" s="5" t="s">
        <v>107</v>
      </c>
      <c r="C55" s="5" t="s">
        <v>108</v>
      </c>
      <c r="D55" s="5" t="s">
        <v>148</v>
      </c>
      <c r="E55" s="5" t="s">
        <v>109</v>
      </c>
      <c r="F55" s="5"/>
      <c r="G55" s="5" t="s">
        <v>110</v>
      </c>
      <c r="H55" s="5" t="s">
        <v>111</v>
      </c>
      <c r="I55" s="5" t="s">
        <v>112</v>
      </c>
      <c r="J55" s="5" t="s">
        <v>113</v>
      </c>
      <c r="K55" s="23" t="s">
        <v>114</v>
      </c>
    </row>
    <row r="56" spans="1:12" ht="13.5" customHeight="1">
      <c r="A56" s="133"/>
      <c r="B56" s="93">
        <f>D47</f>
        <v>1</v>
      </c>
      <c r="C56" s="93">
        <f>B47</f>
        <v>4000</v>
      </c>
      <c r="D56" s="134">
        <f>D51</f>
        <v>0.88888888888800899</v>
      </c>
      <c r="E56" s="135">
        <f>B51</f>
        <v>4444.4444444444453</v>
      </c>
      <c r="F56" s="136"/>
      <c r="G56" s="136">
        <f>E56/D56</f>
        <v>5000.0000000049504</v>
      </c>
      <c r="H56" s="137">
        <f>(C56-E56)+(B56-D56)*G56</f>
        <v>111.11111111605987</v>
      </c>
      <c r="I56" s="138">
        <v>1</v>
      </c>
      <c r="J56" s="139">
        <f>H56*I56</f>
        <v>111.11111111605987</v>
      </c>
      <c r="K56" s="131">
        <f>J56*8</f>
        <v>888.88888892847899</v>
      </c>
    </row>
    <row r="57" spans="1:12" ht="13.5" customHeight="1"/>
    <row r="58" spans="1:12" ht="13.5" customHeight="1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</row>
    <row r="59" spans="1:12" ht="13.5" customHeight="1">
      <c r="A59" s="140" t="s">
        <v>115</v>
      </c>
      <c r="D59" s="140" t="s">
        <v>116</v>
      </c>
      <c r="I59" s="140" t="s">
        <v>117</v>
      </c>
    </row>
    <row r="60" spans="1:12" ht="13.5" customHeight="1">
      <c r="A60" s="141" t="s">
        <v>89</v>
      </c>
      <c r="B60" s="142">
        <f>E56+H56</f>
        <v>4555.5555555605051</v>
      </c>
      <c r="D60" s="141" t="s">
        <v>118</v>
      </c>
      <c r="E60" s="143">
        <f>D51</f>
        <v>0.88888888888800899</v>
      </c>
      <c r="I60" s="144" t="s">
        <v>119</v>
      </c>
    </row>
    <row r="61" spans="1:12" ht="13.5" customHeight="1">
      <c r="A61" s="141" t="s">
        <v>62</v>
      </c>
      <c r="B61" s="145">
        <f>D56</f>
        <v>0.88888888888800899</v>
      </c>
      <c r="D61" s="141" t="s">
        <v>120</v>
      </c>
      <c r="E61" s="146">
        <f>D41</f>
        <v>2.2221112264769655E-2</v>
      </c>
      <c r="I61" s="147" t="s">
        <v>121</v>
      </c>
    </row>
    <row r="62" spans="1:12" ht="13.5" customHeight="1">
      <c r="D62" s="141" t="s">
        <v>86</v>
      </c>
      <c r="E62" s="146">
        <f>D43</f>
        <v>0.88707128169122762</v>
      </c>
      <c r="I62" s="148" t="s">
        <v>122</v>
      </c>
      <c r="J62" s="149">
        <f>C56+(B56*G56)</f>
        <v>9000.0000000049513</v>
      </c>
    </row>
    <row r="63" spans="1:12" ht="13.5" customHeight="1">
      <c r="D63" s="141" t="s">
        <v>123</v>
      </c>
      <c r="E63" s="143">
        <f>SUM(E60:E62)</f>
        <v>1.7981812828440062</v>
      </c>
      <c r="I63" s="150" t="s">
        <v>124</v>
      </c>
      <c r="J63" s="151">
        <f>E56+(D56*G56)</f>
        <v>8888.8888888888905</v>
      </c>
    </row>
    <row r="64" spans="1:12" ht="13.5" customHeight="1">
      <c r="E64" s="152"/>
      <c r="I64" s="148" t="s">
        <v>125</v>
      </c>
      <c r="J64" s="153">
        <f>J62-J63</f>
        <v>111.11111111606078</v>
      </c>
    </row>
    <row r="65" spans="2:12" ht="13.5" customHeight="1">
      <c r="B65" s="163"/>
      <c r="C65" s="164"/>
      <c r="D65" s="154" t="s">
        <v>126</v>
      </c>
      <c r="E65" s="148">
        <v>2</v>
      </c>
    </row>
    <row r="66" spans="2:12" ht="13.5" customHeight="1">
      <c r="D66" s="141" t="s">
        <v>127</v>
      </c>
      <c r="E66" s="155">
        <f>E63-E65</f>
        <v>-0.20181871715599375</v>
      </c>
    </row>
    <row r="67" spans="2:12" ht="13.5" customHeight="1">
      <c r="H67" s="161" t="s">
        <v>154</v>
      </c>
      <c r="I67" s="144" t="s">
        <v>155</v>
      </c>
    </row>
    <row r="68" spans="2:12" ht="13.5" customHeight="1">
      <c r="H68" s="161" t="s">
        <v>157</v>
      </c>
      <c r="I68" s="147" t="s">
        <v>121</v>
      </c>
    </row>
    <row r="69" spans="2:12" ht="13.5" customHeight="1">
      <c r="D69" s="161" t="s">
        <v>131</v>
      </c>
      <c r="E69" s="158">
        <f>E63*G47</f>
        <v>71927.251313760251</v>
      </c>
      <c r="H69" s="160" t="s">
        <v>158</v>
      </c>
      <c r="I69" s="193" t="s">
        <v>156</v>
      </c>
      <c r="J69" s="191"/>
    </row>
    <row r="70" spans="2:12" ht="13.5" customHeight="1"/>
    <row r="71" spans="2:12" ht="13.5" customHeight="1">
      <c r="H71" s="160" t="s">
        <v>164</v>
      </c>
    </row>
    <row r="72" spans="2:12" ht="13.5" customHeight="1">
      <c r="I72" t="s">
        <v>122</v>
      </c>
      <c r="J72">
        <v>9000.0000000049513</v>
      </c>
      <c r="K72" s="161" t="s">
        <v>165</v>
      </c>
    </row>
    <row r="73" spans="2:12" ht="13.5" customHeight="1">
      <c r="D73" s="156"/>
      <c r="I73" t="s">
        <v>124</v>
      </c>
      <c r="J73">
        <v>8888.8888888888905</v>
      </c>
      <c r="K73" s="161" t="s">
        <v>166</v>
      </c>
    </row>
    <row r="74" spans="2:12" ht="13.5" customHeight="1">
      <c r="D74" s="157"/>
      <c r="I74" t="s">
        <v>125</v>
      </c>
      <c r="J74">
        <v>111.11111111606078</v>
      </c>
      <c r="K74" s="161" t="s">
        <v>167</v>
      </c>
    </row>
    <row r="75" spans="2:12" ht="13.5" customHeight="1">
      <c r="D75" s="157"/>
    </row>
    <row r="76" spans="2:12" ht="13.5" customHeight="1">
      <c r="D76" s="157"/>
    </row>
    <row r="77" spans="2:12" ht="13.5" customHeight="1">
      <c r="D77" s="157"/>
      <c r="H77" s="160" t="s">
        <v>168</v>
      </c>
    </row>
    <row r="78" spans="2:12" ht="13.5" customHeight="1">
      <c r="H78" s="161"/>
      <c r="I78" s="194" t="s">
        <v>152</v>
      </c>
      <c r="K78">
        <f>((B56*E56/D56)+C56) - (E56+E56)</f>
        <v>111.11111111606078</v>
      </c>
      <c r="L78" s="161" t="s">
        <v>159</v>
      </c>
    </row>
    <row r="79" spans="2:12" ht="13.5" customHeight="1">
      <c r="I79" s="195" t="s">
        <v>160</v>
      </c>
    </row>
    <row r="80" spans="2:12" ht="13.5" customHeight="1">
      <c r="I80" s="194" t="s">
        <v>161</v>
      </c>
      <c r="K80">
        <f>(B56*E56/D56)+C56</f>
        <v>9000.0000000049513</v>
      </c>
      <c r="L80" s="161" t="s">
        <v>162</v>
      </c>
    </row>
    <row r="81" spans="8:12" ht="27.6">
      <c r="I81" s="160" t="s">
        <v>153</v>
      </c>
      <c r="K81" s="192">
        <f>E56+E56</f>
        <v>8888.8888888888905</v>
      </c>
      <c r="L81" s="196" t="s">
        <v>169</v>
      </c>
    </row>
    <row r="82" spans="8:12" ht="13.5" customHeight="1">
      <c r="I82" s="160" t="s">
        <v>152</v>
      </c>
      <c r="K82">
        <f>((B56*E56/D56)+C56) - (E56+E56)</f>
        <v>111.11111111606078</v>
      </c>
      <c r="L82" s="161" t="s">
        <v>170</v>
      </c>
    </row>
    <row r="83" spans="8:12" ht="13.5" customHeight="1"/>
    <row r="84" spans="8:12" ht="13.5" customHeight="1">
      <c r="H84" s="193" t="s">
        <v>156</v>
      </c>
    </row>
    <row r="85" spans="8:12" ht="13.5" customHeight="1">
      <c r="K85" s="172" t="b">
        <f>K78&gt;=(K80-K81)</f>
        <v>1</v>
      </c>
      <c r="L85" s="161" t="s">
        <v>163</v>
      </c>
    </row>
    <row r="86" spans="8:12" ht="13.5" customHeight="1">
      <c r="L86" s="161" t="s">
        <v>171</v>
      </c>
    </row>
    <row r="87" spans="8:12" ht="13.5" customHeight="1"/>
    <row r="88" spans="8:12" ht="13.5" customHeight="1"/>
    <row r="89" spans="8:12" ht="13.5" customHeight="1"/>
    <row r="90" spans="8:12" ht="13.5" customHeight="1"/>
    <row r="91" spans="8:12" ht="13.5" customHeight="1"/>
    <row r="92" spans="8:12" ht="13.5" customHeight="1"/>
    <row r="93" spans="8:12" ht="13.5" customHeight="1"/>
    <row r="94" spans="8:12" ht="13.5" customHeight="1"/>
    <row r="95" spans="8:12" ht="13.5" customHeight="1"/>
    <row r="96" spans="8:12" ht="13.5" customHeight="1"/>
    <row r="97" customFormat="1" ht="13.5" customHeight="1"/>
    <row r="98" customFormat="1" ht="13.5" customHeight="1"/>
    <row r="99" customFormat="1" ht="13.5" customHeight="1"/>
    <row r="100" customFormat="1" ht="13.5" customHeight="1"/>
    <row r="101" customFormat="1" ht="13.5" customHeight="1"/>
    <row r="102" customFormat="1" ht="13.5" customHeight="1"/>
    <row r="103" customFormat="1" ht="13.5" customHeight="1"/>
    <row r="104" customFormat="1" ht="13.5" customHeight="1"/>
    <row r="105" customFormat="1" ht="13.5" customHeight="1"/>
    <row r="106" customFormat="1" ht="13.5" customHeight="1"/>
    <row r="107" customFormat="1" ht="13.5" customHeight="1"/>
    <row r="108" customFormat="1" ht="13.5" customHeight="1"/>
    <row r="109" customFormat="1" ht="13.5" customHeight="1"/>
    <row r="110" customFormat="1" ht="13.5" customHeight="1"/>
    <row r="111" customFormat="1" ht="13.5" customHeight="1"/>
    <row r="112" customFormat="1" ht="13.5" customHeight="1"/>
    <row r="113" customFormat="1" ht="13.5" customHeight="1"/>
    <row r="114" customFormat="1" ht="13.5" customHeight="1"/>
    <row r="115" customFormat="1" ht="13.5" customHeight="1"/>
    <row r="116" customFormat="1" ht="13.5" customHeight="1"/>
    <row r="117" customFormat="1" ht="13.5" customHeight="1"/>
    <row r="118" customFormat="1" ht="13.5" customHeight="1"/>
    <row r="119" customFormat="1" ht="13.5" customHeight="1"/>
    <row r="120" customFormat="1" ht="13.5" customHeight="1"/>
    <row r="121" customFormat="1" ht="13.5" customHeight="1"/>
    <row r="122" customFormat="1" ht="13.5" customHeight="1"/>
    <row r="123" customFormat="1" ht="13.5" customHeight="1"/>
    <row r="124" customFormat="1" ht="13.5" customHeight="1"/>
    <row r="125" customFormat="1" ht="13.5" customHeight="1"/>
    <row r="126" customFormat="1" ht="13.5" customHeight="1"/>
    <row r="127" customFormat="1" ht="13.5" customHeight="1"/>
    <row r="128" customFormat="1" ht="13.5" customHeight="1"/>
    <row r="129" customFormat="1" ht="13.5" customHeight="1"/>
    <row r="130" customFormat="1" ht="13.5" customHeight="1"/>
    <row r="131" customFormat="1" ht="13.5" customHeight="1"/>
    <row r="132" customFormat="1" ht="13.5" customHeight="1"/>
    <row r="133" customFormat="1" ht="13.5" customHeight="1"/>
    <row r="134" customFormat="1" ht="13.5" customHeight="1"/>
    <row r="135" customFormat="1" ht="13.5" customHeight="1"/>
    <row r="136" customFormat="1" ht="13.5" customHeight="1"/>
    <row r="137" customFormat="1" ht="13.5" customHeight="1"/>
    <row r="138" customFormat="1" ht="13.5" customHeight="1"/>
    <row r="139" customFormat="1" ht="13.5" customHeight="1"/>
    <row r="140" customFormat="1" ht="13.5" customHeight="1"/>
    <row r="141" customFormat="1" ht="13.5" customHeight="1"/>
    <row r="142" customFormat="1" ht="13.5" customHeight="1"/>
    <row r="143" customFormat="1" ht="13.5" customHeight="1"/>
    <row r="144" customFormat="1" ht="13.5" customHeight="1"/>
    <row r="145" customFormat="1" ht="13.5" customHeight="1"/>
    <row r="146" customFormat="1" ht="13.5" customHeight="1"/>
    <row r="147" customFormat="1" ht="13.5" customHeight="1"/>
    <row r="148" customFormat="1" ht="13.5" customHeight="1"/>
    <row r="149" customFormat="1" ht="13.5" customHeight="1"/>
    <row r="150" customFormat="1" ht="13.5" customHeight="1"/>
    <row r="151" customFormat="1" ht="13.5" customHeight="1"/>
    <row r="152" customFormat="1" ht="13.5" customHeight="1"/>
    <row r="153" customFormat="1" ht="13.5" customHeight="1"/>
    <row r="154" customFormat="1" ht="13.5" customHeight="1"/>
    <row r="155" customFormat="1" ht="13.5" customHeight="1"/>
    <row r="156" customFormat="1" ht="13.5" customHeight="1"/>
    <row r="157" customFormat="1" ht="13.5" customHeight="1"/>
    <row r="158" customFormat="1" ht="13.5" customHeight="1"/>
    <row r="159" customFormat="1" ht="13.5" customHeight="1"/>
    <row r="160" customFormat="1" ht="13.5" customHeight="1"/>
    <row r="161" customFormat="1" ht="13.5" customHeight="1"/>
    <row r="162" customFormat="1" ht="13.5" customHeight="1"/>
    <row r="163" customFormat="1" ht="13.5" customHeight="1"/>
    <row r="164" customFormat="1" ht="13.5" customHeight="1"/>
    <row r="165" customFormat="1" ht="13.5" customHeight="1"/>
    <row r="166" customFormat="1" ht="13.5" customHeight="1"/>
    <row r="167" customFormat="1" ht="13.5" customHeight="1"/>
    <row r="168" customFormat="1" ht="13.5" customHeight="1"/>
    <row r="169" customFormat="1" ht="13.5" customHeight="1"/>
    <row r="170" customFormat="1" ht="13.5" customHeight="1"/>
    <row r="171" customFormat="1" ht="13.5" customHeight="1"/>
    <row r="172" customFormat="1" ht="13.5" customHeight="1"/>
    <row r="173" customFormat="1" ht="13.5" customHeight="1"/>
    <row r="174" customFormat="1" ht="13.5" customHeight="1"/>
    <row r="175" customFormat="1" ht="13.5" customHeight="1"/>
    <row r="176" customFormat="1" ht="13.5" customHeight="1"/>
    <row r="177" customFormat="1" ht="13.5" customHeight="1"/>
    <row r="178" customFormat="1" ht="13.5" customHeight="1"/>
    <row r="179" customFormat="1" ht="13.5" customHeight="1"/>
    <row r="180" customFormat="1" ht="13.5" customHeight="1"/>
    <row r="181" customFormat="1" ht="13.5" customHeight="1"/>
    <row r="182" customFormat="1" ht="13.5" customHeight="1"/>
    <row r="183" customFormat="1" ht="13.5" customHeight="1"/>
    <row r="184" customFormat="1" ht="13.5" customHeight="1"/>
    <row r="185" customFormat="1" ht="13.5" customHeight="1"/>
    <row r="186" customFormat="1" ht="13.5" customHeight="1"/>
    <row r="187" customFormat="1" ht="13.5" customHeight="1"/>
    <row r="188" customFormat="1" ht="13.5" customHeight="1"/>
    <row r="189" customFormat="1" ht="13.5" customHeight="1"/>
    <row r="190" customFormat="1" ht="13.5" customHeight="1"/>
    <row r="191" customFormat="1" ht="13.5" customHeight="1"/>
    <row r="192" customFormat="1" ht="13.5" customHeight="1"/>
    <row r="193" customFormat="1" ht="13.5" customHeight="1"/>
    <row r="194" customFormat="1" ht="13.5" customHeight="1"/>
    <row r="195" customFormat="1" ht="13.5" customHeight="1"/>
    <row r="196" customFormat="1" ht="13.5" customHeight="1"/>
    <row r="197" customFormat="1" ht="13.5" customHeight="1"/>
    <row r="198" customFormat="1" ht="13.5" customHeight="1"/>
    <row r="199" customFormat="1" ht="13.5" customHeight="1"/>
    <row r="200" customFormat="1" ht="13.5" customHeight="1"/>
    <row r="201" customFormat="1" ht="13.5" customHeight="1"/>
    <row r="202" customFormat="1" ht="13.5" customHeight="1"/>
    <row r="203" customFormat="1" ht="13.5" customHeight="1"/>
    <row r="204" customFormat="1" ht="13.5" customHeight="1"/>
    <row r="205" customFormat="1" ht="13.5" customHeight="1"/>
    <row r="206" customFormat="1" ht="13.5" customHeight="1"/>
    <row r="207" customFormat="1" ht="13.5" customHeight="1"/>
    <row r="208" customFormat="1" ht="13.5" customHeight="1"/>
    <row r="209" customFormat="1" ht="13.5" customHeight="1"/>
    <row r="210" customFormat="1" ht="13.5" customHeight="1"/>
    <row r="211" customFormat="1" ht="13.5" customHeight="1"/>
    <row r="212" customFormat="1" ht="13.5" customHeight="1"/>
    <row r="213" customFormat="1" ht="13.5" customHeight="1"/>
    <row r="214" customFormat="1" ht="13.5" customHeight="1"/>
    <row r="215" customFormat="1" ht="13.5" customHeight="1"/>
    <row r="216" customFormat="1" ht="13.5" customHeight="1"/>
    <row r="217" customFormat="1" ht="13.5" customHeight="1"/>
    <row r="218" customFormat="1" ht="13.5" customHeight="1"/>
    <row r="219" customFormat="1" ht="13.5" customHeight="1"/>
    <row r="220" customFormat="1" ht="13.5" customHeight="1"/>
    <row r="221" customFormat="1" ht="13.5" customHeight="1"/>
    <row r="222" customFormat="1" ht="13.5" customHeight="1"/>
    <row r="223" customFormat="1" ht="13.5" customHeight="1"/>
    <row r="224" customFormat="1" ht="13.5" customHeight="1"/>
    <row r="225" customFormat="1" ht="13.5" customHeight="1"/>
    <row r="226" customFormat="1" ht="13.5" customHeight="1"/>
    <row r="227" customFormat="1" ht="13.5" customHeight="1"/>
    <row r="228" customFormat="1" ht="13.5" customHeight="1"/>
    <row r="229" customFormat="1" ht="13.5" customHeight="1"/>
    <row r="230" customFormat="1" ht="13.5" customHeight="1"/>
    <row r="231" customFormat="1" ht="13.5" customHeight="1"/>
    <row r="232" customFormat="1" ht="13.5" customHeight="1"/>
    <row r="233" customFormat="1" ht="13.5" customHeight="1"/>
    <row r="234" customFormat="1" ht="13.5" customHeight="1"/>
    <row r="235" customFormat="1" ht="13.5" customHeight="1"/>
    <row r="236" customFormat="1" ht="13.5" customHeight="1"/>
    <row r="237" customFormat="1" ht="13.5" customHeight="1"/>
    <row r="238" customFormat="1" ht="13.5" customHeight="1"/>
    <row r="239" customFormat="1" ht="13.5" customHeight="1"/>
    <row r="240" customFormat="1" ht="13.5" customHeight="1"/>
    <row r="241" customFormat="1" ht="13.5" customHeight="1"/>
    <row r="242" customFormat="1" ht="13.5" customHeight="1"/>
    <row r="243" customFormat="1" ht="13.5" customHeight="1"/>
    <row r="244" customFormat="1" ht="13.5" customHeight="1"/>
    <row r="245" customFormat="1" ht="13.5" customHeight="1"/>
    <row r="246" customFormat="1" ht="13.5" customHeight="1"/>
    <row r="247" customFormat="1" ht="13.5" customHeight="1"/>
    <row r="248" customFormat="1" ht="13.5" customHeight="1"/>
    <row r="249" customFormat="1" ht="13.5" customHeight="1"/>
    <row r="250" customFormat="1" ht="13.5" customHeight="1"/>
    <row r="251" customFormat="1" ht="13.5" customHeight="1"/>
    <row r="252" customFormat="1" ht="13.5" customHeight="1"/>
    <row r="253" customFormat="1" ht="13.5" customHeight="1"/>
    <row r="254" customFormat="1" ht="13.5" customHeight="1"/>
    <row r="255" customFormat="1" ht="13.5" customHeight="1"/>
    <row r="256" customFormat="1" ht="13.5" customHeight="1"/>
    <row r="257" customFormat="1" ht="13.5" customHeight="1"/>
    <row r="258" customFormat="1" ht="13.5" customHeight="1"/>
    <row r="259" customFormat="1" ht="13.5" customHeight="1"/>
    <row r="260" customFormat="1" ht="13.5" customHeight="1"/>
    <row r="261" customFormat="1" ht="13.5" customHeight="1"/>
    <row r="262" customFormat="1" ht="13.5" customHeight="1"/>
    <row r="263" customFormat="1" ht="13.5" customHeight="1"/>
    <row r="264" customFormat="1" ht="13.5" customHeight="1"/>
    <row r="265" customFormat="1" ht="13.5" customHeight="1"/>
    <row r="266" customFormat="1" ht="13.5" customHeight="1"/>
    <row r="267" customFormat="1" ht="13.5" customHeight="1"/>
    <row r="268" customFormat="1" ht="13.5" customHeight="1"/>
    <row r="269" customFormat="1" ht="13.5" customHeight="1"/>
    <row r="270" customFormat="1" ht="13.5" customHeight="1"/>
    <row r="271" customFormat="1" ht="13.5" customHeight="1"/>
    <row r="272" customFormat="1" ht="13.5" customHeight="1"/>
    <row r="273" customFormat="1" ht="13.5" customHeight="1"/>
    <row r="274" customFormat="1" ht="13.5" customHeight="1"/>
    <row r="275" customFormat="1" ht="13.5" customHeight="1"/>
    <row r="276" customFormat="1" ht="13.5" customHeight="1"/>
    <row r="277" customFormat="1" ht="13.5" customHeight="1"/>
    <row r="278" customFormat="1" ht="13.5" customHeight="1"/>
    <row r="279" customFormat="1" ht="13.5" customHeight="1"/>
    <row r="280" customFormat="1" ht="13.5" customHeight="1"/>
    <row r="281" customFormat="1" ht="13.5" customHeight="1"/>
    <row r="282" customFormat="1" ht="13.5" customHeight="1"/>
    <row r="283" customFormat="1" ht="13.5" customHeight="1"/>
    <row r="284" customFormat="1" ht="13.5" customHeight="1"/>
    <row r="285" customFormat="1" ht="13.5" customHeight="1"/>
    <row r="286" customFormat="1" ht="13.5" customHeight="1"/>
    <row r="287" customFormat="1" ht="13.5" customHeight="1"/>
    <row r="288" customFormat="1" ht="13.5" customHeight="1"/>
    <row r="289" customFormat="1" ht="13.5" customHeight="1"/>
    <row r="290" customFormat="1" ht="13.5" customHeight="1"/>
    <row r="291" customFormat="1" ht="13.5" customHeight="1"/>
    <row r="292" customFormat="1" ht="13.5" customHeight="1"/>
    <row r="293" customFormat="1" ht="13.5" customHeight="1"/>
    <row r="294" customFormat="1" ht="13.5" customHeight="1"/>
    <row r="295" customFormat="1" ht="13.5" customHeight="1"/>
    <row r="296" customFormat="1" ht="13.5" customHeight="1"/>
    <row r="297" customFormat="1" ht="13.5" customHeight="1"/>
    <row r="298" customFormat="1" ht="13.5" customHeight="1"/>
    <row r="299" customFormat="1" ht="13.5" customHeight="1"/>
    <row r="300" customFormat="1" ht="13.5" customHeight="1"/>
    <row r="301" customFormat="1" ht="13.5" customHeight="1"/>
    <row r="302" customFormat="1" ht="13.5" customHeight="1"/>
    <row r="303" customFormat="1" ht="13.5" customHeight="1"/>
    <row r="304" customFormat="1" ht="13.5" customHeight="1"/>
    <row r="305" customFormat="1" ht="13.5" customHeight="1"/>
    <row r="306" customFormat="1" ht="13.5" customHeight="1"/>
    <row r="307" customFormat="1" ht="13.5" customHeight="1"/>
    <row r="308" customFormat="1" ht="13.5" customHeight="1"/>
    <row r="309" customFormat="1" ht="13.5" customHeight="1"/>
    <row r="310" customFormat="1" ht="13.5" customHeight="1"/>
    <row r="311" customFormat="1" ht="13.5" customHeight="1"/>
    <row r="312" customFormat="1" ht="13.5" customHeight="1"/>
    <row r="313" customFormat="1" ht="13.5" customHeight="1"/>
    <row r="314" customFormat="1" ht="13.5" customHeight="1"/>
    <row r="315" customFormat="1" ht="13.5" customHeight="1"/>
    <row r="316" customFormat="1" ht="13.5" customHeight="1"/>
    <row r="317" customFormat="1" ht="13.5" customHeight="1"/>
    <row r="318" customFormat="1" ht="13.5" customHeight="1"/>
    <row r="319" customFormat="1" ht="13.5" customHeight="1"/>
    <row r="320" customFormat="1" ht="13.5" customHeight="1"/>
    <row r="321" customFormat="1" ht="13.5" customHeight="1"/>
    <row r="322" customFormat="1" ht="13.5" customHeight="1"/>
    <row r="323" customFormat="1" ht="13.5" customHeight="1"/>
    <row r="324" customFormat="1" ht="13.5" customHeight="1"/>
    <row r="325" customFormat="1" ht="13.5" customHeight="1"/>
    <row r="326" customFormat="1" ht="13.5" customHeight="1"/>
    <row r="327" customFormat="1" ht="13.5" customHeight="1"/>
    <row r="328" customFormat="1" ht="13.5" customHeight="1"/>
    <row r="329" customFormat="1" ht="13.5" customHeight="1"/>
    <row r="330" customFormat="1" ht="13.5" customHeight="1"/>
    <row r="331" customFormat="1" ht="13.5" customHeight="1"/>
    <row r="332" customFormat="1" ht="13.5" customHeight="1"/>
    <row r="333" customFormat="1" ht="13.5" customHeight="1"/>
    <row r="334" customFormat="1" ht="13.5" customHeight="1"/>
    <row r="335" customFormat="1" ht="13.5" customHeight="1"/>
    <row r="336" customFormat="1" ht="13.5" customHeight="1"/>
    <row r="337" customFormat="1" ht="13.5" customHeight="1"/>
    <row r="338" customFormat="1" ht="13.5" customHeight="1"/>
    <row r="339" customFormat="1" ht="13.5" customHeight="1"/>
    <row r="340" customFormat="1" ht="13.5" customHeight="1"/>
    <row r="341" customFormat="1" ht="13.5" customHeight="1"/>
    <row r="342" customFormat="1" ht="13.5" customHeight="1"/>
    <row r="343" customFormat="1" ht="13.5" customHeight="1"/>
    <row r="344" customFormat="1" ht="13.5" customHeight="1"/>
    <row r="345" customFormat="1" ht="13.5" customHeight="1"/>
    <row r="346" customFormat="1" ht="13.5" customHeight="1"/>
    <row r="347" customFormat="1" ht="13.5" customHeight="1"/>
    <row r="348" customFormat="1" ht="13.5" customHeight="1"/>
    <row r="349" customFormat="1" ht="13.5" customHeight="1"/>
    <row r="350" customFormat="1" ht="13.5" customHeight="1"/>
    <row r="351" customFormat="1" ht="13.5" customHeight="1"/>
    <row r="352" customFormat="1" ht="13.5" customHeight="1"/>
    <row r="353" customFormat="1" ht="13.5" customHeight="1"/>
    <row r="354" customFormat="1" ht="13.5" customHeight="1"/>
    <row r="355" customFormat="1" ht="13.5" customHeight="1"/>
    <row r="356" customFormat="1" ht="13.5" customHeight="1"/>
    <row r="357" customFormat="1" ht="13.5" customHeight="1"/>
    <row r="358" customFormat="1" ht="13.5" customHeight="1"/>
    <row r="359" customFormat="1" ht="13.5" customHeight="1"/>
    <row r="360" customFormat="1" ht="13.5" customHeight="1"/>
    <row r="361" customFormat="1" ht="13.5" customHeight="1"/>
    <row r="362" customFormat="1" ht="13.5" customHeight="1"/>
    <row r="363" customFormat="1" ht="13.5" customHeight="1"/>
    <row r="364" customFormat="1" ht="13.5" customHeight="1"/>
    <row r="365" customFormat="1" ht="13.5" customHeight="1"/>
    <row r="366" customFormat="1" ht="13.5" customHeight="1"/>
    <row r="367" customFormat="1" ht="13.5" customHeight="1"/>
    <row r="368" customFormat="1" ht="13.5" customHeight="1"/>
    <row r="369" customFormat="1" ht="13.5" customHeight="1"/>
    <row r="370" customFormat="1" ht="13.5" customHeight="1"/>
    <row r="371" customFormat="1" ht="13.5" customHeight="1"/>
    <row r="372" customFormat="1" ht="13.5" customHeight="1"/>
    <row r="373" customFormat="1" ht="13.5" customHeight="1"/>
    <row r="374" customFormat="1" ht="13.5" customHeight="1"/>
    <row r="375" customFormat="1" ht="13.5" customHeight="1"/>
    <row r="376" customFormat="1" ht="13.5" customHeight="1"/>
    <row r="377" customFormat="1" ht="13.5" customHeight="1"/>
    <row r="378" customFormat="1" ht="13.5" customHeight="1"/>
    <row r="379" customFormat="1" ht="13.5" customHeight="1"/>
    <row r="380" customFormat="1" ht="13.5" customHeight="1"/>
    <row r="381" customFormat="1" ht="13.5" customHeight="1"/>
    <row r="382" customFormat="1" ht="13.5" customHeight="1"/>
    <row r="383" customFormat="1" ht="13.5" customHeight="1"/>
    <row r="384" customFormat="1" ht="13.5" customHeight="1"/>
    <row r="385" customFormat="1" ht="13.5" customHeight="1"/>
    <row r="386" customFormat="1" ht="13.5" customHeight="1"/>
    <row r="387" customFormat="1" ht="13.5" customHeight="1"/>
    <row r="388" customFormat="1" ht="13.5" customHeight="1"/>
    <row r="389" customFormat="1" ht="13.5" customHeight="1"/>
    <row r="390" customFormat="1" ht="13.5" customHeight="1"/>
    <row r="391" customFormat="1" ht="13.5" customHeight="1"/>
    <row r="392" customFormat="1" ht="13.5" customHeight="1"/>
    <row r="393" customFormat="1" ht="13.5" customHeight="1"/>
    <row r="394" customFormat="1" ht="13.5" customHeight="1"/>
    <row r="395" customFormat="1" ht="13.5" customHeight="1"/>
    <row r="396" customFormat="1" ht="13.5" customHeight="1"/>
    <row r="397" customFormat="1" ht="13.5" customHeight="1"/>
    <row r="398" customFormat="1" ht="13.5" customHeight="1"/>
    <row r="399" customFormat="1" ht="13.5" customHeight="1"/>
    <row r="400" customFormat="1" ht="13.5" customHeight="1"/>
    <row r="401" customFormat="1" ht="13.5" customHeight="1"/>
    <row r="402" customFormat="1" ht="13.5" customHeight="1"/>
    <row r="403" customFormat="1" ht="13.5" customHeight="1"/>
    <row r="404" customFormat="1" ht="13.5" customHeight="1"/>
    <row r="405" customFormat="1" ht="13.5" customHeight="1"/>
    <row r="406" customFormat="1" ht="13.5" customHeight="1"/>
    <row r="407" customFormat="1" ht="13.5" customHeight="1"/>
    <row r="408" customFormat="1" ht="13.5" customHeight="1"/>
    <row r="409" customFormat="1" ht="13.5" customHeight="1"/>
    <row r="410" customFormat="1" ht="13.5" customHeight="1"/>
    <row r="411" customFormat="1" ht="13.5" customHeight="1"/>
    <row r="412" customFormat="1" ht="13.5" customHeight="1"/>
    <row r="413" customFormat="1" ht="13.5" customHeight="1"/>
    <row r="414" customFormat="1" ht="13.5" customHeight="1"/>
    <row r="415" customFormat="1" ht="13.5" customHeight="1"/>
    <row r="416" customFormat="1" ht="13.5" customHeight="1"/>
    <row r="417" customFormat="1" ht="13.5" customHeight="1"/>
    <row r="418" customFormat="1" ht="13.5" customHeight="1"/>
    <row r="419" customFormat="1" ht="13.5" customHeight="1"/>
    <row r="420" customFormat="1" ht="13.5" customHeight="1"/>
    <row r="421" customFormat="1" ht="13.5" customHeight="1"/>
    <row r="422" customFormat="1" ht="13.5" customHeight="1"/>
    <row r="423" customFormat="1" ht="13.5" customHeight="1"/>
    <row r="424" customFormat="1" ht="13.5" customHeight="1"/>
    <row r="425" customFormat="1" ht="13.5" customHeight="1"/>
    <row r="426" customFormat="1" ht="13.5" customHeight="1"/>
    <row r="427" customFormat="1" ht="13.5" customHeight="1"/>
    <row r="428" customFormat="1" ht="13.5" customHeight="1"/>
    <row r="429" customFormat="1" ht="13.5" customHeight="1"/>
    <row r="430" customFormat="1" ht="13.5" customHeight="1"/>
    <row r="431" customFormat="1" ht="13.5" customHeight="1"/>
    <row r="432" customFormat="1" ht="13.5" customHeight="1"/>
    <row r="433" customFormat="1" ht="13.5" customHeight="1"/>
    <row r="434" customFormat="1" ht="13.5" customHeight="1"/>
    <row r="435" customFormat="1" ht="13.5" customHeight="1"/>
    <row r="436" customFormat="1" ht="13.5" customHeight="1"/>
    <row r="437" customFormat="1" ht="13.5" customHeight="1"/>
    <row r="438" customFormat="1" ht="13.5" customHeight="1"/>
    <row r="439" customFormat="1" ht="13.5" customHeight="1"/>
    <row r="440" customFormat="1" ht="13.5" customHeight="1"/>
    <row r="441" customFormat="1" ht="13.5" customHeight="1"/>
    <row r="442" customFormat="1" ht="13.5" customHeight="1"/>
    <row r="443" customFormat="1" ht="13.5" customHeight="1"/>
    <row r="444" customFormat="1" ht="13.5" customHeight="1"/>
    <row r="445" customFormat="1" ht="13.5" customHeight="1"/>
    <row r="446" customFormat="1" ht="13.5" customHeight="1"/>
    <row r="447" customFormat="1" ht="13.5" customHeight="1"/>
    <row r="448" customFormat="1" ht="13.5" customHeight="1"/>
    <row r="449" customFormat="1" ht="13.5" customHeight="1"/>
    <row r="450" customFormat="1" ht="13.5" customHeight="1"/>
    <row r="451" customFormat="1" ht="13.5" customHeight="1"/>
    <row r="452" customFormat="1" ht="13.5" customHeight="1"/>
    <row r="453" customFormat="1" ht="13.5" customHeight="1"/>
    <row r="454" customFormat="1" ht="13.5" customHeight="1"/>
    <row r="455" customFormat="1" ht="13.5" customHeight="1"/>
    <row r="456" customFormat="1" ht="13.5" customHeight="1"/>
    <row r="457" customFormat="1" ht="13.5" customHeight="1"/>
    <row r="458" customFormat="1" ht="13.5" customHeight="1"/>
    <row r="459" customFormat="1" ht="13.5" customHeight="1"/>
    <row r="460" customFormat="1" ht="13.5" customHeight="1"/>
    <row r="461" customFormat="1" ht="13.5" customHeight="1"/>
    <row r="462" customFormat="1" ht="13.5" customHeight="1"/>
    <row r="463" customFormat="1" ht="13.5" customHeight="1"/>
    <row r="464" customFormat="1" ht="13.5" customHeight="1"/>
    <row r="465" customFormat="1" ht="13.5" customHeight="1"/>
    <row r="466" customFormat="1" ht="13.5" customHeight="1"/>
    <row r="467" customFormat="1" ht="13.5" customHeight="1"/>
    <row r="468" customFormat="1" ht="13.5" customHeight="1"/>
    <row r="469" customFormat="1" ht="13.5" customHeight="1"/>
    <row r="470" customFormat="1" ht="13.5" customHeight="1"/>
    <row r="471" customFormat="1" ht="13.5" customHeight="1"/>
    <row r="472" customFormat="1" ht="13.5" customHeight="1"/>
    <row r="473" customFormat="1" ht="13.5" customHeight="1"/>
    <row r="474" customFormat="1" ht="13.5" customHeight="1"/>
    <row r="475" customFormat="1" ht="13.5" customHeight="1"/>
    <row r="476" customFormat="1" ht="13.5" customHeight="1"/>
    <row r="477" customFormat="1" ht="13.5" customHeight="1"/>
    <row r="478" customFormat="1" ht="13.5" customHeight="1"/>
    <row r="479" customFormat="1" ht="13.5" customHeight="1"/>
    <row r="480" customFormat="1" ht="13.5" customHeight="1"/>
    <row r="481" customFormat="1" ht="13.5" customHeight="1"/>
    <row r="482" customFormat="1" ht="13.5" customHeight="1"/>
    <row r="483" customFormat="1" ht="13.5" customHeight="1"/>
    <row r="484" customFormat="1" ht="13.5" customHeight="1"/>
    <row r="485" customFormat="1" ht="13.5" customHeight="1"/>
    <row r="486" customFormat="1" ht="13.5" customHeight="1"/>
    <row r="487" customFormat="1" ht="13.5" customHeight="1"/>
    <row r="488" customFormat="1" ht="13.5" customHeight="1"/>
    <row r="489" customFormat="1" ht="13.5" customHeight="1"/>
    <row r="490" customFormat="1" ht="13.5" customHeight="1"/>
    <row r="491" customFormat="1" ht="13.5" customHeight="1"/>
    <row r="492" customFormat="1" ht="13.5" customHeight="1"/>
    <row r="493" customFormat="1" ht="13.5" customHeight="1"/>
    <row r="494" customFormat="1" ht="13.5" customHeight="1"/>
    <row r="495" customFormat="1" ht="13.5" customHeight="1"/>
    <row r="496" customFormat="1" ht="13.5" customHeight="1"/>
    <row r="497" customFormat="1" ht="13.5" customHeight="1"/>
    <row r="498" customFormat="1" ht="13.5" customHeight="1"/>
    <row r="499" customFormat="1" ht="13.5" customHeight="1"/>
    <row r="500" customFormat="1" ht="13.5" customHeight="1"/>
    <row r="501" customFormat="1" ht="13.5" customHeight="1"/>
    <row r="502" customFormat="1" ht="13.5" customHeight="1"/>
    <row r="503" customFormat="1" ht="13.5" customHeight="1"/>
    <row r="504" customFormat="1" ht="13.5" customHeight="1"/>
    <row r="505" customFormat="1" ht="13.5" customHeight="1"/>
    <row r="506" customFormat="1" ht="13.5" customHeight="1"/>
    <row r="507" customFormat="1" ht="13.5" customHeight="1"/>
    <row r="508" customFormat="1" ht="13.5" customHeight="1"/>
    <row r="509" customFormat="1" ht="13.5" customHeight="1"/>
    <row r="510" customFormat="1" ht="13.5" customHeight="1"/>
    <row r="511" customFormat="1" ht="13.5" customHeight="1"/>
    <row r="512" customFormat="1" ht="13.5" customHeight="1"/>
    <row r="513" customFormat="1" ht="13.5" customHeight="1"/>
    <row r="514" customFormat="1" ht="13.5" customHeight="1"/>
    <row r="515" customFormat="1" ht="13.5" customHeight="1"/>
    <row r="516" customFormat="1" ht="13.5" customHeight="1"/>
    <row r="517" customFormat="1" ht="13.5" customHeight="1"/>
    <row r="518" customFormat="1" ht="13.5" customHeight="1"/>
    <row r="519" customFormat="1" ht="13.5" customHeight="1"/>
    <row r="520" customFormat="1" ht="13.5" customHeight="1"/>
    <row r="521" customFormat="1" ht="13.5" customHeight="1"/>
    <row r="522" customFormat="1" ht="13.5" customHeight="1"/>
    <row r="523" customFormat="1" ht="13.5" customHeight="1"/>
    <row r="524" customFormat="1" ht="13.5" customHeight="1"/>
    <row r="525" customFormat="1" ht="13.5" customHeight="1"/>
    <row r="526" customFormat="1" ht="13.5" customHeight="1"/>
    <row r="527" customFormat="1" ht="13.5" customHeight="1"/>
    <row r="528" customFormat="1" ht="13.5" customHeight="1"/>
    <row r="529" customFormat="1" ht="13.5" customHeight="1"/>
    <row r="530" customFormat="1" ht="13.5" customHeight="1"/>
    <row r="531" customFormat="1" ht="13.5" customHeight="1"/>
    <row r="532" customFormat="1" ht="13.5" customHeight="1"/>
    <row r="533" customFormat="1" ht="13.5" customHeight="1"/>
    <row r="534" customFormat="1" ht="13.5" customHeight="1"/>
    <row r="535" customFormat="1" ht="13.5" customHeight="1"/>
    <row r="536" customFormat="1" ht="13.5" customHeight="1"/>
    <row r="537" customFormat="1" ht="13.5" customHeight="1"/>
    <row r="538" customFormat="1" ht="13.5" customHeight="1"/>
    <row r="539" customFormat="1" ht="13.5" customHeight="1"/>
    <row r="540" customFormat="1" ht="13.5" customHeight="1"/>
    <row r="541" customFormat="1" ht="13.5" customHeight="1"/>
    <row r="542" customFormat="1" ht="13.5" customHeight="1"/>
    <row r="543" customFormat="1" ht="13.5" customHeight="1"/>
    <row r="544" customFormat="1" ht="13.5" customHeight="1"/>
    <row r="545" customFormat="1" ht="13.5" customHeight="1"/>
    <row r="546" customFormat="1" ht="13.5" customHeight="1"/>
    <row r="547" customFormat="1" ht="13.5" customHeight="1"/>
    <row r="548" customFormat="1" ht="13.5" customHeight="1"/>
    <row r="549" customFormat="1" ht="13.5" customHeight="1"/>
    <row r="550" customFormat="1" ht="13.5" customHeight="1"/>
    <row r="551" customFormat="1" ht="13.5" customHeight="1"/>
    <row r="552" customFormat="1" ht="13.5" customHeight="1"/>
    <row r="553" customFormat="1" ht="13.5" customHeight="1"/>
    <row r="554" customFormat="1" ht="13.5" customHeight="1"/>
    <row r="555" customFormat="1" ht="13.5" customHeight="1"/>
    <row r="556" customFormat="1" ht="13.5" customHeight="1"/>
    <row r="557" customFormat="1" ht="13.5" customHeight="1"/>
    <row r="558" customFormat="1" ht="13.5" customHeight="1"/>
    <row r="559" customFormat="1" ht="13.5" customHeight="1"/>
    <row r="560" customFormat="1" ht="13.5" customHeight="1"/>
    <row r="561" customFormat="1" ht="13.5" customHeight="1"/>
    <row r="562" customFormat="1" ht="13.5" customHeight="1"/>
    <row r="563" customFormat="1" ht="13.5" customHeight="1"/>
    <row r="564" customFormat="1" ht="13.5" customHeight="1"/>
    <row r="565" customFormat="1" ht="13.5" customHeight="1"/>
    <row r="566" customFormat="1" ht="13.5" customHeight="1"/>
    <row r="567" customFormat="1" ht="13.5" customHeight="1"/>
    <row r="568" customFormat="1" ht="13.5" customHeight="1"/>
    <row r="569" customFormat="1" ht="13.5" customHeight="1"/>
    <row r="570" customFormat="1" ht="13.5" customHeight="1"/>
    <row r="571" customFormat="1" ht="13.5" customHeight="1"/>
    <row r="572" customFormat="1" ht="13.5" customHeight="1"/>
    <row r="573" customFormat="1" ht="13.5" customHeight="1"/>
    <row r="574" customFormat="1" ht="13.5" customHeight="1"/>
    <row r="575" customFormat="1" ht="13.5" customHeight="1"/>
    <row r="576" customFormat="1" ht="13.5" customHeight="1"/>
    <row r="577" customFormat="1" ht="13.5" customHeight="1"/>
    <row r="578" customFormat="1" ht="13.5" customHeight="1"/>
    <row r="579" customFormat="1" ht="13.5" customHeight="1"/>
    <row r="580" customFormat="1" ht="13.5" customHeight="1"/>
    <row r="581" customFormat="1" ht="13.5" customHeight="1"/>
    <row r="582" customFormat="1" ht="13.5" customHeight="1"/>
    <row r="583" customFormat="1" ht="13.5" customHeight="1"/>
    <row r="584" customFormat="1" ht="13.5" customHeight="1"/>
    <row r="585" customFormat="1" ht="13.5" customHeight="1"/>
    <row r="586" customFormat="1" ht="13.5" customHeight="1"/>
    <row r="587" customFormat="1" ht="13.5" customHeight="1"/>
    <row r="588" customFormat="1" ht="13.5" customHeight="1"/>
    <row r="589" customFormat="1" ht="13.5" customHeight="1"/>
    <row r="590" customFormat="1" ht="13.5" customHeight="1"/>
    <row r="591" customFormat="1" ht="13.5" customHeight="1"/>
    <row r="592" customFormat="1" ht="13.5" customHeight="1"/>
    <row r="593" customFormat="1" ht="13.5" customHeight="1"/>
    <row r="594" customFormat="1" ht="13.5" customHeight="1"/>
    <row r="595" customFormat="1" ht="13.5" customHeight="1"/>
    <row r="596" customFormat="1" ht="13.5" customHeight="1"/>
    <row r="597" customFormat="1" ht="13.5" customHeight="1"/>
    <row r="598" customFormat="1" ht="13.5" customHeight="1"/>
    <row r="599" customFormat="1" ht="13.5" customHeight="1"/>
    <row r="600" customFormat="1" ht="13.5" customHeight="1"/>
    <row r="601" customFormat="1" ht="13.5" customHeight="1"/>
    <row r="602" customFormat="1" ht="13.5" customHeight="1"/>
    <row r="603" customFormat="1" ht="13.5" customHeight="1"/>
    <row r="604" customFormat="1" ht="13.5" customHeight="1"/>
    <row r="605" customFormat="1" ht="13.5" customHeight="1"/>
    <row r="606" customFormat="1" ht="13.5" customHeight="1"/>
    <row r="607" customFormat="1" ht="13.5" customHeight="1"/>
    <row r="608" customFormat="1" ht="13.5" customHeight="1"/>
    <row r="609" customFormat="1" ht="13.5" customHeight="1"/>
    <row r="610" customFormat="1" ht="13.5" customHeight="1"/>
    <row r="611" customFormat="1" ht="13.5" customHeight="1"/>
    <row r="612" customFormat="1" ht="13.5" customHeight="1"/>
    <row r="613" customFormat="1" ht="13.5" customHeight="1"/>
    <row r="614" customFormat="1" ht="13.5" customHeight="1"/>
    <row r="615" customFormat="1" ht="13.5" customHeight="1"/>
    <row r="616" customFormat="1" ht="13.5" customHeight="1"/>
    <row r="617" customFormat="1" ht="13.5" customHeight="1"/>
    <row r="618" customFormat="1" ht="13.5" customHeight="1"/>
    <row r="619" customFormat="1" ht="13.5" customHeight="1"/>
    <row r="620" customFormat="1" ht="13.5" customHeight="1"/>
    <row r="621" customFormat="1" ht="13.5" customHeight="1"/>
    <row r="622" customFormat="1" ht="13.5" customHeight="1"/>
    <row r="623" customFormat="1" ht="13.5" customHeight="1"/>
    <row r="624" customFormat="1" ht="13.5" customHeight="1"/>
    <row r="625" customFormat="1" ht="13.5" customHeight="1"/>
    <row r="626" customFormat="1" ht="13.5" customHeight="1"/>
    <row r="627" customFormat="1" ht="13.5" customHeight="1"/>
    <row r="628" customFormat="1" ht="13.5" customHeight="1"/>
    <row r="629" customFormat="1" ht="13.5" customHeight="1"/>
    <row r="630" customFormat="1" ht="13.5" customHeight="1"/>
    <row r="631" customFormat="1" ht="13.5" customHeight="1"/>
    <row r="632" customFormat="1" ht="13.5" customHeight="1"/>
    <row r="633" customFormat="1" ht="13.5" customHeight="1"/>
    <row r="634" customFormat="1" ht="13.5" customHeight="1"/>
    <row r="635" customFormat="1" ht="13.5" customHeight="1"/>
    <row r="636" customFormat="1" ht="13.5" customHeight="1"/>
    <row r="637" customFormat="1" ht="13.5" customHeight="1"/>
    <row r="638" customFormat="1" ht="13.5" customHeight="1"/>
    <row r="639" customFormat="1" ht="13.5" customHeight="1"/>
    <row r="640" customFormat="1" ht="13.5" customHeight="1"/>
    <row r="641" customFormat="1" ht="13.5" customHeight="1"/>
    <row r="642" customFormat="1" ht="13.5" customHeight="1"/>
    <row r="643" customFormat="1" ht="13.5" customHeight="1"/>
    <row r="644" customFormat="1" ht="13.5" customHeight="1"/>
    <row r="645" customFormat="1" ht="13.5" customHeight="1"/>
    <row r="646" customFormat="1" ht="13.5" customHeight="1"/>
    <row r="647" customFormat="1" ht="13.5" customHeight="1"/>
    <row r="648" customFormat="1" ht="13.5" customHeight="1"/>
    <row r="649" customFormat="1" ht="13.5" customHeight="1"/>
    <row r="650" customFormat="1" ht="13.5" customHeight="1"/>
    <row r="651" customFormat="1" ht="13.5" customHeight="1"/>
    <row r="652" customFormat="1" ht="13.5" customHeight="1"/>
    <row r="653" customFormat="1" ht="13.5" customHeight="1"/>
    <row r="654" customFormat="1" ht="13.5" customHeight="1"/>
    <row r="655" customFormat="1" ht="13.5" customHeight="1"/>
    <row r="656" customFormat="1" ht="13.5" customHeight="1"/>
    <row r="657" customFormat="1" ht="13.5" customHeight="1"/>
    <row r="658" customFormat="1" ht="13.5" customHeight="1"/>
    <row r="659" customFormat="1" ht="13.5" customHeight="1"/>
    <row r="660" customFormat="1" ht="13.5" customHeight="1"/>
    <row r="661" customFormat="1" ht="13.5" customHeight="1"/>
    <row r="662" customFormat="1" ht="13.5" customHeight="1"/>
    <row r="663" customFormat="1" ht="13.5" customHeight="1"/>
    <row r="664" customFormat="1" ht="13.5" customHeight="1"/>
    <row r="665" customFormat="1" ht="13.5" customHeight="1"/>
    <row r="666" customFormat="1" ht="13.5" customHeight="1"/>
    <row r="667" customFormat="1" ht="13.5" customHeight="1"/>
    <row r="668" customFormat="1" ht="13.5" customHeight="1"/>
    <row r="669" customFormat="1" ht="13.5" customHeight="1"/>
    <row r="670" customFormat="1" ht="13.5" customHeight="1"/>
    <row r="671" customFormat="1" ht="13.5" customHeight="1"/>
    <row r="672" customFormat="1" ht="13.5" customHeight="1"/>
    <row r="673" customFormat="1" ht="13.5" customHeight="1"/>
    <row r="674" customFormat="1" ht="13.5" customHeight="1"/>
    <row r="675" customFormat="1" ht="13.5" customHeight="1"/>
    <row r="676" customFormat="1" ht="13.5" customHeight="1"/>
    <row r="677" customFormat="1" ht="13.5" customHeight="1"/>
    <row r="678" customFormat="1" ht="13.5" customHeight="1"/>
    <row r="679" customFormat="1" ht="13.5" customHeight="1"/>
    <row r="680" customFormat="1" ht="13.5" customHeight="1"/>
    <row r="681" customFormat="1" ht="13.5" customHeight="1"/>
    <row r="682" customFormat="1" ht="13.5" customHeight="1"/>
    <row r="683" customFormat="1" ht="13.5" customHeight="1"/>
    <row r="684" customFormat="1" ht="13.5" customHeight="1"/>
    <row r="685" customFormat="1" ht="13.5" customHeight="1"/>
    <row r="686" customFormat="1" ht="13.5" customHeight="1"/>
    <row r="687" customFormat="1" ht="13.5" customHeight="1"/>
    <row r="688" customFormat="1" ht="13.5" customHeight="1"/>
    <row r="689" customFormat="1" ht="13.5" customHeight="1"/>
    <row r="690" customFormat="1" ht="13.5" customHeight="1"/>
    <row r="691" customFormat="1" ht="13.5" customHeight="1"/>
    <row r="692" customFormat="1" ht="13.5" customHeight="1"/>
    <row r="693" customFormat="1" ht="13.5" customHeight="1"/>
    <row r="694" customFormat="1" ht="13.5" customHeight="1"/>
    <row r="695" customFormat="1" ht="13.5" customHeight="1"/>
    <row r="696" customFormat="1" ht="13.5" customHeight="1"/>
    <row r="697" customFormat="1" ht="13.5" customHeight="1"/>
    <row r="698" customFormat="1" ht="13.5" customHeight="1"/>
    <row r="699" customFormat="1" ht="13.5" customHeight="1"/>
    <row r="700" customFormat="1" ht="13.5" customHeight="1"/>
    <row r="701" customFormat="1" ht="13.5" customHeight="1"/>
    <row r="702" customFormat="1" ht="13.5" customHeight="1"/>
    <row r="703" customFormat="1" ht="13.5" customHeight="1"/>
    <row r="704" customFormat="1" ht="13.5" customHeight="1"/>
    <row r="705" customFormat="1" ht="13.5" customHeight="1"/>
    <row r="706" customFormat="1" ht="13.5" customHeight="1"/>
    <row r="707" customFormat="1" ht="13.5" customHeight="1"/>
    <row r="708" customFormat="1" ht="13.5" customHeight="1"/>
    <row r="709" customFormat="1" ht="13.5" customHeight="1"/>
    <row r="710" customFormat="1" ht="13.5" customHeight="1"/>
    <row r="711" customFormat="1" ht="13.5" customHeight="1"/>
    <row r="712" customFormat="1" ht="13.5" customHeight="1"/>
    <row r="713" customFormat="1" ht="13.5" customHeight="1"/>
    <row r="714" customFormat="1" ht="13.5" customHeight="1"/>
    <row r="715" customFormat="1" ht="13.5" customHeight="1"/>
    <row r="716" customFormat="1" ht="13.5" customHeight="1"/>
    <row r="717" customFormat="1" ht="13.5" customHeight="1"/>
    <row r="718" customFormat="1" ht="13.5" customHeight="1"/>
    <row r="719" customFormat="1" ht="13.5" customHeight="1"/>
    <row r="720" customFormat="1" ht="13.5" customHeight="1"/>
    <row r="721" customFormat="1" ht="13.5" customHeight="1"/>
    <row r="722" customFormat="1" ht="13.5" customHeight="1"/>
    <row r="723" customFormat="1" ht="13.5" customHeight="1"/>
    <row r="724" customFormat="1" ht="13.5" customHeight="1"/>
    <row r="725" customFormat="1" ht="13.5" customHeight="1"/>
    <row r="726" customFormat="1" ht="13.5" customHeight="1"/>
    <row r="727" customFormat="1" ht="13.5" customHeight="1"/>
    <row r="728" customFormat="1" ht="13.5" customHeight="1"/>
    <row r="729" customFormat="1" ht="13.5" customHeight="1"/>
    <row r="730" customFormat="1" ht="13.5" customHeight="1"/>
    <row r="731" customFormat="1" ht="13.5" customHeight="1"/>
    <row r="732" customFormat="1" ht="13.5" customHeight="1"/>
    <row r="733" customFormat="1" ht="13.5" customHeight="1"/>
    <row r="734" customFormat="1" ht="13.5" customHeight="1"/>
    <row r="735" customFormat="1" ht="13.5" customHeight="1"/>
    <row r="736" customFormat="1" ht="13.5" customHeight="1"/>
    <row r="737" customFormat="1" ht="13.5" customHeight="1"/>
    <row r="738" customFormat="1" ht="13.5" customHeight="1"/>
    <row r="739" customFormat="1" ht="13.5" customHeight="1"/>
    <row r="740" customFormat="1" ht="13.5" customHeight="1"/>
    <row r="741" customFormat="1" ht="13.5" customHeight="1"/>
    <row r="742" customFormat="1" ht="13.5" customHeight="1"/>
    <row r="743" customFormat="1" ht="13.5" customHeight="1"/>
    <row r="744" customFormat="1" ht="13.5" customHeight="1"/>
    <row r="745" customFormat="1" ht="13.5" customHeight="1"/>
    <row r="746" customFormat="1" ht="13.5" customHeight="1"/>
    <row r="747" customFormat="1" ht="13.5" customHeight="1"/>
    <row r="748" customFormat="1" ht="13.5" customHeight="1"/>
    <row r="749" customFormat="1" ht="13.5" customHeight="1"/>
    <row r="750" customFormat="1" ht="13.5" customHeight="1"/>
    <row r="751" customFormat="1" ht="13.5" customHeight="1"/>
    <row r="752" customFormat="1" ht="13.5" customHeight="1"/>
    <row r="753" customFormat="1" ht="13.5" customHeight="1"/>
    <row r="754" customFormat="1" ht="13.5" customHeight="1"/>
    <row r="755" customFormat="1" ht="13.5" customHeight="1"/>
    <row r="756" customFormat="1" ht="13.5" customHeight="1"/>
    <row r="757" customFormat="1" ht="13.5" customHeight="1"/>
    <row r="758" customFormat="1" ht="13.5" customHeight="1"/>
    <row r="759" customFormat="1" ht="13.5" customHeight="1"/>
    <row r="760" customFormat="1" ht="13.5" customHeight="1"/>
    <row r="761" customFormat="1" ht="13.5" customHeight="1"/>
    <row r="762" customFormat="1" ht="13.5" customHeight="1"/>
    <row r="763" customFormat="1" ht="13.5" customHeight="1"/>
    <row r="764" customFormat="1" ht="13.5" customHeight="1"/>
    <row r="765" customFormat="1" ht="13.5" customHeight="1"/>
    <row r="766" customFormat="1" ht="13.5" customHeight="1"/>
    <row r="767" customFormat="1" ht="13.5" customHeight="1"/>
    <row r="768" customFormat="1" ht="13.5" customHeight="1"/>
    <row r="769" customFormat="1" ht="13.5" customHeight="1"/>
    <row r="770" customFormat="1" ht="13.5" customHeight="1"/>
    <row r="771" customFormat="1" ht="13.5" customHeight="1"/>
    <row r="772" customFormat="1" ht="13.5" customHeight="1"/>
    <row r="773" customFormat="1" ht="13.5" customHeight="1"/>
    <row r="774" customFormat="1" ht="13.5" customHeight="1"/>
    <row r="775" customFormat="1" ht="13.5" customHeight="1"/>
    <row r="776" customFormat="1" ht="13.5" customHeight="1"/>
    <row r="777" customFormat="1" ht="13.5" customHeight="1"/>
    <row r="778" customFormat="1" ht="13.5" customHeight="1"/>
    <row r="779" customFormat="1" ht="13.5" customHeight="1"/>
    <row r="780" customFormat="1" ht="13.5" customHeight="1"/>
    <row r="781" customFormat="1" ht="13.5" customHeight="1"/>
    <row r="782" customFormat="1" ht="13.5" customHeight="1"/>
    <row r="783" customFormat="1" ht="13.5" customHeight="1"/>
    <row r="784" customFormat="1" ht="13.5" customHeight="1"/>
    <row r="785" customFormat="1" ht="13.5" customHeight="1"/>
    <row r="786" customFormat="1" ht="13.5" customHeight="1"/>
    <row r="787" customFormat="1" ht="13.5" customHeight="1"/>
    <row r="788" customFormat="1" ht="13.5" customHeight="1"/>
    <row r="789" customFormat="1" ht="13.5" customHeight="1"/>
    <row r="790" customFormat="1" ht="13.5" customHeight="1"/>
    <row r="791" customFormat="1" ht="13.5" customHeight="1"/>
    <row r="792" customFormat="1" ht="13.5" customHeight="1"/>
    <row r="793" customFormat="1" ht="13.5" customHeight="1"/>
    <row r="794" customFormat="1" ht="13.5" customHeight="1"/>
    <row r="795" customFormat="1" ht="13.5" customHeight="1"/>
    <row r="796" customFormat="1" ht="13.5" customHeight="1"/>
    <row r="797" customFormat="1" ht="13.5" customHeight="1"/>
    <row r="798" customFormat="1" ht="13.5" customHeight="1"/>
    <row r="799" customFormat="1" ht="13.5" customHeight="1"/>
    <row r="800" customFormat="1" ht="13.5" customHeight="1"/>
    <row r="801" customFormat="1" ht="13.5" customHeight="1"/>
    <row r="802" customFormat="1" ht="13.5" customHeight="1"/>
    <row r="803" customFormat="1" ht="13.5" customHeight="1"/>
    <row r="804" customFormat="1" ht="13.5" customHeight="1"/>
    <row r="805" customFormat="1" ht="13.5" customHeight="1"/>
    <row r="806" customFormat="1" ht="13.5" customHeight="1"/>
    <row r="807" customFormat="1" ht="13.5" customHeight="1"/>
    <row r="808" customFormat="1" ht="13.5" customHeight="1"/>
    <row r="809" customFormat="1" ht="13.5" customHeight="1"/>
    <row r="810" customFormat="1" ht="13.5" customHeight="1"/>
    <row r="811" customFormat="1" ht="13.5" customHeight="1"/>
    <row r="812" customFormat="1" ht="13.5" customHeight="1"/>
    <row r="813" customFormat="1" ht="13.5" customHeight="1"/>
    <row r="814" customFormat="1" ht="13.5" customHeight="1"/>
    <row r="815" customFormat="1" ht="13.5" customHeight="1"/>
    <row r="816" customFormat="1" ht="13.5" customHeight="1"/>
    <row r="817" customFormat="1" ht="13.5" customHeight="1"/>
    <row r="818" customFormat="1" ht="13.5" customHeight="1"/>
    <row r="819" customFormat="1" ht="13.5" customHeight="1"/>
    <row r="820" customFormat="1" ht="13.5" customHeight="1"/>
    <row r="821" customFormat="1" ht="13.5" customHeight="1"/>
    <row r="822" customFormat="1" ht="13.5" customHeight="1"/>
    <row r="823" customFormat="1" ht="13.5" customHeight="1"/>
    <row r="824" customFormat="1" ht="13.5" customHeight="1"/>
    <row r="825" customFormat="1" ht="13.5" customHeight="1"/>
    <row r="826" customFormat="1" ht="13.5" customHeight="1"/>
    <row r="827" customFormat="1" ht="13.5" customHeight="1"/>
    <row r="828" customFormat="1" ht="13.5" customHeight="1"/>
    <row r="829" customFormat="1" ht="13.5" customHeight="1"/>
    <row r="830" customFormat="1" ht="13.5" customHeight="1"/>
    <row r="831" customFormat="1" ht="13.5" customHeight="1"/>
    <row r="832" customFormat="1" ht="13.5" customHeight="1"/>
    <row r="833" customFormat="1" ht="13.5" customHeight="1"/>
    <row r="834" customFormat="1" ht="13.5" customHeight="1"/>
    <row r="835" customFormat="1" ht="13.5" customHeight="1"/>
    <row r="836" customFormat="1" ht="13.5" customHeight="1"/>
    <row r="837" customFormat="1" ht="13.5" customHeight="1"/>
    <row r="838" customFormat="1" ht="13.5" customHeight="1"/>
    <row r="839" customFormat="1" ht="13.5" customHeight="1"/>
    <row r="840" customFormat="1" ht="13.5" customHeight="1"/>
    <row r="841" customFormat="1" ht="13.5" customHeight="1"/>
    <row r="842" customFormat="1" ht="13.5" customHeight="1"/>
    <row r="843" customFormat="1" ht="13.5" customHeight="1"/>
    <row r="844" customFormat="1" ht="13.5" customHeight="1"/>
    <row r="845" customFormat="1" ht="13.5" customHeight="1"/>
    <row r="846" customFormat="1" ht="13.5" customHeight="1"/>
    <row r="847" customFormat="1" ht="13.5" customHeight="1"/>
    <row r="848" customFormat="1" ht="13.5" customHeight="1"/>
    <row r="849" customFormat="1" ht="13.5" customHeight="1"/>
    <row r="850" customFormat="1" ht="13.5" customHeight="1"/>
    <row r="851" customFormat="1" ht="13.5" customHeight="1"/>
    <row r="852" customFormat="1" ht="13.5" customHeight="1"/>
    <row r="853" customFormat="1" ht="13.5" customHeight="1"/>
    <row r="854" customFormat="1" ht="13.5" customHeight="1"/>
    <row r="855" customFormat="1" ht="13.5" customHeight="1"/>
    <row r="856" customFormat="1" ht="13.5" customHeight="1"/>
    <row r="857" customFormat="1" ht="13.5" customHeight="1"/>
    <row r="858" customFormat="1" ht="13.5" customHeight="1"/>
    <row r="859" customFormat="1" ht="13.5" customHeight="1"/>
    <row r="860" customFormat="1" ht="13.5" customHeight="1"/>
    <row r="861" customFormat="1" ht="13.5" customHeight="1"/>
    <row r="862" customFormat="1" ht="13.5" customHeight="1"/>
    <row r="863" customFormat="1" ht="13.5" customHeight="1"/>
    <row r="864" customFormat="1" ht="13.5" customHeight="1"/>
    <row r="865" customFormat="1" ht="13.5" customHeight="1"/>
    <row r="866" customFormat="1" ht="13.5" customHeight="1"/>
    <row r="867" customFormat="1" ht="13.5" customHeight="1"/>
    <row r="868" customFormat="1" ht="13.5" customHeight="1"/>
    <row r="869" customFormat="1" ht="13.5" customHeight="1"/>
    <row r="870" customFormat="1" ht="13.5" customHeight="1"/>
    <row r="871" customFormat="1" ht="13.5" customHeight="1"/>
    <row r="872" customFormat="1" ht="13.5" customHeight="1"/>
    <row r="873" customFormat="1" ht="13.5" customHeight="1"/>
    <row r="874" customFormat="1" ht="13.5" customHeight="1"/>
    <row r="875" customFormat="1" ht="13.5" customHeight="1"/>
    <row r="876" customFormat="1" ht="13.5" customHeight="1"/>
    <row r="877" customFormat="1" ht="13.5" customHeight="1"/>
    <row r="878" customFormat="1" ht="13.5" customHeight="1"/>
    <row r="879" customFormat="1" ht="13.5" customHeight="1"/>
    <row r="880" customFormat="1" ht="13.5" customHeight="1"/>
    <row r="881" customFormat="1" ht="13.5" customHeight="1"/>
    <row r="882" customFormat="1" ht="13.5" customHeight="1"/>
    <row r="883" customFormat="1" ht="13.5" customHeight="1"/>
    <row r="884" customFormat="1" ht="13.5" customHeight="1"/>
    <row r="885" customFormat="1" ht="13.5" customHeight="1"/>
    <row r="886" customFormat="1" ht="13.5" customHeight="1"/>
    <row r="887" customFormat="1" ht="13.5" customHeight="1"/>
    <row r="888" customFormat="1" ht="13.5" customHeight="1"/>
    <row r="889" customFormat="1" ht="13.5" customHeight="1"/>
    <row r="890" customFormat="1" ht="13.5" customHeight="1"/>
    <row r="891" customFormat="1" ht="13.5" customHeight="1"/>
    <row r="892" customFormat="1" ht="13.5" customHeight="1"/>
    <row r="893" customFormat="1" ht="13.5" customHeight="1"/>
    <row r="894" customFormat="1" ht="13.5" customHeight="1"/>
    <row r="895" customFormat="1" ht="13.5" customHeight="1"/>
    <row r="896" customFormat="1" ht="13.5" customHeight="1"/>
    <row r="897" customFormat="1" ht="13.5" customHeight="1"/>
    <row r="898" customFormat="1" ht="13.5" customHeight="1"/>
    <row r="899" customFormat="1" ht="13.5" customHeight="1"/>
    <row r="900" customFormat="1" ht="13.5" customHeight="1"/>
    <row r="901" customFormat="1" ht="13.5" customHeight="1"/>
    <row r="902" customFormat="1" ht="13.5" customHeight="1"/>
    <row r="903" customFormat="1" ht="13.5" customHeight="1"/>
    <row r="904" customFormat="1" ht="13.5" customHeight="1"/>
    <row r="905" customFormat="1" ht="13.5" customHeight="1"/>
    <row r="906" customFormat="1" ht="13.5" customHeight="1"/>
    <row r="907" customFormat="1" ht="13.5" customHeight="1"/>
    <row r="908" customFormat="1" ht="13.5" customHeight="1"/>
    <row r="909" customFormat="1" ht="13.5" customHeight="1"/>
    <row r="910" customFormat="1" ht="13.5" customHeight="1"/>
    <row r="911" customFormat="1" ht="13.5" customHeight="1"/>
    <row r="912" customFormat="1" ht="13.5" customHeight="1"/>
    <row r="913" customFormat="1" ht="13.5" customHeight="1"/>
    <row r="914" customFormat="1" ht="13.5" customHeight="1"/>
    <row r="915" customFormat="1" ht="13.5" customHeight="1"/>
    <row r="916" customFormat="1" ht="13.5" customHeight="1"/>
    <row r="917" customFormat="1" ht="13.5" customHeight="1"/>
    <row r="918" customFormat="1" ht="13.5" customHeight="1"/>
    <row r="919" customFormat="1" ht="13.5" customHeight="1"/>
    <row r="920" customFormat="1" ht="13.5" customHeight="1"/>
    <row r="921" customFormat="1" ht="13.5" customHeight="1"/>
    <row r="922" customFormat="1" ht="13.5" customHeight="1"/>
    <row r="923" customFormat="1" ht="13.5" customHeight="1"/>
    <row r="924" customFormat="1" ht="13.5" customHeight="1"/>
    <row r="925" customFormat="1" ht="13.5" customHeight="1"/>
    <row r="926" customFormat="1" ht="13.5" customHeight="1"/>
    <row r="927" customFormat="1" ht="13.5" customHeight="1"/>
    <row r="928" customFormat="1" ht="13.5" customHeight="1"/>
    <row r="929" customFormat="1" ht="13.5" customHeight="1"/>
    <row r="930" customFormat="1" ht="13.5" customHeight="1"/>
    <row r="931" customFormat="1" ht="13.5" customHeight="1"/>
    <row r="932" customFormat="1" ht="13.5" customHeight="1"/>
    <row r="933" customFormat="1" ht="13.5" customHeight="1"/>
    <row r="934" customFormat="1" ht="13.5" customHeight="1"/>
    <row r="935" customFormat="1" ht="13.5" customHeight="1"/>
    <row r="936" customFormat="1" ht="13.5" customHeight="1"/>
    <row r="937" customFormat="1" ht="13.5" customHeight="1"/>
    <row r="938" customFormat="1" ht="13.5" customHeight="1"/>
    <row r="939" customFormat="1" ht="13.5" customHeight="1"/>
    <row r="940" customFormat="1" ht="13.5" customHeight="1"/>
    <row r="941" customFormat="1" ht="13.5" customHeight="1"/>
    <row r="942" customFormat="1" ht="13.5" customHeight="1"/>
    <row r="943" customFormat="1" ht="13.5" customHeight="1"/>
    <row r="944" customFormat="1" ht="13.5" customHeight="1"/>
    <row r="945" customFormat="1" ht="13.5" customHeight="1"/>
    <row r="946" customFormat="1" ht="13.5" customHeight="1"/>
    <row r="947" customFormat="1" ht="13.5" customHeight="1"/>
    <row r="948" customFormat="1" ht="13.5" customHeight="1"/>
    <row r="949" customFormat="1" ht="13.5" customHeight="1"/>
    <row r="950" customFormat="1" ht="13.5" customHeight="1"/>
    <row r="951" customFormat="1" ht="13.5" customHeight="1"/>
    <row r="952" customFormat="1" ht="13.5" customHeight="1"/>
    <row r="953" customFormat="1" ht="13.5" customHeight="1"/>
    <row r="954" customFormat="1" ht="13.5" customHeight="1"/>
    <row r="955" customFormat="1" ht="13.5" customHeight="1"/>
    <row r="956" customFormat="1" ht="13.5" customHeight="1"/>
    <row r="957" customFormat="1" ht="13.5" customHeight="1"/>
    <row r="958" customFormat="1" ht="13.5" customHeight="1"/>
    <row r="959" customFormat="1" ht="13.5" customHeight="1"/>
    <row r="960" customFormat="1" ht="13.5" customHeight="1"/>
    <row r="961" customFormat="1" ht="13.5" customHeight="1"/>
    <row r="962" customFormat="1" ht="13.5" customHeight="1"/>
    <row r="963" customFormat="1" ht="13.5" customHeight="1"/>
    <row r="964" customFormat="1" ht="13.5" customHeight="1"/>
    <row r="965" customFormat="1" ht="13.5" customHeight="1"/>
    <row r="966" customFormat="1" ht="13.5" customHeight="1"/>
    <row r="967" customFormat="1" ht="13.5" customHeight="1"/>
    <row r="968" customFormat="1" ht="13.5" customHeight="1"/>
    <row r="969" customFormat="1" ht="13.5" customHeight="1"/>
    <row r="970" customFormat="1" ht="13.5" customHeight="1"/>
    <row r="971" customFormat="1" ht="13.5" customHeight="1"/>
    <row r="972" customFormat="1" ht="13.5" customHeight="1"/>
    <row r="973" customFormat="1" ht="13.5" customHeight="1"/>
    <row r="974" customFormat="1" ht="13.5" customHeight="1"/>
    <row r="975" customFormat="1" ht="13.5" customHeight="1"/>
    <row r="976" customFormat="1" ht="13.5" customHeight="1"/>
    <row r="977" customFormat="1" ht="13.5" customHeight="1"/>
    <row r="978" customFormat="1" ht="13.5" customHeight="1"/>
    <row r="979" customFormat="1" ht="13.5" customHeight="1"/>
    <row r="980" customFormat="1" ht="13.5" customHeight="1"/>
    <row r="981" customFormat="1" ht="13.5" customHeight="1"/>
    <row r="982" customFormat="1" ht="13.5" customHeight="1"/>
    <row r="983" customFormat="1" ht="13.5" customHeight="1"/>
    <row r="984" customFormat="1" ht="13.5" customHeight="1"/>
    <row r="985" customFormat="1" ht="13.5" customHeight="1"/>
    <row r="986" customFormat="1" ht="13.5" customHeight="1"/>
    <row r="987" customFormat="1" ht="13.5" customHeight="1"/>
    <row r="988" customFormat="1" ht="13.5" customHeight="1"/>
    <row r="989" customFormat="1" ht="13.5" customHeight="1"/>
    <row r="990" customFormat="1" ht="13.5" customHeight="1"/>
    <row r="991" customFormat="1" ht="13.5" customHeight="1"/>
    <row r="992" customFormat="1" ht="13.5" customHeight="1"/>
    <row r="993" customFormat="1" ht="13.5" customHeight="1"/>
    <row r="994" customFormat="1" ht="13.5" customHeight="1"/>
    <row r="995" customFormat="1" ht="13.5" customHeight="1"/>
    <row r="996" customFormat="1" ht="13.5" customHeight="1"/>
    <row r="997" customFormat="1" ht="13.5" customHeight="1"/>
    <row r="998" customFormat="1" ht="13.5" customHeight="1"/>
    <row r="999" customFormat="1" ht="13.5" customHeight="1"/>
    <row r="1000" customFormat="1" ht="13.5" customHeight="1"/>
    <row r="1001" customFormat="1" ht="13.5" customHeight="1"/>
    <row r="1002" customFormat="1" ht="13.5" customHeight="1"/>
    <row r="1003" customFormat="1" ht="13.5" customHeight="1"/>
    <row r="1004" customFormat="1" ht="13.5" customHeight="1"/>
    <row r="1005" customFormat="1" ht="13.5" customHeight="1"/>
    <row r="1006" customFormat="1" ht="13.5" customHeight="1"/>
    <row r="1007" customFormat="1" ht="13.5" customHeight="1"/>
    <row r="1008" customFormat="1" ht="13.5" customHeight="1"/>
    <row r="1009" customFormat="1" ht="13.5" customHeight="1"/>
  </sheetData>
  <mergeCells count="2">
    <mergeCell ref="B54:C54"/>
    <mergeCell ref="D54:E54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1124-2E36-4B46-B143-C76190E3578A}">
  <dimension ref="A1:Q835"/>
  <sheetViews>
    <sheetView tabSelected="1" topLeftCell="A26" zoomScale="175" zoomScaleNormal="175" workbookViewId="0">
      <selection activeCell="D56" sqref="D56"/>
    </sheetView>
  </sheetViews>
  <sheetFormatPr defaultColWidth="12.59765625" defaultRowHeight="15" customHeight="1"/>
  <cols>
    <col min="1" max="1" width="28.296875" style="172" customWidth="1"/>
    <col min="2" max="2" width="15" style="172" bestFit="1" customWidth="1"/>
    <col min="3" max="3" width="15.59765625" style="172" customWidth="1"/>
    <col min="4" max="4" width="23.19921875" style="172" customWidth="1"/>
    <col min="5" max="5" width="10.5" style="172" customWidth="1"/>
    <col min="6" max="6" width="17.59765625" style="172" bestFit="1" customWidth="1"/>
    <col min="7" max="7" width="15.8984375" style="172" bestFit="1" customWidth="1"/>
    <col min="8" max="8" width="18.69921875" style="172" customWidth="1"/>
    <col min="9" max="9" width="16.19921875" style="172" hidden="1" customWidth="1"/>
    <col min="10" max="10" width="18" style="172" hidden="1" customWidth="1"/>
    <col min="11" max="11" width="10.5" style="172" hidden="1" customWidth="1"/>
    <col min="12" max="12" width="10.69921875" style="172" hidden="1" customWidth="1"/>
    <col min="13" max="13" width="12.796875" style="172" hidden="1" customWidth="1"/>
    <col min="14" max="14" width="12.5" style="172" customWidth="1"/>
    <col min="15" max="15" width="13.8984375" style="172" bestFit="1" customWidth="1"/>
    <col min="16" max="16" width="8.59765625" style="172" customWidth="1"/>
    <col min="17" max="17" width="21.69921875" style="172" customWidth="1"/>
    <col min="18" max="27" width="8.59765625" style="172" customWidth="1"/>
    <col min="28" max="16384" width="12.59765625" style="172"/>
  </cols>
  <sheetData>
    <row r="1" spans="1:13" ht="13.5" customHeight="1" thickBot="1">
      <c r="A1" s="36"/>
    </row>
    <row r="2" spans="1:13" ht="13.5" customHeight="1">
      <c r="A2" s="212" t="s">
        <v>201</v>
      </c>
      <c r="B2" s="213"/>
      <c r="C2" s="213"/>
      <c r="D2" s="213"/>
      <c r="E2" s="213"/>
      <c r="F2" s="213"/>
      <c r="G2" s="213"/>
      <c r="H2" s="214"/>
      <c r="I2" s="77"/>
      <c r="J2" s="77"/>
      <c r="K2" s="77"/>
      <c r="L2" s="77"/>
      <c r="M2" s="78"/>
    </row>
    <row r="3" spans="1:13" ht="13.5" customHeight="1">
      <c r="A3" s="233"/>
      <c r="B3" s="246" t="s">
        <v>206</v>
      </c>
      <c r="C3" s="291" t="s">
        <v>226</v>
      </c>
      <c r="D3" s="198" t="s">
        <v>29</v>
      </c>
      <c r="E3" s="198"/>
      <c r="F3" s="198"/>
      <c r="G3" s="198" t="s">
        <v>180</v>
      </c>
      <c r="H3" s="232"/>
      <c r="I3" s="5" t="s">
        <v>11</v>
      </c>
      <c r="J3" s="5" t="s">
        <v>12</v>
      </c>
      <c r="K3" s="5" t="s">
        <v>13</v>
      </c>
      <c r="L3" s="5" t="s">
        <v>14</v>
      </c>
      <c r="M3" s="79" t="s">
        <v>15</v>
      </c>
    </row>
    <row r="4" spans="1:13" ht="13.5" customHeight="1">
      <c r="A4" s="247" t="s">
        <v>202</v>
      </c>
      <c r="B4" s="301">
        <v>2863166.7530022501</v>
      </c>
      <c r="C4" s="197">
        <f>D4/B4</f>
        <v>9.2847812933293401</v>
      </c>
      <c r="D4" s="303">
        <v>26583877.107957799</v>
      </c>
      <c r="E4" s="82"/>
      <c r="F4" s="248"/>
      <c r="G4" s="249">
        <f>B4/D4</f>
        <v>0.10770312928301833</v>
      </c>
      <c r="H4" s="250"/>
      <c r="I4" s="86">
        <v>0</v>
      </c>
      <c r="J4" s="87">
        <f>H4+I4</f>
        <v>0</v>
      </c>
      <c r="K4" s="88" t="e">
        <f>(H4/J4)*B4</f>
        <v>#DIV/0!</v>
      </c>
      <c r="L4" s="88" t="e">
        <f>(H4/J4)*D4</f>
        <v>#DIV/0!</v>
      </c>
      <c r="M4" s="201" t="e">
        <f>K4+L4/C4</f>
        <v>#DIV/0!</v>
      </c>
    </row>
    <row r="5" spans="1:13" ht="13.5" customHeight="1">
      <c r="A5" s="247" t="s">
        <v>203</v>
      </c>
      <c r="B5" s="301">
        <f>292058.24281948</f>
        <v>292058.24281948002</v>
      </c>
      <c r="C5" s="197">
        <f>D5/B5</f>
        <v>9.4292610822063665</v>
      </c>
      <c r="D5" s="303">
        <f>2753893.4227553</f>
        <v>2753893.4227553001</v>
      </c>
      <c r="E5" s="218"/>
      <c r="F5" s="218"/>
      <c r="G5" s="249">
        <f t="shared" ref="G5:G8" si="0">B5/D5</f>
        <v>0.10605284881623073</v>
      </c>
      <c r="H5" s="234"/>
    </row>
    <row r="6" spans="1:13" ht="13.5" customHeight="1">
      <c r="A6" s="247" t="s">
        <v>204</v>
      </c>
      <c r="B6" s="301">
        <f>2016015.26975213</f>
        <v>2016015.2697521299</v>
      </c>
      <c r="C6" s="197">
        <f>D6/B6</f>
        <v>9.3040260952255522</v>
      </c>
      <c r="D6" s="303">
        <v>18757058.678146999</v>
      </c>
      <c r="E6" s="218"/>
      <c r="F6" s="218"/>
      <c r="G6" s="249">
        <f t="shared" si="0"/>
        <v>0.10748035202880173</v>
      </c>
      <c r="H6" s="234"/>
    </row>
    <row r="7" spans="1:13" ht="13.5" customHeight="1">
      <c r="A7" s="247" t="s">
        <v>205</v>
      </c>
      <c r="B7" s="301">
        <v>875027.08619642002</v>
      </c>
      <c r="C7" s="197">
        <f>D7/B7</f>
        <v>9.3180332987876131</v>
      </c>
      <c r="D7" s="303">
        <v>8153531.5265193405</v>
      </c>
      <c r="E7" s="218"/>
      <c r="F7" s="218"/>
      <c r="G7" s="249">
        <f t="shared" si="0"/>
        <v>0.10731878368905506</v>
      </c>
      <c r="H7" s="234"/>
    </row>
    <row r="8" spans="1:13" ht="13.5" customHeight="1" thickBot="1">
      <c r="A8" s="251" t="s">
        <v>208</v>
      </c>
      <c r="B8" s="302">
        <f>SUM(B4:B7)</f>
        <v>6046267.3517702799</v>
      </c>
      <c r="C8" s="252">
        <f>D8/B8</f>
        <v>9.3029893424925287</v>
      </c>
      <c r="D8" s="304">
        <f>SUM(D4:D7)</f>
        <v>56248360.735379443</v>
      </c>
      <c r="E8" s="253"/>
      <c r="F8" s="224"/>
      <c r="G8" s="249">
        <f t="shared" si="0"/>
        <v>0.10749232995811131</v>
      </c>
      <c r="H8" s="230"/>
    </row>
    <row r="9" spans="1:13" ht="13.5" customHeight="1" thickBot="1">
      <c r="A9" s="254" t="s">
        <v>207</v>
      </c>
      <c r="B9" s="256">
        <f>MEDIAN(B4:B7)</f>
        <v>1445521.1779742748</v>
      </c>
      <c r="C9" s="256">
        <f>MEDIAN(C4:C7)</f>
        <v>9.3110296970065818</v>
      </c>
      <c r="D9" s="256">
        <f>MEDIAN(D4:D7)</f>
        <v>13455295.102333169</v>
      </c>
      <c r="E9" s="257"/>
      <c r="F9" s="255"/>
      <c r="G9" s="255"/>
      <c r="H9" s="258"/>
    </row>
    <row r="10" spans="1:13" ht="13.5" customHeight="1"/>
    <row r="11" spans="1:13" ht="15" customHeight="1" thickBot="1">
      <c r="A11" s="161" t="s">
        <v>220</v>
      </c>
    </row>
    <row r="12" spans="1:13" ht="13.5" customHeight="1">
      <c r="A12" s="212" t="s">
        <v>181</v>
      </c>
      <c r="B12" s="213"/>
      <c r="C12" s="213"/>
      <c r="D12" s="213"/>
      <c r="E12" s="213"/>
      <c r="F12" s="213"/>
      <c r="G12" s="213"/>
      <c r="H12" s="214"/>
      <c r="I12" s="5"/>
      <c r="J12" s="5"/>
      <c r="K12" s="5"/>
      <c r="L12" s="5"/>
      <c r="M12" s="5"/>
    </row>
    <row r="13" spans="1:13" ht="13.5" customHeight="1">
      <c r="A13" s="233"/>
      <c r="B13" s="198" t="s">
        <v>5</v>
      </c>
      <c r="C13" s="198" t="s">
        <v>185</v>
      </c>
      <c r="D13" s="198" t="s">
        <v>184</v>
      </c>
      <c r="E13" s="198"/>
      <c r="F13" s="198"/>
      <c r="G13" s="198" t="s">
        <v>180</v>
      </c>
      <c r="H13" s="234"/>
      <c r="J13" s="74"/>
      <c r="M13" s="172" t="e">
        <f>#REF!+#REF!/C23</f>
        <v>#REF!</v>
      </c>
    </row>
    <row r="14" spans="1:13" ht="13.5" customHeight="1">
      <c r="A14" s="235" t="s">
        <v>16</v>
      </c>
      <c r="B14" s="236">
        <f>SUM(B4:B7)</f>
        <v>6046267.3517702799</v>
      </c>
      <c r="C14" s="237">
        <f>D14/B14</f>
        <v>9.3110296970065818</v>
      </c>
      <c r="D14" s="236">
        <f>B14*C9</f>
        <v>56296974.868374415</v>
      </c>
      <c r="E14" s="218"/>
      <c r="F14" s="218"/>
      <c r="G14" s="218">
        <f>B14/D14</f>
        <v>0.10739950709441853</v>
      </c>
      <c r="H14" s="238">
        <f>D15*G14</f>
        <v>1.0739946893980057</v>
      </c>
      <c r="M14" s="74"/>
    </row>
    <row r="15" spans="1:13" ht="13.5" customHeight="1">
      <c r="A15" s="239" t="s">
        <v>183</v>
      </c>
      <c r="B15" s="204">
        <f>((C39/2)/B34)*2</f>
        <v>1.0739950709441852</v>
      </c>
      <c r="C15" s="183"/>
      <c r="D15" s="203">
        <f>(B15*D14*B14)/(B15+(B14))^2</f>
        <v>9.9999964474121903</v>
      </c>
      <c r="E15" s="240"/>
      <c r="F15" s="241"/>
      <c r="G15" s="218"/>
      <c r="H15" s="234"/>
    </row>
    <row r="16" spans="1:13" ht="13.5" customHeight="1">
      <c r="A16" s="242"/>
      <c r="B16" s="236">
        <f>B14</f>
        <v>6046267.3517702799</v>
      </c>
      <c r="C16" s="237">
        <f>D14/B14</f>
        <v>9.3110296970065818</v>
      </c>
      <c r="D16" s="236">
        <f>D14</f>
        <v>56296974.868374415</v>
      </c>
      <c r="E16" s="218"/>
      <c r="F16" s="218"/>
      <c r="G16" s="218">
        <f>B16/D16</f>
        <v>0.10739950709441853</v>
      </c>
      <c r="H16" s="238">
        <f>D15*G16</f>
        <v>1.0739946893980057</v>
      </c>
    </row>
    <row r="17" spans="1:13" ht="13.5" customHeight="1">
      <c r="A17" s="239" t="s">
        <v>189</v>
      </c>
      <c r="B17" s="243">
        <f>(D17*B16*D16)/(D17+D16)^2</f>
        <v>1.073994307852097</v>
      </c>
      <c r="C17" s="218"/>
      <c r="D17" s="204">
        <f>D15</f>
        <v>9.9999964474121903</v>
      </c>
      <c r="E17" s="241"/>
      <c r="F17" s="218"/>
      <c r="G17" s="218"/>
      <c r="H17" s="234"/>
    </row>
    <row r="18" spans="1:13" ht="13.5" customHeight="1" thickBot="1">
      <c r="A18" s="226"/>
      <c r="B18" s="244">
        <f>B16</f>
        <v>6046267.3517702799</v>
      </c>
      <c r="C18" s="245">
        <f>D16/B16</f>
        <v>9.3110296970065818</v>
      </c>
      <c r="D18" s="244">
        <f>D14</f>
        <v>56296974.868374415</v>
      </c>
      <c r="E18" s="224"/>
      <c r="F18" s="224"/>
      <c r="G18" s="224">
        <f>B18/D18</f>
        <v>0.10739950709441853</v>
      </c>
      <c r="H18" s="230"/>
    </row>
    <row r="19" spans="1:13" ht="13.5" customHeight="1">
      <c r="A19" s="218"/>
      <c r="B19" s="241"/>
      <c r="C19" s="237"/>
      <c r="D19" s="241"/>
      <c r="E19" s="218"/>
      <c r="F19" s="218"/>
      <c r="G19" s="218"/>
      <c r="H19" s="218"/>
    </row>
    <row r="20" spans="1:13" ht="13.5" customHeight="1" thickBot="1">
      <c r="A20" s="160"/>
      <c r="E20" s="205"/>
      <c r="F20" s="205">
        <f>D18*2</f>
        <v>112593949.73674883</v>
      </c>
      <c r="H20" s="218"/>
    </row>
    <row r="21" spans="1:13" ht="13.5" customHeight="1">
      <c r="A21" s="212" t="s">
        <v>56</v>
      </c>
      <c r="B21" s="213"/>
      <c r="C21" s="213"/>
      <c r="D21" s="213"/>
      <c r="E21" s="213"/>
      <c r="F21" s="213"/>
      <c r="G21" s="213" t="s">
        <v>180</v>
      </c>
      <c r="H21" s="214"/>
    </row>
    <row r="22" spans="1:13" ht="13.5" customHeight="1">
      <c r="A22" s="259"/>
      <c r="B22" s="260" t="s">
        <v>5</v>
      </c>
      <c r="C22" s="260" t="s">
        <v>172</v>
      </c>
      <c r="D22" s="260" t="s">
        <v>62</v>
      </c>
      <c r="E22" s="260"/>
      <c r="F22" s="283" t="s">
        <v>224</v>
      </c>
      <c r="G22" s="260" t="s">
        <v>64</v>
      </c>
      <c r="H22" s="261" t="s">
        <v>10</v>
      </c>
    </row>
    <row r="23" spans="1:13" ht="13.5" customHeight="1" thickBot="1">
      <c r="A23" s="262" t="s">
        <v>75</v>
      </c>
      <c r="B23" s="227">
        <v>5517148.6479361895</v>
      </c>
      <c r="C23" s="228">
        <f>D23/B23</f>
        <v>2.1355060427105367E-4</v>
      </c>
      <c r="D23" s="229">
        <v>1178.19042762</v>
      </c>
      <c r="E23" s="229"/>
      <c r="F23" s="263"/>
      <c r="G23" s="265">
        <f>B23/D23</f>
        <v>4682.7308375617076</v>
      </c>
      <c r="H23" s="264"/>
    </row>
    <row r="24" spans="1:13" ht="13.5" customHeight="1">
      <c r="A24" s="239" t="s">
        <v>189</v>
      </c>
      <c r="B24" s="243">
        <f>(D24*B23*D23)/(D24+D23)^2</f>
        <v>64644.995015578155</v>
      </c>
      <c r="C24" s="218"/>
      <c r="D24" s="204">
        <f>N39</f>
        <v>14.13828513144</v>
      </c>
      <c r="E24" s="199"/>
      <c r="F24" s="284">
        <f>G24-B24</f>
        <v>1560.7887596561195</v>
      </c>
      <c r="G24" s="279">
        <f>G23*N39</f>
        <v>66205.783775234275</v>
      </c>
      <c r="H24" s="280"/>
    </row>
    <row r="25" spans="1:13" s="290" customFormat="1" ht="13.5" customHeight="1">
      <c r="A25" s="285"/>
      <c r="B25" s="286"/>
      <c r="C25" s="202"/>
      <c r="D25" s="287"/>
      <c r="E25" s="281"/>
      <c r="F25" s="288"/>
      <c r="G25" s="282"/>
      <c r="H25" s="289"/>
    </row>
    <row r="26" spans="1:13" ht="13.5" customHeight="1">
      <c r="A26" s="231" t="s">
        <v>182</v>
      </c>
      <c r="B26" s="198" t="s">
        <v>5</v>
      </c>
      <c r="C26" s="198"/>
      <c r="D26" s="198" t="s">
        <v>187</v>
      </c>
      <c r="E26" s="198"/>
      <c r="F26" s="283" t="s">
        <v>224</v>
      </c>
      <c r="G26" s="232" t="s">
        <v>180</v>
      </c>
    </row>
    <row r="27" spans="1:13" ht="13.5" customHeight="1" thickBot="1">
      <c r="A27" s="226" t="s">
        <v>75</v>
      </c>
      <c r="B27" s="227">
        <f>B23</f>
        <v>5517148.6479361895</v>
      </c>
      <c r="C27" s="228">
        <f>D27/B27</f>
        <v>2.1355060427105367E-4</v>
      </c>
      <c r="D27" s="229">
        <f>D23</f>
        <v>1178.19042762</v>
      </c>
      <c r="E27" s="224"/>
      <c r="F27" s="224"/>
      <c r="G27" s="230">
        <f>B27/D27</f>
        <v>4682.7308375617076</v>
      </c>
    </row>
    <row r="28" spans="1:13" ht="13.5" customHeight="1">
      <c r="A28" s="239" t="s">
        <v>183</v>
      </c>
      <c r="B28" s="204">
        <f>B24</f>
        <v>64644.995015578155</v>
      </c>
      <c r="C28" s="183"/>
      <c r="D28" s="203">
        <f>(B28*D27*B27)/(B28+(B27))^2</f>
        <v>13.487067406063048</v>
      </c>
      <c r="F28" s="206">
        <f>B28-(D28*B35)/B34</f>
        <v>1488.6885649333199</v>
      </c>
      <c r="G28" s="205">
        <f>(B28*C27)-D28</f>
        <v>0.31791034261292062</v>
      </c>
    </row>
    <row r="29" spans="1:13" ht="13.5" customHeight="1">
      <c r="F29" s="205"/>
    </row>
    <row r="30" spans="1:13" ht="13.5" customHeight="1">
      <c r="B30" s="206"/>
      <c r="C30" s="161"/>
      <c r="F30" s="205"/>
    </row>
    <row r="31" spans="1:13" ht="13.5" customHeight="1" thickBot="1">
      <c r="C31" s="205"/>
    </row>
    <row r="32" spans="1:13" ht="13.5" customHeight="1">
      <c r="A32" s="212" t="s">
        <v>186</v>
      </c>
      <c r="B32" s="213"/>
      <c r="C32" s="213"/>
      <c r="D32" s="213"/>
      <c r="E32" s="213"/>
      <c r="F32" s="213"/>
      <c r="G32" s="213"/>
      <c r="H32" s="214"/>
      <c r="I32" s="5"/>
      <c r="J32" s="5"/>
      <c r="K32" s="5"/>
      <c r="L32" s="5"/>
      <c r="M32" s="5"/>
    </row>
    <row r="33" spans="1:17" ht="13.5" customHeight="1">
      <c r="A33" s="215"/>
      <c r="B33" s="216" t="s">
        <v>78</v>
      </c>
      <c r="C33" s="217" t="s">
        <v>149</v>
      </c>
      <c r="D33" s="218"/>
      <c r="E33" s="218"/>
      <c r="F33" s="218"/>
      <c r="G33" s="218"/>
      <c r="H33" s="219"/>
    </row>
    <row r="34" spans="1:17" ht="13.5" customHeight="1">
      <c r="A34" s="220" t="s">
        <v>80</v>
      </c>
      <c r="B34" s="221">
        <f>C9</f>
        <v>9.3110296970065818</v>
      </c>
      <c r="C34" s="218" t="s">
        <v>188</v>
      </c>
      <c r="D34" s="218"/>
      <c r="E34" s="218"/>
      <c r="F34" s="218"/>
      <c r="G34" s="218"/>
      <c r="H34" s="219"/>
    </row>
    <row r="35" spans="1:17" ht="13.5" customHeight="1" thickBot="1">
      <c r="A35" s="222" t="s">
        <v>81</v>
      </c>
      <c r="B35" s="223">
        <f>B23*B34/D23</f>
        <v>43601.045891625567</v>
      </c>
      <c r="C35" s="224" t="s">
        <v>213</v>
      </c>
      <c r="D35" s="224"/>
      <c r="E35" s="224"/>
      <c r="F35" s="224"/>
      <c r="G35" s="224"/>
      <c r="H35" s="225">
        <f>(B23/D23)*(D4/B4)</f>
        <v>43478.131682289379</v>
      </c>
    </row>
    <row r="36" spans="1:17" ht="13.5" customHeight="1" thickBot="1">
      <c r="C36" s="95"/>
      <c r="D36" s="95"/>
      <c r="E36" s="95"/>
      <c r="J36" s="159"/>
    </row>
    <row r="37" spans="1:17" ht="22.8">
      <c r="A37" s="312" t="s">
        <v>220</v>
      </c>
      <c r="B37" s="313"/>
      <c r="C37" s="313"/>
      <c r="D37" s="313"/>
      <c r="E37" s="308"/>
      <c r="F37" s="312" t="s">
        <v>219</v>
      </c>
      <c r="G37" s="313"/>
      <c r="H37" s="313"/>
      <c r="I37" s="313"/>
      <c r="J37" s="313"/>
      <c r="K37" s="313"/>
      <c r="L37" s="313"/>
      <c r="M37" s="313"/>
      <c r="N37" s="314"/>
    </row>
    <row r="38" spans="1:17" ht="13.5" customHeight="1">
      <c r="A38" s="242"/>
      <c r="B38" s="218"/>
      <c r="C38" s="218"/>
      <c r="D38" s="218"/>
      <c r="E38" s="234"/>
      <c r="F38" s="242"/>
      <c r="G38" s="218"/>
      <c r="H38" s="218"/>
      <c r="I38" s="218"/>
      <c r="J38" s="218"/>
      <c r="K38" s="218"/>
      <c r="L38" s="218"/>
      <c r="M38" s="218"/>
      <c r="N38" s="234"/>
    </row>
    <row r="39" spans="1:17" ht="13.5" customHeight="1">
      <c r="A39" s="242" t="s">
        <v>216</v>
      </c>
      <c r="B39" s="218"/>
      <c r="C39" s="298">
        <v>10</v>
      </c>
      <c r="D39" s="297"/>
      <c r="E39" s="234"/>
      <c r="F39" s="300">
        <v>6.0000000000000001E-3</v>
      </c>
      <c r="G39" s="272" t="s">
        <v>227</v>
      </c>
      <c r="H39" s="218"/>
      <c r="I39" s="218"/>
      <c r="J39" s="218"/>
      <c r="K39" s="218"/>
      <c r="L39" s="218"/>
      <c r="M39" s="218"/>
      <c r="N39" s="292">
        <f>D23*F39*2</f>
        <v>14.13828513144</v>
      </c>
      <c r="Q39" s="158"/>
    </row>
    <row r="40" spans="1:17" ht="13.5" customHeight="1">
      <c r="A40" s="235" t="s">
        <v>214</v>
      </c>
      <c r="B40" s="218"/>
      <c r="C40" s="266">
        <f>(C39/2)/B34</f>
        <v>0.53699753547209261</v>
      </c>
      <c r="D40" s="267">
        <f>C40*C9</f>
        <v>5</v>
      </c>
      <c r="E40" s="234"/>
      <c r="F40" s="242"/>
      <c r="G40" s="272" t="s">
        <v>228</v>
      </c>
      <c r="H40" s="218"/>
      <c r="I40" s="218"/>
      <c r="J40" s="218"/>
      <c r="K40" s="218"/>
      <c r="L40" s="218"/>
      <c r="M40" s="218"/>
      <c r="N40" s="293">
        <f>N39*G27</f>
        <v>66205.783775234275</v>
      </c>
    </row>
    <row r="41" spans="1:17" ht="13.5" customHeight="1">
      <c r="A41" s="235" t="s">
        <v>215</v>
      </c>
      <c r="B41" s="218"/>
      <c r="C41" s="237">
        <f>(C39/2)/B35</f>
        <v>1.1467614819213196E-4</v>
      </c>
      <c r="D41" s="267">
        <f>C41*B35</f>
        <v>5</v>
      </c>
      <c r="E41" s="234"/>
      <c r="F41" s="242"/>
      <c r="G41" s="218"/>
      <c r="H41" s="218"/>
      <c r="I41" s="218"/>
      <c r="J41" s="218"/>
      <c r="K41" s="218"/>
      <c r="L41" s="218"/>
      <c r="M41" s="218"/>
      <c r="N41" s="234"/>
    </row>
    <row r="42" spans="1:17" ht="13.5" customHeight="1">
      <c r="A42" s="242"/>
      <c r="B42" s="218"/>
      <c r="C42" s="218"/>
      <c r="D42" s="218"/>
      <c r="E42" s="234"/>
      <c r="F42" s="242"/>
      <c r="G42" s="218"/>
      <c r="H42" s="218"/>
      <c r="I42" s="218"/>
      <c r="J42" s="218"/>
      <c r="K42" s="218"/>
      <c r="L42" s="218"/>
      <c r="M42" s="218"/>
      <c r="N42" s="234"/>
    </row>
    <row r="43" spans="1:17" ht="13.5" customHeight="1">
      <c r="A43" s="268" t="s">
        <v>217</v>
      </c>
      <c r="B43" s="208" t="s">
        <v>174</v>
      </c>
      <c r="C43" s="209">
        <f>(C39/2)/B34</f>
        <v>0.53699753547209261</v>
      </c>
      <c r="D43" s="218">
        <f>C43*2</f>
        <v>1.0739950709441852</v>
      </c>
      <c r="E43" s="234"/>
      <c r="F43" s="294">
        <f>F24</f>
        <v>1560.7887596561195</v>
      </c>
      <c r="G43" s="272" t="s">
        <v>223</v>
      </c>
      <c r="H43" s="218"/>
      <c r="I43" s="218"/>
      <c r="J43" s="218"/>
      <c r="K43" s="218"/>
      <c r="L43" s="218"/>
      <c r="M43" s="218"/>
      <c r="N43" s="234"/>
    </row>
    <row r="44" spans="1:17" ht="13.5" customHeight="1">
      <c r="A44" s="269" t="s">
        <v>218</v>
      </c>
      <c r="B44" s="210" t="s">
        <v>190</v>
      </c>
      <c r="C44" s="211">
        <f>(C39/2)/B35</f>
        <v>1.1467614819213196E-4</v>
      </c>
      <c r="D44" s="218"/>
      <c r="E44" s="234"/>
      <c r="F44" s="294">
        <f>F28</f>
        <v>1488.6885649333199</v>
      </c>
      <c r="G44" s="272" t="s">
        <v>222</v>
      </c>
      <c r="H44" s="218"/>
      <c r="I44" s="218"/>
      <c r="J44" s="218"/>
      <c r="K44" s="218"/>
      <c r="L44" s="218"/>
      <c r="M44" s="218"/>
      <c r="N44" s="234"/>
    </row>
    <row r="45" spans="1:17" ht="13.5" customHeight="1">
      <c r="A45" s="242" t="s">
        <v>191</v>
      </c>
      <c r="B45" s="218" t="s">
        <v>175</v>
      </c>
      <c r="C45" s="270">
        <f>B27</f>
        <v>5517148.6479361895</v>
      </c>
      <c r="D45" s="218"/>
      <c r="E45" s="234"/>
      <c r="F45" s="242"/>
      <c r="G45" s="218"/>
      <c r="H45" s="218"/>
      <c r="I45" s="218"/>
      <c r="J45" s="218"/>
      <c r="K45" s="218"/>
      <c r="L45" s="218"/>
      <c r="M45" s="218"/>
      <c r="N45" s="234"/>
    </row>
    <row r="46" spans="1:17" ht="13.5" customHeight="1">
      <c r="A46" s="242" t="s">
        <v>192</v>
      </c>
      <c r="B46" s="218" t="s">
        <v>190</v>
      </c>
      <c r="C46" s="271">
        <f>D27</f>
        <v>1178.19042762</v>
      </c>
      <c r="D46" s="218"/>
      <c r="E46" s="238"/>
      <c r="F46" s="294">
        <f>B28</f>
        <v>64644.995015578155</v>
      </c>
      <c r="G46" s="272" t="s">
        <v>221</v>
      </c>
      <c r="H46" s="218"/>
      <c r="I46" s="218"/>
      <c r="J46" s="218"/>
      <c r="K46" s="218"/>
      <c r="L46" s="218"/>
      <c r="M46" s="218"/>
      <c r="N46" s="234"/>
    </row>
    <row r="47" spans="1:17" ht="13.5" customHeight="1">
      <c r="A47" s="242" t="s">
        <v>209</v>
      </c>
      <c r="B47" s="218" t="s">
        <v>173</v>
      </c>
      <c r="C47" s="270">
        <f>B14</f>
        <v>6046267.3517702799</v>
      </c>
      <c r="D47" s="218"/>
      <c r="E47" s="234"/>
      <c r="F47" s="295">
        <f>D28</f>
        <v>13.487067406063048</v>
      </c>
      <c r="G47" s="272" t="s">
        <v>225</v>
      </c>
      <c r="H47" s="218"/>
      <c r="I47" s="218"/>
      <c r="J47" s="218"/>
      <c r="K47" s="218"/>
      <c r="L47" s="218"/>
      <c r="M47" s="218"/>
      <c r="N47" s="234"/>
    </row>
    <row r="48" spans="1:17" ht="13.5" customHeight="1">
      <c r="A48" s="242" t="s">
        <v>210</v>
      </c>
      <c r="B48" s="218" t="s">
        <v>197</v>
      </c>
      <c r="C48" s="270">
        <f>D14</f>
        <v>56296974.868374415</v>
      </c>
      <c r="D48" s="218"/>
      <c r="E48" s="234"/>
      <c r="F48" s="242"/>
      <c r="G48" s="296" t="s">
        <v>229</v>
      </c>
      <c r="H48" s="218"/>
      <c r="I48" s="218"/>
      <c r="J48" s="218"/>
      <c r="K48" s="218"/>
      <c r="L48" s="218"/>
      <c r="M48" s="236">
        <f>F47*G27</f>
        <v>63156.306450644821</v>
      </c>
      <c r="N48" s="234"/>
    </row>
    <row r="49" spans="1:14" ht="13.5" customHeight="1">
      <c r="A49" s="242"/>
      <c r="B49" s="218"/>
      <c r="C49" s="218"/>
      <c r="D49" s="218"/>
      <c r="E49" s="234"/>
      <c r="F49" s="242"/>
      <c r="G49" s="218"/>
      <c r="H49" s="218"/>
      <c r="I49" s="218"/>
      <c r="J49" s="218"/>
      <c r="K49" s="218"/>
      <c r="L49" s="218"/>
      <c r="M49" s="218"/>
      <c r="N49" s="234"/>
    </row>
    <row r="50" spans="1:14" ht="13.5" customHeight="1">
      <c r="A50" s="242"/>
      <c r="B50" s="218"/>
      <c r="C50" s="218"/>
      <c r="D50" s="272" t="s">
        <v>199</v>
      </c>
      <c r="E50" s="234"/>
      <c r="F50" s="242"/>
      <c r="G50" s="218"/>
      <c r="H50" s="218"/>
      <c r="I50" s="218"/>
      <c r="J50" s="218"/>
      <c r="K50" s="218"/>
      <c r="L50" s="218"/>
      <c r="M50" s="218"/>
      <c r="N50" s="234"/>
    </row>
    <row r="51" spans="1:14" ht="13.5" customHeight="1">
      <c r="A51" s="273" t="s">
        <v>193</v>
      </c>
      <c r="B51" s="218" t="s">
        <v>198</v>
      </c>
      <c r="C51" s="274">
        <f>(C43+(C46/C45*C44))/C58</f>
        <v>0.47733106116601065</v>
      </c>
      <c r="D51" s="309">
        <f>C51*2*C14</f>
        <v>8.8888873716407808</v>
      </c>
      <c r="E51" s="234"/>
      <c r="F51" s="305" t="s">
        <v>230</v>
      </c>
      <c r="G51" s="218"/>
      <c r="H51" s="218"/>
      <c r="I51" s="218"/>
      <c r="J51" s="218"/>
      <c r="K51" s="218"/>
      <c r="L51" s="218"/>
      <c r="M51" s="218"/>
      <c r="N51" s="234"/>
    </row>
    <row r="52" spans="1:14" ht="13.5" customHeight="1">
      <c r="A52" s="242"/>
      <c r="B52" s="218" t="s">
        <v>176</v>
      </c>
      <c r="C52" s="274">
        <f>(C43*C47*C48)/(C43+C47)^2</f>
        <v>4.9999991118529286</v>
      </c>
      <c r="D52" s="218"/>
      <c r="E52" s="234"/>
      <c r="F52" s="305" t="s">
        <v>231</v>
      </c>
      <c r="G52" s="306">
        <f>C55*2+(C40*2)</f>
        <v>551715.93878869002</v>
      </c>
      <c r="H52" s="218"/>
      <c r="I52" s="218"/>
      <c r="J52" s="218"/>
      <c r="K52" s="218"/>
      <c r="L52" s="218"/>
      <c r="M52" s="218"/>
      <c r="N52" s="234"/>
    </row>
    <row r="53" spans="1:14" ht="13.5" customHeight="1" thickBot="1">
      <c r="A53" s="242"/>
      <c r="B53" s="218"/>
      <c r="C53" s="274"/>
      <c r="D53" s="218"/>
      <c r="E53" s="234"/>
      <c r="F53" s="226"/>
      <c r="G53" s="224"/>
      <c r="H53" s="224"/>
      <c r="I53" s="224"/>
      <c r="J53" s="224"/>
      <c r="K53" s="224"/>
      <c r="L53" s="224"/>
      <c r="M53" s="224"/>
      <c r="N53" s="230"/>
    </row>
    <row r="54" spans="1:14" ht="13.5" customHeight="1">
      <c r="A54" s="242" t="s">
        <v>211</v>
      </c>
      <c r="B54" s="275" t="s">
        <v>177</v>
      </c>
      <c r="C54" s="306">
        <f>B27</f>
        <v>5517148.6479361895</v>
      </c>
      <c r="D54" s="272" t="s">
        <v>200</v>
      </c>
      <c r="E54" s="234"/>
      <c r="G54" s="191"/>
    </row>
    <row r="55" spans="1:14" ht="13.5" customHeight="1">
      <c r="A55" s="242" t="s">
        <v>212</v>
      </c>
      <c r="B55" s="218" t="s">
        <v>178</v>
      </c>
      <c r="C55" s="306">
        <f>D55*C54</f>
        <v>275857.43239680951</v>
      </c>
      <c r="D55" s="307">
        <v>0.05</v>
      </c>
      <c r="E55" s="234"/>
      <c r="G55" s="191"/>
    </row>
    <row r="56" spans="1:14" ht="13.5" customHeight="1">
      <c r="A56" s="242" t="s">
        <v>194</v>
      </c>
      <c r="B56" s="218" t="s">
        <v>179</v>
      </c>
      <c r="C56" s="306">
        <f>C43</f>
        <v>0.53699753547209261</v>
      </c>
      <c r="D56" s="218"/>
      <c r="E56" s="234"/>
    </row>
    <row r="57" spans="1:14" ht="13.5" customHeight="1">
      <c r="A57" s="242" t="s">
        <v>196</v>
      </c>
      <c r="B57" s="218"/>
      <c r="C57" s="299">
        <v>3.5</v>
      </c>
      <c r="D57" s="218"/>
      <c r="E57" s="234"/>
    </row>
    <row r="58" spans="1:14" ht="13.5" customHeight="1" thickBot="1">
      <c r="A58" s="276" t="s">
        <v>195</v>
      </c>
      <c r="B58" s="277"/>
      <c r="C58" s="278">
        <f>((C55+C56)/C54*(C57-1))+1</f>
        <v>1.1250002433310982</v>
      </c>
      <c r="D58" s="224"/>
      <c r="E58" s="230"/>
    </row>
    <row r="59" spans="1:14" ht="13.5" customHeight="1"/>
    <row r="60" spans="1:14" ht="13.5" customHeight="1">
      <c r="A60" s="200"/>
    </row>
    <row r="61" spans="1:14" ht="13.5" customHeight="1"/>
    <row r="62" spans="1:14" ht="13.5" customHeight="1">
      <c r="A62" s="207"/>
    </row>
    <row r="63" spans="1:14" ht="13.5" customHeight="1"/>
    <row r="64" spans="1:1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</sheetData>
  <mergeCells count="2">
    <mergeCell ref="A37:D37"/>
    <mergeCell ref="F37:N37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ED0D-8E0A-4EF1-95F0-992474104744}">
  <dimension ref="A4:P1010"/>
  <sheetViews>
    <sheetView zoomScale="115" zoomScaleNormal="115" workbookViewId="0">
      <selection activeCell="B13" sqref="B13"/>
    </sheetView>
  </sheetViews>
  <sheetFormatPr defaultColWidth="12.59765625" defaultRowHeight="15" customHeight="1"/>
  <cols>
    <col min="1" max="1" width="34.69921875" style="166" customWidth="1"/>
    <col min="2" max="2" width="27.3984375" style="166" customWidth="1"/>
    <col min="3" max="3" width="14.09765625" style="166" customWidth="1"/>
    <col min="4" max="4" width="28.8984375" style="166" bestFit="1" customWidth="1"/>
    <col min="5" max="5" width="24.5" style="166" bestFit="1" customWidth="1"/>
    <col min="6" max="6" width="15.19921875" style="166" bestFit="1" customWidth="1"/>
    <col min="7" max="7" width="20.59765625" style="166" bestFit="1" customWidth="1"/>
    <col min="8" max="8" width="16.19921875" style="166" customWidth="1"/>
    <col min="9" max="9" width="18" style="166" customWidth="1"/>
    <col min="10" max="10" width="10.5" style="166" customWidth="1"/>
    <col min="11" max="11" width="22.19921875" style="166" customWidth="1"/>
    <col min="12" max="12" width="16.69921875" style="166" customWidth="1"/>
    <col min="13" max="13" width="12.5" style="166" customWidth="1"/>
    <col min="14" max="15" width="8.59765625" style="166" customWidth="1"/>
    <col min="16" max="16" width="21.69921875" style="166" customWidth="1"/>
    <col min="17" max="26" width="8.59765625" style="166" customWidth="1"/>
    <col min="27" max="16384" width="12.59765625" style="166"/>
  </cols>
  <sheetData>
    <row r="4" spans="1:5" ht="15" customHeight="1">
      <c r="A4" t="s">
        <v>133</v>
      </c>
      <c r="B4" s="166">
        <v>4000000</v>
      </c>
      <c r="D4" s="166" t="s">
        <v>137</v>
      </c>
      <c r="E4" s="166">
        <f>(B4*B8)-(B7*B5)</f>
        <v>0</v>
      </c>
    </row>
    <row r="5" spans="1:5" ht="15" customHeight="1">
      <c r="A5" t="s">
        <v>134</v>
      </c>
      <c r="B5" s="166">
        <v>1000</v>
      </c>
      <c r="D5" s="166" t="s">
        <v>138</v>
      </c>
      <c r="E5" s="166">
        <f>(B7+B4)*(B8+B5)</f>
        <v>4008004000</v>
      </c>
    </row>
    <row r="6" spans="1:5" ht="15" customHeight="1">
      <c r="A6" s="166" t="s">
        <v>132</v>
      </c>
      <c r="B6" s="166">
        <v>4000000</v>
      </c>
      <c r="D6" s="166" t="s">
        <v>140</v>
      </c>
      <c r="E6" s="166">
        <f>E4/E5</f>
        <v>0</v>
      </c>
    </row>
    <row r="7" spans="1:5" ht="15" customHeight="1">
      <c r="A7" t="s">
        <v>135</v>
      </c>
      <c r="B7" s="166">
        <v>4000</v>
      </c>
      <c r="D7" s="161" t="s">
        <v>139</v>
      </c>
      <c r="E7" s="166">
        <f>1- MOD(E6,1)</f>
        <v>1</v>
      </c>
    </row>
    <row r="8" spans="1:5" ht="15" customHeight="1">
      <c r="A8" t="s">
        <v>136</v>
      </c>
      <c r="B8" s="166">
        <v>1</v>
      </c>
    </row>
    <row r="10" spans="1:5" ht="15" customHeight="1">
      <c r="D10" s="166" t="s">
        <v>141</v>
      </c>
    </row>
    <row r="11" spans="1:5" ht="15" customHeight="1">
      <c r="D11" s="168" t="s">
        <v>142</v>
      </c>
      <c r="E11" s="166">
        <f>B6*(B4*B8+B7*B5)</f>
        <v>32000000000000</v>
      </c>
    </row>
    <row r="12" spans="1:5" ht="15" customHeight="1">
      <c r="D12" s="166" t="s">
        <v>143</v>
      </c>
      <c r="E12" s="166">
        <f>2*B4*B5</f>
        <v>8000000000</v>
      </c>
    </row>
    <row r="13" spans="1:5" ht="15" customHeight="1">
      <c r="D13" s="161" t="s">
        <v>144</v>
      </c>
      <c r="E13" s="166">
        <f>(E11/E12) *E7</f>
        <v>4000</v>
      </c>
    </row>
    <row r="16" spans="1:5" ht="15" customHeight="1">
      <c r="A16" s="161" t="s">
        <v>146</v>
      </c>
      <c r="B16" s="166">
        <v>5</v>
      </c>
    </row>
    <row r="17" spans="1:12" ht="15" customHeight="1">
      <c r="B17" s="171">
        <f>B27*(D27/B16)</f>
        <v>1.0785229427225068E+23</v>
      </c>
    </row>
    <row r="20" spans="1:12" ht="15" customHeight="1">
      <c r="B20" s="166" t="s">
        <v>129</v>
      </c>
    </row>
    <row r="24" spans="1:12" ht="13.5" customHeight="1" thickBot="1">
      <c r="A24" s="36"/>
    </row>
    <row r="25" spans="1:12" ht="13.5" customHeight="1">
      <c r="A25" s="37" t="s">
        <v>61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9"/>
    </row>
    <row r="26" spans="1:12" ht="13.5" customHeight="1">
      <c r="A26" s="40"/>
      <c r="B26" s="5" t="s">
        <v>5</v>
      </c>
      <c r="C26" s="5" t="s">
        <v>6</v>
      </c>
      <c r="D26" s="170" t="s">
        <v>145</v>
      </c>
      <c r="E26" s="5" t="s">
        <v>63</v>
      </c>
      <c r="F26" s="5" t="s">
        <v>64</v>
      </c>
      <c r="G26" s="5" t="s">
        <v>10</v>
      </c>
      <c r="H26" s="5" t="s">
        <v>11</v>
      </c>
      <c r="I26" s="5" t="s">
        <v>12</v>
      </c>
      <c r="J26" s="5" t="s">
        <v>13</v>
      </c>
      <c r="K26" s="5" t="s">
        <v>14</v>
      </c>
      <c r="L26" s="41" t="s">
        <v>15</v>
      </c>
    </row>
    <row r="27" spans="1:12" ht="13.5" customHeight="1">
      <c r="A27" s="42" t="s">
        <v>16</v>
      </c>
      <c r="B27" s="169">
        <v>8356937728557</v>
      </c>
      <c r="C27" s="44">
        <f>D27/B27</f>
        <v>7.721560173949293E-3</v>
      </c>
      <c r="D27" s="169">
        <v>64528597541</v>
      </c>
      <c r="E27" s="4"/>
      <c r="F27" s="46">
        <f>B27/D27</f>
        <v>129.50750592785147</v>
      </c>
      <c r="G27" s="169">
        <v>3410451816382</v>
      </c>
      <c r="H27" s="7">
        <v>0</v>
      </c>
      <c r="I27" s="7">
        <f>G27+H27</f>
        <v>3410451816382</v>
      </c>
      <c r="J27" s="48">
        <f>(G27/I27)*B27</f>
        <v>8356937728557</v>
      </c>
      <c r="K27" s="48">
        <f>(G27/I27)*D27</f>
        <v>64528597541</v>
      </c>
      <c r="L27" s="49">
        <f>J27+K27/C27</f>
        <v>16713875457114</v>
      </c>
    </row>
    <row r="28" spans="1:12" ht="13.5" customHeight="1">
      <c r="A28" s="50" t="s">
        <v>65</v>
      </c>
      <c r="B28" s="51">
        <f>(D28*B27*D27)/(D28+D27)^2</f>
        <v>129.50750592383753</v>
      </c>
      <c r="C28" s="52"/>
      <c r="D28" s="53">
        <v>1</v>
      </c>
      <c r="E28" s="16">
        <f>4000-B28</f>
        <v>3870.4924940761625</v>
      </c>
      <c r="F28" s="54"/>
      <c r="G28" s="11"/>
      <c r="H28" s="4"/>
      <c r="I28" s="4"/>
      <c r="J28" s="48"/>
      <c r="K28" s="48"/>
      <c r="L28" s="49"/>
    </row>
    <row r="29" spans="1:12" ht="13.5" customHeight="1">
      <c r="A29" s="50"/>
      <c r="B29" s="55">
        <f>B27-B28</f>
        <v>8356937728427.4922</v>
      </c>
      <c r="C29" s="44">
        <f>D29/B29</f>
        <v>7.7215601741886155E-3</v>
      </c>
      <c r="D29" s="56">
        <f>D27+D28</f>
        <v>64528597542</v>
      </c>
      <c r="E29" s="4"/>
      <c r="F29" s="46">
        <f>B29/D29</f>
        <v>129.50750592383753</v>
      </c>
      <c r="G29" s="11"/>
      <c r="H29" s="4"/>
      <c r="I29" s="4"/>
      <c r="J29" s="48"/>
      <c r="K29" s="48"/>
      <c r="L29" s="49"/>
    </row>
    <row r="30" spans="1:12" ht="13.5" customHeight="1">
      <c r="A30" s="50" t="s">
        <v>66</v>
      </c>
      <c r="B30" s="57">
        <v>3996.0079900000001</v>
      </c>
      <c r="C30" s="9"/>
      <c r="D30" s="58">
        <f>(B30*D29*B29)/(B30+(B29))^2</f>
        <v>30.855416121815448</v>
      </c>
      <c r="E30" s="4"/>
      <c r="F30" s="47"/>
      <c r="G30" s="11"/>
      <c r="H30" s="4"/>
      <c r="I30" s="4"/>
      <c r="J30" s="48"/>
      <c r="K30" s="48"/>
      <c r="L30" s="49"/>
    </row>
    <row r="31" spans="1:12" ht="13.5" customHeight="1">
      <c r="A31" s="50"/>
      <c r="B31" s="59">
        <f>B29+B30</f>
        <v>8356937732423.5</v>
      </c>
      <c r="C31" s="44">
        <f>D31/B31</f>
        <v>7.7215601668042325E-3</v>
      </c>
      <c r="D31" s="60">
        <f>D29-D30</f>
        <v>64528597511.144585</v>
      </c>
      <c r="E31" s="4"/>
      <c r="F31" s="46">
        <f>B31/D31</f>
        <v>129.50750604768982</v>
      </c>
      <c r="G31" s="11"/>
      <c r="H31" s="4"/>
      <c r="I31" s="4"/>
      <c r="J31" s="48"/>
      <c r="K31" s="48"/>
      <c r="L31" s="49"/>
    </row>
    <row r="32" spans="1:12" ht="13.5" customHeight="1">
      <c r="A32" s="50" t="s">
        <v>67</v>
      </c>
      <c r="B32" s="51">
        <v>4000</v>
      </c>
      <c r="C32" s="52"/>
      <c r="D32" s="53">
        <f>D28</f>
        <v>1</v>
      </c>
      <c r="E32" s="165">
        <f>D33*D56</f>
        <v>2581143900485783.5</v>
      </c>
      <c r="F32" s="54"/>
      <c r="G32" s="11"/>
      <c r="H32" s="4"/>
      <c r="I32" s="4"/>
      <c r="J32" s="48"/>
      <c r="K32" s="48"/>
      <c r="L32" s="49"/>
    </row>
    <row r="33" spans="1:12" ht="13.5" customHeight="1">
      <c r="A33" s="42" t="s">
        <v>18</v>
      </c>
      <c r="B33" s="55">
        <f>B31+B32</f>
        <v>8356937736423.5</v>
      </c>
      <c r="C33" s="44">
        <f>D33/B33</f>
        <v>7.7215601632280133E-3</v>
      </c>
      <c r="D33" s="56">
        <f>D31+D32</f>
        <v>64528597512.144585</v>
      </c>
      <c r="E33" s="4">
        <f>B33*10</f>
        <v>83569377364235</v>
      </c>
      <c r="F33" s="46">
        <f>B33/D33</f>
        <v>129.50750610767088</v>
      </c>
      <c r="G33" s="47">
        <v>4000000</v>
      </c>
      <c r="H33" s="7">
        <v>0</v>
      </c>
      <c r="I33" s="7">
        <f>G33+H33</f>
        <v>4000000</v>
      </c>
      <c r="J33" s="48">
        <f>(G33/I33)*B33</f>
        <v>8356937736423.5</v>
      </c>
      <c r="K33" s="48">
        <f>(G33/I33)*D33</f>
        <v>64528597512.144585</v>
      </c>
      <c r="L33" s="49">
        <f>J33+K33/C33</f>
        <v>16713875472847</v>
      </c>
    </row>
    <row r="34" spans="1:12" ht="13.5" customHeight="1">
      <c r="A34" s="61"/>
      <c r="B34" s="5"/>
      <c r="C34" s="5"/>
      <c r="D34" s="5"/>
      <c r="E34" s="5"/>
      <c r="F34" s="5"/>
      <c r="G34" s="5"/>
      <c r="H34" s="5"/>
      <c r="I34" s="5"/>
      <c r="J34" s="5"/>
      <c r="K34" s="5"/>
      <c r="L34" s="41"/>
    </row>
    <row r="35" spans="1:12" ht="13.5" customHeight="1">
      <c r="A35" s="62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63"/>
    </row>
    <row r="36" spans="1:12" ht="13.5" customHeight="1">
      <c r="A36" s="61" t="s">
        <v>68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64"/>
    </row>
    <row r="37" spans="1:12" ht="13.5" customHeight="1">
      <c r="A37" s="40"/>
      <c r="B37" s="5" t="s">
        <v>5</v>
      </c>
      <c r="C37" s="5" t="s">
        <v>69</v>
      </c>
      <c r="D37" s="5" t="s">
        <v>62</v>
      </c>
      <c r="E37" s="5" t="s">
        <v>63</v>
      </c>
      <c r="F37" s="5" t="s">
        <v>64</v>
      </c>
      <c r="G37" s="5" t="s">
        <v>10</v>
      </c>
      <c r="H37" s="5" t="s">
        <v>11</v>
      </c>
      <c r="I37" s="5" t="s">
        <v>12</v>
      </c>
      <c r="J37" s="5" t="s">
        <v>13</v>
      </c>
      <c r="K37" s="5" t="s">
        <v>14</v>
      </c>
      <c r="L37" s="64" t="s">
        <v>15</v>
      </c>
    </row>
    <row r="38" spans="1:12" ht="13.5" customHeight="1">
      <c r="A38" s="42" t="s">
        <v>16</v>
      </c>
      <c r="B38" s="43">
        <v>4000000</v>
      </c>
      <c r="C38" s="44">
        <f>D38/B38</f>
        <v>2.5000000000000001E-4</v>
      </c>
      <c r="D38" s="65">
        <v>1000</v>
      </c>
      <c r="E38" s="4"/>
      <c r="F38" s="46">
        <f>B38/D38</f>
        <v>4000</v>
      </c>
      <c r="G38" s="66">
        <f>B38</f>
        <v>4000000</v>
      </c>
      <c r="H38" s="7">
        <v>0</v>
      </c>
      <c r="I38" s="43">
        <f>G38+H38</f>
        <v>4000000</v>
      </c>
      <c r="J38" s="48">
        <f>(G38/I38)*B38</f>
        <v>4000000</v>
      </c>
      <c r="K38" s="48">
        <f>(G38/I38)*D38</f>
        <v>1000</v>
      </c>
      <c r="L38" s="49">
        <f>J38+K38/C38</f>
        <v>8000000</v>
      </c>
    </row>
    <row r="39" spans="1:12" ht="13.5" customHeight="1">
      <c r="A39" s="50" t="s">
        <v>70</v>
      </c>
      <c r="B39" s="67"/>
      <c r="C39" s="52"/>
      <c r="D39" s="68">
        <v>2</v>
      </c>
      <c r="E39" s="4"/>
      <c r="F39" s="46"/>
      <c r="G39" s="66"/>
      <c r="H39" s="7"/>
      <c r="I39" s="7"/>
      <c r="J39" s="48"/>
      <c r="K39" s="48"/>
      <c r="L39" s="49"/>
    </row>
    <row r="40" spans="1:12" ht="13.5" customHeight="1">
      <c r="A40" s="50" t="s">
        <v>65</v>
      </c>
      <c r="B40" s="51">
        <f>(D40*B38*D38)/(D40+D38)^2</f>
        <v>3992.0119840199759</v>
      </c>
      <c r="C40" s="52"/>
      <c r="D40" s="68">
        <v>1</v>
      </c>
      <c r="E40" s="16">
        <f>4000-B40</f>
        <v>7.9880159800241017</v>
      </c>
      <c r="F40" s="54"/>
      <c r="G40" s="11"/>
      <c r="H40" s="4"/>
      <c r="I40" s="4"/>
      <c r="J40" s="48"/>
      <c r="K40" s="48"/>
      <c r="L40" s="49"/>
    </row>
    <row r="41" spans="1:12" ht="13.5" customHeight="1">
      <c r="A41" s="42"/>
      <c r="B41" s="55">
        <f>B38+B40</f>
        <v>4003992.01198402</v>
      </c>
      <c r="C41" s="44">
        <f>D41/B41</f>
        <v>2.5000049875324151E-4</v>
      </c>
      <c r="D41" s="65">
        <f>D38+D40</f>
        <v>1001</v>
      </c>
      <c r="E41" s="4"/>
      <c r="F41" s="9"/>
      <c r="G41" s="47">
        <v>4000000</v>
      </c>
      <c r="H41" s="7">
        <v>0</v>
      </c>
      <c r="I41" s="7">
        <f>G41+H41</f>
        <v>4000000</v>
      </c>
      <c r="J41" s="48">
        <f>(G41/I41)*B41</f>
        <v>4003992.01198402</v>
      </c>
      <c r="K41" s="48">
        <f>(G41/I41)*D41</f>
        <v>1001</v>
      </c>
      <c r="L41" s="49"/>
    </row>
    <row r="42" spans="1:12" ht="13.5" customHeight="1">
      <c r="A42" s="50" t="s">
        <v>66</v>
      </c>
      <c r="B42" s="57">
        <v>3.992</v>
      </c>
      <c r="C42" s="9"/>
      <c r="D42" s="69">
        <f>(B42*D41*B41)/(B42+(B41))^2</f>
        <v>9.980000009999939E-4</v>
      </c>
      <c r="E42" s="4"/>
      <c r="F42" s="9"/>
      <c r="G42" s="11"/>
      <c r="H42" s="11"/>
      <c r="I42" s="4"/>
      <c r="J42" s="48"/>
      <c r="K42" s="48"/>
      <c r="L42" s="49"/>
    </row>
    <row r="43" spans="1:12" ht="13.5" customHeight="1">
      <c r="A43" s="42" t="s">
        <v>18</v>
      </c>
      <c r="B43" s="59">
        <f>B41+B42</f>
        <v>4003996.0039840201</v>
      </c>
      <c r="C43" s="44">
        <f>D43/B43</f>
        <v>2.50000000250748E-4</v>
      </c>
      <c r="D43" s="70">
        <f>D41-D42</f>
        <v>1000.999001999999</v>
      </c>
      <c r="E43" s="4"/>
      <c r="F43" s="46">
        <f>B43/D43</f>
        <v>3999.999995988032</v>
      </c>
      <c r="G43" s="47">
        <v>4000000</v>
      </c>
      <c r="H43" s="7">
        <v>0</v>
      </c>
      <c r="I43" s="7">
        <f>G43+H43</f>
        <v>4000000</v>
      </c>
      <c r="J43" s="48">
        <f>(G43/I43)*B43</f>
        <v>4003996.0039840201</v>
      </c>
      <c r="K43" s="48">
        <f>(G43/I43)*D43</f>
        <v>1000.999001999999</v>
      </c>
      <c r="L43" s="49">
        <f>J43+K43/C43</f>
        <v>8007992.0079680402</v>
      </c>
    </row>
    <row r="44" spans="1:12" ht="13.5" customHeight="1" thickBo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3"/>
    </row>
    <row r="45" spans="1:12" ht="13.5" customHeight="1">
      <c r="L45" s="74"/>
    </row>
    <row r="46" spans="1:12" ht="13.5" customHeight="1">
      <c r="A46" s="75" t="s">
        <v>71</v>
      </c>
      <c r="B46" s="76">
        <v>8</v>
      </c>
      <c r="C46" s="77"/>
      <c r="D46" s="77" t="s">
        <v>72</v>
      </c>
      <c r="E46" s="77">
        <v>10</v>
      </c>
      <c r="F46" s="77"/>
      <c r="G46" s="77"/>
      <c r="H46" s="77"/>
      <c r="I46" s="77"/>
      <c r="J46" s="77"/>
      <c r="K46" s="77"/>
      <c r="L46" s="78"/>
    </row>
    <row r="47" spans="1:12" ht="13.5" customHeight="1">
      <c r="A47" s="22"/>
      <c r="B47" s="162" t="s">
        <v>5</v>
      </c>
      <c r="C47" s="5" t="s">
        <v>73</v>
      </c>
      <c r="D47" s="5" t="s">
        <v>74</v>
      </c>
      <c r="E47" s="5"/>
      <c r="F47" s="5" t="s">
        <v>64</v>
      </c>
      <c r="G47" s="5" t="s">
        <v>10</v>
      </c>
      <c r="H47" s="5" t="s">
        <v>11</v>
      </c>
      <c r="I47" s="5" t="s">
        <v>12</v>
      </c>
      <c r="J47" s="5" t="s">
        <v>13</v>
      </c>
      <c r="K47" s="5" t="s">
        <v>14</v>
      </c>
      <c r="L47" s="79" t="s">
        <v>15</v>
      </c>
    </row>
    <row r="48" spans="1:12" ht="13.5" customHeight="1">
      <c r="A48" s="80" t="s">
        <v>75</v>
      </c>
      <c r="B48" s="169">
        <v>121907847228570</v>
      </c>
      <c r="C48" s="81">
        <f>D48/B48</f>
        <v>4.6565290461472273</v>
      </c>
      <c r="D48" s="169">
        <v>567667431573115</v>
      </c>
      <c r="E48" s="83"/>
      <c r="F48" s="84">
        <f>B48/D48</f>
        <v>0.21475223070441093</v>
      </c>
      <c r="G48" s="85">
        <f>B48</f>
        <v>121907847228570</v>
      </c>
      <c r="H48" s="86">
        <v>0</v>
      </c>
      <c r="I48" s="87">
        <f>G48+H48</f>
        <v>121907847228570</v>
      </c>
      <c r="J48" s="88">
        <f>(G48/I48)*B48</f>
        <v>121907847228570</v>
      </c>
      <c r="K48" s="88">
        <f>(G48/I48)*D48</f>
        <v>567667431573115</v>
      </c>
      <c r="L48" s="89">
        <f>J48+K48/C48</f>
        <v>243815694457140</v>
      </c>
    </row>
    <row r="49" spans="1:16" ht="13.5" customHeight="1">
      <c r="A49" s="90" t="s">
        <v>76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8"/>
      <c r="P49" s="158"/>
    </row>
    <row r="50" spans="1:16" ht="13.5" customHeight="1">
      <c r="A50" s="22"/>
      <c r="B50" s="5" t="s">
        <v>5</v>
      </c>
      <c r="C50" s="5" t="s">
        <v>69</v>
      </c>
      <c r="D50" s="5" t="s">
        <v>62</v>
      </c>
      <c r="E50" s="5" t="s">
        <v>63</v>
      </c>
      <c r="F50" s="5" t="s">
        <v>64</v>
      </c>
      <c r="G50" s="5" t="s">
        <v>10</v>
      </c>
      <c r="H50" s="5" t="s">
        <v>11</v>
      </c>
      <c r="I50" s="5" t="s">
        <v>12</v>
      </c>
      <c r="J50" s="5" t="s">
        <v>13</v>
      </c>
      <c r="K50" s="5" t="s">
        <v>14</v>
      </c>
      <c r="L50" s="79" t="s">
        <v>15</v>
      </c>
      <c r="P50" s="158"/>
    </row>
    <row r="51" spans="1:16" ht="13.5" customHeight="1">
      <c r="A51" s="80" t="s">
        <v>16</v>
      </c>
      <c r="B51" s="91">
        <f>B33</f>
        <v>8356937736423.5</v>
      </c>
      <c r="C51" s="81">
        <f>D51/B51</f>
        <v>7.7215601632280133E-3</v>
      </c>
      <c r="D51" s="92">
        <f>D33</f>
        <v>64528597512.144585</v>
      </c>
      <c r="E51" s="83"/>
      <c r="F51" s="84">
        <f>B51/D51</f>
        <v>129.50750610767088</v>
      </c>
      <c r="G51" s="93">
        <f>G38</f>
        <v>4000000</v>
      </c>
      <c r="H51" s="86">
        <v>0</v>
      </c>
      <c r="I51" s="91">
        <f>G51+H51</f>
        <v>4000000</v>
      </c>
      <c r="J51" s="88">
        <f>(G51/I51)*B51</f>
        <v>8356937736423.5</v>
      </c>
      <c r="K51" s="88">
        <f>(G51/I51)*D51</f>
        <v>64528597512.144585</v>
      </c>
      <c r="L51" s="89">
        <f>J51+K51/C51</f>
        <v>16713875472847</v>
      </c>
    </row>
    <row r="52" spans="1:16" ht="13.5" customHeight="1">
      <c r="A52" s="10"/>
      <c r="B52" s="10"/>
      <c r="C52" s="94"/>
      <c r="D52" s="94"/>
      <c r="E52" s="10"/>
      <c r="F52" s="10"/>
      <c r="G52" s="10"/>
      <c r="H52" s="10"/>
      <c r="I52" s="10"/>
      <c r="J52" s="10"/>
      <c r="K52" s="10"/>
      <c r="L52" s="10"/>
    </row>
    <row r="53" spans="1:16" ht="13.5" customHeight="1">
      <c r="A53" s="5" t="s">
        <v>77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6" ht="13.5" customHeight="1">
      <c r="A54" s="36"/>
      <c r="B54" s="36" t="s">
        <v>78</v>
      </c>
      <c r="D54" s="36" t="s">
        <v>79</v>
      </c>
      <c r="H54" s="160" t="s">
        <v>128</v>
      </c>
      <c r="L54" s="74"/>
    </row>
    <row r="55" spans="1:16" ht="13.5" customHeight="1">
      <c r="A55" s="47" t="s">
        <v>80</v>
      </c>
      <c r="B55" s="95">
        <f>B48/D48</f>
        <v>0.21475223070441093</v>
      </c>
      <c r="D55" s="96">
        <f>B46</f>
        <v>8</v>
      </c>
      <c r="L55" s="74"/>
    </row>
    <row r="56" spans="1:16" ht="13.5" customHeight="1">
      <c r="A56" s="47" t="s">
        <v>81</v>
      </c>
      <c r="B56" s="95">
        <f>B38*B55/D38</f>
        <v>859.00892281764368</v>
      </c>
      <c r="C56" s="95"/>
      <c r="D56" s="95">
        <v>40000</v>
      </c>
      <c r="H56" s="166" t="s">
        <v>130</v>
      </c>
      <c r="L56" s="158">
        <f>(B51/D51)*(B48/D48)</f>
        <v>27.812025829587444</v>
      </c>
    </row>
    <row r="57" spans="1:16" ht="13.5" customHeight="1">
      <c r="C57" s="95"/>
      <c r="D57" s="95"/>
      <c r="H57" s="166" t="s">
        <v>129</v>
      </c>
      <c r="L57" s="159">
        <f>B38*B55/D38</f>
        <v>859.00892281764368</v>
      </c>
    </row>
    <row r="58" spans="1:16" ht="13.5" customHeight="1">
      <c r="A58" s="10" t="s">
        <v>82</v>
      </c>
      <c r="B58" s="44">
        <f>B55/B56</f>
        <v>2.5000000000000001E-4</v>
      </c>
      <c r="C58" s="95"/>
      <c r="D58" s="97">
        <f>D55/D56</f>
        <v>2.0000000000000001E-4</v>
      </c>
      <c r="L58" s="74"/>
    </row>
    <row r="59" spans="1:16" ht="13.5" customHeight="1">
      <c r="L59" s="74"/>
    </row>
    <row r="60" spans="1:16" ht="13.5" customHeight="1">
      <c r="A60" s="5" t="s">
        <v>22</v>
      </c>
      <c r="B60" s="5"/>
      <c r="C60" s="5"/>
      <c r="D60" s="5"/>
      <c r="E60" s="5"/>
      <c r="F60" s="5"/>
      <c r="G60" s="5"/>
      <c r="H60" s="6" t="s">
        <v>23</v>
      </c>
      <c r="I60" s="5"/>
      <c r="J60" s="5"/>
      <c r="K60" s="5"/>
      <c r="L60" s="5"/>
    </row>
    <row r="61" spans="1:16" ht="13.5" customHeight="1">
      <c r="A61" s="6"/>
      <c r="B61" s="5" t="s">
        <v>5</v>
      </c>
      <c r="C61" s="5" t="s">
        <v>25</v>
      </c>
      <c r="D61" s="5" t="s">
        <v>7</v>
      </c>
      <c r="E61" s="5" t="s">
        <v>8</v>
      </c>
      <c r="F61" s="5" t="s">
        <v>9</v>
      </c>
      <c r="G61" s="5" t="s">
        <v>10</v>
      </c>
      <c r="H61" s="5" t="s">
        <v>11</v>
      </c>
      <c r="I61" s="5" t="s">
        <v>12</v>
      </c>
      <c r="J61" s="5" t="s">
        <v>13</v>
      </c>
      <c r="K61" s="5" t="s">
        <v>14</v>
      </c>
      <c r="L61" s="5" t="s">
        <v>15</v>
      </c>
    </row>
    <row r="62" spans="1:16" ht="13.5" customHeight="1">
      <c r="A62" s="7" t="s">
        <v>16</v>
      </c>
      <c r="B62" s="8">
        <v>83.5</v>
      </c>
      <c r="C62" s="8">
        <f>D62/B62</f>
        <v>1</v>
      </c>
      <c r="D62" s="8">
        <v>83.5</v>
      </c>
      <c r="E62" s="4"/>
      <c r="F62" s="9"/>
      <c r="G62" s="8">
        <v>83.5</v>
      </c>
      <c r="H62" s="7">
        <v>0</v>
      </c>
      <c r="I62" s="7">
        <f>G62+H62</f>
        <v>83.5</v>
      </c>
      <c r="J62" s="9">
        <f>(G62/I62)*B62</f>
        <v>83.5</v>
      </c>
      <c r="K62" s="9">
        <f>(G62/I62)*D62</f>
        <v>83.5</v>
      </c>
      <c r="L62" s="9">
        <f>J62+K62/C62</f>
        <v>167</v>
      </c>
    </row>
    <row r="63" spans="1:16" ht="13.5" customHeight="1">
      <c r="A63" s="10" t="s">
        <v>27</v>
      </c>
      <c r="B63" s="12"/>
      <c r="C63" s="12"/>
      <c r="D63" s="12"/>
      <c r="E63" s="17"/>
      <c r="F63" s="9"/>
      <c r="G63" s="11"/>
      <c r="H63" s="4"/>
      <c r="I63" s="4"/>
      <c r="J63" s="9"/>
      <c r="K63" s="9"/>
      <c r="L63" s="9"/>
    </row>
    <row r="64" spans="1:16" ht="13.5" customHeight="1">
      <c r="A64" s="7" t="s">
        <v>18</v>
      </c>
      <c r="B64" s="8">
        <v>83.5</v>
      </c>
      <c r="C64" s="8"/>
      <c r="D64" s="8">
        <f>D62-D63</f>
        <v>83.5</v>
      </c>
      <c r="E64" s="4"/>
      <c r="F64" s="9"/>
      <c r="G64" s="8">
        <v>83.5</v>
      </c>
      <c r="H64" s="7">
        <v>0</v>
      </c>
      <c r="I64" s="7">
        <f>G64+H64</f>
        <v>83.5</v>
      </c>
      <c r="J64" s="9">
        <f>(G64/I64)*B64</f>
        <v>83.5</v>
      </c>
      <c r="K64" s="9">
        <f>(G64/I64)*D64</f>
        <v>83.5</v>
      </c>
      <c r="L64" s="9"/>
    </row>
    <row r="65" spans="1:12" ht="13.5" customHeight="1">
      <c r="A65" s="10" t="s">
        <v>30</v>
      </c>
      <c r="B65" s="1">
        <v>33</v>
      </c>
      <c r="C65" s="9"/>
      <c r="D65" s="3">
        <f>(B65*B64*E65*D64*E65)/(B65+(B64*E65))^2</f>
        <v>23.008424999999999</v>
      </c>
      <c r="E65" s="4">
        <v>2</v>
      </c>
      <c r="F65" s="4"/>
      <c r="G65" s="4"/>
      <c r="H65" s="4"/>
      <c r="I65" s="4"/>
      <c r="J65" s="9"/>
      <c r="K65" s="9"/>
      <c r="L65" s="9"/>
    </row>
    <row r="66" spans="1:12" ht="13.5" customHeight="1">
      <c r="A66" s="7" t="s">
        <v>16</v>
      </c>
      <c r="B66" s="8">
        <f>B65+B64</f>
        <v>116.5</v>
      </c>
      <c r="C66" s="8">
        <f>D66/B66</f>
        <v>0.71673819742489275</v>
      </c>
      <c r="D66" s="8">
        <f>D64</f>
        <v>83.5</v>
      </c>
      <c r="E66" s="4"/>
      <c r="F66" s="9">
        <f>D65</f>
        <v>23.008424999999999</v>
      </c>
      <c r="G66" s="8">
        <v>83.5</v>
      </c>
      <c r="H66" s="9">
        <f>(F66*G66)/(2*D66-F66)</f>
        <v>13.342471512656207</v>
      </c>
      <c r="I66" s="9">
        <f>G66+H66</f>
        <v>96.842471512656203</v>
      </c>
      <c r="J66" s="9">
        <f>(G66/I66)*B66</f>
        <v>100.4492125</v>
      </c>
      <c r="K66" s="9">
        <f>(G66/I66)*D66</f>
        <v>71.995787500000006</v>
      </c>
      <c r="L66" s="9"/>
    </row>
    <row r="67" spans="1:12" ht="13.5" customHeight="1">
      <c r="A67" s="10" t="s">
        <v>20</v>
      </c>
      <c r="B67" s="2">
        <f>(D67*B66*D66)/(D67+D66)^2</f>
        <v>16.050787499999998</v>
      </c>
      <c r="C67" s="9"/>
      <c r="D67" s="1">
        <f>(B66-D66)/2</f>
        <v>16.5</v>
      </c>
      <c r="E67" s="4">
        <v>1</v>
      </c>
      <c r="F67" s="9"/>
      <c r="G67" s="11"/>
      <c r="H67" s="9"/>
      <c r="I67" s="9"/>
      <c r="J67" s="9"/>
      <c r="K67" s="9"/>
      <c r="L67" s="9"/>
    </row>
    <row r="68" spans="1:12" ht="13.5" customHeight="1">
      <c r="A68" s="7" t="s">
        <v>18</v>
      </c>
      <c r="B68" s="13">
        <f>B66-B67</f>
        <v>100.4492125</v>
      </c>
      <c r="C68" s="9">
        <f>D62/B62</f>
        <v>1</v>
      </c>
      <c r="D68" s="13">
        <f>D66+D67</f>
        <v>100</v>
      </c>
      <c r="E68" s="4"/>
      <c r="F68" s="9">
        <f>F66</f>
        <v>23.008424999999999</v>
      </c>
      <c r="G68" s="8">
        <v>83.5</v>
      </c>
      <c r="H68" s="9">
        <f>(F68*G68)/(2*D68-F68)</f>
        <v>10.854773666486667</v>
      </c>
      <c r="I68" s="9">
        <f>G68+H68</f>
        <v>94.354773666486665</v>
      </c>
      <c r="J68" s="9">
        <f>(G68/I68)*B68</f>
        <v>88.893321639423434</v>
      </c>
      <c r="K68" s="9">
        <f>(G68/I68)*D68</f>
        <v>88.495787500000006</v>
      </c>
      <c r="L68" s="9">
        <f>J68+K68/C68</f>
        <v>177.38910913942345</v>
      </c>
    </row>
    <row r="69" spans="1:12" ht="13.5" customHeight="1"/>
    <row r="70" spans="1:12" ht="13.5" customHeight="1">
      <c r="A70" s="172" t="s">
        <v>147</v>
      </c>
      <c r="B70" s="166">
        <f>B62*0.33</f>
        <v>27.555</v>
      </c>
    </row>
    <row r="71" spans="1:12" ht="13.5" customHeight="1"/>
    <row r="72" spans="1:12" ht="13.5" customHeight="1"/>
    <row r="73" spans="1:12" ht="13.5" customHeight="1">
      <c r="A73" s="6"/>
      <c r="B73" s="5" t="s">
        <v>5</v>
      </c>
      <c r="C73" s="5" t="s">
        <v>25</v>
      </c>
      <c r="D73" s="5" t="s">
        <v>7</v>
      </c>
      <c r="E73" s="5" t="s">
        <v>8</v>
      </c>
      <c r="F73" s="5" t="s">
        <v>9</v>
      </c>
      <c r="G73" s="5" t="s">
        <v>10</v>
      </c>
      <c r="H73" s="5" t="s">
        <v>11</v>
      </c>
      <c r="I73" s="5" t="s">
        <v>12</v>
      </c>
      <c r="J73" s="5" t="s">
        <v>13</v>
      </c>
      <c r="K73" s="5" t="s">
        <v>14</v>
      </c>
      <c r="L73" s="5" t="s">
        <v>15</v>
      </c>
    </row>
    <row r="74" spans="1:12" ht="13.5" customHeight="1">
      <c r="A74" s="7" t="s">
        <v>16</v>
      </c>
      <c r="B74" s="8">
        <v>88</v>
      </c>
      <c r="C74" s="8">
        <f>D74/B74</f>
        <v>1</v>
      </c>
      <c r="D74" s="8">
        <v>88</v>
      </c>
      <c r="E74" s="4"/>
      <c r="F74" s="9"/>
      <c r="G74" s="8">
        <v>88</v>
      </c>
      <c r="H74" s="7">
        <v>0</v>
      </c>
      <c r="I74" s="7">
        <f>G74+H74</f>
        <v>88</v>
      </c>
      <c r="J74" s="9">
        <f>(G74/I74)*B74</f>
        <v>88</v>
      </c>
      <c r="K74" s="9">
        <f>(G74/I74)*D74</f>
        <v>88</v>
      </c>
      <c r="L74" s="9">
        <f>J74+K74/C74</f>
        <v>176</v>
      </c>
    </row>
    <row r="75" spans="1:12" ht="13.5" customHeight="1">
      <c r="A75" s="10" t="s">
        <v>27</v>
      </c>
      <c r="B75" s="12"/>
      <c r="C75" s="12"/>
      <c r="D75" s="12"/>
      <c r="E75" s="17"/>
      <c r="F75" s="9"/>
      <c r="G75" s="11"/>
      <c r="H75" s="4"/>
      <c r="I75" s="4"/>
      <c r="J75" s="9"/>
      <c r="K75" s="9"/>
      <c r="L75" s="9"/>
    </row>
    <row r="76" spans="1:12" ht="13.5" customHeight="1">
      <c r="A76" s="7" t="s">
        <v>18</v>
      </c>
      <c r="B76" s="8">
        <v>83.5</v>
      </c>
      <c r="C76" s="8"/>
      <c r="D76" s="8">
        <f>D74-D75</f>
        <v>88</v>
      </c>
      <c r="E76" s="4"/>
      <c r="F76" s="9"/>
      <c r="G76" s="8">
        <v>88</v>
      </c>
      <c r="H76" s="7">
        <v>0</v>
      </c>
      <c r="I76" s="7">
        <f>G76+H76</f>
        <v>88</v>
      </c>
      <c r="J76" s="9">
        <f>(G76/I76)*B76</f>
        <v>83.5</v>
      </c>
      <c r="K76" s="9">
        <f>(G76/I76)*D76</f>
        <v>88</v>
      </c>
      <c r="L76" s="9"/>
    </row>
    <row r="77" spans="1:12" ht="13.5" customHeight="1">
      <c r="A77" s="10" t="s">
        <v>30</v>
      </c>
      <c r="B77" s="1">
        <f>B82</f>
        <v>29.040000000000003</v>
      </c>
      <c r="C77" s="9"/>
      <c r="D77" s="3">
        <f>(B77*B76*E77*D76*E77)/(B77+(B76*E77))^2</f>
        <v>22.209376339129541</v>
      </c>
      <c r="E77" s="4">
        <v>2</v>
      </c>
      <c r="F77" s="4"/>
      <c r="G77" s="4"/>
      <c r="H77" s="4"/>
      <c r="I77" s="4"/>
      <c r="J77" s="9"/>
      <c r="K77" s="9"/>
      <c r="L77" s="9"/>
    </row>
    <row r="78" spans="1:12" ht="13.5" customHeight="1">
      <c r="A78" s="7" t="s">
        <v>16</v>
      </c>
      <c r="B78" s="8">
        <f>B77+B76</f>
        <v>112.54</v>
      </c>
      <c r="C78" s="8">
        <f>D78/B78</f>
        <v>0.78194419761862444</v>
      </c>
      <c r="D78" s="8">
        <f>D76</f>
        <v>88</v>
      </c>
      <c r="E78" s="4"/>
      <c r="F78" s="9">
        <f>D77</f>
        <v>22.209376339129541</v>
      </c>
      <c r="G78" s="8">
        <v>88</v>
      </c>
      <c r="H78" s="9">
        <f>(F78*G78)/(2*D78-F78)</f>
        <v>12.70835029678517</v>
      </c>
      <c r="I78" s="9">
        <f>G78+H78</f>
        <v>100.70835029678517</v>
      </c>
      <c r="J78" s="9">
        <f>(G78/I78)*B78</f>
        <v>98.338618106786143</v>
      </c>
      <c r="K78" s="9">
        <f>(G78/I78)*D78</f>
        <v>76.895311830435233</v>
      </c>
      <c r="L78" s="9"/>
    </row>
    <row r="79" spans="1:12" ht="13.5" customHeight="1">
      <c r="A79" s="10" t="s">
        <v>20</v>
      </c>
      <c r="B79" s="2">
        <f>(D79*B78*D78)/(D79+D78)^2</f>
        <v>12.086265099589642</v>
      </c>
      <c r="C79" s="9"/>
      <c r="D79" s="1">
        <f>(B78-D78)/2</f>
        <v>12.270000000000003</v>
      </c>
      <c r="E79" s="4">
        <v>1</v>
      </c>
      <c r="F79" s="9"/>
      <c r="G79" s="11"/>
      <c r="H79" s="9"/>
      <c r="I79" s="9"/>
      <c r="J79" s="9"/>
      <c r="K79" s="9"/>
      <c r="L79" s="9"/>
    </row>
    <row r="80" spans="1:12" ht="13.5" customHeight="1">
      <c r="A80" s="7" t="s">
        <v>18</v>
      </c>
      <c r="B80" s="13">
        <f>B78-B79</f>
        <v>100.45373490041037</v>
      </c>
      <c r="C80" s="9">
        <f>D74/B74</f>
        <v>1</v>
      </c>
      <c r="D80" s="13">
        <f>D78+D79</f>
        <v>100.27000000000001</v>
      </c>
      <c r="E80" s="4"/>
      <c r="F80" s="9">
        <f>F78</f>
        <v>22.209376339129541</v>
      </c>
      <c r="G80" s="8">
        <v>88</v>
      </c>
      <c r="H80" s="9">
        <f>(F80*G80)/(2*D80-F80)</f>
        <v>10.959559708376895</v>
      </c>
      <c r="I80" s="9">
        <f>G80+H80</f>
        <v>98.959559708376901</v>
      </c>
      <c r="J80" s="9">
        <f>(G80/I80)*B80</f>
        <v>89.328698483364562</v>
      </c>
      <c r="K80" s="9">
        <f>(G80/I80)*D80</f>
        <v>89.165311830435229</v>
      </c>
      <c r="L80" s="9">
        <f>J80+K80/C80</f>
        <v>178.49401031379978</v>
      </c>
    </row>
    <row r="81" spans="1:12" ht="13.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</row>
    <row r="82" spans="1:12" ht="13.5" customHeight="1">
      <c r="A82" s="172" t="s">
        <v>147</v>
      </c>
      <c r="B82" s="172">
        <f>B74*0.33</f>
        <v>29.040000000000003</v>
      </c>
      <c r="C82" s="172"/>
      <c r="D82" s="172"/>
      <c r="E82" s="172"/>
      <c r="F82" s="172"/>
      <c r="G82" s="172"/>
      <c r="H82" s="172"/>
      <c r="I82" s="172"/>
      <c r="J82" s="172"/>
      <c r="K82" s="172"/>
      <c r="L82" s="172"/>
    </row>
    <row r="83" spans="1:12" ht="13.5" customHeight="1"/>
    <row r="84" spans="1:12" ht="13.5" customHeight="1"/>
    <row r="85" spans="1:12" ht="13.5" customHeight="1"/>
    <row r="86" spans="1:12" ht="13.5" customHeight="1"/>
    <row r="87" spans="1:12" ht="13.5" customHeight="1"/>
    <row r="88" spans="1:12" ht="13.5" customHeight="1"/>
    <row r="89" spans="1:12" ht="13.5" customHeight="1"/>
    <row r="90" spans="1:12" ht="13.5" customHeight="1"/>
    <row r="91" spans="1:12" ht="13.5" customHeight="1"/>
    <row r="92" spans="1:12" ht="13.5" customHeight="1"/>
    <row r="93" spans="1:12" ht="13.5" customHeight="1"/>
    <row r="94" spans="1:12" ht="13.5" customHeight="1"/>
    <row r="95" spans="1:12" ht="13.5" customHeight="1"/>
    <row r="96" spans="1:12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 Example</vt:lpstr>
      <vt:lpstr>Sym, Asym, IL &amp; ILP</vt:lpstr>
      <vt:lpstr>THORFi</vt:lpstr>
      <vt:lpstr>LP Units</vt:lpstr>
    </vt:vector>
  </TitlesOfParts>
  <Company>GrassRoots Crypto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keywords>THORFi</cp:keywords>
  <cp:lastModifiedBy>Chris</cp:lastModifiedBy>
  <dcterms:created xsi:type="dcterms:W3CDTF">2022-03-14T07:26:58Z</dcterms:created>
  <dcterms:modified xsi:type="dcterms:W3CDTF">2022-04-07T12:28:32Z</dcterms:modified>
</cp:coreProperties>
</file>