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grayson.harper\Downloads\"/>
    </mc:Choice>
  </mc:AlternateContent>
  <xr:revisionPtr revIDLastSave="0" documentId="13_ncr:1_{F9ACFC68-4613-4D5B-90BA-60AC2FF4ED1B}" xr6:coauthVersionLast="47" xr6:coauthVersionMax="47" xr10:uidLastSave="{00000000-0000-0000-0000-000000000000}"/>
  <bookViews>
    <workbookView xWindow="-120" yWindow="-120" windowWidth="29040" windowHeight="15720" xr2:uid="{5DE30DCA-BAF1-4C7F-8BEE-29146D58C706}"/>
  </bookViews>
  <sheets>
    <sheet name="Overview" sheetId="23" r:id="rId1"/>
    <sheet name="Model" sheetId="1" r:id="rId2"/>
    <sheet name="Charts" sheetId="22" r:id="rId3"/>
    <sheet name="2-Step Valuation" sheetId="6" r:id="rId4"/>
    <sheet name="3-Step Valuation" sheetId="7" r:id="rId5"/>
    <sheet name="Target Multiple Valuation" sheetId="8" r:id="rId6"/>
    <sheet name="Data" sheetId="17" state="hidden" r:id="rId7"/>
    <sheet name="Charts data" sheetId="21" state="hidden" r:id="rId8"/>
  </sheets>
  <definedNames>
    <definedName name="_xlnm._FilterDatabase" localSheetId="6" hidden="1">Data!$B$1:$G$817</definedName>
    <definedName name="Slicer_Actual_or_Forecasted">#N/A</definedName>
    <definedName name="Slicer_Category">#N/A</definedName>
    <definedName name="Slicer_Metric">#N/A</definedName>
  </definedNames>
  <calcPr calcId="191029"/>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9" i="6" l="1"/>
  <c r="V17" i="6"/>
  <c r="X16" i="7"/>
  <c r="Y16" i="7"/>
  <c r="Z16" i="7"/>
  <c r="AA16" i="7"/>
  <c r="AB16" i="7"/>
  <c r="W16" i="7"/>
  <c r="W13" i="7"/>
  <c r="O16" i="7"/>
  <c r="V16" i="7"/>
  <c r="R16" i="7"/>
  <c r="G77" i="6"/>
  <c r="H77" i="6"/>
  <c r="K77" i="6"/>
  <c r="K55" i="6"/>
  <c r="K58" i="6"/>
  <c r="E2" i="7" l="1"/>
  <c r="G20" i="23"/>
  <c r="G43" i="7"/>
  <c r="C43" i="7"/>
  <c r="E43" i="7"/>
  <c r="J43" i="7" s="1"/>
  <c r="J37" i="6"/>
  <c r="G86" i="6"/>
  <c r="G85" i="6"/>
  <c r="G83" i="6"/>
  <c r="G87" i="6" l="1"/>
  <c r="E3" i="6" l="1"/>
  <c r="E3" i="7"/>
  <c r="E2" i="6"/>
  <c r="X57" i="1"/>
  <c r="X53" i="1"/>
  <c r="X50" i="1"/>
  <c r="X42" i="1"/>
  <c r="X30" i="1"/>
  <c r="F86" i="6" l="1"/>
  <c r="F85" i="6"/>
  <c r="F84" i="6"/>
  <c r="F83" i="6"/>
  <c r="G90" i="6"/>
  <c r="X58" i="1"/>
  <c r="F87" i="6" l="1"/>
  <c r="G89" i="6" s="1"/>
  <c r="G91" i="6" s="1"/>
  <c r="Q11" i="8"/>
  <c r="R11" i="8" s="1"/>
  <c r="S11" i="8" s="1"/>
  <c r="T11" i="8" s="1"/>
  <c r="U11" i="8" s="1"/>
  <c r="V11" i="8" s="1"/>
  <c r="P11" i="8"/>
  <c r="W92" i="1"/>
  <c r="W89" i="1"/>
  <c r="X75" i="1"/>
  <c r="W75" i="1"/>
  <c r="X69" i="1"/>
  <c r="X70" i="1" s="1"/>
  <c r="X66" i="1"/>
  <c r="X67" i="1" s="1"/>
  <c r="X63" i="1"/>
  <c r="W69" i="1"/>
  <c r="W66" i="1"/>
  <c r="W63" i="1"/>
  <c r="W57" i="1"/>
  <c r="W53" i="1"/>
  <c r="X54" i="1" s="1"/>
  <c r="W50" i="1"/>
  <c r="X51" i="1" s="1"/>
  <c r="W42" i="1"/>
  <c r="X43" i="1" s="1"/>
  <c r="X33" i="1"/>
  <c r="W33" i="1"/>
  <c r="W30" i="1"/>
  <c r="X31" i="1" s="1"/>
  <c r="X21" i="1"/>
  <c r="W21" i="1"/>
  <c r="X13" i="1"/>
  <c r="W13" i="1"/>
  <c r="O34" i="1"/>
  <c r="P34" i="1"/>
  <c r="Q34" i="1"/>
  <c r="R34" i="1"/>
  <c r="S34" i="1"/>
  <c r="T34" i="1"/>
  <c r="U34" i="1"/>
  <c r="N34" i="1"/>
  <c r="N33" i="1" s="1"/>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508" i="17"/>
  <c r="D509" i="17"/>
  <c r="D510" i="17"/>
  <c r="D511" i="17"/>
  <c r="D512" i="17"/>
  <c r="D513" i="17"/>
  <c r="D514" i="17"/>
  <c r="D515" i="17"/>
  <c r="D516" i="17"/>
  <c r="D517" i="17"/>
  <c r="D518" i="17"/>
  <c r="D519" i="17"/>
  <c r="D520" i="17"/>
  <c r="D521" i="17"/>
  <c r="D522" i="17"/>
  <c r="D523" i="17"/>
  <c r="D524" i="17"/>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D779" i="17"/>
  <c r="D780" i="17"/>
  <c r="D781" i="17"/>
  <c r="D782" i="17"/>
  <c r="D783" i="17"/>
  <c r="D784" i="17"/>
  <c r="D785" i="17"/>
  <c r="D786" i="17"/>
  <c r="D787" i="17"/>
  <c r="D788" i="17"/>
  <c r="D789" i="17"/>
  <c r="D790" i="17"/>
  <c r="D791" i="17"/>
  <c r="D792" i="17"/>
  <c r="D793" i="17"/>
  <c r="D794" i="17"/>
  <c r="D795" i="17"/>
  <c r="D796" i="17"/>
  <c r="D797" i="17"/>
  <c r="D798" i="17"/>
  <c r="D799" i="17"/>
  <c r="D800" i="17"/>
  <c r="D801" i="17"/>
  <c r="D802" i="17"/>
  <c r="D803" i="17"/>
  <c r="D804" i="17"/>
  <c r="D805" i="17"/>
  <c r="D806" i="17"/>
  <c r="D807" i="17"/>
  <c r="D808" i="17"/>
  <c r="D809" i="17"/>
  <c r="D810" i="17"/>
  <c r="D811" i="17"/>
  <c r="D812" i="17"/>
  <c r="D813" i="17"/>
  <c r="D814" i="17"/>
  <c r="D815" i="17"/>
  <c r="D816" i="17"/>
  <c r="D817" i="17"/>
  <c r="D2" i="17"/>
  <c r="W67" i="1" l="1"/>
  <c r="W93" i="1"/>
  <c r="W70" i="1"/>
  <c r="X22" i="1"/>
  <c r="W90" i="1"/>
  <c r="X34" i="1"/>
  <c r="F47" i="1" l="1"/>
  <c r="N39" i="1"/>
  <c r="M34" i="1"/>
  <c r="N37" i="1" s="1"/>
  <c r="O37" i="1" s="1"/>
  <c r="P37" i="1" s="1"/>
  <c r="Q37" i="1" s="1"/>
  <c r="R37" i="1" s="1"/>
  <c r="S37" i="1" s="1"/>
  <c r="T37" i="1" s="1"/>
  <c r="U37" i="1" s="1"/>
  <c r="L34" i="1"/>
  <c r="K34" i="1"/>
  <c r="J34" i="1"/>
  <c r="M22" i="1"/>
  <c r="L22" i="1"/>
  <c r="K22" i="1"/>
  <c r="J22" i="1"/>
  <c r="G24" i="1"/>
  <c r="H24" i="1"/>
  <c r="I24" i="1"/>
  <c r="W24" i="1" s="1"/>
  <c r="J24" i="1"/>
  <c r="K24" i="1"/>
  <c r="L24" i="1"/>
  <c r="M24" i="1"/>
  <c r="X24" i="1" s="1"/>
  <c r="F24" i="1"/>
  <c r="G111" i="1"/>
  <c r="H111" i="1"/>
  <c r="I111" i="1"/>
  <c r="J111" i="1"/>
  <c r="K111" i="1"/>
  <c r="L111" i="1"/>
  <c r="M111" i="1"/>
  <c r="N111" i="1" s="1"/>
  <c r="F111" i="1"/>
  <c r="S4" i="8"/>
  <c r="O4" i="8"/>
  <c r="W11" i="7"/>
  <c r="V12" i="7"/>
  <c r="U12" i="7"/>
  <c r="T12" i="7"/>
  <c r="S12" i="7"/>
  <c r="T13" i="7" s="1"/>
  <c r="R12" i="7"/>
  <c r="Q12" i="7"/>
  <c r="P12" i="7"/>
  <c r="O12" i="7"/>
  <c r="N12" i="7"/>
  <c r="J78" i="6"/>
  <c r="I78" i="6"/>
  <c r="F78" i="6"/>
  <c r="E78" i="6"/>
  <c r="K76" i="6"/>
  <c r="G76" i="6"/>
  <c r="H76" i="6"/>
  <c r="F62" i="6"/>
  <c r="K75" i="6"/>
  <c r="H75" i="6"/>
  <c r="G75" i="6"/>
  <c r="K74" i="6"/>
  <c r="H74" i="6"/>
  <c r="G74" i="6"/>
  <c r="K73" i="6"/>
  <c r="H73" i="6"/>
  <c r="G73" i="6"/>
  <c r="K72" i="6"/>
  <c r="H72" i="6"/>
  <c r="G72" i="6"/>
  <c r="F47" i="6"/>
  <c r="F46" i="6"/>
  <c r="O14" i="7" l="1"/>
  <c r="N16" i="7"/>
  <c r="K78" i="6"/>
  <c r="F55" i="6" s="1"/>
  <c r="F66" i="6"/>
  <c r="H78" i="6"/>
  <c r="F48" i="6" s="1"/>
  <c r="G78" i="6"/>
  <c r="F49" i="6" s="1"/>
  <c r="X25" i="1"/>
  <c r="N35" i="1"/>
  <c r="O35" i="1" s="1"/>
  <c r="P35" i="1" s="1"/>
  <c r="Q35" i="1" s="1"/>
  <c r="R35" i="1" s="1"/>
  <c r="S35" i="1" s="1"/>
  <c r="T35" i="1" s="1"/>
  <c r="U35" i="1" s="1"/>
  <c r="O39" i="1"/>
  <c r="O111" i="1"/>
  <c r="R13" i="7"/>
  <c r="V14" i="7"/>
  <c r="W12" i="7"/>
  <c r="W14" i="7"/>
  <c r="Y11" i="7"/>
  <c r="Z11" i="7" s="1"/>
  <c r="AA11" i="7" s="1"/>
  <c r="X12" i="7"/>
  <c r="O13" i="7"/>
  <c r="T14" i="7"/>
  <c r="Q14" i="7"/>
  <c r="S14" i="7"/>
  <c r="R14" i="7"/>
  <c r="U13" i="7"/>
  <c r="U14" i="7"/>
  <c r="N13" i="7"/>
  <c r="V13" i="7"/>
  <c r="P13" i="7"/>
  <c r="P14" i="7"/>
  <c r="Q13" i="7"/>
  <c r="S13" i="7"/>
  <c r="AB12" i="7" l="1"/>
  <c r="AA12" i="7"/>
  <c r="F65" i="6"/>
  <c r="P39" i="1"/>
  <c r="N40" i="1"/>
  <c r="P111" i="1"/>
  <c r="X13" i="7"/>
  <c r="Y12" i="7"/>
  <c r="X14" i="7"/>
  <c r="F51" i="6"/>
  <c r="F58" i="6"/>
  <c r="X89" i="1"/>
  <c r="X90" i="1" s="1"/>
  <c r="X92" i="1"/>
  <c r="X93" i="1" s="1"/>
  <c r="V12" i="6"/>
  <c r="U12" i="6"/>
  <c r="T12" i="6"/>
  <c r="S12" i="6"/>
  <c r="T14" i="6" s="1"/>
  <c r="R12" i="6"/>
  <c r="S14" i="6" s="1"/>
  <c r="Q12" i="6"/>
  <c r="P12" i="6"/>
  <c r="Q14" i="6" s="1"/>
  <c r="O12" i="6"/>
  <c r="P14" i="6" s="1"/>
  <c r="N12" i="6"/>
  <c r="Y14" i="7" l="1"/>
  <c r="AB13" i="7"/>
  <c r="AB14" i="7"/>
  <c r="Z12" i="7"/>
  <c r="F64" i="6"/>
  <c r="F67" i="6" s="1"/>
  <c r="V14" i="6"/>
  <c r="O33" i="1"/>
  <c r="Q39" i="1"/>
  <c r="Y39" i="1" s="1"/>
  <c r="Q111" i="1"/>
  <c r="Z14" i="7"/>
  <c r="Z13" i="7"/>
  <c r="Y13" i="7"/>
  <c r="R14" i="6"/>
  <c r="U14" i="6"/>
  <c r="O14" i="6"/>
  <c r="R13" i="6"/>
  <c r="Q13" i="6"/>
  <c r="U13" i="6"/>
  <c r="V13" i="6"/>
  <c r="N13" i="6"/>
  <c r="O13" i="6"/>
  <c r="P13" i="6"/>
  <c r="S13" i="6"/>
  <c r="T13" i="6"/>
  <c r="M93" i="1"/>
  <c r="L93" i="1"/>
  <c r="K93" i="1"/>
  <c r="J93" i="1"/>
  <c r="I93" i="1"/>
  <c r="H93" i="1"/>
  <c r="G93" i="1"/>
  <c r="F93" i="1"/>
  <c r="G90" i="1"/>
  <c r="H90" i="1"/>
  <c r="I90" i="1"/>
  <c r="J90" i="1"/>
  <c r="K90" i="1"/>
  <c r="L90" i="1"/>
  <c r="M90" i="1"/>
  <c r="F90" i="1"/>
  <c r="E31" i="7" l="1"/>
  <c r="AA13" i="7"/>
  <c r="AA14" i="7"/>
  <c r="E4" i="6"/>
  <c r="E4" i="7" s="1"/>
  <c r="R39" i="1"/>
  <c r="N93" i="1"/>
  <c r="Q33" i="1"/>
  <c r="Y33" i="1" s="1"/>
  <c r="Y34" i="1" s="1"/>
  <c r="P33" i="1"/>
  <c r="P93" i="1"/>
  <c r="Q93" i="1"/>
  <c r="U93" i="1" s="1"/>
  <c r="N90" i="1"/>
  <c r="O90" i="1" s="1"/>
  <c r="O93" i="1"/>
  <c r="S93" i="1" s="1"/>
  <c r="R111" i="1"/>
  <c r="L85" i="1"/>
  <c r="P85" i="1" s="1"/>
  <c r="G86" i="1"/>
  <c r="H86" i="1"/>
  <c r="I86" i="1"/>
  <c r="J86" i="1"/>
  <c r="K86" i="1"/>
  <c r="L86" i="1"/>
  <c r="M86" i="1"/>
  <c r="F86" i="1"/>
  <c r="G85" i="1"/>
  <c r="H85" i="1"/>
  <c r="I85" i="1"/>
  <c r="J85" i="1"/>
  <c r="N85" i="1" s="1"/>
  <c r="K85" i="1"/>
  <c r="O85" i="1" s="1"/>
  <c r="M85" i="1"/>
  <c r="Q85" i="1" s="1"/>
  <c r="F85" i="1"/>
  <c r="G83" i="1"/>
  <c r="H83" i="1"/>
  <c r="I83" i="1"/>
  <c r="J83" i="1"/>
  <c r="N83" i="1" s="1"/>
  <c r="K83" i="1"/>
  <c r="O83" i="1" s="1"/>
  <c r="L83" i="1"/>
  <c r="P83" i="1" s="1"/>
  <c r="T83" i="1" s="1"/>
  <c r="M83" i="1"/>
  <c r="Q83" i="1" s="1"/>
  <c r="U83" i="1" s="1"/>
  <c r="F83" i="1"/>
  <c r="G80" i="1"/>
  <c r="H80" i="1"/>
  <c r="I80" i="1"/>
  <c r="J80" i="1"/>
  <c r="K80" i="1"/>
  <c r="L80" i="1"/>
  <c r="M80" i="1"/>
  <c r="F80" i="1"/>
  <c r="G72" i="1"/>
  <c r="H72" i="1"/>
  <c r="I72" i="1"/>
  <c r="J72" i="1"/>
  <c r="K72" i="1"/>
  <c r="L72" i="1"/>
  <c r="M72" i="1"/>
  <c r="F72" i="1"/>
  <c r="G70" i="1"/>
  <c r="H70" i="1"/>
  <c r="I70" i="1"/>
  <c r="J70" i="1"/>
  <c r="K70" i="1"/>
  <c r="L70" i="1"/>
  <c r="M70" i="1"/>
  <c r="F70" i="1"/>
  <c r="G67" i="1"/>
  <c r="H67" i="1"/>
  <c r="I67" i="1"/>
  <c r="J67" i="1"/>
  <c r="N67" i="1" s="1"/>
  <c r="R67" i="1" s="1"/>
  <c r="K67" i="1"/>
  <c r="O67" i="1" s="1"/>
  <c r="S67" i="1" s="1"/>
  <c r="L67" i="1"/>
  <c r="P67" i="1" s="1"/>
  <c r="T67" i="1" s="1"/>
  <c r="M67" i="1"/>
  <c r="Q67" i="1" s="1"/>
  <c r="U67" i="1" s="1"/>
  <c r="F67" i="1"/>
  <c r="G64" i="1"/>
  <c r="H64" i="1"/>
  <c r="I64" i="1"/>
  <c r="J64" i="1"/>
  <c r="K64" i="1"/>
  <c r="L64" i="1"/>
  <c r="M64" i="1"/>
  <c r="F64" i="1"/>
  <c r="G19" i="1"/>
  <c r="H19" i="1"/>
  <c r="I19" i="1"/>
  <c r="W19" i="1" s="1"/>
  <c r="J19" i="1"/>
  <c r="K19" i="1"/>
  <c r="L19" i="1"/>
  <c r="M19" i="1"/>
  <c r="X19" i="1" s="1"/>
  <c r="F19" i="1"/>
  <c r="P14" i="1"/>
  <c r="Q14" i="1"/>
  <c r="R14" i="1"/>
  <c r="S14" i="1"/>
  <c r="T14" i="1"/>
  <c r="U14" i="1"/>
  <c r="O14" i="1"/>
  <c r="N14" i="1"/>
  <c r="G14" i="1"/>
  <c r="H14" i="1"/>
  <c r="I14" i="1"/>
  <c r="K14" i="1"/>
  <c r="L14" i="1"/>
  <c r="M14" i="1"/>
  <c r="J14" i="1"/>
  <c r="N11" i="1"/>
  <c r="R11" i="1" s="1"/>
  <c r="F44" i="1"/>
  <c r="G44" i="1"/>
  <c r="H44" i="1"/>
  <c r="I44" i="1"/>
  <c r="W44" i="1" s="1"/>
  <c r="J44" i="1"/>
  <c r="K44" i="1"/>
  <c r="L44" i="1"/>
  <c r="M44" i="1"/>
  <c r="X44" i="1" s="1"/>
  <c r="O28" i="1"/>
  <c r="P28" i="1" s="1"/>
  <c r="Q28" i="1" s="1"/>
  <c r="R28" i="1" s="1"/>
  <c r="S28" i="1" s="1"/>
  <c r="T28" i="1" s="1"/>
  <c r="U28" i="1" s="1"/>
  <c r="O27" i="1"/>
  <c r="O25" i="1" s="1"/>
  <c r="O26" i="1"/>
  <c r="P26" i="1" s="1"/>
  <c r="Q26" i="1" s="1"/>
  <c r="R26" i="1" s="1"/>
  <c r="S26" i="1" s="1"/>
  <c r="T26" i="1" s="1"/>
  <c r="U26" i="1" s="1"/>
  <c r="N25" i="1"/>
  <c r="N24" i="1" s="1"/>
  <c r="M54" i="1"/>
  <c r="L54" i="1"/>
  <c r="K54" i="1"/>
  <c r="J54" i="1"/>
  <c r="G47" i="1"/>
  <c r="H47" i="1"/>
  <c r="I47" i="1"/>
  <c r="J47" i="1"/>
  <c r="K47" i="1"/>
  <c r="L47" i="1"/>
  <c r="M47" i="1"/>
  <c r="F51" i="1"/>
  <c r="M43" i="1"/>
  <c r="L43" i="1"/>
  <c r="K43" i="1"/>
  <c r="J43" i="1"/>
  <c r="M31" i="1"/>
  <c r="L31" i="1"/>
  <c r="K31" i="1"/>
  <c r="J31" i="1"/>
  <c r="X47" i="1" l="1"/>
  <c r="X45" i="1"/>
  <c r="Z14" i="1"/>
  <c r="W14" i="1"/>
  <c r="Y14" i="1"/>
  <c r="W72" i="1"/>
  <c r="W73" i="1" s="1"/>
  <c r="W80" i="1"/>
  <c r="W47" i="1"/>
  <c r="X14" i="1"/>
  <c r="N19" i="1"/>
  <c r="H108" i="1"/>
  <c r="H109" i="1" s="1"/>
  <c r="J51" i="1"/>
  <c r="I51" i="1"/>
  <c r="H51" i="1"/>
  <c r="G51" i="1"/>
  <c r="G108" i="1"/>
  <c r="G109" i="1" s="1"/>
  <c r="N13" i="1"/>
  <c r="F108" i="1"/>
  <c r="F112" i="1" s="1"/>
  <c r="F114" i="1" s="1"/>
  <c r="Q64" i="1"/>
  <c r="U64" i="1" s="1"/>
  <c r="N70" i="1"/>
  <c r="M108" i="1"/>
  <c r="M109" i="1" s="1"/>
  <c r="P64" i="1"/>
  <c r="L108" i="1"/>
  <c r="L112" i="1" s="1"/>
  <c r="L114" i="1" s="1"/>
  <c r="M58" i="1"/>
  <c r="Q60" i="1" s="1"/>
  <c r="L51" i="1"/>
  <c r="K51" i="1"/>
  <c r="O64" i="1"/>
  <c r="K108" i="1"/>
  <c r="K109" i="1" s="1"/>
  <c r="R93" i="1"/>
  <c r="N64" i="1"/>
  <c r="R64" i="1" s="1"/>
  <c r="J108" i="1"/>
  <c r="J109" i="1" s="1"/>
  <c r="T93" i="1"/>
  <c r="I108" i="1"/>
  <c r="I112" i="1" s="1"/>
  <c r="I114" i="1" s="1"/>
  <c r="S39" i="1"/>
  <c r="S111" i="1"/>
  <c r="F78" i="1"/>
  <c r="F100" i="1"/>
  <c r="X72" i="1"/>
  <c r="X73" i="1" s="1"/>
  <c r="X80" i="1"/>
  <c r="P90" i="1"/>
  <c r="H78" i="1"/>
  <c r="H100" i="1"/>
  <c r="G78" i="1"/>
  <c r="G100" i="1"/>
  <c r="M78" i="1"/>
  <c r="M100" i="1"/>
  <c r="L78" i="1"/>
  <c r="L100" i="1"/>
  <c r="K78" i="1"/>
  <c r="K100" i="1"/>
  <c r="J78" i="1"/>
  <c r="J100" i="1"/>
  <c r="I78" i="1"/>
  <c r="I100" i="1"/>
  <c r="I87" i="1"/>
  <c r="F87" i="1" s="1"/>
  <c r="K87" i="1"/>
  <c r="M87" i="1"/>
  <c r="H87" i="1"/>
  <c r="G87" i="1"/>
  <c r="L87" i="1"/>
  <c r="J87" i="1"/>
  <c r="R85" i="1"/>
  <c r="T85" i="1"/>
  <c r="U85" i="1"/>
  <c r="S85" i="1"/>
  <c r="P19" i="1"/>
  <c r="S83" i="1"/>
  <c r="R83" i="1"/>
  <c r="F73" i="1"/>
  <c r="M73" i="1"/>
  <c r="L73" i="1"/>
  <c r="K73" i="1"/>
  <c r="J73" i="1"/>
  <c r="I73" i="1"/>
  <c r="H73" i="1"/>
  <c r="G73" i="1"/>
  <c r="G58" i="1"/>
  <c r="K58" i="1"/>
  <c r="I58" i="1"/>
  <c r="F58" i="1"/>
  <c r="L58" i="1"/>
  <c r="J58" i="1"/>
  <c r="H58" i="1"/>
  <c r="M51" i="1"/>
  <c r="O19" i="1"/>
  <c r="Q19" i="1"/>
  <c r="Y19" i="1" s="1"/>
  <c r="M45" i="1"/>
  <c r="K45" i="1"/>
  <c r="L45" i="1"/>
  <c r="O24" i="1"/>
  <c r="K25" i="1"/>
  <c r="J45" i="1"/>
  <c r="L25" i="1"/>
  <c r="M25" i="1"/>
  <c r="P27" i="1"/>
  <c r="J25" i="1"/>
  <c r="M48" i="1"/>
  <c r="L48" i="1"/>
  <c r="K48" i="1"/>
  <c r="J48" i="1"/>
  <c r="X48" i="1" l="1"/>
  <c r="W78" i="1"/>
  <c r="H112" i="1"/>
  <c r="H114" i="1" s="1"/>
  <c r="L115" i="1" s="1"/>
  <c r="M112" i="1"/>
  <c r="M114" i="1" s="1"/>
  <c r="M116" i="1" s="1"/>
  <c r="N45" i="1"/>
  <c r="N44" i="1" s="1"/>
  <c r="Q59" i="1"/>
  <c r="U59" i="1" s="1"/>
  <c r="I109" i="1"/>
  <c r="K112" i="1"/>
  <c r="K114" i="1" s="1"/>
  <c r="K118" i="1" s="1"/>
  <c r="G112" i="1"/>
  <c r="G114" i="1" s="1"/>
  <c r="G118" i="1" s="1"/>
  <c r="U60" i="1"/>
  <c r="U58" i="1" s="1"/>
  <c r="Q58" i="1"/>
  <c r="F109" i="1"/>
  <c r="N21" i="1"/>
  <c r="N30" i="1" s="1"/>
  <c r="T19" i="1"/>
  <c r="S19" i="1"/>
  <c r="O70" i="1"/>
  <c r="N51" i="1"/>
  <c r="L109" i="1"/>
  <c r="L101" i="1"/>
  <c r="N63" i="1"/>
  <c r="J112" i="1"/>
  <c r="J114" i="1" s="1"/>
  <c r="Q61" i="1"/>
  <c r="U61" i="1" s="1"/>
  <c r="T64" i="1"/>
  <c r="T39" i="1"/>
  <c r="R33" i="1"/>
  <c r="O13" i="1"/>
  <c r="O63" i="1" s="1"/>
  <c r="S64" i="1"/>
  <c r="U19" i="1"/>
  <c r="Z19" i="1" s="1"/>
  <c r="I118" i="1"/>
  <c r="I116" i="1"/>
  <c r="L118" i="1"/>
  <c r="L116" i="1"/>
  <c r="F118" i="1"/>
  <c r="F116" i="1"/>
  <c r="M101" i="1"/>
  <c r="K101" i="1"/>
  <c r="R19" i="1"/>
  <c r="T111" i="1"/>
  <c r="J102" i="1"/>
  <c r="K5" i="8"/>
  <c r="K102" i="1"/>
  <c r="L5" i="8"/>
  <c r="H102" i="1"/>
  <c r="I5" i="8"/>
  <c r="L102" i="1"/>
  <c r="M5" i="8"/>
  <c r="F95" i="1"/>
  <c r="I102" i="1"/>
  <c r="J5" i="8"/>
  <c r="M102" i="1"/>
  <c r="N5" i="8"/>
  <c r="F102" i="1"/>
  <c r="G5" i="8"/>
  <c r="G102" i="1"/>
  <c r="H5" i="8"/>
  <c r="W100" i="1"/>
  <c r="X5" i="8" s="1"/>
  <c r="X100" i="1"/>
  <c r="Y5" i="8" s="1"/>
  <c r="X78" i="1"/>
  <c r="I95" i="1"/>
  <c r="M95" i="1"/>
  <c r="J95" i="1"/>
  <c r="H95" i="1"/>
  <c r="G95" i="1"/>
  <c r="K95" i="1"/>
  <c r="L95" i="1"/>
  <c r="Q90" i="1"/>
  <c r="O59" i="1"/>
  <c r="S59" i="1" s="1"/>
  <c r="O60" i="1"/>
  <c r="O61" i="1"/>
  <c r="S61" i="1" s="1"/>
  <c r="N59" i="1"/>
  <c r="R59" i="1" s="1"/>
  <c r="N61" i="1"/>
  <c r="R61" i="1" s="1"/>
  <c r="N60" i="1"/>
  <c r="N58" i="1" s="1"/>
  <c r="P59" i="1"/>
  <c r="T59" i="1" s="1"/>
  <c r="P61" i="1"/>
  <c r="T61" i="1" s="1"/>
  <c r="P60" i="1"/>
  <c r="Q27" i="1"/>
  <c r="P25" i="1"/>
  <c r="W114" i="1" l="1"/>
  <c r="J12" i="8"/>
  <c r="J118" i="1"/>
  <c r="K17" i="8" s="1"/>
  <c r="X114" i="1"/>
  <c r="M118" i="1"/>
  <c r="N17" i="8" s="1"/>
  <c r="M115" i="1"/>
  <c r="K115" i="1"/>
  <c r="H116" i="1"/>
  <c r="H118" i="1"/>
  <c r="I17" i="8" s="1"/>
  <c r="K116" i="1"/>
  <c r="J116" i="1"/>
  <c r="G116" i="1"/>
  <c r="S60" i="1"/>
  <c r="S58" i="1" s="1"/>
  <c r="O58" i="1"/>
  <c r="T60" i="1"/>
  <c r="T58" i="1" s="1"/>
  <c r="P58" i="1"/>
  <c r="U39" i="1"/>
  <c r="Z39" i="1" s="1"/>
  <c r="P70" i="1"/>
  <c r="G7" i="8"/>
  <c r="G17" i="8"/>
  <c r="H17" i="8"/>
  <c r="J17" i="8"/>
  <c r="P24" i="1"/>
  <c r="I7" i="8"/>
  <c r="P13" i="1"/>
  <c r="H7" i="8"/>
  <c r="L17" i="8"/>
  <c r="J7" i="8"/>
  <c r="M17" i="8"/>
  <c r="S33" i="1"/>
  <c r="K7" i="8"/>
  <c r="O51" i="1"/>
  <c r="L7" i="8"/>
  <c r="K103" i="1"/>
  <c r="M7" i="8"/>
  <c r="L103" i="1"/>
  <c r="N7" i="8"/>
  <c r="M103" i="1"/>
  <c r="N22" i="1"/>
  <c r="N42" i="1"/>
  <c r="U111" i="1"/>
  <c r="X102" i="1"/>
  <c r="Y7" i="8" s="1"/>
  <c r="L11" i="8"/>
  <c r="K11" i="8"/>
  <c r="Y6" i="8"/>
  <c r="M11" i="8"/>
  <c r="M12" i="8" s="1"/>
  <c r="W102" i="1"/>
  <c r="X7" i="8" s="1"/>
  <c r="N11" i="8"/>
  <c r="W95" i="1"/>
  <c r="X101" i="1"/>
  <c r="X95" i="1"/>
  <c r="M96" i="1"/>
  <c r="L96" i="1"/>
  <c r="K96" i="1"/>
  <c r="R90" i="1"/>
  <c r="R60" i="1"/>
  <c r="R58" i="1" s="1"/>
  <c r="O45" i="1"/>
  <c r="O21" i="1"/>
  <c r="R27" i="1"/>
  <c r="Q25" i="1"/>
  <c r="X115" i="1" l="1"/>
  <c r="W118" i="1"/>
  <c r="X118" i="1"/>
  <c r="N47" i="1"/>
  <c r="K12" i="8"/>
  <c r="L12" i="8"/>
  <c r="N12" i="8"/>
  <c r="T33" i="1"/>
  <c r="P51" i="1"/>
  <c r="Q70" i="1"/>
  <c r="Q24" i="1"/>
  <c r="Y24" i="1" s="1"/>
  <c r="Y25" i="1" s="1"/>
  <c r="O22" i="1"/>
  <c r="O44" i="1"/>
  <c r="Q13" i="1"/>
  <c r="Y13" i="1" s="1"/>
  <c r="P63" i="1"/>
  <c r="O30" i="1"/>
  <c r="X103" i="1"/>
  <c r="Y8" i="8"/>
  <c r="S90" i="1"/>
  <c r="P45" i="1"/>
  <c r="P21" i="1"/>
  <c r="S27" i="1"/>
  <c r="R25" i="1"/>
  <c r="R24" i="1" l="1"/>
  <c r="Q63" i="1"/>
  <c r="Y63" i="1" s="1"/>
  <c r="R13" i="1"/>
  <c r="R70" i="1"/>
  <c r="P44" i="1"/>
  <c r="P42" i="1" s="1"/>
  <c r="Q51" i="1"/>
  <c r="O42" i="1"/>
  <c r="P22" i="1"/>
  <c r="O31" i="1"/>
  <c r="U33" i="1"/>
  <c r="Z33" i="1" s="1"/>
  <c r="Z34" i="1" s="1"/>
  <c r="P30" i="1"/>
  <c r="T90" i="1"/>
  <c r="Q45" i="1"/>
  <c r="Q21" i="1"/>
  <c r="Y21" i="1" s="1"/>
  <c r="Y22" i="1" s="1"/>
  <c r="T27" i="1"/>
  <c r="S25" i="1"/>
  <c r="S24" i="1" l="1"/>
  <c r="O43" i="1"/>
  <c r="S70" i="1"/>
  <c r="Q44" i="1"/>
  <c r="Y44" i="1" s="1"/>
  <c r="Y45" i="1" s="1"/>
  <c r="P31" i="1"/>
  <c r="R51" i="1"/>
  <c r="R63" i="1"/>
  <c r="S13" i="1"/>
  <c r="S21" i="1" s="1"/>
  <c r="Q22" i="1"/>
  <c r="Q30" i="1"/>
  <c r="Y30" i="1" s="1"/>
  <c r="Y31" i="1" s="1"/>
  <c r="U90" i="1"/>
  <c r="R45" i="1"/>
  <c r="R21" i="1"/>
  <c r="U27" i="1"/>
  <c r="U25" i="1" s="1"/>
  <c r="T25" i="1"/>
  <c r="T70" i="1" l="1"/>
  <c r="S63" i="1"/>
  <c r="T13" i="1"/>
  <c r="T24" i="1"/>
  <c r="S45" i="1"/>
  <c r="S51" i="1"/>
  <c r="Q31" i="1"/>
  <c r="U24" i="1"/>
  <c r="Z24" i="1" s="1"/>
  <c r="Z25" i="1" s="1"/>
  <c r="P43" i="1"/>
  <c r="Q42" i="1"/>
  <c r="Y42" i="1" s="1"/>
  <c r="Y43" i="1" s="1"/>
  <c r="S30" i="1"/>
  <c r="S22" i="1"/>
  <c r="R30" i="1"/>
  <c r="R22" i="1"/>
  <c r="R44" i="1"/>
  <c r="T63" i="1" l="1"/>
  <c r="U13" i="1"/>
  <c r="Z13" i="1" s="1"/>
  <c r="T45" i="1"/>
  <c r="U45" i="1" s="1"/>
  <c r="S44" i="1"/>
  <c r="T51" i="1"/>
  <c r="T21" i="1"/>
  <c r="T22" i="1" s="1"/>
  <c r="Q43" i="1"/>
  <c r="U70" i="1"/>
  <c r="S31" i="1"/>
  <c r="U44" i="1" l="1"/>
  <c r="Z44" i="1" s="1"/>
  <c r="Z45" i="1" s="1"/>
  <c r="U63" i="1"/>
  <c r="Z63" i="1" s="1"/>
  <c r="S42" i="1"/>
  <c r="U51" i="1"/>
  <c r="T30" i="1"/>
  <c r="T44" i="1"/>
  <c r="U21" i="1"/>
  <c r="Z21" i="1" s="1"/>
  <c r="Z22" i="1" s="1"/>
  <c r="S43" i="1" l="1"/>
  <c r="T31" i="1"/>
  <c r="T42" i="1"/>
  <c r="U22" i="1"/>
  <c r="U30" i="1"/>
  <c r="Z30" i="1" s="1"/>
  <c r="Z31" i="1" s="1"/>
  <c r="U42" i="1"/>
  <c r="U43" i="1" l="1"/>
  <c r="T43" i="1"/>
  <c r="U31" i="1"/>
  <c r="N43" i="1"/>
  <c r="R42" i="1" l="1"/>
  <c r="Z42" i="1" s="1"/>
  <c r="Z43" i="1" s="1"/>
  <c r="R43" i="1" l="1"/>
  <c r="R31" i="1"/>
  <c r="N31" i="1"/>
  <c r="O40" i="1" l="1"/>
  <c r="P40" i="1"/>
  <c r="Q40" i="1"/>
  <c r="R40" i="1"/>
  <c r="S40" i="1"/>
  <c r="T40" i="1"/>
  <c r="U40" i="1"/>
  <c r="Z40" i="1" l="1"/>
  <c r="Y40" i="1"/>
  <c r="O47" i="1"/>
  <c r="U47" i="1"/>
  <c r="U57" i="1" s="1"/>
  <c r="T47" i="1"/>
  <c r="T50" i="1" s="1"/>
  <c r="S47" i="1"/>
  <c r="R47" i="1"/>
  <c r="Q47" i="1"/>
  <c r="Q48" i="1" s="1"/>
  <c r="P47" i="1"/>
  <c r="P57" i="1" s="1"/>
  <c r="R50" i="1" l="1"/>
  <c r="R53" i="1" s="1"/>
  <c r="Z47" i="1"/>
  <c r="O50" i="1"/>
  <c r="O53" i="1" s="1"/>
  <c r="O54" i="1" s="1"/>
  <c r="Y47" i="1"/>
  <c r="Y48" i="1" s="1"/>
  <c r="R48" i="1"/>
  <c r="U50" i="1"/>
  <c r="U53" i="1" s="1"/>
  <c r="U89" i="1" s="1"/>
  <c r="O57" i="1"/>
  <c r="O48" i="1"/>
  <c r="S48" i="1"/>
  <c r="S50" i="1"/>
  <c r="S53" i="1" s="1"/>
  <c r="S89" i="1" s="1"/>
  <c r="P50" i="1"/>
  <c r="P53" i="1" s="1"/>
  <c r="N48" i="1"/>
  <c r="R57" i="1"/>
  <c r="T57" i="1"/>
  <c r="N50" i="1"/>
  <c r="N57" i="1"/>
  <c r="S57" i="1"/>
  <c r="T53" i="1"/>
  <c r="T82" i="1" s="1"/>
  <c r="U48" i="1"/>
  <c r="T48" i="1"/>
  <c r="Q57" i="1"/>
  <c r="P48" i="1"/>
  <c r="Q50" i="1"/>
  <c r="Y50" i="1" l="1"/>
  <c r="Y51" i="1" s="1"/>
  <c r="Z48" i="1"/>
  <c r="R110" i="1"/>
  <c r="Z53" i="1"/>
  <c r="Y57" i="1"/>
  <c r="Z57" i="1"/>
  <c r="Z50" i="1"/>
  <c r="P66" i="1"/>
  <c r="P84" i="1"/>
  <c r="P92" i="1"/>
  <c r="P89" i="1"/>
  <c r="S69" i="1"/>
  <c r="S80" i="1" s="1"/>
  <c r="P110" i="1"/>
  <c r="T89" i="1"/>
  <c r="S66" i="1"/>
  <c r="O92" i="1"/>
  <c r="S92" i="1"/>
  <c r="R84" i="1"/>
  <c r="S110" i="1"/>
  <c r="P69" i="1"/>
  <c r="U69" i="1"/>
  <c r="O69" i="1"/>
  <c r="O80" i="1" s="1"/>
  <c r="U110" i="1"/>
  <c r="O110" i="1"/>
  <c r="P54" i="1"/>
  <c r="O82" i="1"/>
  <c r="O66" i="1"/>
  <c r="S54" i="1"/>
  <c r="O89" i="1"/>
  <c r="P82" i="1"/>
  <c r="O84" i="1"/>
  <c r="U84" i="1"/>
  <c r="T69" i="1"/>
  <c r="T80" i="1" s="1"/>
  <c r="S84" i="1"/>
  <c r="T54" i="1"/>
  <c r="T92" i="1"/>
  <c r="T66" i="1"/>
  <c r="S82" i="1"/>
  <c r="R82" i="1"/>
  <c r="R66" i="1"/>
  <c r="T110" i="1"/>
  <c r="U92" i="1"/>
  <c r="U66" i="1"/>
  <c r="R92" i="1"/>
  <c r="Q53" i="1"/>
  <c r="U54" i="1" s="1"/>
  <c r="T84" i="1"/>
  <c r="T86" i="1" s="1"/>
  <c r="R89" i="1"/>
  <c r="N53" i="1"/>
  <c r="U82" i="1"/>
  <c r="R69" i="1"/>
  <c r="Z58" i="1" l="1"/>
  <c r="Y53" i="1"/>
  <c r="Y54" i="1" s="1"/>
  <c r="Z51" i="1"/>
  <c r="Z66" i="1"/>
  <c r="Z67" i="1" s="1"/>
  <c r="R80" i="1"/>
  <c r="Z69" i="1"/>
  <c r="Z70" i="1" s="1"/>
  <c r="S72" i="1"/>
  <c r="S73" i="1" s="1"/>
  <c r="P72" i="1"/>
  <c r="P75" i="1" s="1"/>
  <c r="O86" i="1"/>
  <c r="P86" i="1"/>
  <c r="R72" i="1"/>
  <c r="R73" i="1" s="1"/>
  <c r="O72" i="1"/>
  <c r="O108" i="1" s="1"/>
  <c r="O112" i="1" s="1"/>
  <c r="O113" i="1" s="1"/>
  <c r="O114" i="1" s="1"/>
  <c r="Z89" i="1"/>
  <c r="Z90" i="1" s="1"/>
  <c r="Z92" i="1"/>
  <c r="Z93" i="1" s="1"/>
  <c r="U80" i="1"/>
  <c r="P80" i="1"/>
  <c r="R86" i="1"/>
  <c r="T72" i="1"/>
  <c r="T75" i="1" s="1"/>
  <c r="U86" i="1"/>
  <c r="U87" i="1" s="1"/>
  <c r="S86" i="1"/>
  <c r="U72" i="1"/>
  <c r="N82" i="1"/>
  <c r="N110" i="1"/>
  <c r="N54" i="1"/>
  <c r="N89" i="1"/>
  <c r="N84" i="1"/>
  <c r="N92" i="1"/>
  <c r="N69" i="1"/>
  <c r="R54" i="1"/>
  <c r="N66" i="1"/>
  <c r="Q92" i="1"/>
  <c r="Q82" i="1"/>
  <c r="Q84" i="1"/>
  <c r="Q54" i="1"/>
  <c r="Q66" i="1"/>
  <c r="Q69" i="1"/>
  <c r="Q89" i="1"/>
  <c r="Q110" i="1"/>
  <c r="Z54" i="1" l="1"/>
  <c r="Y58" i="1"/>
  <c r="Y69" i="1"/>
  <c r="Y70" i="1" s="1"/>
  <c r="Z80" i="1"/>
  <c r="Y66" i="1"/>
  <c r="Y67" i="1" s="1"/>
  <c r="S100" i="1"/>
  <c r="T5" i="8" s="1"/>
  <c r="S108" i="1"/>
  <c r="S109" i="1" s="1"/>
  <c r="S75" i="1"/>
  <c r="S78" i="1" s="1"/>
  <c r="P87" i="1"/>
  <c r="P73" i="1"/>
  <c r="R108" i="1"/>
  <c r="R109" i="1" s="1"/>
  <c r="R100" i="1"/>
  <c r="R102" i="1" s="1"/>
  <c r="P108" i="1"/>
  <c r="P109" i="1" s="1"/>
  <c r="R75" i="1"/>
  <c r="P100" i="1"/>
  <c r="Q24" i="7" s="1"/>
  <c r="O100" i="1"/>
  <c r="O101" i="1" s="1"/>
  <c r="O73" i="1"/>
  <c r="O75" i="1"/>
  <c r="O78" i="1" s="1"/>
  <c r="T73" i="1"/>
  <c r="Z72" i="1"/>
  <c r="Z73" i="1" s="1"/>
  <c r="T108" i="1"/>
  <c r="T109" i="1" s="1"/>
  <c r="O109" i="1"/>
  <c r="S87" i="1"/>
  <c r="T100" i="1"/>
  <c r="T102" i="1" s="1"/>
  <c r="U7" i="8" s="1"/>
  <c r="T87" i="1"/>
  <c r="N86" i="1"/>
  <c r="N87" i="1" s="1"/>
  <c r="Q86" i="1"/>
  <c r="Q87" i="1" s="1"/>
  <c r="U73" i="1"/>
  <c r="U100" i="1"/>
  <c r="V24" i="7" s="1"/>
  <c r="U75" i="1"/>
  <c r="U78" i="1" s="1"/>
  <c r="U95" i="1" s="1"/>
  <c r="V18" i="7" s="1"/>
  <c r="O115" i="1"/>
  <c r="Y89" i="1"/>
  <c r="Y90" i="1" s="1"/>
  <c r="P78" i="1"/>
  <c r="N72" i="1"/>
  <c r="Y92" i="1"/>
  <c r="Y93" i="1" s="1"/>
  <c r="Q80" i="1"/>
  <c r="U108" i="1"/>
  <c r="Q72" i="1"/>
  <c r="N80" i="1"/>
  <c r="T78" i="1"/>
  <c r="O118" i="1"/>
  <c r="O116" i="1"/>
  <c r="P95" i="1" l="1"/>
  <c r="Q18" i="7" s="1"/>
  <c r="R78" i="1"/>
  <c r="Z78" i="1" s="1"/>
  <c r="Z75" i="1"/>
  <c r="Q5" i="8"/>
  <c r="T24" i="7"/>
  <c r="S102" i="1"/>
  <c r="T7" i="8" s="1"/>
  <c r="S112" i="1"/>
  <c r="S113" i="1" s="1"/>
  <c r="S114" i="1" s="1"/>
  <c r="S118" i="1" s="1"/>
  <c r="T17" i="8" s="1"/>
  <c r="R112" i="1"/>
  <c r="R113" i="1" s="1"/>
  <c r="R114" i="1" s="1"/>
  <c r="S24" i="7"/>
  <c r="S5" i="8"/>
  <c r="P24" i="7"/>
  <c r="O102" i="1"/>
  <c r="O103" i="1" s="1"/>
  <c r="P5" i="8"/>
  <c r="P102" i="1"/>
  <c r="Q7" i="8" s="1"/>
  <c r="P101" i="1"/>
  <c r="S101" i="1"/>
  <c r="P112" i="1"/>
  <c r="P113" i="1" s="1"/>
  <c r="P114" i="1" s="1"/>
  <c r="P115" i="1" s="1"/>
  <c r="U5" i="8"/>
  <c r="T112" i="1"/>
  <c r="T113" i="1" s="1"/>
  <c r="T114" i="1" s="1"/>
  <c r="T116" i="1" s="1"/>
  <c r="T101" i="1"/>
  <c r="J25" i="6"/>
  <c r="U24" i="7"/>
  <c r="S95" i="1"/>
  <c r="T16" i="6" s="1"/>
  <c r="T95" i="1"/>
  <c r="R87" i="1"/>
  <c r="O87" i="1"/>
  <c r="Y80" i="1"/>
  <c r="V16" i="6"/>
  <c r="Z100" i="1"/>
  <c r="AA5" i="8" s="1"/>
  <c r="V5" i="8"/>
  <c r="U102" i="1"/>
  <c r="U112" i="1"/>
  <c r="U113" i="1" s="1"/>
  <c r="U114" i="1" s="1"/>
  <c r="U109" i="1"/>
  <c r="N73" i="1"/>
  <c r="Y72" i="1"/>
  <c r="Y73" i="1" s="1"/>
  <c r="N100" i="1"/>
  <c r="N108" i="1"/>
  <c r="N75" i="1"/>
  <c r="P17" i="8"/>
  <c r="Q75" i="1"/>
  <c r="Q100" i="1"/>
  <c r="Q108" i="1"/>
  <c r="Q73" i="1"/>
  <c r="S7" i="8"/>
  <c r="T96" i="1" l="1"/>
  <c r="P96" i="1"/>
  <c r="Q16" i="6"/>
  <c r="R118" i="1"/>
  <c r="S17" i="8" s="1"/>
  <c r="Z114" i="1"/>
  <c r="Y75" i="1"/>
  <c r="V12" i="8"/>
  <c r="Z102" i="1"/>
  <c r="AA7" i="8" s="1"/>
  <c r="S116" i="1"/>
  <c r="S115" i="1"/>
  <c r="R116" i="1"/>
  <c r="W24" i="7"/>
  <c r="T103" i="1"/>
  <c r="S103" i="1"/>
  <c r="P103" i="1"/>
  <c r="P7" i="8"/>
  <c r="P116" i="1"/>
  <c r="P118" i="1"/>
  <c r="Q17" i="8" s="1"/>
  <c r="T118" i="1"/>
  <c r="U17" i="8" s="1"/>
  <c r="T115" i="1"/>
  <c r="U16" i="6"/>
  <c r="U18" i="7"/>
  <c r="O95" i="1"/>
  <c r="P16" i="6" s="1"/>
  <c r="T18" i="7"/>
  <c r="R95" i="1"/>
  <c r="Z95" i="1" s="1"/>
  <c r="V7" i="8"/>
  <c r="Q112" i="1"/>
  <c r="Q113" i="1" s="1"/>
  <c r="Q114" i="1" s="1"/>
  <c r="U115" i="1" s="1"/>
  <c r="Q109" i="1"/>
  <c r="N109" i="1"/>
  <c r="N112" i="1"/>
  <c r="N113" i="1" s="1"/>
  <c r="N114" i="1" s="1"/>
  <c r="Q101" i="1"/>
  <c r="R5" i="8"/>
  <c r="U12" i="8" s="1"/>
  <c r="R24" i="7"/>
  <c r="Q102" i="1"/>
  <c r="U101" i="1"/>
  <c r="N101" i="1"/>
  <c r="R101" i="1"/>
  <c r="Y100" i="1"/>
  <c r="O24" i="7"/>
  <c r="N102" i="1"/>
  <c r="O5" i="8"/>
  <c r="O12" i="8" s="1"/>
  <c r="Q78" i="1"/>
  <c r="Q95" i="1" s="1"/>
  <c r="U118" i="1"/>
  <c r="U116" i="1"/>
  <c r="N78" i="1"/>
  <c r="X24" i="7" l="1"/>
  <c r="Y24" i="7" s="1"/>
  <c r="Z24" i="7" s="1"/>
  <c r="AA24" i="7" s="1"/>
  <c r="AB24" i="7" s="1"/>
  <c r="AB25" i="7" s="1"/>
  <c r="J31" i="7" s="1"/>
  <c r="AB5" i="8"/>
  <c r="Y114" i="1"/>
  <c r="Y115" i="1" s="1"/>
  <c r="Z118" i="1"/>
  <c r="K5" i="1"/>
  <c r="G17" i="23"/>
  <c r="P18" i="7"/>
  <c r="O96" i="1"/>
  <c r="S96" i="1"/>
  <c r="S18" i="7"/>
  <c r="W20" i="7" s="1"/>
  <c r="S16" i="6"/>
  <c r="E25" i="6" s="1"/>
  <c r="Z5" i="8"/>
  <c r="Y101" i="1"/>
  <c r="Z101" i="1"/>
  <c r="R18" i="7"/>
  <c r="Q96" i="1"/>
  <c r="R16" i="6"/>
  <c r="U96" i="1"/>
  <c r="N115" i="1"/>
  <c r="N118" i="1"/>
  <c r="N116" i="1"/>
  <c r="R115" i="1"/>
  <c r="Q12" i="8"/>
  <c r="P12" i="8"/>
  <c r="R12" i="8"/>
  <c r="Q103" i="1"/>
  <c r="R7" i="8"/>
  <c r="U103" i="1"/>
  <c r="Q115" i="1"/>
  <c r="Q118" i="1"/>
  <c r="Q116" i="1"/>
  <c r="N95" i="1"/>
  <c r="Y78" i="1"/>
  <c r="N103" i="1"/>
  <c r="R103" i="1"/>
  <c r="O7" i="8"/>
  <c r="Y102" i="1"/>
  <c r="V17" i="8"/>
  <c r="T12" i="8"/>
  <c r="S12" i="8"/>
  <c r="X20" i="7" l="1"/>
  <c r="Y20" i="7" s="1"/>
  <c r="Z20" i="7" s="1"/>
  <c r="AA20" i="7" s="1"/>
  <c r="AB20" i="7" s="1"/>
  <c r="AB21" i="7" s="1"/>
  <c r="Z115" i="1"/>
  <c r="Y118" i="1"/>
  <c r="Y95" i="1"/>
  <c r="N96" i="1"/>
  <c r="O16" i="6"/>
  <c r="O18" i="7"/>
  <c r="R96" i="1"/>
  <c r="O17" i="8"/>
  <c r="R17" i="8"/>
  <c r="Z6" i="8"/>
  <c r="AA6" i="8"/>
  <c r="V15" i="8"/>
  <c r="Z103" i="1"/>
  <c r="Z7" i="8"/>
  <c r="Y103" i="1"/>
  <c r="J30" i="7" l="1"/>
  <c r="E29" i="7"/>
  <c r="J29" i="7" s="1"/>
  <c r="J23" i="6"/>
  <c r="J26" i="6" s="1"/>
  <c r="J36" i="6" s="1"/>
  <c r="J38" i="6" s="1"/>
  <c r="E23" i="6"/>
  <c r="E26" i="6" s="1"/>
  <c r="E36" i="6" s="1"/>
  <c r="E38" i="6" s="1"/>
  <c r="E30" i="7"/>
  <c r="K6" i="1"/>
  <c r="G18" i="23"/>
  <c r="Z8" i="8"/>
  <c r="AA8" i="8"/>
  <c r="O15" i="8"/>
  <c r="Q15" i="8"/>
  <c r="P15" i="8"/>
  <c r="R15" i="8"/>
  <c r="Y96" i="1"/>
  <c r="Z96" i="1"/>
  <c r="S15" i="8"/>
  <c r="U15" i="8"/>
  <c r="T15" i="8"/>
  <c r="J32" i="7" l="1"/>
  <c r="J42" i="7" s="1"/>
  <c r="J44" i="7" s="1"/>
  <c r="E40" i="6"/>
  <c r="E32" i="7"/>
  <c r="E42" i="7" s="1"/>
  <c r="E44" i="7" s="1"/>
  <c r="E46" i="7" l="1"/>
  <c r="K4" i="1" s="1"/>
  <c r="K3" i="1"/>
  <c r="G15" i="23"/>
  <c r="G16" i="23" l="1"/>
  <c r="G19" i="23" s="1"/>
  <c r="G21" i="23" s="1"/>
  <c r="K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Grayson Harper</author>
  </authors>
  <commentList>
    <comment ref="F56" authorId="0" shapeId="0" xr:uid="{3D265686-A099-44BF-94D6-4BF3202168F8}">
      <text>
        <r>
          <rPr>
            <b/>
            <sz val="9"/>
            <color indexed="81"/>
            <rFont val="Tahoma"/>
            <family val="2"/>
          </rPr>
          <t>Grayson Harper:</t>
        </r>
        <r>
          <rPr>
            <sz val="9"/>
            <color indexed="81"/>
            <rFont val="Tahoma"/>
            <family val="2"/>
          </rPr>
          <t xml:space="preserve">
US T 10yr yield</t>
        </r>
      </text>
    </comment>
    <comment ref="K56" authorId="0" shapeId="0" xr:uid="{9FCF6B9C-5BB6-4EEE-A685-CAB211AB440F}">
      <text>
        <r>
          <rPr>
            <b/>
            <sz val="9"/>
            <color indexed="81"/>
            <rFont val="Tahoma"/>
            <family val="2"/>
          </rPr>
          <t>Grayson Harper:</t>
        </r>
        <r>
          <rPr>
            <sz val="9"/>
            <color indexed="81"/>
            <rFont val="Tahoma"/>
            <family val="2"/>
          </rPr>
          <t xml:space="preserve">
US T 10yr yield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AF657C-3AEE-49EC-A9FD-926A8E78C908}"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<sst xmlns="http://schemas.openxmlformats.org/spreadsheetml/2006/main" count="2819" uniqueCount="246">
  <si>
    <t>Fiscal Quarter</t>
  </si>
  <si>
    <t>1Q 2023A</t>
  </si>
  <si>
    <t>2Q 2023A</t>
  </si>
  <si>
    <t>3Q 2023A</t>
  </si>
  <si>
    <t>4Q 2023A</t>
  </si>
  <si>
    <t>1Q 2024A</t>
  </si>
  <si>
    <t>2Q 2024A</t>
  </si>
  <si>
    <t>3Q 2024A</t>
  </si>
  <si>
    <t>4Q 2024A</t>
  </si>
  <si>
    <t>Period Ending</t>
  </si>
  <si>
    <t>Total Revenue</t>
  </si>
  <si>
    <t>Other revenue</t>
  </si>
  <si>
    <t>Center operations</t>
  </si>
  <si>
    <t>Rent</t>
  </si>
  <si>
    <t>Center memberships</t>
  </si>
  <si>
    <t>Digital on-hold memberships</t>
  </si>
  <si>
    <t>QoQ Growth</t>
  </si>
  <si>
    <t>Membership dues and enrollment fees</t>
  </si>
  <si>
    <t>In-center revenue</t>
  </si>
  <si>
    <t>Total center revenue</t>
  </si>
  <si>
    <t>1Q 2025A</t>
  </si>
  <si>
    <t>2Q 2025A</t>
  </si>
  <si>
    <t>3Q 2025A</t>
  </si>
  <si>
    <t>4Q 2025A</t>
  </si>
  <si>
    <t>1Q 2026A</t>
  </si>
  <si>
    <t>2Q 2026A</t>
  </si>
  <si>
    <t>3Q 2026A</t>
  </si>
  <si>
    <t>4Q 2026A</t>
  </si>
  <si>
    <t>$ Amounts in Thousands (except $ per membership amounts)</t>
  </si>
  <si>
    <t>Switches</t>
  </si>
  <si>
    <t>Upside</t>
  </si>
  <si>
    <t>Base</t>
  </si>
  <si>
    <t>Downside</t>
  </si>
  <si>
    <t>Membership dues/fees per membership</t>
  </si>
  <si>
    <t>In-center rev/center membership</t>
  </si>
  <si>
    <t>Total centers</t>
  </si>
  <si>
    <t>Members per center</t>
  </si>
  <si>
    <t>New centers</t>
  </si>
  <si>
    <t>% of center revenue</t>
  </si>
  <si>
    <t>SG&amp;A</t>
  </si>
  <si>
    <t>D&amp;A</t>
  </si>
  <si>
    <t>Rent per center</t>
  </si>
  <si>
    <t>% of total rev</t>
  </si>
  <si>
    <t>Operating income (EBIT)</t>
  </si>
  <si>
    <t>EBIT margin</t>
  </si>
  <si>
    <t>Taxes</t>
  </si>
  <si>
    <t>Tax rate</t>
  </si>
  <si>
    <t>NOPAT</t>
  </si>
  <si>
    <t>Current assets</t>
  </si>
  <si>
    <t>Current liabilities</t>
  </si>
  <si>
    <t>% of rev</t>
  </si>
  <si>
    <t>NWC</t>
  </si>
  <si>
    <t>Change in NWC</t>
  </si>
  <si>
    <t>FCFF</t>
  </si>
  <si>
    <t>Valuation</t>
  </si>
  <si>
    <t>2023A</t>
  </si>
  <si>
    <t>2024A</t>
  </si>
  <si>
    <t>2025F</t>
  </si>
  <si>
    <t>2026F</t>
  </si>
  <si>
    <t>2027F</t>
  </si>
  <si>
    <t>2028F</t>
  </si>
  <si>
    <t>2029F</t>
  </si>
  <si>
    <t>2030F</t>
  </si>
  <si>
    <t>Valuation Date</t>
  </si>
  <si>
    <t>Date for NPV calc</t>
  </si>
  <si>
    <t>Year Frac</t>
  </si>
  <si>
    <t>Terminal value</t>
  </si>
  <si>
    <t>EBITDA Terminal Value</t>
  </si>
  <si>
    <t>Date</t>
  </si>
  <si>
    <t>Share Price</t>
  </si>
  <si>
    <t>WACC</t>
  </si>
  <si>
    <t>Long-term growth</t>
  </si>
  <si>
    <t>EBITDA Exit</t>
  </si>
  <si>
    <t>EBITDA</t>
  </si>
  <si>
    <t>EBITDA Exit Multiple</t>
  </si>
  <si>
    <t>NPV - Terminal Value</t>
  </si>
  <si>
    <t>Enterprise Value</t>
  </si>
  <si>
    <t>(+) Cash &amp; Cash-Equivalents:</t>
  </si>
  <si>
    <t>(+) Equity Investments:</t>
  </si>
  <si>
    <t>-</t>
  </si>
  <si>
    <t>(+) Other Non-Core Assets, Net:</t>
  </si>
  <si>
    <t>(+) Net Operating Losses:</t>
  </si>
  <si>
    <t>(-) Total Debt &amp; Capital Leases:</t>
  </si>
  <si>
    <t>(-) Preferred Stock:</t>
  </si>
  <si>
    <t>(-) Noncontrolling Interests:</t>
  </si>
  <si>
    <t>(-) Unfunded Pension Obligations:</t>
  </si>
  <si>
    <t>(-) Restructuring &amp; Other Liabilities:</t>
  </si>
  <si>
    <t>Equity Value</t>
  </si>
  <si>
    <t>Equity Value per Share</t>
  </si>
  <si>
    <t>CAPEX</t>
  </si>
  <si>
    <t>SBC</t>
  </si>
  <si>
    <t>NPV - FCF Explicit Period</t>
  </si>
  <si>
    <t>1Q 2025F</t>
  </si>
  <si>
    <t>2Q 2025F</t>
  </si>
  <si>
    <t>3Q 2025F</t>
  </si>
  <si>
    <t>4Q 2025F</t>
  </si>
  <si>
    <t>1Q 2026F</t>
  </si>
  <si>
    <t>2Q 2026F</t>
  </si>
  <si>
    <t>3Q 2026F</t>
  </si>
  <si>
    <t>4Q 2026F</t>
  </si>
  <si>
    <t>Total Debt</t>
  </si>
  <si>
    <t>Mkt val Equity</t>
  </si>
  <si>
    <t>% Debt</t>
  </si>
  <si>
    <t>% Equity</t>
  </si>
  <si>
    <t>Median % Debt</t>
  </si>
  <si>
    <t>Median % Equity</t>
  </si>
  <si>
    <t>Beta</t>
  </si>
  <si>
    <t>Industry Beta</t>
  </si>
  <si>
    <t>Cost of Equity (current capital structure)</t>
  </si>
  <si>
    <t>Beta (relevered)</t>
  </si>
  <si>
    <t>Risk Free Rate</t>
  </si>
  <si>
    <t>Equity Risk Premium</t>
  </si>
  <si>
    <t>Cost of Debt</t>
  </si>
  <si>
    <t>Pre-Tax Cost of Debt</t>
  </si>
  <si>
    <t>Tax Rate</t>
  </si>
  <si>
    <t>Average WACC</t>
  </si>
  <si>
    <t>Comparable Companies</t>
  </si>
  <si>
    <t>Total</t>
  </si>
  <si>
    <t>Mkt. Val.</t>
  </si>
  <si>
    <t xml:space="preserve">Equity / </t>
  </si>
  <si>
    <t>Debt /</t>
  </si>
  <si>
    <t>Tax</t>
  </si>
  <si>
    <t>Levered</t>
  </si>
  <si>
    <t>Unlevered</t>
  </si>
  <si>
    <t>Name</t>
  </si>
  <si>
    <t>Ticker</t>
  </si>
  <si>
    <t>Debt</t>
  </si>
  <si>
    <t>Equity</t>
  </si>
  <si>
    <t>Capital</t>
  </si>
  <si>
    <t>Rate</t>
  </si>
  <si>
    <t>Beta (5-Yr)</t>
  </si>
  <si>
    <t>Median</t>
  </si>
  <si>
    <t>PLNT</t>
  </si>
  <si>
    <t>XPOF</t>
  </si>
  <si>
    <t>PTON</t>
  </si>
  <si>
    <t>MD</t>
  </si>
  <si>
    <t>SHCO</t>
  </si>
  <si>
    <t>MODG</t>
  </si>
  <si>
    <t>NPV - Second Stage</t>
  </si>
  <si>
    <t>EBTIDA Growth Rate</t>
  </si>
  <si>
    <t>Average Equity Value per Share</t>
  </si>
  <si>
    <t>EV / EBITDA (LTM)</t>
  </si>
  <si>
    <t>Price / Earnings - P/E (LTM)</t>
  </si>
  <si>
    <t>EBITDA + SBC</t>
  </si>
  <si>
    <t>Two Step Valuation</t>
  </si>
  <si>
    <t>Three Step Valuation</t>
  </si>
  <si>
    <t>Cash</t>
  </si>
  <si>
    <t>EV</t>
  </si>
  <si>
    <t>Market Cap</t>
  </si>
  <si>
    <t>EV/EBITA LTM Projection</t>
  </si>
  <si>
    <t>EPS Calc</t>
  </si>
  <si>
    <t>Interest expense</t>
  </si>
  <si>
    <t>EBT</t>
  </si>
  <si>
    <t>Net Income</t>
  </si>
  <si>
    <t xml:space="preserve">Shares </t>
  </si>
  <si>
    <t>EPS</t>
  </si>
  <si>
    <t>Average</t>
  </si>
  <si>
    <t>Share price</t>
  </si>
  <si>
    <t>Center Membership dues/ fees per membership</t>
  </si>
  <si>
    <t>Digital Membership dues/ fees per membership</t>
  </si>
  <si>
    <t xml:space="preserve">Digital Membership dues/ fees </t>
  </si>
  <si>
    <t>Quarter</t>
  </si>
  <si>
    <t>Row Labels</t>
  </si>
  <si>
    <t>Grand Total</t>
  </si>
  <si>
    <t>Category</t>
  </si>
  <si>
    <t>Period</t>
  </si>
  <si>
    <t>Value</t>
  </si>
  <si>
    <t>Column Labels</t>
  </si>
  <si>
    <t>Sum of Value</t>
  </si>
  <si>
    <t>net profit margin</t>
  </si>
  <si>
    <t>Center memberships QoQ Growth</t>
  </si>
  <si>
    <t>Digital on-hold memberships QoQ Growth</t>
  </si>
  <si>
    <t>Center Membership dues/ fees per membership QoQ Growth</t>
  </si>
  <si>
    <t>Membership dues and enrollment fees QoQ Growth</t>
  </si>
  <si>
    <t>In-center revenue QoQ Growth</t>
  </si>
  <si>
    <t>In-center rev/center membership QoQ Growth</t>
  </si>
  <si>
    <t>Total center revenue QoQ Growth</t>
  </si>
  <si>
    <t>Total Revenue QoQ Growth</t>
  </si>
  <si>
    <t>Center operations % of center revenue</t>
  </si>
  <si>
    <t>SG&amp;A % of total rev</t>
  </si>
  <si>
    <t>D&amp;A % of total rev</t>
  </si>
  <si>
    <t>CAPEX % of rev</t>
  </si>
  <si>
    <t>SBC % of rev</t>
  </si>
  <si>
    <t>FCFF QoQ Growth</t>
  </si>
  <si>
    <t>Net Income QoQ Growth</t>
  </si>
  <si>
    <t>EBITDA + SBC QoQ Growth</t>
  </si>
  <si>
    <t>EBITDA QoQ Growth</t>
  </si>
  <si>
    <t>Metric</t>
  </si>
  <si>
    <t>Revenue</t>
  </si>
  <si>
    <t>Expenses</t>
  </si>
  <si>
    <t>Profitability</t>
  </si>
  <si>
    <t>Center operations % of center rev</t>
  </si>
  <si>
    <t>Actual or Forecasted</t>
  </si>
  <si>
    <t>Actuals</t>
  </si>
  <si>
    <t>Net Profit Margin</t>
  </si>
  <si>
    <t>FCFF Growth Rate</t>
  </si>
  <si>
    <t>Revenue Build</t>
  </si>
  <si>
    <t>FCF Build</t>
  </si>
  <si>
    <t>EBITDA &amp; Net Income</t>
  </si>
  <si>
    <t>DCF Model</t>
  </si>
  <si>
    <t xml:space="preserve">Last Price: </t>
  </si>
  <si>
    <t>Ticker:</t>
  </si>
  <si>
    <t>$LTH</t>
  </si>
  <si>
    <t xml:space="preserve">Company: </t>
  </si>
  <si>
    <t>Valaution Date</t>
  </si>
  <si>
    <t>Font Guide</t>
  </si>
  <si>
    <t>Color</t>
  </si>
  <si>
    <t>Meaning</t>
  </si>
  <si>
    <t>Blue</t>
  </si>
  <si>
    <t>Hardcoded values</t>
  </si>
  <si>
    <t>Black</t>
  </si>
  <si>
    <t>Calculations or cell references</t>
  </si>
  <si>
    <t>Valuation Summary</t>
  </si>
  <si>
    <t>P/E LTM Projection</t>
  </si>
  <si>
    <t>Fully Diluted Shares</t>
  </si>
  <si>
    <t>Type</t>
  </si>
  <si>
    <t>Number</t>
  </si>
  <si>
    <t>Price</t>
  </si>
  <si>
    <t>Dilution</t>
  </si>
  <si>
    <t>Proceeds</t>
  </si>
  <si>
    <t>Options:</t>
  </si>
  <si>
    <t>Warrants:</t>
  </si>
  <si>
    <t>RSUs:</t>
  </si>
  <si>
    <t>Other:</t>
  </si>
  <si>
    <t>Total:</t>
  </si>
  <si>
    <t>Shares from ITM options/rsu</t>
  </si>
  <si>
    <t>Shares repurchased</t>
  </si>
  <si>
    <t>Total new shares from options/rsu</t>
  </si>
  <si>
    <t>Life Time Group Holdings, Inc.</t>
  </si>
  <si>
    <t>Shares Outstanding (thousands)</t>
  </si>
  <si>
    <t>Quarterly Projections</t>
  </si>
  <si>
    <t>Annual Rollup</t>
  </si>
  <si>
    <t>Cost of Equity (current)</t>
  </si>
  <si>
    <t>Beta (observed)</t>
  </si>
  <si>
    <t>WACC (industry method)</t>
  </si>
  <si>
    <t>WACC (current)</t>
  </si>
  <si>
    <t>WACC (current with industry capital structure)</t>
  </si>
  <si>
    <t>Date for Quarterly first stage NPV calc</t>
  </si>
  <si>
    <t>Year Frac Quarterly</t>
  </si>
  <si>
    <t>Date for Annual second stage NPV calc</t>
  </si>
  <si>
    <t>FCFF 1st stage</t>
  </si>
  <si>
    <t>FCFF 2nd stage</t>
  </si>
  <si>
    <t>Terminal Value</t>
  </si>
  <si>
    <t>2031F</t>
  </si>
  <si>
    <t>2032F</t>
  </si>
  <si>
    <t>Actuals + Forecasted (Base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</si>
</sst>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4" formatCode="_(&quot;$&quot;* #,##0.00_);_(&quot;$&quot;* \(#,##0.00\);_(&quot;$&quot;* &quot;-&quot;??_);_(@_)"/>
    <numFmt numFmtId="43" formatCode="_(* #,##0.00_);_(* \(#,##0.00\);_(* &quot;-&quot;??_);_(@_)"/>
    <numFmt numFmtId="164" formatCode="0.0%"/>
    <numFmt numFmtId="165" formatCode="_(* #,##0_);_(* \(#,##0\);_(* &quot;-&quot;??_);_(@_)"/>
    <numFmt numFmtId="166" formatCode="_(&quot;$&quot;* #,##0.0_);_(&quot;$&quot;* \(#,##0.0\);_(&quot;$&quot;* &quot;-&quot;??_);_(@_)"/>
    <numFmt numFmtId="167" formatCode="_(&quot;$&quot;* #,##0_);_(&quot;$&quot;* \(#,##0\);_(&quot;$&quot;* &quot;-&quot;??_);_(@_)"/>
    <numFmt numFmtId="168" formatCode="0.0"/>
    <numFmt numFmtId="169" formatCode="&quot;$&quot;#,##0.00"/>
    <numFmt numFmtId="170" formatCode="yyyy\-mm\-dd\ hh:mm:ss"/>
    <numFmt numFmtId="171" formatCode="\ "/>
    <numFmt numFmtId="172" formatCode="#,##0.0_);\(#,##0.0\)"/>
    <numFmt numFmtId="173" formatCode="_(* #,##0_);_(* \(#,##0\);_(* &quot;-&quot;???_);_(@_)"/>
    <numFmt numFmtId="174" formatCode="_(* #,##0.000_);_(* \(#,##0.000\);_(* &quot;-&quot;???_);_(@_)"/>
  </numFmts>
  <fonts count="33" x14ac:knownFonts="1">
    <font>
      <sz val="10"/>
      <color theme="1"/>
      <name val="Aptos narrow"/>
      <family val="2"/>
    </font>
    <font>
      <sz val="10"/>
      <color theme="1"/>
      <name val="Aptos narrow"/>
      <family val="2"/>
    </font>
    <font>
      <b/>
      <sz val="10"/>
      <color theme="0"/>
      <name val="Aptos narrow"/>
      <family val="2"/>
    </font>
    <font>
      <b/>
      <sz val="10"/>
      <color theme="1"/>
      <name val="Aptos narrow"/>
      <family val="2"/>
    </font>
    <font>
      <sz val="11"/>
      <color theme="1"/>
      <name val="Aptos Narrow"/>
      <family val="2"/>
      <scheme val="minor"/>
    </font>
    <font>
      <sz val="10"/>
      <color theme="0"/>
      <name val="Aptos Narrow"/>
      <family val="2"/>
      <scheme val="minor"/>
    </font>
    <font>
      <sz val="10"/>
      <color theme="1"/>
      <name val="Aptos Narrow"/>
      <family val="2"/>
      <scheme val="minor"/>
    </font>
    <font>
      <i/>
      <sz val="9"/>
      <color theme="1"/>
      <name val="Aptos narrow"/>
      <family val="2"/>
    </font>
    <font>
      <i/>
      <sz val="10"/>
      <color theme="1"/>
      <name val="Aptos narrow"/>
      <family val="2"/>
    </font>
    <font>
      <sz val="10"/>
      <color rgb="FF0000FF"/>
      <name val="Aptos narrow"/>
      <family val="2"/>
    </font>
    <font>
      <b/>
      <sz val="10"/>
      <color theme="0"/>
      <name val="Aptos Narrow"/>
      <family val="2"/>
      <scheme val="minor"/>
    </font>
    <font>
      <i/>
      <sz val="9"/>
      <color theme="1"/>
      <name val="Aptos Narrow"/>
      <family val="2"/>
      <scheme val="minor"/>
    </font>
    <font>
      <b/>
      <sz val="10"/>
      <color theme="1"/>
      <name val="Aptos Narrow"/>
      <family val="2"/>
      <scheme val="minor"/>
    </font>
    <font>
      <sz val="10"/>
      <name val="Aptos narrow"/>
      <family val="2"/>
    </font>
    <font>
      <sz val="9"/>
      <color theme="1"/>
      <name val="Aptos narrow"/>
      <family val="2"/>
    </font>
    <font>
      <i/>
      <sz val="10"/>
      <color theme="1"/>
      <name val="Aptos Narrow"/>
      <family val="2"/>
      <scheme val="minor"/>
    </font>
    <font>
      <sz val="10"/>
      <color rgb="FF0000FF"/>
      <name val="Aptos Narrow"/>
      <family val="2"/>
      <scheme val="minor"/>
    </font>
    <font>
      <sz val="10"/>
      <name val="Times New Roman"/>
      <family val="1"/>
    </font>
    <font>
      <b/>
      <sz val="10"/>
      <name val="Aptos Narrow"/>
      <family val="2"/>
      <scheme val="minor"/>
    </font>
    <font>
      <sz val="10"/>
      <color rgb="FF000000"/>
      <name val="Aptos Narrow"/>
      <family val="2"/>
      <scheme val="minor"/>
    </font>
    <font>
      <sz val="10"/>
      <name val="Arial"/>
      <family val="2"/>
    </font>
    <font>
      <sz val="10"/>
      <name val="Aptos Narrow"/>
      <family val="2"/>
      <scheme val="minor"/>
    </font>
    <font>
      <b/>
      <sz val="10"/>
      <color rgb="FF000000"/>
      <name val="Aptos Narrow"/>
      <family val="2"/>
      <scheme val="minor"/>
    </font>
    <font>
      <b/>
      <sz val="9"/>
      <color indexed="81"/>
      <name val="Tahoma"/>
      <family val="2"/>
    </font>
    <font>
      <sz val="9"/>
      <color indexed="81"/>
      <name val="Tahoma"/>
      <family val="2"/>
    </font>
    <font>
      <b/>
      <sz val="10"/>
      <color rgb="FF0000FF"/>
      <name val="Aptos narrow"/>
      <family val="2"/>
    </font>
    <font>
      <b/>
      <i/>
      <sz val="9"/>
      <color theme="1"/>
      <name val="Aptos narrow"/>
      <family val="2"/>
    </font>
    <font>
      <b/>
      <sz val="11"/>
      <name val="Calibri"/>
      <family val="2"/>
    </font>
    <font>
      <b/>
      <sz val="36"/>
      <color theme="1"/>
      <name val="Aptos narrow"/>
      <family val="2"/>
    </font>
    <font>
      <b/>
      <sz val="36"/>
      <color theme="0"/>
      <name val="Aptos narrow"/>
      <family val="2"/>
    </font>
    <font>
      <b/>
      <sz val="11"/>
      <color theme="1"/>
      <name val="Aptos narrow"/>
      <family val="2"/>
    </font>
    <font>
      <b/>
      <sz val="12"/>
      <color theme="1"/>
      <name val="Aptos narrow"/>
      <family val="2"/>
    </font>
    <font>
      <b/>
      <sz val="10"/>
      <color rgb="FF0000FF"/>
      <name val="Aptos Narrow"/>
      <family val="2"/>
      <scheme val="minor"/>
    </font>
  </fonts>
  <fills count="13">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3"/>
        <bgColor rgb="FF000000"/>
      </patternFill>
    </fill>
    <fill>
      <patternFill patternType="solid">
        <fgColor theme="7" tint="0.59999389629810485"/>
        <bgColor indexed="64"/>
      </patternFill>
    </fill>
    <fill>
      <patternFill patternType="solid">
        <fgColor rgb="FF0E2B3A"/>
        <bgColor indexed="64"/>
      </patternFill>
    </fill>
    <fill>
      <patternFill patternType="solid">
        <fgColor theme="2" tint="-0.249977111117893"/>
        <bgColor indexed="64"/>
      </patternFill>
    </fill>
    <fill>
      <patternFill patternType="solid">
        <fgColor theme="1"/>
        <bgColor indexed="64"/>
      </patternFill>
    </fill>
    <fill>
      <patternFill patternType="solid">
        <fgColor theme="0" tint="-0.14999847407452621"/>
        <bgColor indexed="64"/>
      </patternFill>
    </fill>
  </fills>
  <borders count="33">
    <border>
      <left/>
      <right/>
      <top/>
      <bottom/>
      <diagonal/>
    </border>
    <border>
      <left/>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style="hair">
        <color theme="0" tint="-0.499984740745262"/>
      </top>
      <bottom/>
      <diagonal/>
    </border>
    <border>
      <left style="hair">
        <color theme="0" tint="-0.499984740745262"/>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499984740745262"/>
      </right>
      <top style="hair">
        <color theme="0" tint="-0.34998626667073579"/>
      </top>
      <bottom style="hair">
        <color theme="0" tint="-0.34998626667073579"/>
      </bottom>
      <diagonal/>
    </border>
    <border>
      <left style="hair">
        <color theme="0" tint="-0.499984740745262"/>
      </left>
      <right/>
      <top/>
      <bottom style="hair">
        <color theme="0" tint="-0.34998626667073579"/>
      </bottom>
      <diagonal/>
    </border>
    <border>
      <left/>
      <right style="hair">
        <color theme="0" tint="-0.499984740745262"/>
      </right>
      <top/>
      <bottom style="hair">
        <color theme="0" tint="-0.34998626667073579"/>
      </bottom>
      <diagonal/>
    </border>
    <border>
      <left/>
      <right style="hair">
        <color theme="0" tint="-0.34998626667073579"/>
      </right>
      <top style="hair">
        <color theme="0" tint="-0.34998626667073579"/>
      </top>
      <bottom/>
      <diagonal/>
    </border>
    <border>
      <left/>
      <right style="hair">
        <color theme="0" tint="-0.34998626667073579"/>
      </right>
      <top style="hair">
        <color theme="0" tint="-0.34998626667073579"/>
      </top>
      <bottom style="hair">
        <color theme="0" tint="-0.34998626667073579"/>
      </bottom>
      <diagonal/>
    </border>
    <border>
      <left/>
      <right style="hair">
        <color theme="0" tint="-0.34998626667073579"/>
      </right>
      <top/>
      <bottom/>
      <diagonal/>
    </border>
    <border>
      <left/>
      <right style="hair">
        <color theme="0" tint="-0.34998626667073579"/>
      </right>
      <top/>
      <bottom style="hair">
        <color theme="0" tint="-0.34998626667073579"/>
      </bottom>
      <diagonal/>
    </border>
    <border>
      <left/>
      <right/>
      <top/>
      <bottom style="medium">
        <color theme="0" tint="-0.34998626667073579"/>
      </bottom>
      <diagonal/>
    </border>
    <border>
      <left/>
      <right style="hair">
        <color theme="0" tint="-0.34998626667073579"/>
      </right>
      <top/>
      <bottom style="medium">
        <color theme="0" tint="-0.34998626667073579"/>
      </bottom>
      <diagonal/>
    </border>
    <border>
      <left/>
      <right style="hair">
        <color theme="0" tint="-0.34998626667073579"/>
      </right>
      <top style="medium">
        <color theme="0" tint="-0.34998626667073579"/>
      </top>
      <bottom/>
      <diagonal/>
    </border>
    <border>
      <left/>
      <right style="hair">
        <color theme="0" tint="-0.499984740745262"/>
      </right>
      <top/>
      <bottom/>
      <diagonal/>
    </border>
    <border>
      <left style="hair">
        <color theme="0" tint="-0.34998626667073579"/>
      </left>
      <right/>
      <top style="hair">
        <color theme="0" tint="-0.34998626667073579"/>
      </top>
      <bottom style="hair">
        <color theme="0" tint="-0.34998626667073579"/>
      </bottom>
      <diagonal/>
    </border>
    <border>
      <left/>
      <right/>
      <top/>
      <bottom style="hair">
        <color theme="0" tint="-0.14999847407452621"/>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hair">
        <color theme="0" tint="-0.14999847407452621"/>
      </left>
      <right style="hair">
        <color theme="0" tint="-0.14999847407452621"/>
      </right>
      <top style="hair">
        <color theme="0" tint="-0.14999847407452621"/>
      </top>
      <bottom style="hair">
        <color theme="0" tint="-0.14999847407452621"/>
      </bottom>
      <diagonal/>
    </border>
    <border>
      <left/>
      <right/>
      <top/>
      <bottom style="thin">
        <color theme="0" tint="-0.34998626667073579"/>
      </bottom>
      <diagonal/>
    </border>
    <border>
      <left/>
      <right/>
      <top/>
      <bottom style="thin">
        <color theme="2" tint="-0.499984740745262"/>
      </bottom>
      <diagonal/>
    </border>
    <border>
      <left style="thin">
        <color auto="1"/>
      </left>
      <right style="thin">
        <color auto="1"/>
      </right>
      <top style="thin">
        <color auto="1"/>
      </top>
      <bottom style="thin">
        <color auto="1"/>
      </bottom>
      <diagonal/>
    </border>
    <border>
      <left/>
      <right style="hair">
        <color theme="0" tint="-0.34998626667073579"/>
      </right>
      <top/>
      <bottom style="hair">
        <color theme="0" tint="-0.499984740745262"/>
      </bottom>
      <diagonal/>
    </border>
    <border>
      <left style="hair">
        <color theme="0" tint="-0.499984740745262"/>
      </left>
      <right/>
      <top/>
      <bottom style="hair">
        <color theme="0" tint="-0.499984740745262"/>
      </bottom>
      <diagonal/>
    </border>
    <border>
      <left style="hair">
        <color theme="0" tint="-0.499984740745262"/>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style="hair">
        <color theme="0" tint="-0.34998626667073579"/>
      </left>
      <right style="hair">
        <color theme="0" tint="-0.499984740745262"/>
      </right>
      <top style="hair">
        <color theme="0" tint="-0.499984740745262"/>
      </top>
      <bottom style="hair">
        <color theme="0" tint="-0.499984740745262"/>
      </bottom>
      <diagonal/>
    </border>
    <border>
      <left style="hair">
        <color theme="0" tint="-0.34998626667073579"/>
      </left>
      <right style="hair">
        <color theme="0" tint="-0.499984740745262"/>
      </right>
      <top/>
      <bottom style="hair">
        <color theme="0"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0"/>
    <xf numFmtId="0" fontId="17" fillId="0" borderId="0"/>
    <xf numFmtId="0" fontId="20" fillId="0" borderId="0"/>
  </cellStyleXfs>
  <cellXfs count="208">
    <xf numFmtId="0" fontId="0" fillId="0" borderId="0" xfId="0"/>
    <xf numFmtId="0" fontId="5" fillId="2" borderId="0" xfId="4" quotePrefix="1" applyFont="1" applyFill="1" applyAlignment="1">
      <alignment vertical="top"/>
    </xf>
    <xf numFmtId="0" fontId="2" fillId="2" borderId="0" xfId="0" applyFont="1" applyFill="1" applyAlignment="1">
      <alignment horizontal="center"/>
    </xf>
    <xf numFmtId="0" fontId="6" fillId="0" borderId="1" xfId="0" applyFont="1" applyBorder="1"/>
    <xf numFmtId="14" fontId="7" fillId="0" borderId="1" xfId="0" applyNumberFormat="1" applyFont="1" applyBorder="1" applyAlignment="1">
      <alignment horizontal="center"/>
    </xf>
    <xf numFmtId="0" fontId="8" fillId="0" borderId="0" xfId="0" applyFont="1"/>
    <xf numFmtId="0" fontId="3" fillId="0" borderId="0" xfId="0" applyFont="1"/>
    <xf numFmtId="37" fontId="0" fillId="0" borderId="0" xfId="0" applyNumberFormat="1"/>
    <xf numFmtId="37" fontId="3" fillId="0" borderId="0" xfId="0" applyNumberFormat="1" applyFont="1"/>
    <xf numFmtId="0" fontId="7" fillId="0" borderId="0" xfId="0" applyFont="1"/>
    <xf numFmtId="9" fontId="0" fillId="0" borderId="0" xfId="3" applyFont="1"/>
    <xf numFmtId="9" fontId="7" fillId="0" borderId="0" xfId="3" applyFont="1"/>
    <xf numFmtId="164" fontId="7" fillId="0" borderId="0" xfId="3" applyNumberFormat="1" applyFont="1"/>
    <xf numFmtId="0" fontId="0" fillId="0" borderId="1" xfId="0" applyBorder="1"/>
    <xf numFmtId="37" fontId="9" fillId="0" borderId="0" xfId="0" applyNumberFormat="1" applyFont="1"/>
    <xf numFmtId="43" fontId="7" fillId="0" borderId="0" xfId="1" applyFont="1"/>
    <xf numFmtId="0" fontId="10" fillId="3" borderId="0" xfId="4" applyFont="1" applyFill="1" applyAlignment="1">
      <alignment horizontal="center" vertical="center" wrapText="1"/>
    </xf>
    <xf numFmtId="0" fontId="12" fillId="0" borderId="3" xfId="0" applyFont="1" applyBorder="1"/>
    <xf numFmtId="0" fontId="6" fillId="0" borderId="3" xfId="0" applyFont="1" applyBorder="1"/>
    <xf numFmtId="0" fontId="6" fillId="0" borderId="0" xfId="0" applyFont="1"/>
    <xf numFmtId="0" fontId="6" fillId="6" borderId="4" xfId="0" applyFont="1" applyFill="1" applyBorder="1"/>
    <xf numFmtId="0" fontId="7" fillId="0" borderId="0" xfId="0" applyFont="1" applyAlignment="1">
      <alignment horizontal="left" indent="1"/>
    </xf>
    <xf numFmtId="164" fontId="11" fillId="0" borderId="0" xfId="3" applyNumberFormat="1" applyFont="1" applyFill="1"/>
    <xf numFmtId="164" fontId="7" fillId="5" borderId="2" xfId="3" applyNumberFormat="1" applyFont="1" applyFill="1" applyBorder="1"/>
    <xf numFmtId="37" fontId="13" fillId="0" borderId="0" xfId="0" applyNumberFormat="1" applyFont="1"/>
    <xf numFmtId="0" fontId="6" fillId="0" borderId="6" xfId="0" applyFont="1" applyBorder="1"/>
    <xf numFmtId="0" fontId="6" fillId="0" borderId="7" xfId="0" applyFont="1" applyBorder="1"/>
    <xf numFmtId="0" fontId="0" fillId="0" borderId="8" xfId="0" applyBorder="1"/>
    <xf numFmtId="0" fontId="6" fillId="0" borderId="9" xfId="0" applyFont="1" applyBorder="1"/>
    <xf numFmtId="0" fontId="0" fillId="0" borderId="10" xfId="0" applyBorder="1"/>
    <xf numFmtId="0" fontId="14" fillId="0" borderId="0" xfId="0" applyFont="1"/>
    <xf numFmtId="168" fontId="0" fillId="0" borderId="0" xfId="0" applyNumberFormat="1"/>
    <xf numFmtId="44" fontId="0" fillId="0" borderId="0" xfId="2" applyFont="1"/>
    <xf numFmtId="167" fontId="1" fillId="0" borderId="0" xfId="2" applyNumberFormat="1" applyFont="1"/>
    <xf numFmtId="37" fontId="7" fillId="5" borderId="2" xfId="1" applyNumberFormat="1" applyFont="1" applyFill="1" applyBorder="1"/>
    <xf numFmtId="37" fontId="7" fillId="5" borderId="12" xfId="1" applyNumberFormat="1" applyFont="1" applyFill="1" applyBorder="1"/>
    <xf numFmtId="164" fontId="7" fillId="5" borderId="12" xfId="3" applyNumberFormat="1" applyFont="1" applyFill="1" applyBorder="1"/>
    <xf numFmtId="0" fontId="0" fillId="0" borderId="11" xfId="0" applyBorder="1"/>
    <xf numFmtId="37" fontId="9" fillId="0" borderId="13" xfId="0" applyNumberFormat="1" applyFont="1" applyBorder="1"/>
    <xf numFmtId="37" fontId="0" fillId="0" borderId="13" xfId="0" applyNumberFormat="1" applyBorder="1"/>
    <xf numFmtId="164" fontId="7" fillId="0" borderId="13" xfId="3" applyNumberFormat="1" applyFont="1" applyBorder="1"/>
    <xf numFmtId="165" fontId="7" fillId="0" borderId="13" xfId="1" applyNumberFormat="1" applyFont="1" applyBorder="1"/>
    <xf numFmtId="0" fontId="0" fillId="0" borderId="13" xfId="0" applyBorder="1"/>
    <xf numFmtId="167" fontId="1" fillId="0" borderId="13" xfId="2" applyNumberFormat="1" applyFont="1" applyBorder="1"/>
    <xf numFmtId="0" fontId="0" fillId="0" borderId="14" xfId="0" applyBorder="1"/>
    <xf numFmtId="37" fontId="3" fillId="0" borderId="13" xfId="0" applyNumberFormat="1" applyFont="1" applyBorder="1"/>
    <xf numFmtId="0" fontId="7" fillId="0" borderId="0" xfId="0" applyFont="1" applyAlignment="1">
      <alignment horizontal="left"/>
    </xf>
    <xf numFmtId="9" fontId="8" fillId="5" borderId="0" xfId="3" applyFont="1" applyFill="1"/>
    <xf numFmtId="9" fontId="8" fillId="0" borderId="0" xfId="3" applyFont="1" applyFill="1"/>
    <xf numFmtId="9" fontId="8" fillId="0" borderId="13" xfId="3" applyFont="1" applyFill="1" applyBorder="1"/>
    <xf numFmtId="0" fontId="7" fillId="0" borderId="15" xfId="0" applyFont="1" applyBorder="1"/>
    <xf numFmtId="0" fontId="0" fillId="0" borderId="15" xfId="0" applyBorder="1"/>
    <xf numFmtId="9" fontId="7" fillId="0" borderId="15" xfId="3" applyFont="1" applyBorder="1"/>
    <xf numFmtId="164" fontId="7" fillId="0" borderId="15" xfId="3" applyNumberFormat="1" applyFont="1" applyBorder="1"/>
    <xf numFmtId="164" fontId="7" fillId="0" borderId="16" xfId="3" applyNumberFormat="1" applyFont="1" applyBorder="1"/>
    <xf numFmtId="0" fontId="0" fillId="0" borderId="16" xfId="0" applyBorder="1"/>
    <xf numFmtId="0" fontId="11" fillId="0" borderId="0" xfId="0" applyFont="1" applyAlignment="1">
      <alignment horizontal="left" indent="1"/>
    </xf>
    <xf numFmtId="0" fontId="12" fillId="0" borderId="0" xfId="0" applyFont="1"/>
    <xf numFmtId="9" fontId="7" fillId="0" borderId="13" xfId="3" applyFont="1" applyBorder="1"/>
    <xf numFmtId="37" fontId="3" fillId="0" borderId="17" xfId="0" applyNumberFormat="1" applyFont="1" applyBorder="1"/>
    <xf numFmtId="14" fontId="6" fillId="0" borderId="0" xfId="0" applyNumberFormat="1" applyFont="1"/>
    <xf numFmtId="43" fontId="6" fillId="0" borderId="0" xfId="1" applyFont="1"/>
    <xf numFmtId="37" fontId="6" fillId="0" borderId="18" xfId="0" applyNumberFormat="1" applyFont="1" applyBorder="1"/>
    <xf numFmtId="37" fontId="6" fillId="0" borderId="0" xfId="0" applyNumberFormat="1" applyFont="1"/>
    <xf numFmtId="165" fontId="6" fillId="0" borderId="0" xfId="0" applyNumberFormat="1" applyFont="1"/>
    <xf numFmtId="14" fontId="7" fillId="0" borderId="0" xfId="0" applyNumberFormat="1" applyFont="1" applyAlignment="1">
      <alignment horizontal="center"/>
    </xf>
    <xf numFmtId="43" fontId="6" fillId="0" borderId="0" xfId="1" applyFont="1" applyBorder="1"/>
    <xf numFmtId="0" fontId="0" fillId="0" borderId="7" xfId="0" applyBorder="1"/>
    <xf numFmtId="0" fontId="0" fillId="0" borderId="19" xfId="0" applyBorder="1"/>
    <xf numFmtId="0" fontId="0" fillId="0" borderId="2" xfId="0" applyBorder="1"/>
    <xf numFmtId="14" fontId="0" fillId="0" borderId="2" xfId="0" applyNumberFormat="1" applyBorder="1"/>
    <xf numFmtId="14" fontId="7" fillId="0" borderId="13" xfId="0" applyNumberFormat="1" applyFont="1" applyBorder="1"/>
    <xf numFmtId="9" fontId="0" fillId="0" borderId="2" xfId="3" applyFont="1" applyBorder="1"/>
    <xf numFmtId="164" fontId="0" fillId="0" borderId="2" xfId="3" applyNumberFormat="1" applyFont="1" applyBorder="1"/>
    <xf numFmtId="0" fontId="12" fillId="0" borderId="20" xfId="0" applyFont="1" applyBorder="1"/>
    <xf numFmtId="0" fontId="6" fillId="0" borderId="20" xfId="0" applyFont="1" applyBorder="1"/>
    <xf numFmtId="37" fontId="6" fillId="0" borderId="3" xfId="0" applyNumberFormat="1" applyFont="1" applyBorder="1"/>
    <xf numFmtId="37" fontId="12" fillId="0" borderId="0" xfId="0" applyNumberFormat="1" applyFont="1"/>
    <xf numFmtId="37" fontId="6" fillId="0" borderId="0" xfId="0" applyNumberFormat="1" applyFont="1" applyAlignment="1">
      <alignment horizontal="right"/>
    </xf>
    <xf numFmtId="37" fontId="6" fillId="0" borderId="20" xfId="0" applyNumberFormat="1" applyFont="1" applyBorder="1" applyAlignment="1">
      <alignment horizontal="right"/>
    </xf>
    <xf numFmtId="14" fontId="7" fillId="0" borderId="14" xfId="0" applyNumberFormat="1" applyFont="1" applyBorder="1" applyAlignment="1">
      <alignment horizontal="center"/>
    </xf>
    <xf numFmtId="169" fontId="12" fillId="4" borderId="21" xfId="2" applyNumberFormat="1" applyFont="1" applyFill="1" applyBorder="1"/>
    <xf numFmtId="43" fontId="0" fillId="0" borderId="0" xfId="1" applyFont="1"/>
    <xf numFmtId="9" fontId="7" fillId="0" borderId="0" xfId="3" applyFont="1" applyBorder="1"/>
    <xf numFmtId="164" fontId="7" fillId="0" borderId="0" xfId="3" applyNumberFormat="1" applyFont="1" applyBorder="1"/>
    <xf numFmtId="37" fontId="10" fillId="7" borderId="0" xfId="0" applyNumberFormat="1" applyFont="1" applyFill="1" applyAlignment="1">
      <alignment vertical="center"/>
    </xf>
    <xf numFmtId="37" fontId="10" fillId="0" borderId="0" xfId="0" applyNumberFormat="1" applyFont="1" applyAlignment="1">
      <alignment vertical="center"/>
    </xf>
    <xf numFmtId="37" fontId="16" fillId="0" borderId="22" xfId="0" applyNumberFormat="1" applyFont="1" applyBorder="1"/>
    <xf numFmtId="9" fontId="6" fillId="0" borderId="22" xfId="3" applyFont="1" applyBorder="1"/>
    <xf numFmtId="2" fontId="6" fillId="0" borderId="22" xfId="0" applyNumberFormat="1" applyFont="1" applyBorder="1"/>
    <xf numFmtId="37" fontId="6" fillId="0" borderId="20" xfId="0" applyNumberFormat="1" applyFont="1" applyBorder="1"/>
    <xf numFmtId="0" fontId="12" fillId="0" borderId="23" xfId="0" applyFont="1" applyBorder="1"/>
    <xf numFmtId="0" fontId="6" fillId="0" borderId="23" xfId="0" applyFont="1" applyBorder="1"/>
    <xf numFmtId="2" fontId="6" fillId="0" borderId="0" xfId="0" applyNumberFormat="1" applyFont="1"/>
    <xf numFmtId="0" fontId="6" fillId="0" borderId="0" xfId="0" applyFont="1" applyAlignment="1">
      <alignment horizontal="left"/>
    </xf>
    <xf numFmtId="164" fontId="16" fillId="0" borderId="0" xfId="3" applyNumberFormat="1" applyFont="1"/>
    <xf numFmtId="0" fontId="6" fillId="0" borderId="24" xfId="0" applyFont="1" applyBorder="1" applyAlignment="1">
      <alignment horizontal="left"/>
    </xf>
    <xf numFmtId="0" fontId="6" fillId="0" borderId="24" xfId="0" applyFont="1" applyBorder="1"/>
    <xf numFmtId="164" fontId="16" fillId="0" borderId="24" xfId="3" applyNumberFormat="1" applyFont="1" applyBorder="1"/>
    <xf numFmtId="164" fontId="12" fillId="0" borderId="0" xfId="3" applyNumberFormat="1" applyFont="1"/>
    <xf numFmtId="164" fontId="16" fillId="0" borderId="5" xfId="3" applyNumberFormat="1" applyFont="1" applyBorder="1"/>
    <xf numFmtId="0" fontId="6" fillId="0" borderId="23" xfId="0" applyFont="1" applyBorder="1" applyAlignment="1">
      <alignment horizontal="left"/>
    </xf>
    <xf numFmtId="9" fontId="6" fillId="0" borderId="23" xfId="0" applyNumberFormat="1" applyFont="1" applyBorder="1"/>
    <xf numFmtId="164" fontId="6" fillId="0" borderId="0" xfId="0" applyNumberFormat="1" applyFont="1"/>
    <xf numFmtId="164" fontId="12" fillId="8" borderId="21" xfId="0" applyNumberFormat="1" applyFont="1" applyFill="1" applyBorder="1"/>
    <xf numFmtId="0" fontId="18" fillId="0" borderId="0" xfId="5" applyFont="1" applyAlignment="1">
      <alignment horizontal="center"/>
    </xf>
    <xf numFmtId="0" fontId="18" fillId="0" borderId="20" xfId="5" applyFont="1" applyBorder="1" applyAlignment="1">
      <alignment horizontal="center"/>
    </xf>
    <xf numFmtId="37" fontId="16" fillId="0" borderId="0" xfId="0" applyNumberFormat="1" applyFont="1"/>
    <xf numFmtId="164" fontId="19" fillId="0" borderId="0" xfId="3" applyNumberFormat="1" applyFont="1"/>
    <xf numFmtId="9" fontId="16" fillId="0" borderId="0" xfId="3" applyFont="1"/>
    <xf numFmtId="39" fontId="16" fillId="0" borderId="0" xfId="0" applyNumberFormat="1" applyFont="1"/>
    <xf numFmtId="2" fontId="19" fillId="0" borderId="0" xfId="5" applyNumberFormat="1" applyFont="1" applyAlignment="1">
      <alignment horizontal="right"/>
    </xf>
    <xf numFmtId="0" fontId="21" fillId="0" borderId="0" xfId="6" applyFont="1"/>
    <xf numFmtId="2" fontId="19" fillId="0" borderId="0" xfId="0" applyNumberFormat="1" applyFont="1"/>
    <xf numFmtId="2" fontId="22" fillId="0" borderId="0" xfId="0" applyNumberFormat="1" applyFont="1"/>
    <xf numFmtId="0" fontId="21" fillId="0" borderId="15" xfId="6" applyFont="1" applyBorder="1"/>
    <xf numFmtId="37" fontId="16" fillId="0" borderId="15" xfId="0" applyNumberFormat="1" applyFont="1" applyBorder="1"/>
    <xf numFmtId="164" fontId="19" fillId="0" borderId="15" xfId="3" applyNumberFormat="1" applyFont="1" applyBorder="1"/>
    <xf numFmtId="9" fontId="16" fillId="0" borderId="15" xfId="3" applyFont="1" applyBorder="1"/>
    <xf numFmtId="39" fontId="16" fillId="0" borderId="15" xfId="0" applyNumberFormat="1" applyFont="1" applyBorder="1"/>
    <xf numFmtId="2" fontId="19" fillId="0" borderId="15" xfId="5" applyNumberFormat="1" applyFont="1" applyBorder="1" applyAlignment="1">
      <alignment horizontal="right"/>
    </xf>
    <xf numFmtId="0" fontId="10" fillId="3" borderId="13" xfId="4" applyFont="1" applyFill="1" applyBorder="1" applyAlignment="1">
      <alignment horizontal="center" vertical="center" wrapText="1"/>
    </xf>
    <xf numFmtId="14" fontId="7" fillId="0" borderId="13" xfId="0" applyNumberFormat="1" applyFont="1" applyBorder="1" applyAlignment="1">
      <alignment horizontal="center"/>
    </xf>
    <xf numFmtId="43" fontId="6" fillId="0" borderId="13" xfId="1" applyFont="1" applyBorder="1"/>
    <xf numFmtId="0" fontId="6" fillId="0" borderId="13" xfId="0" applyFont="1" applyBorder="1"/>
    <xf numFmtId="37" fontId="6" fillId="0" borderId="13" xfId="0" applyNumberFormat="1" applyFont="1" applyBorder="1"/>
    <xf numFmtId="165" fontId="6" fillId="0" borderId="13" xfId="0" applyNumberFormat="1" applyFont="1" applyBorder="1"/>
    <xf numFmtId="44" fontId="0" fillId="0" borderId="13" xfId="2" applyFont="1" applyBorder="1"/>
    <xf numFmtId="37" fontId="3" fillId="0" borderId="11" xfId="0" applyNumberFormat="1" applyFont="1" applyBorder="1"/>
    <xf numFmtId="169" fontId="0" fillId="0" borderId="2" xfId="2" applyNumberFormat="1" applyFont="1" applyBorder="1"/>
    <xf numFmtId="168" fontId="0" fillId="0" borderId="13" xfId="0" applyNumberFormat="1" applyBorder="1"/>
    <xf numFmtId="37" fontId="0" fillId="0" borderId="1" xfId="0" applyNumberFormat="1" applyBorder="1"/>
    <xf numFmtId="37" fontId="0" fillId="0" borderId="14" xfId="0" applyNumberFormat="1" applyBorder="1"/>
    <xf numFmtId="167" fontId="1" fillId="0" borderId="0" xfId="2" applyNumberFormat="1" applyFont="1" applyBorder="1"/>
    <xf numFmtId="37" fontId="25" fillId="0" borderId="0" xfId="0" applyNumberFormat="1" applyFont="1"/>
    <xf numFmtId="37" fontId="25" fillId="0" borderId="13" xfId="0" applyNumberFormat="1" applyFont="1" applyBorder="1"/>
    <xf numFmtId="9" fontId="26" fillId="0" borderId="0" xfId="3" applyFont="1"/>
    <xf numFmtId="164" fontId="26" fillId="0" borderId="0" xfId="3" applyNumberFormat="1" applyFont="1"/>
    <xf numFmtId="164" fontId="26" fillId="0" borderId="13" xfId="3" applyNumberFormat="1" applyFont="1" applyBorder="1"/>
    <xf numFmtId="0" fontId="0" fillId="0" borderId="0" xfId="0" pivotButton="1"/>
    <xf numFmtId="170" fontId="0" fillId="0" borderId="0" xfId="0" applyNumberFormat="1"/>
    <xf numFmtId="0" fontId="0" fillId="0" borderId="0" xfId="0" applyAlignment="1">
      <alignment horizontal="left" indent="1"/>
    </xf>
    <xf numFmtId="14" fontId="0" fillId="0" borderId="0" xfId="0" applyNumberFormat="1"/>
    <xf numFmtId="0" fontId="27" fillId="0" borderId="25" xfId="0" applyFont="1" applyBorder="1" applyAlignment="1">
      <alignment horizontal="center" vertical="top"/>
    </xf>
    <xf numFmtId="171" fontId="0" fillId="0" borderId="0" xfId="0" applyNumberFormat="1" applyAlignment="1">
      <alignment horizontal="left"/>
    </xf>
    <xf numFmtId="14" fontId="15" fillId="0" borderId="3" xfId="0" applyNumberFormat="1" applyFont="1" applyBorder="1" applyAlignment="1">
      <alignment horizontal="right"/>
    </xf>
    <xf numFmtId="14" fontId="7" fillId="0" borderId="3" xfId="0" applyNumberFormat="1" applyFont="1" applyBorder="1" applyAlignment="1">
      <alignment horizontal="center"/>
    </xf>
    <xf numFmtId="14" fontId="7" fillId="0" borderId="26" xfId="0" applyNumberFormat="1" applyFont="1" applyBorder="1" applyAlignment="1">
      <alignment horizontal="center"/>
    </xf>
    <xf numFmtId="14" fontId="27" fillId="0" borderId="0" xfId="0" applyNumberFormat="1" applyFont="1" applyAlignment="1">
      <alignment horizontal="center" vertical="top"/>
    </xf>
    <xf numFmtId="0" fontId="28" fillId="0" borderId="0" xfId="0" applyFont="1"/>
    <xf numFmtId="0" fontId="0" fillId="0" borderId="3" xfId="0" applyBorder="1"/>
    <xf numFmtId="0" fontId="0" fillId="0" borderId="18" xfId="0" applyBorder="1"/>
    <xf numFmtId="0" fontId="3" fillId="0" borderId="27" xfId="0" applyFont="1" applyBorder="1"/>
    <xf numFmtId="0" fontId="3" fillId="0" borderId="3" xfId="0" applyFont="1" applyBorder="1"/>
    <xf numFmtId="0" fontId="7" fillId="0" borderId="3" xfId="0" applyFont="1" applyBorder="1"/>
    <xf numFmtId="9" fontId="7" fillId="0" borderId="3" xfId="3" applyFont="1" applyBorder="1"/>
    <xf numFmtId="164" fontId="7" fillId="0" borderId="3" xfId="3" applyNumberFormat="1" applyFont="1" applyBorder="1"/>
    <xf numFmtId="164" fontId="7" fillId="0" borderId="26" xfId="3" applyNumberFormat="1" applyFont="1" applyBorder="1"/>
    <xf numFmtId="166" fontId="9" fillId="0" borderId="26" xfId="2" applyNumberFormat="1" applyFont="1" applyBorder="1"/>
    <xf numFmtId="166" fontId="1" fillId="0" borderId="3" xfId="2" applyNumberFormat="1" applyFont="1" applyBorder="1"/>
    <xf numFmtId="167" fontId="0" fillId="0" borderId="0" xfId="0" applyNumberFormat="1"/>
    <xf numFmtId="166" fontId="0" fillId="0" borderId="0" xfId="0" applyNumberFormat="1"/>
    <xf numFmtId="2" fontId="0" fillId="0" borderId="0" xfId="0" applyNumberFormat="1"/>
    <xf numFmtId="2" fontId="0" fillId="0" borderId="18" xfId="0" applyNumberFormat="1" applyBorder="1"/>
    <xf numFmtId="168" fontId="9" fillId="0" borderId="0" xfId="0" applyNumberFormat="1" applyFont="1"/>
    <xf numFmtId="44" fontId="3" fillId="0" borderId="0" xfId="2" applyFont="1"/>
    <xf numFmtId="0" fontId="0" fillId="0" borderId="28" xfId="0" applyBorder="1"/>
    <xf numFmtId="0" fontId="0" fillId="0" borderId="29" xfId="0" applyBorder="1"/>
    <xf numFmtId="0" fontId="0" fillId="0" borderId="27" xfId="0" applyBorder="1"/>
    <xf numFmtId="169" fontId="1" fillId="5" borderId="30" xfId="2" applyNumberFormat="1" applyFont="1" applyFill="1" applyBorder="1"/>
    <xf numFmtId="169" fontId="1" fillId="5" borderId="31" xfId="2" applyNumberFormat="1" applyFont="1" applyFill="1" applyBorder="1"/>
    <xf numFmtId="0" fontId="30" fillId="0" borderId="0" xfId="0" applyFont="1"/>
    <xf numFmtId="0" fontId="0" fillId="0" borderId="0" xfId="0" applyAlignment="1">
      <alignment horizontal="center"/>
    </xf>
    <xf numFmtId="169" fontId="1" fillId="0" borderId="0" xfId="2" applyNumberFormat="1" applyFont="1" applyFill="1" applyBorder="1" applyAlignment="1">
      <alignment horizontal="center"/>
    </xf>
    <xf numFmtId="14" fontId="0" fillId="0" borderId="0" xfId="0" applyNumberFormat="1" applyAlignment="1">
      <alignment horizontal="center"/>
    </xf>
    <xf numFmtId="0" fontId="6" fillId="5" borderId="32" xfId="0" applyFont="1" applyFill="1" applyBorder="1" applyAlignment="1">
      <alignment horizontal="center"/>
    </xf>
    <xf numFmtId="37" fontId="32" fillId="0" borderId="32" xfId="0" applyNumberFormat="1" applyFont="1" applyBorder="1" applyAlignment="1">
      <alignment horizontal="center"/>
    </xf>
    <xf numFmtId="0" fontId="12" fillId="0" borderId="32" xfId="0" applyFont="1" applyBorder="1" applyAlignment="1">
      <alignment horizontal="center"/>
    </xf>
    <xf numFmtId="169" fontId="3" fillId="0" borderId="0" xfId="2" applyNumberFormat="1" applyFont="1"/>
    <xf numFmtId="169" fontId="3" fillId="0" borderId="13" xfId="2" applyNumberFormat="1" applyFont="1" applyBorder="1"/>
    <xf numFmtId="169" fontId="0" fillId="0" borderId="0" xfId="2" applyNumberFormat="1" applyFont="1"/>
    <xf numFmtId="169" fontId="1" fillId="0" borderId="30" xfId="2" applyNumberFormat="1" applyFont="1" applyFill="1" applyBorder="1"/>
    <xf numFmtId="169" fontId="1" fillId="0" borderId="31" xfId="2" applyNumberFormat="1" applyFont="1" applyFill="1" applyBorder="1"/>
    <xf numFmtId="0" fontId="6" fillId="12" borderId="0" xfId="0" applyFont="1" applyFill="1"/>
    <xf numFmtId="172" fontId="21" fillId="0" borderId="0" xfId="0" applyNumberFormat="1" applyFont="1"/>
    <xf numFmtId="173" fontId="21" fillId="0" borderId="0" xfId="0" applyNumberFormat="1" applyFont="1"/>
    <xf numFmtId="174" fontId="21" fillId="0" borderId="0" xfId="0" applyNumberFormat="1" applyFont="1"/>
    <xf numFmtId="173" fontId="18" fillId="0" borderId="0" xfId="0" applyNumberFormat="1" applyFont="1"/>
    <xf numFmtId="173" fontId="6" fillId="0" borderId="0" xfId="0" applyNumberFormat="1" applyFont="1"/>
    <xf numFmtId="169" fontId="3" fillId="5" borderId="31" xfId="2" applyNumberFormat="1" applyFont="1" applyFill="1" applyBorder="1"/>
    <xf numFmtId="164" fontId="3" fillId="5" borderId="31" xfId="3" applyNumberFormat="1" applyFont="1" applyFill="1" applyBorder="1"/>
    <xf numFmtId="37" fontId="21" fillId="0" borderId="0" xfId="0" applyNumberFormat="1" applyFont="1"/>
    <xf numFmtId="37" fontId="21" fillId="0" borderId="3" xfId="0" applyNumberFormat="1" applyFont="1" applyBorder="1"/>
    <xf numFmtId="173" fontId="21" fillId="0" borderId="3" xfId="0" applyNumberFormat="1" applyFont="1" applyBorder="1"/>
    <xf numFmtId="168" fontId="25" fillId="0" borderId="0" xfId="0" applyNumberFormat="1" applyFont="1"/>
    <xf numFmtId="164" fontId="12" fillId="0" borderId="0" xfId="0" applyNumberFormat="1" applyFont="1"/>
    <xf numFmtId="0" fontId="16" fillId="0" borderId="22" xfId="0" applyFont="1" applyBorder="1"/>
    <xf numFmtId="10" fontId="0" fillId="0" borderId="2" xfId="3" applyNumberFormat="1" applyFont="1" applyBorder="1"/>
    <xf numFmtId="8" fontId="0" fillId="0" borderId="0" xfId="0" applyNumberFormat="1"/>
    <xf numFmtId="14" fontId="7" fillId="0" borderId="0" xfId="0" applyNumberFormat="1" applyFont="1"/>
    <xf numFmtId="0" fontId="30" fillId="0" borderId="3" xfId="0" applyFont="1" applyBorder="1" applyAlignment="1">
      <alignment horizontal="center"/>
    </xf>
    <xf numFmtId="0" fontId="31" fillId="0" borderId="0" xfId="0" applyFont="1" applyAlignment="1">
      <alignment horizontal="center"/>
    </xf>
    <xf numFmtId="0" fontId="5" fillId="11" borderId="32" xfId="0" applyFont="1" applyFill="1" applyBorder="1" applyAlignment="1">
      <alignment horizontal="center"/>
    </xf>
    <xf numFmtId="0" fontId="6" fillId="5" borderId="32" xfId="0" applyFont="1" applyFill="1" applyBorder="1" applyAlignment="1">
      <alignment horizontal="center"/>
    </xf>
    <xf numFmtId="0" fontId="6" fillId="0" borderId="32" xfId="0" applyFont="1" applyBorder="1" applyAlignment="1">
      <alignment horizontal="center"/>
    </xf>
    <xf numFmtId="0" fontId="30" fillId="0" borderId="0" xfId="0" applyFont="1" applyAlignment="1">
      <alignment horizontal="center"/>
    </xf>
    <xf numFmtId="0" fontId="29" fillId="9" borderId="0" xfId="0" applyFont="1" applyFill="1" applyAlignment="1">
      <alignment horizontal="center" vertical="center"/>
    </xf>
    <xf numFmtId="0" fontId="29" fillId="10" borderId="0" xfId="0" applyFont="1" applyFill="1" applyAlignment="1">
      <alignment horizontal="center" vertical="center"/>
    </xf>
  </cellXfs>
  <cellStyles count="7">
    <cellStyle name="Comma" xfId="1" builtinId="3"/>
    <cellStyle name="Currency" xfId="2" builtinId="4"/>
    <cellStyle name="Normal" xfId="0" builtinId="0"/>
    <cellStyle name="Normal 2" xfId="4" xr:uid="{95EFD2E5-9D13-45AA-BAE0-394641AE3CB6}"/>
    <cellStyle name="Normal 2 2" xfId="6" xr:uid="{7EB220A0-C788-4551-AEB5-A07261F1B4D8}"/>
    <cellStyle name="Normal 5" xfId="5" xr:uid="{FC74070F-4E3E-4521-8020-F2CEA0732C74}"/>
    <cellStyle name="Per cent" xfId="3" builtinId="5"/>
  </cellStyles>
  <dxfs count="0"/>
  <tableStyles count="0" defaultTableStyle="TableStyleMedium2" defaultPivotStyle="PivotStyleLight16"/>
  <colors>
    <mruColors>
      <color rgb="FF0000FF"/>
      <color rgb="FF0E2B3A"/>
      <color rgb="FFDDDDDD"/>
      <color rgb="FF184962"/>
      <color rgb="FFF3F3F3"/>
      <color rgb="FF194C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[LTH DCF.xlsx]Data!PivotTable7</c:name>
    <c:fmtId val="2"/>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
        <c:idx val="25"/>
        <c:dLbl>
          <c:idx val="0"/>
          <c:delete val="1"/>
          <c:extLst>
            <c:ext xmlns:c15="http://schemas.microsoft.com/office/drawing/2012/chart" uri="{CE6537A1-D6FC-4f65-9D91-7224C49458BB}"/>
          </c:extLst>
        </c:dLbl>
      </c:pivotFmt>
      <c:pivotFmt>
        <c:idx val="26"/>
        <c:dLbl>
          <c:idx val="0"/>
          <c:delete val="1"/>
          <c:extLst>
            <c:ext xmlns:c15="http://schemas.microsoft.com/office/drawing/2012/chart" uri="{CE6537A1-D6FC-4f65-9D91-7224C49458BB}"/>
          </c:extLst>
        </c:dLbl>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dLbl>
          <c:idx val="0"/>
          <c:delete val="1"/>
          <c:extLst>
            <c:ext xmlns:c15="http://schemas.microsoft.com/office/drawing/2012/chart" uri="{CE6537A1-D6FC-4f65-9D91-7224C49458BB}"/>
          </c:extLst>
        </c:dLbl>
      </c:pivotFmt>
      <c:pivotFmt>
        <c:idx val="34"/>
        <c:dLbl>
          <c:idx val="0"/>
          <c:delete val="1"/>
          <c:extLst>
            <c:ext xmlns:c15="http://schemas.microsoft.com/office/drawing/2012/chart" uri="{CE6537A1-D6FC-4f65-9D91-7224C49458BB}"/>
          </c:extLst>
        </c:dLbl>
      </c:pivotFmt>
      <c:pivotFmt>
        <c:idx val="35"/>
        <c:dLbl>
          <c:idx val="0"/>
          <c:delete val="1"/>
          <c:extLst>
            <c:ext xmlns:c15="http://schemas.microsoft.com/office/drawing/2012/chart" uri="{CE6537A1-D6FC-4f65-9D91-7224C49458BB}"/>
          </c:extLst>
        </c:dLbl>
      </c:pivotFmt>
      <c:pivotFmt>
        <c:idx val="36"/>
        <c:dLbl>
          <c:idx val="0"/>
          <c:delete val="1"/>
          <c:extLst>
            <c:ext xmlns:c15="http://schemas.microsoft.com/office/drawing/2012/chart" uri="{CE6537A1-D6FC-4f65-9D91-7224C49458BB}"/>
          </c:extLst>
        </c:dLbl>
      </c:pivotFmt>
      <c:pivotFmt>
        <c:idx val="37"/>
        <c:dLbl>
          <c:idx val="0"/>
          <c:delete val="1"/>
          <c:extLst>
            <c:ext xmlns:c15="http://schemas.microsoft.com/office/drawing/2012/chart" uri="{CE6537A1-D6FC-4f65-9D91-7224C49458BB}"/>
          </c:extLst>
        </c:dLbl>
      </c:pivotFmt>
      <c:pivotFmt>
        <c:idx val="38"/>
        <c:dLbl>
          <c:idx val="0"/>
          <c:delete val="1"/>
          <c:extLst>
            <c:ext xmlns:c15="http://schemas.microsoft.com/office/drawing/2012/chart" uri="{CE6537A1-D6FC-4f65-9D91-7224C49458BB}"/>
          </c:extLst>
        </c:dLbl>
      </c:pivotFmt>
      <c:pivotFmt>
        <c:idx val="39"/>
        <c:dLbl>
          <c:idx val="0"/>
          <c:delete val="1"/>
          <c:extLst>
            <c:ext xmlns:c15="http://schemas.microsoft.com/office/drawing/2012/chart" uri="{CE6537A1-D6FC-4f65-9D91-7224C49458BB}"/>
          </c:extLst>
        </c:dLbl>
      </c:pivotFmt>
      <c:pivotFmt>
        <c:idx val="40"/>
        <c:dLbl>
          <c:idx val="0"/>
          <c:delete val="1"/>
          <c:extLst>
            <c:ext xmlns:c15="http://schemas.microsoft.com/office/drawing/2012/chart" uri="{CE6537A1-D6FC-4f65-9D91-7224C49458BB}"/>
          </c:extLst>
        </c:dLbl>
      </c:pivotFmt>
      <c:pivotFmt>
        <c:idx val="41"/>
        <c:dLbl>
          <c:idx val="0"/>
          <c:delete val="1"/>
          <c:extLst>
            <c:ext xmlns:c15="http://schemas.microsoft.com/office/drawing/2012/chart" uri="{CE6537A1-D6FC-4f65-9D91-7224C49458BB}"/>
          </c:extLst>
        </c:dLbl>
      </c:pivotFmt>
      <c:pivotFmt>
        <c:idx val="42"/>
        <c:dLbl>
          <c:idx val="0"/>
          <c:delete val="1"/>
          <c:extLst>
            <c:ext xmlns:c15="http://schemas.microsoft.com/office/drawing/2012/chart" uri="{CE6537A1-D6FC-4f65-9D91-7224C49458BB}"/>
          </c:extLst>
        </c:dLbl>
      </c:pivotFmt>
      <c:pivotFmt>
        <c:idx val="43"/>
        <c:dLbl>
          <c:idx val="0"/>
          <c:delete val="1"/>
          <c:extLst>
            <c:ext xmlns:c15="http://schemas.microsoft.com/office/drawing/2012/chart" uri="{CE6537A1-D6FC-4f65-9D91-7224C49458BB}"/>
          </c:extLst>
        </c:dLbl>
      </c:pivotFmt>
      <c:pivotFmt>
        <c:idx val="44"/>
        <c:dLbl>
          <c:idx val="0"/>
          <c:delete val="1"/>
          <c:extLst>
            <c:ext xmlns:c15="http://schemas.microsoft.com/office/drawing/2012/chart" uri="{CE6537A1-D6FC-4f65-9D91-7224C49458BB}"/>
          </c:extLst>
        </c:dLbl>
      </c:pivotFmt>
      <c:pivotFmt>
        <c:idx val="45"/>
        <c:dLbl>
          <c:idx val="0"/>
          <c:delete val="1"/>
          <c:extLst>
            <c:ext xmlns:c15="http://schemas.microsoft.com/office/drawing/2012/chart" uri="{CE6537A1-D6FC-4f65-9D91-7224C49458BB}"/>
          </c:extLst>
        </c:dLbl>
      </c:pivotFmt>
      <c:pivotFmt>
        <c:idx val="46"/>
        <c:dLbl>
          <c:idx val="0"/>
          <c:delete val="1"/>
          <c:extLst>
            <c:ext xmlns:c15="http://schemas.microsoft.com/office/drawing/2012/chart" uri="{CE6537A1-D6FC-4f65-9D91-7224C49458BB}"/>
          </c:extLst>
        </c:dLbl>
      </c:pivotFmt>
      <c:pivotFmt>
        <c:idx val="47"/>
        <c:dLbl>
          <c:idx val="0"/>
          <c:delete val="1"/>
          <c:extLst>
            <c:ext xmlns:c15="http://schemas.microsoft.com/office/drawing/2012/chart" uri="{CE6537A1-D6FC-4f65-9D91-7224C49458BB}"/>
          </c:extLst>
        </c:dLbl>
      </c:pivotFmt>
      <c:pivotFmt>
        <c:idx val="48"/>
        <c:dLbl>
          <c:idx val="0"/>
          <c:delete val="1"/>
          <c:extLst>
            <c:ext xmlns:c15="http://schemas.microsoft.com/office/drawing/2012/chart" uri="{CE6537A1-D6FC-4f65-9D91-7224C49458BB}"/>
          </c:extLst>
        </c:dLbl>
      </c:pivotFmt>
      <c:pivotFmt>
        <c:idx val="49"/>
        <c:dLbl>
          <c:idx val="0"/>
          <c:delete val="1"/>
          <c:extLst>
            <c:ext xmlns:c15="http://schemas.microsoft.com/office/drawing/2012/chart" uri="{CE6537A1-D6FC-4f65-9D91-7224C49458BB}"/>
          </c:extLst>
        </c:dLbl>
      </c:pivotFmt>
      <c:pivotFmt>
        <c:idx val="50"/>
        <c:dLbl>
          <c:idx val="0"/>
          <c:delete val="1"/>
          <c:extLst>
            <c:ext xmlns:c15="http://schemas.microsoft.com/office/drawing/2012/chart" uri="{CE6537A1-D6FC-4f65-9D91-7224C49458BB}"/>
          </c:extLst>
        </c:dLbl>
      </c:pivotFmt>
      <c:pivotFmt>
        <c:idx val="51"/>
        <c:dLbl>
          <c:idx val="0"/>
          <c:delete val="1"/>
          <c:extLst>
            <c:ext xmlns:c15="http://schemas.microsoft.com/office/drawing/2012/chart" uri="{CE6537A1-D6FC-4f65-9D91-7224C49458BB}"/>
          </c:extLst>
        </c:dLbl>
      </c:pivotFmt>
      <c:pivotFmt>
        <c:idx val="52"/>
        <c:dLbl>
          <c:idx val="0"/>
          <c:delete val="1"/>
          <c:extLst>
            <c:ext xmlns:c15="http://schemas.microsoft.com/office/drawing/2012/chart" uri="{CE6537A1-D6FC-4f65-9D91-7224C49458BB}"/>
          </c:extLst>
        </c:dLbl>
      </c:pivotFmt>
      <c:pivotFmt>
        <c:idx val="53"/>
        <c:spPr>
          <a:ln w="44450">
            <a:solidFill>
              <a:srgbClr val="184962"/>
            </a:solidFill>
          </a:ln>
        </c:spPr>
        <c:marker>
          <c:symbol val="circle"/>
          <c:size val="6"/>
          <c:spPr>
            <a:solidFill>
              <a:srgbClr val="0E2B3A"/>
            </a:solidFill>
            <a:ln>
              <a:noFill/>
            </a:ln>
          </c:spPr>
        </c:marker>
        <c:dLbl>
          <c:idx val="0"/>
          <c:numFmt formatCode="&quot;$&quot;#,##0" sourceLinked="0"/>
          <c:spPr>
            <a:noFill/>
            <a:ln>
              <a:noFill/>
            </a:ln>
            <a:effectLst/>
          </c:spPr>
          <c:txPr>
            <a:bodyPr wrap="square" lIns="38100" tIns="19050" rIns="38100" bIns="19050" anchor="ctr">
              <a:spAutoFit/>
            </a:bodyPr>
            <a:lstStyle/>
            <a:p>
              <a:pPr>
                <a:defRPr sz="1400" b="1">
                  <a:latin typeface="Arial Nova" panose="020B0504020202020204" pitchFamily="34" charset="0"/>
                  <a:cs typeface="Aharoni" panose="02010803020104030203" pitchFamily="2"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53975"/>
          <a:effectLst>
            <a:outerShdw blurRad="38100" algn="ctr" rotWithShape="0">
              <a:prstClr val="black">
                <a:alpha val="40000"/>
              </a:prstClr>
            </a:outerShdw>
          </a:effectLst>
        </c:spPr>
        <c:marker>
          <c:symbol val="circle"/>
          <c:size val="9"/>
          <c:spPr>
            <a:effectLst>
              <a:outerShdw blurRad="38100" algn="ctr" rotWithShape="0">
                <a:prstClr val="black">
                  <a:alpha val="40000"/>
                </a:prst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bg1">
              <a:lumMod val="75000"/>
            </a:schemeClr>
          </a:solidFill>
          <a:ln>
            <a:solidFill>
              <a:schemeClr val="bg2">
                <a:lumMod val="50000"/>
                <a:alpha val="78000"/>
              </a:schemeClr>
            </a:solidFill>
          </a:ln>
          <a:effectLst>
            <a:outerShdw blurRad="50800" algn="ctr" rotWithShape="0">
              <a:prstClr val="black">
                <a:alpha val="40000"/>
              </a:prstClr>
            </a:outerShdw>
          </a:effectLst>
        </c:spPr>
        <c:marker>
          <c:symbol val="none"/>
        </c:marker>
        <c:dLbl>
          <c:idx val="0"/>
          <c:numFmt formatCode="#,##0" sourceLinked="0"/>
          <c:spPr>
            <a:noFill/>
            <a:ln>
              <a:noFill/>
            </a:ln>
            <a:effectLst/>
          </c:spPr>
          <c:txPr>
            <a:bodyPr/>
            <a:lstStyle/>
            <a:p>
              <a:pPr algn="ctr">
                <a:defRPr sz="1600" b="1">
                  <a:latin typeface="Arial Nova" panose="020B05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bg2">
              <a:lumMod val="75000"/>
            </a:schemeClr>
          </a:solidFill>
          <a:ln w="6350">
            <a:solidFill>
              <a:schemeClr val="tx1">
                <a:lumMod val="65000"/>
                <a:lumOff val="35000"/>
                <a:alpha val="74000"/>
              </a:schemeClr>
            </a:solidFill>
          </a:ln>
          <a:effectLst>
            <a:outerShdw blurRad="63500" sx="101000" sy="101000" algn="ctr" rotWithShape="0">
              <a:prstClr val="black">
                <a:alpha val="18000"/>
              </a:prstClr>
            </a:outerShdw>
          </a:effectLst>
        </c:spPr>
        <c:marker>
          <c:symbol val="none"/>
        </c:marker>
        <c:dLbl>
          <c:idx val="0"/>
          <c:numFmt formatCode="#,##0" sourceLinked="0"/>
          <c:spPr>
            <a:noFill/>
            <a:ln>
              <a:noFill/>
            </a:ln>
            <a:effectLst/>
          </c:spPr>
          <c:txPr>
            <a:bodyPr wrap="square" lIns="38100" tIns="19050" rIns="38100" bIns="19050" anchor="ctr">
              <a:spAutoFit/>
            </a:bodyPr>
            <a:lstStyle/>
            <a:p>
              <a:pPr>
                <a:defRPr sz="1600" b="1">
                  <a:solidFill>
                    <a:schemeClr val="tx1">
                      <a:lumMod val="65000"/>
                      <a:lumOff val="35000"/>
                    </a:schemeClr>
                  </a:solidFill>
                  <a:latin typeface="Arial Nova" panose="020B0504020202020204" pitchFamily="34" charset="0"/>
                  <a:cs typeface="Aharoni" panose="02010803020104030203"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marker>
          <c:symbol val="none"/>
        </c:marker>
        <c:dLbl>
          <c:idx val="0"/>
          <c:numFmt formatCode="#,##0" sourceLinked="0"/>
          <c:spPr>
            <a:noFill/>
            <a:ln>
              <a:noFill/>
            </a:ln>
            <a:effectLst/>
          </c:spPr>
          <c:txPr>
            <a:bodyPr wrap="square" lIns="38100" tIns="19050" rIns="38100" bIns="19050" anchor="ctr">
              <a:spAutoFit/>
            </a:bodyPr>
            <a:lstStyle/>
            <a:p>
              <a:pPr>
                <a:defRPr sz="1400" b="0">
                  <a:latin typeface="Arial Nova" panose="020B0504020202020204" pitchFamily="34" charset="0"/>
                  <a:cs typeface="Aharoni" panose="02010803020104030203"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marker>
          <c:symbol val="none"/>
        </c:marker>
        <c:dLbl>
          <c:idx val="0"/>
          <c:delete val="1"/>
          <c:extLst>
            <c:ext xmlns:c15="http://schemas.microsoft.com/office/drawing/2012/chart" uri="{CE6537A1-D6FC-4f65-9D91-7224C49458BB}"/>
          </c:extLst>
        </c:dLbl>
      </c:pivotFmt>
      <c:pivotFmt>
        <c:idx val="63"/>
        <c:marker>
          <c:symbol val="none"/>
        </c:marker>
        <c:dLbl>
          <c:idx val="0"/>
          <c:numFmt formatCode="#,##0.00" sourceLinked="0"/>
          <c:spPr>
            <a:noFill/>
            <a:ln>
              <a:noFill/>
            </a:ln>
            <a:effectLst/>
          </c:spPr>
          <c:txPr>
            <a:bodyPr wrap="square" lIns="38100" tIns="19050" rIns="38100" bIns="19050" anchor="ctr">
              <a:spAutoFit/>
            </a:bodyPr>
            <a:lstStyle/>
            <a:p>
              <a:pPr>
                <a:defRPr sz="1400" b="0">
                  <a:latin typeface="Arial Nova" panose="020B0504020202020204" pitchFamily="34" charset="0"/>
                  <a:cs typeface="Aharoni" panose="02010803020104030203"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ln w="53975">
            <a:solidFill>
              <a:srgbClr val="184962"/>
            </a:solidFill>
          </a:ln>
        </c:spPr>
        <c:marker>
          <c:symbol val="circle"/>
          <c:size val="8"/>
          <c:spPr>
            <a:solidFill>
              <a:srgbClr val="0E2B3A"/>
            </a:solidFill>
            <a:ln>
              <a:noFill/>
            </a:ln>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dLbl>
          <c:idx val="0"/>
          <c:numFmt formatCode="#,##0" sourceLinked="0"/>
          <c:spPr>
            <a:noFill/>
            <a:ln>
              <a:noFill/>
            </a:ln>
            <a:effectLst/>
          </c:spPr>
          <c:txPr>
            <a:bodyPr wrap="square" lIns="38100" tIns="19050" rIns="38100" bIns="19050" anchor="ctr" anchorCtr="0">
              <a:spAutoFit/>
            </a:bodyPr>
            <a:lstStyle/>
            <a:p>
              <a:pPr algn="ctr">
                <a:defRPr lang="en-US" sz="1400" b="0" i="0" u="none" strike="noStrike" kern="1200" baseline="0">
                  <a:solidFill>
                    <a:schemeClr val="tx1"/>
                  </a:solidFill>
                  <a:latin typeface="Arial Nova" panose="020B0504020202020204" pitchFamily="34" charset="0"/>
                  <a:ea typeface="+mn-ea"/>
                  <a:cs typeface="Aharoni" panose="02010803020104030203" pitchFamily="2" charset="-79"/>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8"/>
        <c:spPr>
          <a:ln>
            <a:solidFill>
              <a:srgbClr val="0E2B3A"/>
            </a:solidFill>
          </a:ln>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rgbClr val="DDDDDD"/>
          </a:solidFill>
          <a:ln w="6350">
            <a:solidFill>
              <a:schemeClr val="bg1">
                <a:lumMod val="65000"/>
              </a:schemeClr>
            </a:solidFill>
          </a:ln>
          <a:effectLst>
            <a:outerShdw blurRad="50800" sx="101000" sy="101000" algn="ctr" rotWithShape="0">
              <a:prstClr val="black">
                <a:alpha val="40000"/>
              </a:prstClr>
            </a:outerShdw>
          </a:effectLst>
        </c:spPr>
        <c:marker>
          <c:symbol val="none"/>
        </c:marker>
        <c:dLbl>
          <c:idx val="0"/>
          <c:numFmt formatCode="#,##0" sourceLinked="0"/>
          <c:spPr>
            <a:noFill/>
            <a:ln>
              <a:noFill/>
            </a:ln>
            <a:effectLst/>
          </c:spPr>
          <c:txPr>
            <a:bodyPr wrap="square" lIns="38100" tIns="19050" rIns="38100" bIns="19050" anchor="ctr">
              <a:spAutoFit/>
            </a:bodyPr>
            <a:lstStyle/>
            <a:p>
              <a:pPr>
                <a:defRPr sz="1400" b="1">
                  <a:solidFill>
                    <a:schemeClr val="tx1">
                      <a:lumMod val="75000"/>
                      <a:lumOff val="25000"/>
                    </a:schemeClr>
                  </a:solidFill>
                  <a:latin typeface="Arial Nova" panose="020B0504020202020204" pitchFamily="34" charset="0"/>
                  <a:cs typeface="Aharoni" panose="02010803020104030203" pitchFamily="2" charset="-79"/>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0"/>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rgbClr val="DDDDDD"/>
          </a:solidFill>
          <a:ln>
            <a:solidFill>
              <a:schemeClr val="bg1">
                <a:lumMod val="65000"/>
              </a:schemeClr>
            </a:solidFill>
          </a:ln>
          <a:effectLst>
            <a:outerShdw blurRad="50800" algn="ctr" rotWithShape="0">
              <a:prstClr val="black">
                <a:alpha val="40000"/>
              </a:prstClr>
            </a:outerShdw>
          </a:effectLst>
        </c:spPr>
        <c:marker>
          <c:symbol val="none"/>
        </c:marker>
        <c:dLbl>
          <c:idx val="0"/>
          <c:numFmt formatCode="#,##0" sourceLinked="0"/>
          <c:spPr>
            <a:noFill/>
            <a:ln>
              <a:noFill/>
            </a:ln>
            <a:effectLst/>
          </c:spPr>
          <c:txPr>
            <a:bodyPr wrap="square" lIns="38100" tIns="19050" rIns="38100" bIns="19050" anchor="ctr">
              <a:spAutoFit/>
            </a:bodyPr>
            <a:lstStyle/>
            <a:p>
              <a:pPr>
                <a:defRPr b="1">
                  <a:latin typeface="Arial Nova" panose="020B05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ln w="41275">
            <a:solidFill>
              <a:srgbClr val="0E2B3A"/>
            </a:solidFill>
          </a:ln>
        </c:spPr>
        <c:marker>
          <c:symbol val="circle"/>
          <c:size val="7"/>
          <c:spPr>
            <a:solidFill>
              <a:srgbClr val="0E2B3A"/>
            </a:solidFill>
            <a:ln>
              <a:noFill/>
            </a:ln>
          </c:spPr>
        </c:marker>
        <c:dLbl>
          <c:idx val="0"/>
          <c:numFmt formatCode="&quot;$&quot;#,##0" sourceLinked="0"/>
          <c:spPr>
            <a:noFill/>
            <a:ln>
              <a:noFill/>
            </a:ln>
            <a:effectLst/>
          </c:spPr>
          <c:txPr>
            <a:bodyPr wrap="square" lIns="38100" tIns="19050" rIns="38100" bIns="19050" anchor="ctr">
              <a:spAutoFit/>
            </a:bodyPr>
            <a:lstStyle/>
            <a:p>
              <a:pPr>
                <a:defRPr b="1">
                  <a:latin typeface="Arial Nova" panose="020B05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50047950579059E-2"/>
          <c:y val="8.5994192061472102E-2"/>
          <c:w val="0.86906438628625871"/>
          <c:h val="0.79269034732753862"/>
        </c:manualLayout>
      </c:layout>
      <c:barChart>
        <c:barDir val="col"/>
        <c:grouping val="clustered"/>
        <c:varyColors val="0"/>
        <c:ser>
          <c:idx val="1"/>
          <c:order val="1"/>
          <c:tx>
            <c:strRef>
              <c:f>Data!$R$3:$R$4</c:f>
              <c:strCache>
                <c:ptCount val="1"/>
                <c:pt idx="0">
                  <c:v>Center memberships</c:v>
                </c:pt>
              </c:strCache>
            </c:strRef>
          </c:tx>
          <c:spPr>
            <a:solidFill>
              <a:srgbClr val="DDDDDD"/>
            </a:solidFill>
            <a:ln>
              <a:solidFill>
                <a:schemeClr val="bg1">
                  <a:lumMod val="65000"/>
                </a:schemeClr>
              </a:solidFill>
            </a:ln>
            <a:effectLst>
              <a:outerShdw blurRad="50800" algn="ctr" rotWithShape="0">
                <a:prstClr val="black">
                  <a:alpha val="40000"/>
                </a:prstClr>
              </a:outerShdw>
            </a:effectLst>
          </c:spPr>
          <c:invertIfNegative val="0"/>
          <c:dLbls>
            <c:numFmt formatCode="#,##0" sourceLinked="0"/>
            <c:spPr>
              <a:noFill/>
              <a:ln>
                <a:noFill/>
              </a:ln>
              <a:effectLst/>
            </c:spPr>
            <c:txPr>
              <a:bodyPr wrap="square" lIns="38100" tIns="19050" rIns="38100" bIns="19050" anchor="ctr">
                <a:spAutoFit/>
              </a:bodyPr>
              <a:lstStyle/>
              <a:p>
                <a:pPr>
                  <a:defRPr b="1">
                    <a:latin typeface="Arial Nova" panose="020B05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Data!$P$5:$P$37</c:f>
              <c:multiLvlStrCache>
                <c:ptCount val="16"/>
                <c:lvl>
                  <c:pt idx="0">
                    <c:v>1Q 2023A</c:v>
                  </c:pt>
                  <c:pt idx="1">
                    <c:v>2Q 2023A</c:v>
                  </c:pt>
                  <c:pt idx="2">
                    <c:v>3Q 2023A</c:v>
                  </c:pt>
                  <c:pt idx="3">
                    <c:v>4Q 2023A</c:v>
                  </c:pt>
                  <c:pt idx="4">
                    <c:v>1Q 2024A</c:v>
                  </c:pt>
                  <c:pt idx="5">
                    <c:v>2Q 2024A</c:v>
                  </c:pt>
                  <c:pt idx="6">
                    <c:v>3Q 2024A</c:v>
                  </c:pt>
                  <c:pt idx="7">
                    <c:v>4Q 2024A</c:v>
                  </c:pt>
                  <c:pt idx="8">
                    <c:v>1Q 2025F</c:v>
                  </c:pt>
                  <c:pt idx="9">
                    <c:v>2Q 2025F</c:v>
                  </c:pt>
                  <c:pt idx="10">
                    <c:v>3Q 2025F</c:v>
                  </c:pt>
                  <c:pt idx="11">
                    <c:v>4Q 2025F</c:v>
                  </c:pt>
                  <c:pt idx="12">
                    <c:v>1Q 2026F</c:v>
                  </c:pt>
                  <c:pt idx="13">
                    <c:v>2Q 2026F</c:v>
                  </c:pt>
                  <c:pt idx="14">
                    <c:v>3Q 2026F</c:v>
                  </c:pt>
                  <c:pt idx="15">
                    <c:v>4Q 2026F</c:v>
                  </c:pt>
                </c:lvl>
                <c:lvl>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lvl>
              </c:multiLvlStrCache>
            </c:multiLvlStrRef>
          </c:cat>
          <c:val>
            <c:numRef>
              <c:f>Data!$R$5:$R$37</c:f>
              <c:numCache>
                <c:formatCode>General</c:formatCode>
                <c:ptCount val="16"/>
                <c:pt idx="0">
                  <c:v>764173</c:v>
                </c:pt>
                <c:pt idx="1">
                  <c:v>790238</c:v>
                </c:pt>
                <c:pt idx="2">
                  <c:v>784331</c:v>
                </c:pt>
                <c:pt idx="3">
                  <c:v>763216</c:v>
                </c:pt>
                <c:pt idx="4">
                  <c:v>802010</c:v>
                </c:pt>
                <c:pt idx="5">
                  <c:v>832636</c:v>
                </c:pt>
                <c:pt idx="6">
                  <c:v>826502</c:v>
                </c:pt>
                <c:pt idx="7">
                  <c:v>812062</c:v>
                </c:pt>
                <c:pt idx="8">
                  <c:v>848342.06735677831</c:v>
                </c:pt>
                <c:pt idx="9">
                  <c:v>881032.88390243892</c:v>
                </c:pt>
                <c:pt idx="10">
                  <c:v>863338.95682951144</c:v>
                </c:pt>
                <c:pt idx="11">
                  <c:v>850491.55924728024</c:v>
                </c:pt>
                <c:pt idx="12">
                  <c:v>890448.58830828127</c:v>
                </c:pt>
                <c:pt idx="13">
                  <c:v>921202.72182926827</c:v>
                </c:pt>
                <c:pt idx="14">
                  <c:v>907833.23666500498</c:v>
                </c:pt>
                <c:pt idx="15">
                  <c:v>890106.53394426475</c:v>
                </c:pt>
              </c:numCache>
            </c:numRef>
          </c:val>
          <c:extLst>
            <c:ext xmlns:c16="http://schemas.microsoft.com/office/drawing/2014/chart" uri="{C3380CC4-5D6E-409C-BE32-E72D297353CC}">
              <c16:uniqueId val="{00000010-8B7B-48B6-993D-1FA66F01A852}"/>
            </c:ext>
          </c:extLst>
        </c:ser>
        <c:dLbls>
          <c:showLegendKey val="0"/>
          <c:showVal val="0"/>
          <c:showCatName val="0"/>
          <c:showSerName val="0"/>
          <c:showPercent val="0"/>
          <c:showBubbleSize val="0"/>
        </c:dLbls>
        <c:gapWidth val="60"/>
        <c:axId val="384546495"/>
        <c:axId val="384547455"/>
      </c:barChart>
      <c:lineChart>
        <c:grouping val="stacked"/>
        <c:varyColors val="0"/>
        <c:ser>
          <c:idx val="0"/>
          <c:order val="0"/>
          <c:tx>
            <c:strRef>
              <c:f>Data!$Q$3:$Q$4</c:f>
              <c:strCache>
                <c:ptCount val="1"/>
                <c:pt idx="0">
                  <c:v>Center Membership dues/ fees per membership</c:v>
                </c:pt>
              </c:strCache>
            </c:strRef>
          </c:tx>
          <c:spPr>
            <a:ln w="41275">
              <a:solidFill>
                <a:srgbClr val="0E2B3A"/>
              </a:solidFill>
            </a:ln>
          </c:spPr>
          <c:marker>
            <c:symbol val="circle"/>
            <c:size val="7"/>
            <c:spPr>
              <a:solidFill>
                <a:srgbClr val="0E2B3A"/>
              </a:solidFill>
              <a:ln>
                <a:noFill/>
              </a:ln>
            </c:spPr>
          </c:marker>
          <c:dLbls>
            <c:numFmt formatCode="&quot;$&quot;#,##0" sourceLinked="0"/>
            <c:spPr>
              <a:noFill/>
              <a:ln>
                <a:noFill/>
              </a:ln>
              <a:effectLst/>
            </c:spPr>
            <c:txPr>
              <a:bodyPr wrap="square" lIns="38100" tIns="19050" rIns="38100" bIns="19050" anchor="ctr">
                <a:spAutoFit/>
              </a:bodyPr>
              <a:lstStyle/>
              <a:p>
                <a:pPr>
                  <a:defRPr b="1">
                    <a:latin typeface="Arial Nova" panose="020B05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Data!$P$5:$P$37</c:f>
              <c:multiLvlStrCache>
                <c:ptCount val="16"/>
                <c:lvl>
                  <c:pt idx="0">
                    <c:v>1Q 2023A</c:v>
                  </c:pt>
                  <c:pt idx="1">
                    <c:v>2Q 2023A</c:v>
                  </c:pt>
                  <c:pt idx="2">
                    <c:v>3Q 2023A</c:v>
                  </c:pt>
                  <c:pt idx="3">
                    <c:v>4Q 2023A</c:v>
                  </c:pt>
                  <c:pt idx="4">
                    <c:v>1Q 2024A</c:v>
                  </c:pt>
                  <c:pt idx="5">
                    <c:v>2Q 2024A</c:v>
                  </c:pt>
                  <c:pt idx="6">
                    <c:v>3Q 2024A</c:v>
                  </c:pt>
                  <c:pt idx="7">
                    <c:v>4Q 2024A</c:v>
                  </c:pt>
                  <c:pt idx="8">
                    <c:v>1Q 2025F</c:v>
                  </c:pt>
                  <c:pt idx="9">
                    <c:v>2Q 2025F</c:v>
                  </c:pt>
                  <c:pt idx="10">
                    <c:v>3Q 2025F</c:v>
                  </c:pt>
                  <c:pt idx="11">
                    <c:v>4Q 2025F</c:v>
                  </c:pt>
                  <c:pt idx="12">
                    <c:v>1Q 2026F</c:v>
                  </c:pt>
                  <c:pt idx="13">
                    <c:v>2Q 2026F</c:v>
                  </c:pt>
                  <c:pt idx="14">
                    <c:v>3Q 2026F</c:v>
                  </c:pt>
                  <c:pt idx="15">
                    <c:v>4Q 2026F</c:v>
                  </c:pt>
                </c:lvl>
                <c:lvl>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lvl>
              </c:multiLvlStrCache>
            </c:multiLvlStrRef>
          </c:cat>
          <c:val>
            <c:numRef>
              <c:f>Data!$Q$5:$Q$37</c:f>
              <c:numCache>
                <c:formatCode>General</c:formatCode>
                <c:ptCount val="16"/>
                <c:pt idx="0">
                  <c:v>467.81029950024413</c:v>
                </c:pt>
                <c:pt idx="1">
                  <c:v>489.87140582963622</c:v>
                </c:pt>
                <c:pt idx="2">
                  <c:v>520.0648705712257</c:v>
                </c:pt>
                <c:pt idx="3">
                  <c:v>530.36492945640555</c:v>
                </c:pt>
                <c:pt idx="4">
                  <c:v>530.43104200695757</c:v>
                </c:pt>
                <c:pt idx="5">
                  <c:v>555.70020993567414</c:v>
                </c:pt>
                <c:pt idx="6">
                  <c:v>590.56723395708661</c:v>
                </c:pt>
                <c:pt idx="7">
                  <c:v>588.31837963111195</c:v>
                </c:pt>
                <c:pt idx="8">
                  <c:v>586.12630141768807</c:v>
                </c:pt>
                <c:pt idx="9">
                  <c:v>612.24270629662897</c:v>
                </c:pt>
                <c:pt idx="10">
                  <c:v>648.73810650185965</c:v>
                </c:pt>
                <c:pt idx="11">
                  <c:v>644.35570529097538</c:v>
                </c:pt>
                <c:pt idx="12">
                  <c:v>640.04992114811546</c:v>
                </c:pt>
                <c:pt idx="13">
                  <c:v>666.57924648045469</c:v>
                </c:pt>
                <c:pt idx="14">
                  <c:v>704.20521460776854</c:v>
                </c:pt>
                <c:pt idx="15">
                  <c:v>697.35396205115808</c:v>
                </c:pt>
              </c:numCache>
            </c:numRef>
          </c:val>
          <c:smooth val="1"/>
          <c:extLst>
            <c:ext xmlns:c16="http://schemas.microsoft.com/office/drawing/2014/chart" uri="{C3380CC4-5D6E-409C-BE32-E72D297353CC}">
              <c16:uniqueId val="{00000001-A555-4082-B379-591FC33D45D9}"/>
            </c:ext>
          </c:extLst>
        </c:ser>
        <c:dLbls>
          <c:showLegendKey val="0"/>
          <c:showVal val="0"/>
          <c:showCatName val="0"/>
          <c:showSerName val="0"/>
          <c:showPercent val="0"/>
          <c:showBubbleSize val="0"/>
        </c:dLbls>
        <c:marker val="1"/>
        <c:smooth val="0"/>
        <c:axId val="1986569055"/>
        <c:axId val="1986559935"/>
      </c:lineChart>
      <c:catAx>
        <c:axId val="384546495"/>
        <c:scaling>
          <c:orientation val="minMax"/>
        </c:scaling>
        <c:delete val="0"/>
        <c:axPos val="b"/>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60000000" vert="horz"/>
          <a:lstStyle/>
          <a:p>
            <a:pPr algn="ctr">
              <a:defRPr sz="1200"/>
            </a:pPr>
            <a:endParaRPr lang="en-US"/>
          </a:p>
        </c:txPr>
        <c:crossAx val="384547455"/>
        <c:crosses val="autoZero"/>
        <c:auto val="1"/>
        <c:lblAlgn val="ctr"/>
        <c:lblOffset val="100"/>
        <c:noMultiLvlLbl val="1"/>
      </c:catAx>
      <c:valAx>
        <c:axId val="384547455"/>
        <c:scaling>
          <c:orientation val="minMax"/>
          <c:max val="1270000"/>
          <c:min val="0"/>
        </c:scaling>
        <c:delete val="0"/>
        <c:axPos val="l"/>
        <c:majorGridlines>
          <c:spPr>
            <a:ln w="9525" cap="flat" cmpd="sng" algn="ctr">
              <a:noFill/>
              <a:round/>
            </a:ln>
            <a:effectLst/>
          </c:spPr>
        </c:majorGridlines>
        <c:minorGridlines>
          <c:spPr>
            <a:ln>
              <a:noFill/>
            </a:ln>
          </c:spPr>
        </c:minorGridlines>
        <c:numFmt formatCode="#,##0" sourceLinked="0"/>
        <c:majorTickMark val="in"/>
        <c:minorTickMark val="none"/>
        <c:tickLblPos val="nextTo"/>
        <c:spPr>
          <a:noFill/>
          <a:ln>
            <a:solidFill>
              <a:schemeClr val="tx1">
                <a:lumMod val="15000"/>
                <a:lumOff val="85000"/>
              </a:schemeClr>
            </a:solidFill>
          </a:ln>
          <a:effectLst/>
        </c:spPr>
        <c:txPr>
          <a:bodyPr rot="-60000000" vert="horz"/>
          <a:lstStyle/>
          <a:p>
            <a:pPr>
              <a:defRPr sz="1400"/>
            </a:pPr>
            <a:endParaRPr lang="en-US"/>
          </a:p>
        </c:txPr>
        <c:crossAx val="384546495"/>
        <c:crosses val="autoZero"/>
        <c:crossBetween val="between"/>
      </c:valAx>
      <c:valAx>
        <c:axId val="1986559935"/>
        <c:scaling>
          <c:orientation val="minMax"/>
          <c:max val="1200"/>
        </c:scaling>
        <c:delete val="0"/>
        <c:axPos val="r"/>
        <c:numFmt formatCode="&quot;$&quot;#,##0" sourceLinked="0"/>
        <c:majorTickMark val="out"/>
        <c:minorTickMark val="none"/>
        <c:tickLblPos val="nextTo"/>
        <c:crossAx val="1986569055"/>
        <c:crosses val="max"/>
        <c:crossBetween val="between"/>
      </c:valAx>
      <c:catAx>
        <c:axId val="1986569055"/>
        <c:scaling>
          <c:orientation val="minMax"/>
        </c:scaling>
        <c:delete val="1"/>
        <c:axPos val="b"/>
        <c:numFmt formatCode="General" sourceLinked="1"/>
        <c:majorTickMark val="out"/>
        <c:minorTickMark val="none"/>
        <c:tickLblPos val="nextTo"/>
        <c:crossAx val="1986559935"/>
        <c:crosses val="autoZero"/>
        <c:auto val="1"/>
        <c:lblAlgn val="ctr"/>
        <c:lblOffset val="100"/>
        <c:noMultiLvlLbl val="0"/>
      </c:catAx>
      <c:spPr>
        <a:solidFill>
          <a:schemeClr val="bg1"/>
        </a:solidFill>
      </c:spPr>
    </c:plotArea>
    <c:legend>
      <c:legendPos val="r"/>
      <c:layout>
        <c:manualLayout>
          <c:xMode val="edge"/>
          <c:yMode val="edge"/>
          <c:x val="0.20513356884705622"/>
          <c:y val="5.7056339150529905E-4"/>
          <c:w val="0.63994370470102913"/>
          <c:h val="6.9716208799215085E-2"/>
        </c:manualLayout>
      </c:layout>
      <c:overlay val="0"/>
      <c:txPr>
        <a:bodyPr/>
        <a:lstStyle/>
        <a:p>
          <a:pPr algn="ctr">
            <a:defRPr sz="1600"/>
          </a:pPr>
          <a:endParaRPr lang="en-US"/>
        </a:p>
      </c:txPr>
    </c:legend>
    <c:plotVisOnly val="1"/>
    <c:dispBlanksAs val="zero"/>
    <c:showDLblsOverMax val="0"/>
    <c:extLst/>
  </c:chart>
  <c:spPr>
    <a:solidFill>
      <a:srgbClr val="F3F3F3">
        <a:alpha val="11000"/>
      </a:srgbClr>
    </a:solidFill>
    <a:ln>
      <a:noFill/>
    </a:ln>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81</xdr:row>
      <xdr:rowOff>119268</xdr:rowOff>
    </xdr:from>
    <xdr:to>
      <xdr:col>25</xdr:col>
      <xdr:colOff>286249</xdr:colOff>
      <xdr:row>122</xdr:row>
      <xdr:rowOff>150081</xdr:rowOff>
    </xdr:to>
    <xdr:pic>
      <xdr:nvPicPr>
        <xdr:cNvPr id="15" name="Picture 14">
          <a:extLst>
            <a:ext uri="{FF2B5EF4-FFF2-40B4-BE49-F238E27FC236}">
              <a16:creationId xmlns:a16="http://schemas.microsoft.com/office/drawing/2014/main" id="{CDBED2CF-1437-4266-C123-E2FD550045D8}"/>
            </a:ext>
          </a:extLst>
        </xdr:cNvPr>
        <xdr:cNvPicPr>
          <a:picLocks noChangeAspect="1"/>
        </xdr:cNvPicPr>
      </xdr:nvPicPr>
      <xdr:blipFill>
        <a:blip xmlns:r="http://schemas.openxmlformats.org/officeDocument/2006/relationships" r:embed="rId1"/>
        <a:stretch>
          <a:fillRect/>
        </a:stretch>
      </xdr:blipFill>
      <xdr:spPr>
        <a:xfrm>
          <a:off x="1" y="11076166"/>
          <a:ext cx="14725816" cy="7202887"/>
        </a:xfrm>
        <a:prstGeom prst="rect">
          <a:avLst/>
        </a:prstGeom>
      </xdr:spPr>
    </xdr:pic>
    <xdr:clientData/>
  </xdr:twoCellAnchor>
  <xdr:twoCellAnchor editAs="oneCell">
    <xdr:from>
      <xdr:col>24</xdr:col>
      <xdr:colOff>636104</xdr:colOff>
      <xdr:row>81</xdr:row>
      <xdr:rowOff>159026</xdr:rowOff>
    </xdr:from>
    <xdr:to>
      <xdr:col>50</xdr:col>
      <xdr:colOff>486621</xdr:colOff>
      <xdr:row>122</xdr:row>
      <xdr:rowOff>63613</xdr:rowOff>
    </xdr:to>
    <xdr:pic>
      <xdr:nvPicPr>
        <xdr:cNvPr id="18" name="Picture 17">
          <a:extLst>
            <a:ext uri="{FF2B5EF4-FFF2-40B4-BE49-F238E27FC236}">
              <a16:creationId xmlns:a16="http://schemas.microsoft.com/office/drawing/2014/main" id="{08FB092D-069F-A1BE-D4F9-DFF3A98D9445}"/>
            </a:ext>
          </a:extLst>
        </xdr:cNvPr>
        <xdr:cNvPicPr>
          <a:picLocks noChangeAspect="1"/>
        </xdr:cNvPicPr>
      </xdr:nvPicPr>
      <xdr:blipFill>
        <a:blip xmlns:r="http://schemas.openxmlformats.org/officeDocument/2006/relationships" r:embed="rId2"/>
        <a:stretch>
          <a:fillRect/>
        </a:stretch>
      </xdr:blipFill>
      <xdr:spPr>
        <a:xfrm>
          <a:off x="14375958" y="15664070"/>
          <a:ext cx="14862579" cy="7076663"/>
        </a:xfrm>
        <a:prstGeom prst="rect">
          <a:avLst/>
        </a:prstGeom>
      </xdr:spPr>
    </xdr:pic>
    <xdr:clientData/>
  </xdr:twoCellAnchor>
  <xdr:twoCellAnchor editAs="oneCell">
    <xdr:from>
      <xdr:col>0</xdr:col>
      <xdr:colOff>0</xdr:colOff>
      <xdr:row>126</xdr:row>
      <xdr:rowOff>111319</xdr:rowOff>
    </xdr:from>
    <xdr:to>
      <xdr:col>25</xdr:col>
      <xdr:colOff>302150</xdr:colOff>
      <xdr:row>164</xdr:row>
      <xdr:rowOff>54374</xdr:rowOff>
    </xdr:to>
    <xdr:pic>
      <xdr:nvPicPr>
        <xdr:cNvPr id="21" name="Picture 20">
          <a:extLst>
            <a:ext uri="{FF2B5EF4-FFF2-40B4-BE49-F238E27FC236}">
              <a16:creationId xmlns:a16="http://schemas.microsoft.com/office/drawing/2014/main" id="{A03BD09F-21DA-E2AE-5DC6-5C08369EE514}"/>
            </a:ext>
          </a:extLst>
        </xdr:cNvPr>
        <xdr:cNvPicPr>
          <a:picLocks noChangeAspect="1"/>
        </xdr:cNvPicPr>
      </xdr:nvPicPr>
      <xdr:blipFill>
        <a:blip xmlns:r="http://schemas.openxmlformats.org/officeDocument/2006/relationships" r:embed="rId3"/>
        <a:stretch>
          <a:fillRect/>
        </a:stretch>
      </xdr:blipFill>
      <xdr:spPr>
        <a:xfrm>
          <a:off x="0" y="23488153"/>
          <a:ext cx="14741718" cy="6590347"/>
        </a:xfrm>
        <a:prstGeom prst="rect">
          <a:avLst/>
        </a:prstGeom>
      </xdr:spPr>
    </xdr:pic>
    <xdr:clientData/>
  </xdr:twoCellAnchor>
  <xdr:twoCellAnchor editAs="oneCell">
    <xdr:from>
      <xdr:col>25</xdr:col>
      <xdr:colOff>47711</xdr:colOff>
      <xdr:row>126</xdr:row>
      <xdr:rowOff>31806</xdr:rowOff>
    </xdr:from>
    <xdr:to>
      <xdr:col>51</xdr:col>
      <xdr:colOff>95418</xdr:colOff>
      <xdr:row>164</xdr:row>
      <xdr:rowOff>17269</xdr:rowOff>
    </xdr:to>
    <xdr:pic>
      <xdr:nvPicPr>
        <xdr:cNvPr id="22" name="Picture 21">
          <a:extLst>
            <a:ext uri="{FF2B5EF4-FFF2-40B4-BE49-F238E27FC236}">
              <a16:creationId xmlns:a16="http://schemas.microsoft.com/office/drawing/2014/main" id="{F31ABA5E-17AC-21A3-A144-BEFC4F3C6CD7}"/>
            </a:ext>
          </a:extLst>
        </xdr:cNvPr>
        <xdr:cNvPicPr>
          <a:picLocks noChangeAspect="1"/>
        </xdr:cNvPicPr>
      </xdr:nvPicPr>
      <xdr:blipFill>
        <a:blip xmlns:r="http://schemas.openxmlformats.org/officeDocument/2006/relationships" r:embed="rId4"/>
        <a:stretch>
          <a:fillRect/>
        </a:stretch>
      </xdr:blipFill>
      <xdr:spPr>
        <a:xfrm>
          <a:off x="14487279" y="23408640"/>
          <a:ext cx="14932549" cy="6632755"/>
        </a:xfrm>
        <a:prstGeom prst="rect">
          <a:avLst/>
        </a:prstGeom>
      </xdr:spPr>
    </xdr:pic>
    <xdr:clientData/>
  </xdr:twoCellAnchor>
  <xdr:twoCellAnchor editAs="oneCell">
    <xdr:from>
      <xdr:col>25</xdr:col>
      <xdr:colOff>26506</xdr:colOff>
      <xdr:row>3</xdr:row>
      <xdr:rowOff>84812</xdr:rowOff>
    </xdr:from>
    <xdr:to>
      <xdr:col>50</xdr:col>
      <xdr:colOff>458729</xdr:colOff>
      <xdr:row>42</xdr:row>
      <xdr:rowOff>98066</xdr:rowOff>
    </xdr:to>
    <xdr:pic>
      <xdr:nvPicPr>
        <xdr:cNvPr id="25" name="Picture 24">
          <a:extLst>
            <a:ext uri="{FF2B5EF4-FFF2-40B4-BE49-F238E27FC236}">
              <a16:creationId xmlns:a16="http://schemas.microsoft.com/office/drawing/2014/main" id="{7C46528D-3FB5-0925-F58F-7EE1CB21654F}"/>
            </a:ext>
          </a:extLst>
        </xdr:cNvPr>
        <xdr:cNvPicPr>
          <a:picLocks noChangeAspect="1"/>
        </xdr:cNvPicPr>
      </xdr:nvPicPr>
      <xdr:blipFill>
        <a:blip xmlns:r="http://schemas.openxmlformats.org/officeDocument/2006/relationships" r:embed="rId5"/>
        <a:stretch>
          <a:fillRect/>
        </a:stretch>
      </xdr:blipFill>
      <xdr:spPr>
        <a:xfrm>
          <a:off x="14308271" y="1032852"/>
          <a:ext cx="14576371" cy="7016518"/>
        </a:xfrm>
        <a:prstGeom prst="rect">
          <a:avLst/>
        </a:prstGeom>
      </xdr:spPr>
    </xdr:pic>
    <xdr:clientData/>
  </xdr:twoCellAnchor>
  <xdr:twoCellAnchor editAs="oneCell">
    <xdr:from>
      <xdr:col>0</xdr:col>
      <xdr:colOff>0</xdr:colOff>
      <xdr:row>3</xdr:row>
      <xdr:rowOff>583097</xdr:rowOff>
    </xdr:from>
    <xdr:to>
      <xdr:col>25</xdr:col>
      <xdr:colOff>132522</xdr:colOff>
      <xdr:row>42</xdr:row>
      <xdr:rowOff>17271</xdr:rowOff>
    </xdr:to>
    <xdr:pic>
      <xdr:nvPicPr>
        <xdr:cNvPr id="26" name="Picture 25">
          <a:extLst>
            <a:ext uri="{FF2B5EF4-FFF2-40B4-BE49-F238E27FC236}">
              <a16:creationId xmlns:a16="http://schemas.microsoft.com/office/drawing/2014/main" id="{9EAFD611-8E42-79CB-B4FC-6B62C85C6C4D}"/>
            </a:ext>
          </a:extLst>
        </xdr:cNvPr>
        <xdr:cNvPicPr>
          <a:picLocks noChangeAspect="1"/>
        </xdr:cNvPicPr>
      </xdr:nvPicPr>
      <xdr:blipFill>
        <a:blip xmlns:r="http://schemas.openxmlformats.org/officeDocument/2006/relationships" r:embed="rId6"/>
        <a:stretch>
          <a:fillRect/>
        </a:stretch>
      </xdr:blipFill>
      <xdr:spPr>
        <a:xfrm>
          <a:off x="0" y="1537254"/>
          <a:ext cx="14511130" cy="6590347"/>
        </a:xfrm>
        <a:prstGeom prst="rect">
          <a:avLst/>
        </a:prstGeom>
      </xdr:spPr>
    </xdr:pic>
    <xdr:clientData/>
  </xdr:twoCellAnchor>
  <xdr:twoCellAnchor editAs="oneCell">
    <xdr:from>
      <xdr:col>0</xdr:col>
      <xdr:colOff>0</xdr:colOff>
      <xdr:row>42</xdr:row>
      <xdr:rowOff>116618</xdr:rowOff>
    </xdr:from>
    <xdr:to>
      <xdr:col>25</xdr:col>
      <xdr:colOff>145775</xdr:colOff>
      <xdr:row>80</xdr:row>
      <xdr:rowOff>168342</xdr:rowOff>
    </xdr:to>
    <xdr:pic>
      <xdr:nvPicPr>
        <xdr:cNvPr id="27" name="Picture 26">
          <a:extLst>
            <a:ext uri="{FF2B5EF4-FFF2-40B4-BE49-F238E27FC236}">
              <a16:creationId xmlns:a16="http://schemas.microsoft.com/office/drawing/2014/main" id="{21B60B8B-70AF-2FFD-E8D5-435F4CBE6B58}"/>
            </a:ext>
          </a:extLst>
        </xdr:cNvPr>
        <xdr:cNvPicPr>
          <a:picLocks noChangeAspect="1"/>
        </xdr:cNvPicPr>
      </xdr:nvPicPr>
      <xdr:blipFill>
        <a:blip xmlns:r="http://schemas.openxmlformats.org/officeDocument/2006/relationships" r:embed="rId7"/>
        <a:stretch>
          <a:fillRect/>
        </a:stretch>
      </xdr:blipFill>
      <xdr:spPr>
        <a:xfrm>
          <a:off x="0" y="8354170"/>
          <a:ext cx="14585343" cy="6699014"/>
        </a:xfrm>
        <a:prstGeom prst="rect">
          <a:avLst/>
        </a:prstGeom>
      </xdr:spPr>
    </xdr:pic>
    <xdr:clientData/>
  </xdr:twoCellAnchor>
  <xdr:twoCellAnchor editAs="oneCell">
    <xdr:from>
      <xdr:col>24</xdr:col>
      <xdr:colOff>644058</xdr:colOff>
      <xdr:row>42</xdr:row>
      <xdr:rowOff>82164</xdr:rowOff>
    </xdr:from>
    <xdr:to>
      <xdr:col>50</xdr:col>
      <xdr:colOff>552311</xdr:colOff>
      <xdr:row>80</xdr:row>
      <xdr:rowOff>117984</xdr:rowOff>
    </xdr:to>
    <xdr:pic>
      <xdr:nvPicPr>
        <xdr:cNvPr id="28" name="Picture 27">
          <a:extLst>
            <a:ext uri="{FF2B5EF4-FFF2-40B4-BE49-F238E27FC236}">
              <a16:creationId xmlns:a16="http://schemas.microsoft.com/office/drawing/2014/main" id="{247E5A50-F5C6-0AA8-E7A5-895A4ECA6FED}"/>
            </a:ext>
          </a:extLst>
        </xdr:cNvPr>
        <xdr:cNvPicPr>
          <a:picLocks noChangeAspect="1"/>
        </xdr:cNvPicPr>
      </xdr:nvPicPr>
      <xdr:blipFill>
        <a:blip xmlns:r="http://schemas.openxmlformats.org/officeDocument/2006/relationships" r:embed="rId8"/>
        <a:stretch>
          <a:fillRect/>
        </a:stretch>
      </xdr:blipFill>
      <xdr:spPr>
        <a:xfrm>
          <a:off x="14383912" y="8319716"/>
          <a:ext cx="14920315" cy="6683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363488</xdr:colOff>
      <xdr:row>1</xdr:row>
      <xdr:rowOff>100336</xdr:rowOff>
    </xdr:from>
    <xdr:to>
      <xdr:col>27</xdr:col>
      <xdr:colOff>259364</xdr:colOff>
      <xdr:row>40</xdr:row>
      <xdr:rowOff>43543</xdr:rowOff>
    </xdr:to>
    <xdr:graphicFrame macro="">
      <xdr:nvGraphicFramePr>
        <xdr:cNvPr id="2" name="Chart 1">
          <a:extLst>
            <a:ext uri="{FF2B5EF4-FFF2-40B4-BE49-F238E27FC236}">
              <a16:creationId xmlns:a16="http://schemas.microsoft.com/office/drawing/2014/main" id="{96BCA333-A4B5-4AEB-98E1-B2D9D4521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28</xdr:col>
      <xdr:colOff>449247</xdr:colOff>
      <xdr:row>0</xdr:row>
      <xdr:rowOff>81499</xdr:rowOff>
    </xdr:from>
    <xdr:to>
      <xdr:col>31</xdr:col>
      <xdr:colOff>560566</xdr:colOff>
      <xdr:row>15</xdr:row>
      <xdr:rowOff>7040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5CD3E7B-6750-D2FD-21EA-37152BFD85D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351856" y="81499"/>
              <a:ext cx="1815170" cy="2481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134602</xdr:colOff>
      <xdr:row>0</xdr:row>
      <xdr:rowOff>65315</xdr:rowOff>
    </xdr:from>
    <xdr:to>
      <xdr:col>37</xdr:col>
      <xdr:colOff>90872</xdr:colOff>
      <xdr:row>14</xdr:row>
      <xdr:rowOff>163228</xdr:rowOff>
    </xdr:to>
    <mc:AlternateContent xmlns:mc="http://schemas.openxmlformats.org/markup-compatibility/2006" xmlns:a14="http://schemas.microsoft.com/office/drawing/2010/main">
      <mc:Choice Requires="a14">
        <xdr:graphicFrame macro="">
          <xdr:nvGraphicFramePr>
            <xdr:cNvPr id="4" name="Metric">
              <a:extLst>
                <a:ext uri="{FF2B5EF4-FFF2-40B4-BE49-F238E27FC236}">
                  <a16:creationId xmlns:a16="http://schemas.microsoft.com/office/drawing/2014/main" id="{25E92A6F-56B6-F5CA-1C07-63612397DA5D}"/>
                </a:ext>
              </a:extLst>
            </xdr:cNvPr>
            <xdr:cNvGraphicFramePr/>
          </xdr:nvGraphicFramePr>
          <xdr:xfrm>
            <a:off x="0" y="0"/>
            <a:ext cx="0" cy="0"/>
          </xdr:xfrm>
          <a:graphic>
            <a:graphicData uri="http://schemas.microsoft.com/office/drawing/2010/slicer">
              <sle:slicer xmlns:sle="http://schemas.microsoft.com/office/drawing/2010/slicer" name="Metric"/>
            </a:graphicData>
          </a:graphic>
        </xdr:graphicFrame>
      </mc:Choice>
      <mc:Fallback xmlns="">
        <xdr:sp macro="" textlink="">
          <xdr:nvSpPr>
            <xdr:cNvPr id="0" name=""/>
            <xdr:cNvSpPr>
              <a:spLocks noTextEdit="1"/>
            </xdr:cNvSpPr>
          </xdr:nvSpPr>
          <xdr:spPr>
            <a:xfrm>
              <a:off x="18309012" y="65315"/>
              <a:ext cx="2796021" cy="2483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266935</xdr:colOff>
      <xdr:row>15</xdr:row>
      <xdr:rowOff>112170</xdr:rowOff>
    </xdr:from>
    <xdr:to>
      <xdr:col>35</xdr:col>
      <xdr:colOff>366327</xdr:colOff>
      <xdr:row>30</xdr:row>
      <xdr:rowOff>8462</xdr:rowOff>
    </xdr:to>
    <mc:AlternateContent xmlns:mc="http://schemas.openxmlformats.org/markup-compatibility/2006" xmlns:a14="http://schemas.microsoft.com/office/drawing/2010/main">
      <mc:Choice Requires="a14">
        <xdr:graphicFrame macro="">
          <xdr:nvGraphicFramePr>
            <xdr:cNvPr id="5" name="Actual or Forecasted">
              <a:extLst>
                <a:ext uri="{FF2B5EF4-FFF2-40B4-BE49-F238E27FC236}">
                  <a16:creationId xmlns:a16="http://schemas.microsoft.com/office/drawing/2014/main" id="{87701435-D005-4F7C-B937-F0616CB70C33}"/>
                </a:ext>
              </a:extLst>
            </xdr:cNvPr>
            <xdr:cNvGraphicFramePr/>
          </xdr:nvGraphicFramePr>
          <xdr:xfrm>
            <a:off x="0" y="0"/>
            <a:ext cx="0" cy="0"/>
          </xdr:xfrm>
          <a:graphic>
            <a:graphicData uri="http://schemas.microsoft.com/office/drawing/2010/slicer">
              <sle:slicer xmlns:sle="http://schemas.microsoft.com/office/drawing/2010/slicer" name="Actual or Forecasted"/>
            </a:graphicData>
          </a:graphic>
        </xdr:graphicFrame>
      </mc:Choice>
      <mc:Fallback xmlns="">
        <xdr:sp macro="" textlink="">
          <xdr:nvSpPr>
            <xdr:cNvPr id="0" name=""/>
            <xdr:cNvSpPr>
              <a:spLocks noTextEdit="1"/>
            </xdr:cNvSpPr>
          </xdr:nvSpPr>
          <xdr:spPr>
            <a:xfrm>
              <a:off x="18441345" y="2667946"/>
              <a:ext cx="1803243" cy="2452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yson Harper" refreshedDate="45761.897056134258" createdVersion="8" refreshedVersion="8" minRefreshableVersion="3" recordCount="816" xr:uid="{17B301B0-DCFD-4C95-B4EF-F759E235A46E}">
  <cacheSource type="worksheet">
    <worksheetSource ref="B1:G817" sheet="Data"/>
  </cacheSource>
  <cacheFields count="9">
    <cacheField name="Quarter" numFmtId="0">
      <sharedItems count="16">
        <s v="1Q 2023A"/>
        <s v="2Q 2023A"/>
        <s v="3Q 2023A"/>
        <s v="4Q 2023A"/>
        <s v="1Q 2024A"/>
        <s v="2Q 2024A"/>
        <s v="3Q 2024A"/>
        <s v="4Q 2024A"/>
        <s v="1Q 2025F"/>
        <s v="2Q 2025F"/>
        <s v="3Q 2025F"/>
        <s v="4Q 2025F"/>
        <s v="1Q 2026F"/>
        <s v="2Q 2026F"/>
        <s v="3Q 2026F"/>
        <s v="4Q 2026F"/>
      </sharedItems>
    </cacheField>
    <cacheField name="Period" numFmtId="14">
      <sharedItems containsSemiMixedTypes="0" containsNonDate="0" containsDate="1" containsString="0" minDate="2023-03-31T00:00:00" maxDate="2027-01-01T00:00:00" count="16">
        <d v="2023-03-31T00:00:00"/>
        <d v="2023-06-30T00:00:00"/>
        <d v="2023-09-30T00:00:00"/>
        <d v="2023-12-31T00:00:00"/>
        <d v="2024-03-31T00:00:00"/>
        <d v="2024-06-30T00:00:00"/>
        <d v="2024-09-30T00:00:00"/>
        <d v="2024-12-31T00:00:00"/>
        <d v="2025-03-31T00:00:00"/>
        <d v="2025-06-30T00:00:00"/>
        <d v="2025-09-30T00:00:00"/>
        <d v="2025-12-31T00:00:00"/>
        <d v="2026-03-31T00:00:00"/>
        <d v="2026-06-30T00:00:00"/>
        <d v="2026-09-30T00:00:00"/>
        <d v="2026-12-31T00:00:00"/>
      </sharedItems>
      <fieldGroup par="8"/>
    </cacheField>
    <cacheField name="Actual or Forecasted" numFmtId="14">
      <sharedItems count="2">
        <s v="Actual"/>
        <s v="Forecasted"/>
      </sharedItems>
    </cacheField>
    <cacheField name="Category" numFmtId="170">
      <sharedItems containsBlank="1" count="4">
        <m/>
        <s v="Revenue"/>
        <s v="Expenses"/>
        <s v="Profitability"/>
      </sharedItems>
    </cacheField>
    <cacheField name="Metric" numFmtId="0">
      <sharedItems containsBlank="1" count="50">
        <m/>
        <s v="Total centers"/>
        <s v="New centers"/>
        <s v="Members per center"/>
        <s v="Center memberships"/>
        <s v="Center memberships QoQ Growth"/>
        <s v="Digital on-hold memberships"/>
        <s v="Digital on-hold memberships QoQ Growth"/>
        <s v="Digital Membership dues/ fees per membership"/>
        <s v="Digital Membership dues/ fees "/>
        <s v="Center Membership dues/ fees per membership"/>
        <s v="Center Membership dues/ fees per membership QoQ Growth"/>
        <s v="Membership dues and enrollment fees"/>
        <s v="Membership dues and enrollment fees QoQ Growth"/>
        <s v="In-center revenue"/>
        <s v="In-center revenue QoQ Growth"/>
        <s v="In-center rev/center membership"/>
        <s v="In-center rev/center membership QoQ Growth"/>
        <s v="Total center revenue"/>
        <s v="Total center revenue QoQ Growth"/>
        <s v="Other revenue"/>
        <s v="% of center revenue"/>
        <s v="Total Revenue"/>
        <s v="Total Revenue QoQ Growth"/>
        <s v="Center operations"/>
        <s v="Center operations % of center revenue"/>
        <s v="Rent"/>
        <s v="Rent per center"/>
        <s v="SG&amp;A"/>
        <s v="SG&amp;A % of total rev"/>
        <s v="D&amp;A"/>
        <s v="D&amp;A % of total rev"/>
        <s v="Operating income (EBIT)"/>
        <s v="EBIT margin"/>
        <s v="Taxes"/>
        <s v="CAPEX"/>
        <s v="CAPEX % of rev"/>
        <s v="SBC"/>
        <s v="SBC % of rev"/>
        <s v="FCFF"/>
        <s v="FCFF QoQ Growth"/>
        <s v="EBITDA"/>
        <s v="EBITDA QoQ Growth"/>
        <s v="EBITDA + SBC"/>
        <s v="EBITDA + SBC QoQ Growth"/>
        <s v="Net Income"/>
        <s v="Net Income QoQ Growth"/>
        <s v="EPS"/>
        <s v="Shares "/>
        <s v="Net Profit Margin"/>
      </sharedItems>
    </cacheField>
    <cacheField name="Value" numFmtId="0">
      <sharedItems containsString="0" containsBlank="1" containsNumber="1" minValue="-480745.13363674178" maxValue="921202.72182926827"/>
    </cacheField>
    <cacheField name="Months (Period)" numFmtId="0" databaseField="0">
      <fieldGroup base="1">
        <rangePr groupBy="months" startDate="2023-03-31T00:00:00" endDate="2027-01-01T00:00:00"/>
        <groupItems count="14">
          <s v="&lt;3/31/2023"/>
          <s v="Jan"/>
          <s v="Feb"/>
          <s v="Mar"/>
          <s v="Apr"/>
          <s v="May"/>
          <s v="Jun"/>
          <s v="Jul"/>
          <s v="Aug"/>
          <s v="Sep"/>
          <s v="Oct"/>
          <s v="Nov"/>
          <s v="Dec"/>
          <s v="&gt;1/1/2027"/>
        </groupItems>
      </fieldGroup>
    </cacheField>
    <cacheField name="Quarters (Period)" numFmtId="0" databaseField="0">
      <fieldGroup base="1">
        <rangePr groupBy="quarters" startDate="2023-03-31T00:00:00" endDate="2027-01-01T00:00:00"/>
        <groupItems count="6">
          <s v="&lt;3/31/2023"/>
          <s v="Qtr1"/>
          <s v="Qtr2"/>
          <s v="Qtr3"/>
          <s v="Qtr4"/>
          <s v="&gt;1/1/2027"/>
        </groupItems>
      </fieldGroup>
    </cacheField>
    <cacheField name="Years (Period)" numFmtId="0" databaseField="0">
      <fieldGroup base="1">
        <rangePr groupBy="years" startDate="2023-03-31T00:00:00" endDate="2027-01-01T00:00:00"/>
        <groupItems count="7">
          <s v="&lt;3/31/2023"/>
          <s v="2023"/>
          <s v="2024"/>
          <s v="2025"/>
          <s v="2026"/>
          <s v="2027"/>
          <s v="&gt;1/1/2027"/>
        </groupItems>
      </fieldGroup>
    </cacheField>
  </cacheFields>
  <extLst>
    <ext xmlns:x14="http://schemas.microsoft.com/office/spreadsheetml/2009/9/main" uri="{725AE2AE-9491-48be-B2B4-4EB974FC3084}">
      <x14:pivotCacheDefinition pivotCacheId="1069276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x v="0"/>
    <x v="0"/>
    <x v="0"/>
    <x v="0"/>
    <x v="0"/>
    <m/>
  </r>
  <r>
    <x v="0"/>
    <x v="0"/>
    <x v="0"/>
    <x v="0"/>
    <x v="0"/>
    <m/>
  </r>
  <r>
    <x v="0"/>
    <x v="0"/>
    <x v="0"/>
    <x v="1"/>
    <x v="1"/>
    <n v="164"/>
  </r>
  <r>
    <x v="0"/>
    <x v="0"/>
    <x v="0"/>
    <x v="1"/>
    <x v="2"/>
    <n v="0"/>
  </r>
  <r>
    <x v="0"/>
    <x v="0"/>
    <x v="0"/>
    <x v="1"/>
    <x v="3"/>
    <n v="4659.5914634146338"/>
  </r>
  <r>
    <x v="0"/>
    <x v="0"/>
    <x v="0"/>
    <x v="1"/>
    <x v="4"/>
    <n v="764173"/>
  </r>
  <r>
    <x v="0"/>
    <x v="0"/>
    <x v="0"/>
    <x v="1"/>
    <x v="5"/>
    <n v="0"/>
  </r>
  <r>
    <x v="0"/>
    <x v="0"/>
    <x v="0"/>
    <x v="1"/>
    <x v="6"/>
    <n v="49333"/>
  </r>
  <r>
    <x v="0"/>
    <x v="0"/>
    <x v="0"/>
    <x v="1"/>
    <x v="7"/>
    <n v="0"/>
  </r>
  <r>
    <x v="0"/>
    <x v="0"/>
    <x v="0"/>
    <x v="1"/>
    <x v="8"/>
    <n v="0"/>
  </r>
  <r>
    <x v="0"/>
    <x v="0"/>
    <x v="0"/>
    <x v="1"/>
    <x v="9"/>
    <n v="0"/>
  </r>
  <r>
    <x v="0"/>
    <x v="0"/>
    <x v="0"/>
    <x v="1"/>
    <x v="10"/>
    <n v="467.81029950024413"/>
  </r>
  <r>
    <x v="0"/>
    <x v="0"/>
    <x v="0"/>
    <x v="1"/>
    <x v="11"/>
    <n v="0"/>
  </r>
  <r>
    <x v="0"/>
    <x v="0"/>
    <x v="0"/>
    <x v="1"/>
    <x v="12"/>
    <n v="357488"/>
  </r>
  <r>
    <x v="0"/>
    <x v="0"/>
    <x v="0"/>
    <x v="1"/>
    <x v="13"/>
    <n v="0"/>
  </r>
  <r>
    <x v="0"/>
    <x v="0"/>
    <x v="0"/>
    <x v="1"/>
    <x v="14"/>
    <n v="140264"/>
  </r>
  <r>
    <x v="0"/>
    <x v="0"/>
    <x v="0"/>
    <x v="1"/>
    <x v="15"/>
    <n v="0"/>
  </r>
  <r>
    <x v="0"/>
    <x v="0"/>
    <x v="0"/>
    <x v="1"/>
    <x v="16"/>
    <n v="183.55005999950271"/>
  </r>
  <r>
    <x v="0"/>
    <x v="0"/>
    <x v="0"/>
    <x v="1"/>
    <x v="17"/>
    <n v="0"/>
  </r>
  <r>
    <x v="0"/>
    <x v="0"/>
    <x v="0"/>
    <x v="1"/>
    <x v="18"/>
    <n v="497752"/>
  </r>
  <r>
    <x v="0"/>
    <x v="0"/>
    <x v="0"/>
    <x v="1"/>
    <x v="19"/>
    <n v="0"/>
  </r>
  <r>
    <x v="0"/>
    <x v="0"/>
    <x v="0"/>
    <x v="1"/>
    <x v="20"/>
    <n v="13099"/>
  </r>
  <r>
    <x v="0"/>
    <x v="0"/>
    <x v="0"/>
    <x v="1"/>
    <x v="21"/>
    <n v="2.631631816647648E-2"/>
  </r>
  <r>
    <x v="0"/>
    <x v="0"/>
    <x v="0"/>
    <x v="1"/>
    <x v="22"/>
    <n v="510851"/>
  </r>
  <r>
    <x v="0"/>
    <x v="0"/>
    <x v="0"/>
    <x v="1"/>
    <x v="23"/>
    <n v="0.30230000000000001"/>
  </r>
  <r>
    <x v="0"/>
    <x v="0"/>
    <x v="0"/>
    <x v="2"/>
    <x v="24"/>
    <n v="-274109"/>
  </r>
  <r>
    <x v="0"/>
    <x v="0"/>
    <x v="0"/>
    <x v="2"/>
    <x v="25"/>
    <n v="0.55069391986370719"/>
  </r>
  <r>
    <x v="0"/>
    <x v="0"/>
    <x v="0"/>
    <x v="2"/>
    <x v="26"/>
    <n v="-66537"/>
  </r>
  <r>
    <x v="0"/>
    <x v="0"/>
    <x v="0"/>
    <x v="2"/>
    <x v="27"/>
    <n v="-405.71341463414632"/>
  </r>
  <r>
    <x v="0"/>
    <x v="0"/>
    <x v="0"/>
    <x v="2"/>
    <x v="28"/>
    <n v="-44624"/>
  </r>
  <r>
    <x v="0"/>
    <x v="0"/>
    <x v="0"/>
    <x v="2"/>
    <x v="29"/>
    <n v="8.7352280802034249E-2"/>
  </r>
  <r>
    <x v="0"/>
    <x v="0"/>
    <x v="0"/>
    <x v="2"/>
    <x v="30"/>
    <n v="-58197"/>
  </r>
  <r>
    <x v="0"/>
    <x v="0"/>
    <x v="0"/>
    <x v="2"/>
    <x v="31"/>
    <n v="0.11392167187692689"/>
  </r>
  <r>
    <x v="0"/>
    <x v="0"/>
    <x v="0"/>
    <x v="3"/>
    <x v="32"/>
    <n v="67384"/>
  </r>
  <r>
    <x v="0"/>
    <x v="0"/>
    <x v="0"/>
    <x v="3"/>
    <x v="33"/>
    <n v="0.13190538924265591"/>
  </r>
  <r>
    <x v="0"/>
    <x v="0"/>
    <x v="0"/>
    <x v="3"/>
    <x v="34"/>
    <n v="-8872"/>
  </r>
  <r>
    <x v="0"/>
    <x v="0"/>
    <x v="0"/>
    <x v="2"/>
    <x v="35"/>
    <n v="-170814"/>
  </r>
  <r>
    <x v="0"/>
    <x v="0"/>
    <x v="0"/>
    <x v="2"/>
    <x v="36"/>
    <n v="0.33437147035045439"/>
  </r>
  <r>
    <x v="0"/>
    <x v="0"/>
    <x v="0"/>
    <x v="2"/>
    <x v="37"/>
    <n v="5622"/>
  </r>
  <r>
    <x v="0"/>
    <x v="0"/>
    <x v="0"/>
    <x v="2"/>
    <x v="38"/>
    <n v="2.0510089052165378E-2"/>
  </r>
  <r>
    <x v="0"/>
    <x v="0"/>
    <x v="0"/>
    <x v="3"/>
    <x v="39"/>
    <n v="-45070"/>
  </r>
  <r>
    <x v="0"/>
    <x v="0"/>
    <x v="0"/>
    <x v="3"/>
    <x v="40"/>
    <n v="0"/>
  </r>
  <r>
    <x v="0"/>
    <x v="0"/>
    <x v="0"/>
    <x v="3"/>
    <x v="41"/>
    <n v="125581"/>
  </r>
  <r>
    <x v="0"/>
    <x v="0"/>
    <x v="0"/>
    <x v="3"/>
    <x v="42"/>
    <n v="0"/>
  </r>
  <r>
    <x v="0"/>
    <x v="0"/>
    <x v="0"/>
    <x v="3"/>
    <x v="43"/>
    <n v="131203"/>
  </r>
  <r>
    <x v="0"/>
    <x v="0"/>
    <x v="0"/>
    <x v="3"/>
    <x v="44"/>
    <n v="0"/>
  </r>
  <r>
    <x v="0"/>
    <x v="0"/>
    <x v="0"/>
    <x v="3"/>
    <x v="45"/>
    <n v="27460"/>
  </r>
  <r>
    <x v="0"/>
    <x v="0"/>
    <x v="0"/>
    <x v="3"/>
    <x v="46"/>
    <n v="0"/>
  </r>
  <r>
    <x v="0"/>
    <x v="0"/>
    <x v="0"/>
    <x v="3"/>
    <x v="47"/>
    <n v="0.14113027568200981"/>
  </r>
  <r>
    <x v="0"/>
    <x v="0"/>
    <x v="0"/>
    <x v="3"/>
    <x v="48"/>
    <n v="194572"/>
  </r>
  <r>
    <x v="0"/>
    <x v="0"/>
    <x v="0"/>
    <x v="3"/>
    <x v="49"/>
    <n v="5.3753442784686731E-2"/>
  </r>
  <r>
    <x v="1"/>
    <x v="1"/>
    <x v="0"/>
    <x v="0"/>
    <x v="0"/>
    <m/>
  </r>
  <r>
    <x v="1"/>
    <x v="1"/>
    <x v="0"/>
    <x v="0"/>
    <x v="0"/>
    <m/>
  </r>
  <r>
    <x v="1"/>
    <x v="1"/>
    <x v="0"/>
    <x v="1"/>
    <x v="1"/>
    <n v="164"/>
  </r>
  <r>
    <x v="1"/>
    <x v="1"/>
    <x v="0"/>
    <x v="1"/>
    <x v="2"/>
    <n v="0"/>
  </r>
  <r>
    <x v="1"/>
    <x v="1"/>
    <x v="0"/>
    <x v="1"/>
    <x v="3"/>
    <n v="4818.5243902439024"/>
  </r>
  <r>
    <x v="1"/>
    <x v="1"/>
    <x v="0"/>
    <x v="1"/>
    <x v="4"/>
    <n v="790238"/>
  </r>
  <r>
    <x v="1"/>
    <x v="1"/>
    <x v="0"/>
    <x v="1"/>
    <x v="5"/>
    <n v="0"/>
  </r>
  <r>
    <x v="1"/>
    <x v="1"/>
    <x v="0"/>
    <x v="1"/>
    <x v="6"/>
    <n v="42401"/>
  </r>
  <r>
    <x v="1"/>
    <x v="1"/>
    <x v="0"/>
    <x v="1"/>
    <x v="7"/>
    <n v="0"/>
  </r>
  <r>
    <x v="1"/>
    <x v="1"/>
    <x v="0"/>
    <x v="1"/>
    <x v="8"/>
    <n v="0"/>
  </r>
  <r>
    <x v="1"/>
    <x v="1"/>
    <x v="0"/>
    <x v="1"/>
    <x v="9"/>
    <n v="0"/>
  </r>
  <r>
    <x v="1"/>
    <x v="1"/>
    <x v="0"/>
    <x v="1"/>
    <x v="10"/>
    <n v="489.87140582963622"/>
  </r>
  <r>
    <x v="1"/>
    <x v="1"/>
    <x v="0"/>
    <x v="1"/>
    <x v="11"/>
    <n v="0"/>
  </r>
  <r>
    <x v="1"/>
    <x v="1"/>
    <x v="0"/>
    <x v="1"/>
    <x v="12"/>
    <n v="387115"/>
  </r>
  <r>
    <x v="1"/>
    <x v="1"/>
    <x v="0"/>
    <x v="1"/>
    <x v="13"/>
    <n v="0"/>
  </r>
  <r>
    <x v="1"/>
    <x v="1"/>
    <x v="0"/>
    <x v="1"/>
    <x v="14"/>
    <n v="155010"/>
  </r>
  <r>
    <x v="1"/>
    <x v="1"/>
    <x v="0"/>
    <x v="1"/>
    <x v="15"/>
    <n v="0"/>
  </r>
  <r>
    <x v="1"/>
    <x v="1"/>
    <x v="0"/>
    <x v="1"/>
    <x v="16"/>
    <n v="196.15609474613979"/>
  </r>
  <r>
    <x v="1"/>
    <x v="1"/>
    <x v="0"/>
    <x v="1"/>
    <x v="17"/>
    <n v="0"/>
  </r>
  <r>
    <x v="1"/>
    <x v="1"/>
    <x v="0"/>
    <x v="1"/>
    <x v="18"/>
    <n v="542125"/>
  </r>
  <r>
    <x v="1"/>
    <x v="1"/>
    <x v="0"/>
    <x v="1"/>
    <x v="19"/>
    <n v="0"/>
  </r>
  <r>
    <x v="1"/>
    <x v="1"/>
    <x v="0"/>
    <x v="1"/>
    <x v="20"/>
    <n v="19606"/>
  </r>
  <r>
    <x v="1"/>
    <x v="1"/>
    <x v="0"/>
    <x v="1"/>
    <x v="21"/>
    <n v="3.6165091076781182E-2"/>
  </r>
  <r>
    <x v="1"/>
    <x v="1"/>
    <x v="0"/>
    <x v="1"/>
    <x v="22"/>
    <n v="561731"/>
  </r>
  <r>
    <x v="1"/>
    <x v="1"/>
    <x v="0"/>
    <x v="1"/>
    <x v="23"/>
    <n v="0.21779999999999999"/>
  </r>
  <r>
    <x v="1"/>
    <x v="1"/>
    <x v="0"/>
    <x v="2"/>
    <x v="24"/>
    <n v="-302603"/>
  </r>
  <r>
    <x v="1"/>
    <x v="1"/>
    <x v="0"/>
    <x v="2"/>
    <x v="25"/>
    <n v="0.5581793866728153"/>
  </r>
  <r>
    <x v="1"/>
    <x v="1"/>
    <x v="0"/>
    <x v="2"/>
    <x v="26"/>
    <n v="-67434"/>
  </r>
  <r>
    <x v="1"/>
    <x v="1"/>
    <x v="0"/>
    <x v="2"/>
    <x v="27"/>
    <n v="-411.1829268292683"/>
  </r>
  <r>
    <x v="1"/>
    <x v="1"/>
    <x v="0"/>
    <x v="2"/>
    <x v="28"/>
    <n v="-81034"/>
  </r>
  <r>
    <x v="1"/>
    <x v="1"/>
    <x v="0"/>
    <x v="2"/>
    <x v="29"/>
    <n v="0.14425766069524379"/>
  </r>
  <r>
    <x v="1"/>
    <x v="1"/>
    <x v="0"/>
    <x v="2"/>
    <x v="30"/>
    <n v="-58252"/>
  </r>
  <r>
    <x v="1"/>
    <x v="1"/>
    <x v="0"/>
    <x v="2"/>
    <x v="31"/>
    <n v="0.10370088173876819"/>
  </r>
  <r>
    <x v="1"/>
    <x v="1"/>
    <x v="0"/>
    <x v="3"/>
    <x v="32"/>
    <n v="52408"/>
  </r>
  <r>
    <x v="1"/>
    <x v="1"/>
    <x v="0"/>
    <x v="3"/>
    <x v="33"/>
    <n v="9.3297325588226399E-2"/>
  </r>
  <r>
    <x v="1"/>
    <x v="1"/>
    <x v="0"/>
    <x v="3"/>
    <x v="34"/>
    <n v="-3513"/>
  </r>
  <r>
    <x v="1"/>
    <x v="1"/>
    <x v="0"/>
    <x v="2"/>
    <x v="35"/>
    <n v="-166262"/>
  </r>
  <r>
    <x v="1"/>
    <x v="1"/>
    <x v="0"/>
    <x v="2"/>
    <x v="36"/>
    <n v="0.29598152852521942"/>
  </r>
  <r>
    <x v="1"/>
    <x v="1"/>
    <x v="0"/>
    <x v="2"/>
    <x v="37"/>
    <n v="16549"/>
  </r>
  <r>
    <x v="1"/>
    <x v="1"/>
    <x v="0"/>
    <x v="2"/>
    <x v="38"/>
    <n v="5.4688816700429278E-2"/>
  </r>
  <r>
    <x v="1"/>
    <x v="1"/>
    <x v="0"/>
    <x v="3"/>
    <x v="39"/>
    <n v="20767"/>
  </r>
  <r>
    <x v="1"/>
    <x v="1"/>
    <x v="0"/>
    <x v="3"/>
    <x v="40"/>
    <n v="0"/>
  </r>
  <r>
    <x v="1"/>
    <x v="1"/>
    <x v="0"/>
    <x v="3"/>
    <x v="41"/>
    <n v="110660"/>
  </r>
  <r>
    <x v="1"/>
    <x v="1"/>
    <x v="0"/>
    <x v="3"/>
    <x v="42"/>
    <n v="0"/>
  </r>
  <r>
    <x v="1"/>
    <x v="1"/>
    <x v="0"/>
    <x v="3"/>
    <x v="43"/>
    <n v="127209"/>
  </r>
  <r>
    <x v="1"/>
    <x v="1"/>
    <x v="0"/>
    <x v="3"/>
    <x v="44"/>
    <n v="0"/>
  </r>
  <r>
    <x v="1"/>
    <x v="1"/>
    <x v="0"/>
    <x v="3"/>
    <x v="45"/>
    <n v="17004"/>
  </r>
  <r>
    <x v="1"/>
    <x v="1"/>
    <x v="0"/>
    <x v="3"/>
    <x v="46"/>
    <n v="0"/>
  </r>
  <r>
    <x v="1"/>
    <x v="1"/>
    <x v="0"/>
    <x v="3"/>
    <x v="47"/>
    <n v="8.6987660889316337E-2"/>
  </r>
  <r>
    <x v="1"/>
    <x v="1"/>
    <x v="0"/>
    <x v="3"/>
    <x v="48"/>
    <n v="195476"/>
  </r>
  <r>
    <x v="1"/>
    <x v="1"/>
    <x v="0"/>
    <x v="3"/>
    <x v="49"/>
    <n v="3.0270716766566199E-2"/>
  </r>
  <r>
    <x v="2"/>
    <x v="2"/>
    <x v="0"/>
    <x v="0"/>
    <x v="0"/>
    <m/>
  </r>
  <r>
    <x v="2"/>
    <x v="2"/>
    <x v="0"/>
    <x v="0"/>
    <x v="0"/>
    <m/>
  </r>
  <r>
    <x v="2"/>
    <x v="2"/>
    <x v="0"/>
    <x v="1"/>
    <x v="1"/>
    <n v="170"/>
  </r>
  <r>
    <x v="2"/>
    <x v="2"/>
    <x v="0"/>
    <x v="1"/>
    <x v="2"/>
    <n v="6"/>
  </r>
  <r>
    <x v="2"/>
    <x v="2"/>
    <x v="0"/>
    <x v="1"/>
    <x v="3"/>
    <n v="4613.7117647058822"/>
  </r>
  <r>
    <x v="2"/>
    <x v="2"/>
    <x v="0"/>
    <x v="1"/>
    <x v="4"/>
    <n v="784331"/>
  </r>
  <r>
    <x v="2"/>
    <x v="2"/>
    <x v="0"/>
    <x v="1"/>
    <x v="5"/>
    <n v="0"/>
  </r>
  <r>
    <x v="2"/>
    <x v="2"/>
    <x v="0"/>
    <x v="1"/>
    <x v="6"/>
    <n v="45708"/>
  </r>
  <r>
    <x v="2"/>
    <x v="2"/>
    <x v="0"/>
    <x v="1"/>
    <x v="7"/>
    <n v="0"/>
  </r>
  <r>
    <x v="2"/>
    <x v="2"/>
    <x v="0"/>
    <x v="1"/>
    <x v="8"/>
    <n v="0"/>
  </r>
  <r>
    <x v="2"/>
    <x v="2"/>
    <x v="0"/>
    <x v="1"/>
    <x v="9"/>
    <n v="0"/>
  </r>
  <r>
    <x v="2"/>
    <x v="2"/>
    <x v="0"/>
    <x v="1"/>
    <x v="10"/>
    <n v="520.0648705712257"/>
  </r>
  <r>
    <x v="2"/>
    <x v="2"/>
    <x v="0"/>
    <x v="1"/>
    <x v="11"/>
    <n v="0"/>
  </r>
  <r>
    <x v="2"/>
    <x v="2"/>
    <x v="0"/>
    <x v="1"/>
    <x v="12"/>
    <n v="407903"/>
  </r>
  <r>
    <x v="2"/>
    <x v="2"/>
    <x v="0"/>
    <x v="1"/>
    <x v="13"/>
    <n v="0"/>
  </r>
  <r>
    <x v="2"/>
    <x v="2"/>
    <x v="0"/>
    <x v="1"/>
    <x v="14"/>
    <n v="160499"/>
  </r>
  <r>
    <x v="2"/>
    <x v="2"/>
    <x v="0"/>
    <x v="1"/>
    <x v="15"/>
    <n v="0"/>
  </r>
  <r>
    <x v="2"/>
    <x v="2"/>
    <x v="0"/>
    <x v="1"/>
    <x v="16"/>
    <n v="204.63171798641139"/>
  </r>
  <r>
    <x v="2"/>
    <x v="2"/>
    <x v="0"/>
    <x v="1"/>
    <x v="17"/>
    <n v="0"/>
  </r>
  <r>
    <x v="2"/>
    <x v="2"/>
    <x v="0"/>
    <x v="1"/>
    <x v="18"/>
    <n v="568402"/>
  </r>
  <r>
    <x v="2"/>
    <x v="2"/>
    <x v="0"/>
    <x v="1"/>
    <x v="19"/>
    <n v="0"/>
  </r>
  <r>
    <x v="2"/>
    <x v="2"/>
    <x v="0"/>
    <x v="1"/>
    <x v="20"/>
    <n v="16775"/>
  </r>
  <r>
    <x v="2"/>
    <x v="2"/>
    <x v="0"/>
    <x v="1"/>
    <x v="21"/>
    <n v="2.9512563291473289E-2"/>
  </r>
  <r>
    <x v="2"/>
    <x v="2"/>
    <x v="0"/>
    <x v="1"/>
    <x v="22"/>
    <n v="585177"/>
  </r>
  <r>
    <x v="2"/>
    <x v="2"/>
    <x v="0"/>
    <x v="1"/>
    <x v="23"/>
    <n v="0.1789"/>
  </r>
  <r>
    <x v="2"/>
    <x v="2"/>
    <x v="0"/>
    <x v="2"/>
    <x v="24"/>
    <n v="-319401"/>
  </r>
  <r>
    <x v="2"/>
    <x v="2"/>
    <x v="0"/>
    <x v="2"/>
    <x v="25"/>
    <n v="0.56192800166079637"/>
  </r>
  <r>
    <x v="2"/>
    <x v="2"/>
    <x v="0"/>
    <x v="2"/>
    <x v="26"/>
    <n v="-69225"/>
  </r>
  <r>
    <x v="2"/>
    <x v="2"/>
    <x v="0"/>
    <x v="2"/>
    <x v="27"/>
    <n v="-407.20588235294122"/>
  </r>
  <r>
    <x v="2"/>
    <x v="2"/>
    <x v="0"/>
    <x v="2"/>
    <x v="28"/>
    <n v="-86184"/>
  </r>
  <r>
    <x v="2"/>
    <x v="2"/>
    <x v="0"/>
    <x v="2"/>
    <x v="29"/>
    <n v="0.14727851573113779"/>
  </r>
  <r>
    <x v="2"/>
    <x v="2"/>
    <x v="0"/>
    <x v="2"/>
    <x v="30"/>
    <n v="-63618"/>
  </r>
  <r>
    <x v="2"/>
    <x v="2"/>
    <x v="0"/>
    <x v="2"/>
    <x v="31"/>
    <n v="0.1087158244428609"/>
  </r>
  <r>
    <x v="2"/>
    <x v="2"/>
    <x v="0"/>
    <x v="3"/>
    <x v="32"/>
    <n v="46749"/>
  </r>
  <r>
    <x v="2"/>
    <x v="2"/>
    <x v="0"/>
    <x v="3"/>
    <x v="33"/>
    <n v="7.988864907540795E-2"/>
  </r>
  <r>
    <x v="2"/>
    <x v="2"/>
    <x v="0"/>
    <x v="3"/>
    <x v="34"/>
    <n v="-5815"/>
  </r>
  <r>
    <x v="2"/>
    <x v="2"/>
    <x v="0"/>
    <x v="2"/>
    <x v="35"/>
    <n v="-192889"/>
  </r>
  <r>
    <x v="2"/>
    <x v="2"/>
    <x v="0"/>
    <x v="2"/>
    <x v="36"/>
    <n v="0.32962505361625632"/>
  </r>
  <r>
    <x v="2"/>
    <x v="2"/>
    <x v="0"/>
    <x v="2"/>
    <x v="37"/>
    <n v="14858"/>
  </r>
  <r>
    <x v="2"/>
    <x v="2"/>
    <x v="0"/>
    <x v="2"/>
    <x v="38"/>
    <n v="4.6518326492402957E-2"/>
  </r>
  <r>
    <x v="2"/>
    <x v="2"/>
    <x v="0"/>
    <x v="3"/>
    <x v="39"/>
    <n v="-86591"/>
  </r>
  <r>
    <x v="2"/>
    <x v="2"/>
    <x v="0"/>
    <x v="3"/>
    <x v="40"/>
    <n v="0"/>
  </r>
  <r>
    <x v="2"/>
    <x v="2"/>
    <x v="0"/>
    <x v="3"/>
    <x v="41"/>
    <n v="110367"/>
  </r>
  <r>
    <x v="2"/>
    <x v="2"/>
    <x v="0"/>
    <x v="3"/>
    <x v="42"/>
    <n v="0"/>
  </r>
  <r>
    <x v="2"/>
    <x v="2"/>
    <x v="0"/>
    <x v="3"/>
    <x v="43"/>
    <n v="125225"/>
  </r>
  <r>
    <x v="2"/>
    <x v="2"/>
    <x v="0"/>
    <x v="3"/>
    <x v="44"/>
    <n v="0"/>
  </r>
  <r>
    <x v="2"/>
    <x v="2"/>
    <x v="0"/>
    <x v="3"/>
    <x v="45"/>
    <n v="7915"/>
  </r>
  <r>
    <x v="2"/>
    <x v="2"/>
    <x v="0"/>
    <x v="3"/>
    <x v="46"/>
    <n v="0"/>
  </r>
  <r>
    <x v="2"/>
    <x v="2"/>
    <x v="0"/>
    <x v="3"/>
    <x v="47"/>
    <n v="4.03525944959367E-2"/>
  </r>
  <r>
    <x v="2"/>
    <x v="2"/>
    <x v="0"/>
    <x v="3"/>
    <x v="48"/>
    <n v="196146"/>
  </r>
  <r>
    <x v="2"/>
    <x v="2"/>
    <x v="0"/>
    <x v="3"/>
    <x v="49"/>
    <n v="1.352582210168889E-2"/>
  </r>
  <r>
    <x v="3"/>
    <x v="3"/>
    <x v="0"/>
    <x v="0"/>
    <x v="0"/>
    <m/>
  </r>
  <r>
    <x v="3"/>
    <x v="3"/>
    <x v="0"/>
    <x v="0"/>
    <x v="0"/>
    <m/>
  </r>
  <r>
    <x v="3"/>
    <x v="3"/>
    <x v="0"/>
    <x v="1"/>
    <x v="1"/>
    <n v="171"/>
  </r>
  <r>
    <x v="3"/>
    <x v="3"/>
    <x v="0"/>
    <x v="1"/>
    <x v="2"/>
    <n v="1"/>
  </r>
  <r>
    <x v="3"/>
    <x v="3"/>
    <x v="0"/>
    <x v="1"/>
    <x v="3"/>
    <n v="4463.2514619883041"/>
  </r>
  <r>
    <x v="3"/>
    <x v="3"/>
    <x v="0"/>
    <x v="1"/>
    <x v="4"/>
    <n v="763216"/>
  </r>
  <r>
    <x v="3"/>
    <x v="3"/>
    <x v="0"/>
    <x v="1"/>
    <x v="5"/>
    <n v="0"/>
  </r>
  <r>
    <x v="3"/>
    <x v="3"/>
    <x v="0"/>
    <x v="1"/>
    <x v="6"/>
    <n v="51720"/>
  </r>
  <r>
    <x v="3"/>
    <x v="3"/>
    <x v="0"/>
    <x v="1"/>
    <x v="7"/>
    <n v="0"/>
  </r>
  <r>
    <x v="3"/>
    <x v="3"/>
    <x v="0"/>
    <x v="1"/>
    <x v="8"/>
    <n v="0"/>
  </r>
  <r>
    <x v="3"/>
    <x v="3"/>
    <x v="0"/>
    <x v="1"/>
    <x v="9"/>
    <n v="0"/>
  </r>
  <r>
    <x v="3"/>
    <x v="3"/>
    <x v="0"/>
    <x v="1"/>
    <x v="10"/>
    <n v="530.36492945640555"/>
  </r>
  <r>
    <x v="3"/>
    <x v="3"/>
    <x v="0"/>
    <x v="1"/>
    <x v="11"/>
    <n v="0"/>
  </r>
  <r>
    <x v="3"/>
    <x v="3"/>
    <x v="0"/>
    <x v="1"/>
    <x v="12"/>
    <n v="404783"/>
  </r>
  <r>
    <x v="3"/>
    <x v="3"/>
    <x v="0"/>
    <x v="1"/>
    <x v="13"/>
    <n v="0"/>
  </r>
  <r>
    <x v="3"/>
    <x v="3"/>
    <x v="0"/>
    <x v="1"/>
    <x v="14"/>
    <n v="141267"/>
  </r>
  <r>
    <x v="3"/>
    <x v="3"/>
    <x v="0"/>
    <x v="1"/>
    <x v="15"/>
    <n v="0"/>
  </r>
  <r>
    <x v="3"/>
    <x v="3"/>
    <x v="0"/>
    <x v="1"/>
    <x v="16"/>
    <n v="185.0943900547158"/>
  </r>
  <r>
    <x v="3"/>
    <x v="3"/>
    <x v="0"/>
    <x v="1"/>
    <x v="17"/>
    <n v="0"/>
  </r>
  <r>
    <x v="3"/>
    <x v="3"/>
    <x v="0"/>
    <x v="1"/>
    <x v="18"/>
    <n v="546050"/>
  </r>
  <r>
    <x v="3"/>
    <x v="3"/>
    <x v="0"/>
    <x v="1"/>
    <x v="19"/>
    <n v="0"/>
  </r>
  <r>
    <x v="3"/>
    <x v="3"/>
    <x v="0"/>
    <x v="1"/>
    <x v="20"/>
    <n v="12784"/>
  </r>
  <r>
    <x v="3"/>
    <x v="3"/>
    <x v="0"/>
    <x v="1"/>
    <x v="21"/>
    <n v="2.341177547843604E-2"/>
  </r>
  <r>
    <x v="3"/>
    <x v="3"/>
    <x v="0"/>
    <x v="1"/>
    <x v="22"/>
    <n v="558834"/>
  </r>
  <r>
    <x v="3"/>
    <x v="3"/>
    <x v="0"/>
    <x v="1"/>
    <x v="23"/>
    <n v="0.18229999999999999"/>
  </r>
  <r>
    <x v="3"/>
    <x v="3"/>
    <x v="0"/>
    <x v="2"/>
    <x v="24"/>
    <n v="-288257"/>
  </r>
  <r>
    <x v="3"/>
    <x v="3"/>
    <x v="0"/>
    <x v="2"/>
    <x v="25"/>
    <n v="0.52789488142111529"/>
  </r>
  <r>
    <x v="3"/>
    <x v="3"/>
    <x v="0"/>
    <x v="2"/>
    <x v="26"/>
    <n v="-71926"/>
  </r>
  <r>
    <x v="3"/>
    <x v="3"/>
    <x v="0"/>
    <x v="2"/>
    <x v="27"/>
    <n v="-420.61988304093569"/>
  </r>
  <r>
    <x v="3"/>
    <x v="3"/>
    <x v="0"/>
    <x v="2"/>
    <x v="28"/>
    <n v="-75652"/>
  </r>
  <r>
    <x v="3"/>
    <x v="3"/>
    <x v="0"/>
    <x v="2"/>
    <x v="29"/>
    <n v="0.1353747266630162"/>
  </r>
  <r>
    <x v="3"/>
    <x v="3"/>
    <x v="0"/>
    <x v="2"/>
    <x v="30"/>
    <n v="-64330"/>
  </r>
  <r>
    <x v="3"/>
    <x v="3"/>
    <x v="0"/>
    <x v="2"/>
    <x v="31"/>
    <n v="0.11511468521958219"/>
  </r>
  <r>
    <x v="3"/>
    <x v="3"/>
    <x v="0"/>
    <x v="3"/>
    <x v="32"/>
    <n v="58669"/>
  </r>
  <r>
    <x v="3"/>
    <x v="3"/>
    <x v="0"/>
    <x v="3"/>
    <x v="33"/>
    <n v="0.1049846644978652"/>
  </r>
  <r>
    <x v="3"/>
    <x v="3"/>
    <x v="0"/>
    <x v="3"/>
    <x v="34"/>
    <n v="-527"/>
  </r>
  <r>
    <x v="3"/>
    <x v="3"/>
    <x v="0"/>
    <x v="2"/>
    <x v="35"/>
    <n v="-168028"/>
  </r>
  <r>
    <x v="3"/>
    <x v="3"/>
    <x v="0"/>
    <x v="2"/>
    <x v="36"/>
    <n v="0.30067605049084339"/>
  </r>
  <r>
    <x v="3"/>
    <x v="3"/>
    <x v="0"/>
    <x v="2"/>
    <x v="37"/>
    <n v="13115"/>
  </r>
  <r>
    <x v="3"/>
    <x v="3"/>
    <x v="0"/>
    <x v="2"/>
    <x v="38"/>
    <n v="4.5497594160766257E-2"/>
  </r>
  <r>
    <x v="3"/>
    <x v="3"/>
    <x v="0"/>
    <x v="3"/>
    <x v="39"/>
    <n v="-29028"/>
  </r>
  <r>
    <x v="3"/>
    <x v="3"/>
    <x v="0"/>
    <x v="3"/>
    <x v="40"/>
    <n v="0"/>
  </r>
  <r>
    <x v="3"/>
    <x v="3"/>
    <x v="0"/>
    <x v="3"/>
    <x v="41"/>
    <n v="122999"/>
  </r>
  <r>
    <x v="3"/>
    <x v="3"/>
    <x v="0"/>
    <x v="3"/>
    <x v="42"/>
    <n v="0"/>
  </r>
  <r>
    <x v="3"/>
    <x v="3"/>
    <x v="0"/>
    <x v="3"/>
    <x v="43"/>
    <n v="136114"/>
  </r>
  <r>
    <x v="3"/>
    <x v="3"/>
    <x v="0"/>
    <x v="3"/>
    <x v="44"/>
    <n v="0"/>
  </r>
  <r>
    <x v="3"/>
    <x v="3"/>
    <x v="0"/>
    <x v="3"/>
    <x v="45"/>
    <n v="23684"/>
  </r>
  <r>
    <x v="3"/>
    <x v="3"/>
    <x v="0"/>
    <x v="3"/>
    <x v="46"/>
    <n v="0"/>
  </r>
  <r>
    <x v="3"/>
    <x v="3"/>
    <x v="0"/>
    <x v="3"/>
    <x v="47"/>
    <n v="0.1210399088265507"/>
  </r>
  <r>
    <x v="3"/>
    <x v="3"/>
    <x v="0"/>
    <x v="3"/>
    <x v="48"/>
    <n v="195671"/>
  </r>
  <r>
    <x v="3"/>
    <x v="3"/>
    <x v="0"/>
    <x v="3"/>
    <x v="49"/>
    <n v="4.2381100648850999E-2"/>
  </r>
  <r>
    <x v="4"/>
    <x v="4"/>
    <x v="0"/>
    <x v="0"/>
    <x v="0"/>
    <m/>
  </r>
  <r>
    <x v="4"/>
    <x v="4"/>
    <x v="0"/>
    <x v="0"/>
    <x v="0"/>
    <m/>
  </r>
  <r>
    <x v="4"/>
    <x v="4"/>
    <x v="0"/>
    <x v="1"/>
    <x v="1"/>
    <n v="172"/>
  </r>
  <r>
    <x v="4"/>
    <x v="4"/>
    <x v="0"/>
    <x v="1"/>
    <x v="2"/>
    <n v="1"/>
  </r>
  <r>
    <x v="4"/>
    <x v="4"/>
    <x v="0"/>
    <x v="1"/>
    <x v="3"/>
    <n v="4662.8488372093016"/>
  </r>
  <r>
    <x v="4"/>
    <x v="4"/>
    <x v="0"/>
    <x v="1"/>
    <x v="4"/>
    <n v="802010"/>
  </r>
  <r>
    <x v="4"/>
    <x v="4"/>
    <x v="0"/>
    <x v="1"/>
    <x v="5"/>
    <n v="4.9513657247769897E-2"/>
  </r>
  <r>
    <x v="4"/>
    <x v="4"/>
    <x v="0"/>
    <x v="1"/>
    <x v="6"/>
    <n v="51062"/>
  </r>
  <r>
    <x v="4"/>
    <x v="4"/>
    <x v="0"/>
    <x v="1"/>
    <x v="7"/>
    <n v="3.5047534104960087E-2"/>
  </r>
  <r>
    <x v="4"/>
    <x v="4"/>
    <x v="0"/>
    <x v="1"/>
    <x v="8"/>
    <n v="0"/>
  </r>
  <r>
    <x v="4"/>
    <x v="4"/>
    <x v="0"/>
    <x v="1"/>
    <x v="9"/>
    <n v="0"/>
  </r>
  <r>
    <x v="4"/>
    <x v="4"/>
    <x v="0"/>
    <x v="1"/>
    <x v="10"/>
    <n v="530.43104200695757"/>
  </r>
  <r>
    <x v="4"/>
    <x v="4"/>
    <x v="0"/>
    <x v="1"/>
    <x v="11"/>
    <n v="0.13385926426504599"/>
  </r>
  <r>
    <x v="4"/>
    <x v="4"/>
    <x v="0"/>
    <x v="1"/>
    <x v="12"/>
    <n v="425411"/>
  </r>
  <r>
    <x v="4"/>
    <x v="4"/>
    <x v="0"/>
    <x v="1"/>
    <x v="13"/>
    <n v="0.1900007832430739"/>
  </r>
  <r>
    <x v="4"/>
    <x v="4"/>
    <x v="0"/>
    <x v="1"/>
    <x v="14"/>
    <n v="155074"/>
  </r>
  <r>
    <x v="4"/>
    <x v="4"/>
    <x v="0"/>
    <x v="1"/>
    <x v="15"/>
    <n v="0.10558660811042039"/>
  </r>
  <r>
    <x v="4"/>
    <x v="4"/>
    <x v="0"/>
    <x v="1"/>
    <x v="16"/>
    <n v="193.35669131307591"/>
  </r>
  <r>
    <x v="4"/>
    <x v="4"/>
    <x v="0"/>
    <x v="1"/>
    <x v="17"/>
    <n v="5.3427557112210922E-2"/>
  </r>
  <r>
    <x v="4"/>
    <x v="4"/>
    <x v="0"/>
    <x v="1"/>
    <x v="18"/>
    <n v="580485"/>
  </r>
  <r>
    <x v="4"/>
    <x v="4"/>
    <x v="0"/>
    <x v="1"/>
    <x v="19"/>
    <n v="0.16621329497420409"/>
  </r>
  <r>
    <x v="4"/>
    <x v="4"/>
    <x v="0"/>
    <x v="1"/>
    <x v="20"/>
    <n v="16232"/>
  </r>
  <r>
    <x v="4"/>
    <x v="4"/>
    <x v="0"/>
    <x v="1"/>
    <x v="21"/>
    <n v="2.7962824190116881E-2"/>
  </r>
  <r>
    <x v="4"/>
    <x v="4"/>
    <x v="0"/>
    <x v="1"/>
    <x v="22"/>
    <n v="596717"/>
  </r>
  <r>
    <x v="4"/>
    <x v="4"/>
    <x v="0"/>
    <x v="1"/>
    <x v="23"/>
    <n v="0.16808423591223279"/>
  </r>
  <r>
    <x v="4"/>
    <x v="4"/>
    <x v="0"/>
    <x v="2"/>
    <x v="24"/>
    <n v="-321900"/>
  </r>
  <r>
    <x v="4"/>
    <x v="4"/>
    <x v="0"/>
    <x v="2"/>
    <x v="25"/>
    <n v="0.55453629292746587"/>
  </r>
  <r>
    <x v="4"/>
    <x v="4"/>
    <x v="0"/>
    <x v="2"/>
    <x v="26"/>
    <n v="-72282"/>
  </r>
  <r>
    <x v="4"/>
    <x v="4"/>
    <x v="0"/>
    <x v="2"/>
    <x v="27"/>
    <n v="-420.24418604651157"/>
  </r>
  <r>
    <x v="4"/>
    <x v="4"/>
    <x v="0"/>
    <x v="2"/>
    <x v="28"/>
    <n v="-64575"/>
  </r>
  <r>
    <x v="4"/>
    <x v="4"/>
    <x v="0"/>
    <x v="2"/>
    <x v="29"/>
    <n v="0.10821712805232631"/>
  </r>
  <r>
    <x v="4"/>
    <x v="4"/>
    <x v="0"/>
    <x v="2"/>
    <x v="30"/>
    <n v="-65903"/>
  </r>
  <r>
    <x v="4"/>
    <x v="4"/>
    <x v="0"/>
    <x v="2"/>
    <x v="31"/>
    <n v="0.1104426386377462"/>
  </r>
  <r>
    <x v="4"/>
    <x v="4"/>
    <x v="0"/>
    <x v="3"/>
    <x v="32"/>
    <n v="72057"/>
  </r>
  <r>
    <x v="4"/>
    <x v="4"/>
    <x v="0"/>
    <x v="3"/>
    <x v="33"/>
    <n v="0.1207557351307236"/>
  </r>
  <r>
    <x v="4"/>
    <x v="4"/>
    <x v="0"/>
    <x v="3"/>
    <x v="34"/>
    <n v="-9914"/>
  </r>
  <r>
    <x v="4"/>
    <x v="4"/>
    <x v="0"/>
    <x v="2"/>
    <x v="35"/>
    <n v="-156801"/>
  </r>
  <r>
    <x v="4"/>
    <x v="4"/>
    <x v="0"/>
    <x v="2"/>
    <x v="36"/>
    <n v="0.2627728051991145"/>
  </r>
  <r>
    <x v="4"/>
    <x v="4"/>
    <x v="0"/>
    <x v="2"/>
    <x v="37"/>
    <n v="7626"/>
  </r>
  <r>
    <x v="4"/>
    <x v="4"/>
    <x v="0"/>
    <x v="2"/>
    <x v="38"/>
    <n v="2.3690587138863E-2"/>
  </r>
  <r>
    <x v="4"/>
    <x v="4"/>
    <x v="0"/>
    <x v="3"/>
    <x v="39"/>
    <n v="-92766"/>
  </r>
  <r>
    <x v="4"/>
    <x v="4"/>
    <x v="0"/>
    <x v="3"/>
    <x v="40"/>
    <n v="0"/>
  </r>
  <r>
    <x v="4"/>
    <x v="4"/>
    <x v="0"/>
    <x v="3"/>
    <x v="41"/>
    <n v="137960"/>
  </r>
  <r>
    <x v="4"/>
    <x v="4"/>
    <x v="0"/>
    <x v="3"/>
    <x v="42"/>
    <n v="0"/>
  </r>
  <r>
    <x v="4"/>
    <x v="4"/>
    <x v="0"/>
    <x v="3"/>
    <x v="43"/>
    <n v="145586"/>
  </r>
  <r>
    <x v="4"/>
    <x v="4"/>
    <x v="0"/>
    <x v="3"/>
    <x v="44"/>
    <n v="0"/>
  </r>
  <r>
    <x v="4"/>
    <x v="4"/>
    <x v="0"/>
    <x v="3"/>
    <x v="45"/>
    <n v="24917"/>
  </r>
  <r>
    <x v="4"/>
    <x v="4"/>
    <x v="0"/>
    <x v="3"/>
    <x v="46"/>
    <n v="0"/>
  </r>
  <r>
    <x v="4"/>
    <x v="4"/>
    <x v="0"/>
    <x v="3"/>
    <x v="47"/>
    <n v="0.12616330291952321"/>
  </r>
  <r>
    <x v="4"/>
    <x v="4"/>
    <x v="0"/>
    <x v="3"/>
    <x v="48"/>
    <n v="197498"/>
  </r>
  <r>
    <x v="4"/>
    <x v="4"/>
    <x v="0"/>
    <x v="3"/>
    <x v="49"/>
    <n v="4.1756812693454347E-2"/>
  </r>
  <r>
    <x v="5"/>
    <x v="5"/>
    <x v="0"/>
    <x v="0"/>
    <x v="0"/>
    <m/>
  </r>
  <r>
    <x v="5"/>
    <x v="5"/>
    <x v="0"/>
    <x v="0"/>
    <x v="0"/>
    <m/>
  </r>
  <r>
    <x v="5"/>
    <x v="5"/>
    <x v="0"/>
    <x v="1"/>
    <x v="1"/>
    <n v="175"/>
  </r>
  <r>
    <x v="5"/>
    <x v="5"/>
    <x v="0"/>
    <x v="1"/>
    <x v="2"/>
    <n v="3"/>
  </r>
  <r>
    <x v="5"/>
    <x v="5"/>
    <x v="0"/>
    <x v="1"/>
    <x v="3"/>
    <n v="4757.92"/>
  </r>
  <r>
    <x v="5"/>
    <x v="5"/>
    <x v="0"/>
    <x v="1"/>
    <x v="4"/>
    <n v="832636"/>
  </r>
  <r>
    <x v="5"/>
    <x v="5"/>
    <x v="0"/>
    <x v="1"/>
    <x v="5"/>
    <n v="5.365219085895645E-2"/>
  </r>
  <r>
    <x v="5"/>
    <x v="5"/>
    <x v="0"/>
    <x v="1"/>
    <x v="6"/>
    <n v="46131"/>
  </r>
  <r>
    <x v="5"/>
    <x v="5"/>
    <x v="0"/>
    <x v="1"/>
    <x v="7"/>
    <n v="8.7969623357939675E-2"/>
  </r>
  <r>
    <x v="5"/>
    <x v="5"/>
    <x v="0"/>
    <x v="1"/>
    <x v="8"/>
    <n v="0"/>
  </r>
  <r>
    <x v="5"/>
    <x v="5"/>
    <x v="0"/>
    <x v="1"/>
    <x v="9"/>
    <n v="0"/>
  </r>
  <r>
    <x v="5"/>
    <x v="5"/>
    <x v="0"/>
    <x v="1"/>
    <x v="10"/>
    <n v="555.70020993567414"/>
  </r>
  <r>
    <x v="5"/>
    <x v="5"/>
    <x v="0"/>
    <x v="1"/>
    <x v="11"/>
    <n v="0.13437976440888949"/>
  </r>
  <r>
    <x v="5"/>
    <x v="5"/>
    <x v="0"/>
    <x v="1"/>
    <x v="12"/>
    <n v="462696"/>
  </r>
  <r>
    <x v="5"/>
    <x v="5"/>
    <x v="0"/>
    <x v="1"/>
    <x v="13"/>
    <n v="0.19524172403549331"/>
  </r>
  <r>
    <x v="5"/>
    <x v="5"/>
    <x v="0"/>
    <x v="1"/>
    <x v="14"/>
    <n v="182311"/>
  </r>
  <r>
    <x v="5"/>
    <x v="5"/>
    <x v="0"/>
    <x v="1"/>
    <x v="15"/>
    <n v="0.17612412102444999"/>
  </r>
  <r>
    <x v="5"/>
    <x v="5"/>
    <x v="0"/>
    <x v="1"/>
    <x v="16"/>
    <n v="218.9564227345443"/>
  </r>
  <r>
    <x v="5"/>
    <x v="5"/>
    <x v="0"/>
    <x v="1"/>
    <x v="17"/>
    <n v="0.1162356337584725"/>
  </r>
  <r>
    <x v="5"/>
    <x v="5"/>
    <x v="0"/>
    <x v="1"/>
    <x v="18"/>
    <n v="645007"/>
  </r>
  <r>
    <x v="5"/>
    <x v="5"/>
    <x v="0"/>
    <x v="1"/>
    <x v="19"/>
    <n v="0.18977542079778639"/>
  </r>
  <r>
    <x v="5"/>
    <x v="5"/>
    <x v="0"/>
    <x v="1"/>
    <x v="20"/>
    <n v="22754"/>
  </r>
  <r>
    <x v="5"/>
    <x v="5"/>
    <x v="0"/>
    <x v="1"/>
    <x v="21"/>
    <n v="3.5277136527200478E-2"/>
  </r>
  <r>
    <x v="5"/>
    <x v="5"/>
    <x v="0"/>
    <x v="1"/>
    <x v="22"/>
    <n v="667761"/>
  </r>
  <r>
    <x v="5"/>
    <x v="5"/>
    <x v="0"/>
    <x v="1"/>
    <x v="23"/>
    <n v="0.188755827967479"/>
  </r>
  <r>
    <x v="5"/>
    <x v="5"/>
    <x v="0"/>
    <x v="2"/>
    <x v="24"/>
    <n v="-355510"/>
  </r>
  <r>
    <x v="5"/>
    <x v="5"/>
    <x v="0"/>
    <x v="2"/>
    <x v="25"/>
    <n v="0.55117231285862012"/>
  </r>
  <r>
    <x v="5"/>
    <x v="5"/>
    <x v="0"/>
    <x v="2"/>
    <x v="26"/>
    <n v="-74947"/>
  </r>
  <r>
    <x v="5"/>
    <x v="5"/>
    <x v="0"/>
    <x v="2"/>
    <x v="27"/>
    <n v="-428.26857142857142"/>
  </r>
  <r>
    <x v="5"/>
    <x v="5"/>
    <x v="0"/>
    <x v="2"/>
    <x v="28"/>
    <n v="-62834"/>
  </r>
  <r>
    <x v="5"/>
    <x v="5"/>
    <x v="0"/>
    <x v="2"/>
    <x v="29"/>
    <n v="9.40965405287221E-2"/>
  </r>
  <r>
    <x v="5"/>
    <x v="5"/>
    <x v="0"/>
    <x v="2"/>
    <x v="30"/>
    <n v="-69714"/>
  </r>
  <r>
    <x v="5"/>
    <x v="5"/>
    <x v="0"/>
    <x v="2"/>
    <x v="31"/>
    <n v="0.1043996280106206"/>
  </r>
  <r>
    <x v="5"/>
    <x v="5"/>
    <x v="0"/>
    <x v="3"/>
    <x v="32"/>
    <n v="104756"/>
  </r>
  <r>
    <x v="5"/>
    <x v="5"/>
    <x v="0"/>
    <x v="3"/>
    <x v="33"/>
    <n v="0.15687648724618539"/>
  </r>
  <r>
    <x v="5"/>
    <x v="5"/>
    <x v="0"/>
    <x v="3"/>
    <x v="34"/>
    <n v="-13818"/>
  </r>
  <r>
    <x v="5"/>
    <x v="5"/>
    <x v="0"/>
    <x v="2"/>
    <x v="35"/>
    <n v="-144306"/>
  </r>
  <r>
    <x v="5"/>
    <x v="5"/>
    <x v="0"/>
    <x v="2"/>
    <x v="36"/>
    <n v="0.21610426484924999"/>
  </r>
  <r>
    <x v="5"/>
    <x v="5"/>
    <x v="0"/>
    <x v="2"/>
    <x v="37"/>
    <n v="11072"/>
  </r>
  <r>
    <x v="5"/>
    <x v="5"/>
    <x v="0"/>
    <x v="2"/>
    <x v="38"/>
    <n v="3.114399032376023E-2"/>
  </r>
  <r>
    <x v="5"/>
    <x v="5"/>
    <x v="0"/>
    <x v="3"/>
    <x v="39"/>
    <n v="37089"/>
  </r>
  <r>
    <x v="5"/>
    <x v="5"/>
    <x v="0"/>
    <x v="3"/>
    <x v="40"/>
    <n v="0.78595849183801225"/>
  </r>
  <r>
    <x v="5"/>
    <x v="5"/>
    <x v="0"/>
    <x v="3"/>
    <x v="41"/>
    <n v="174470"/>
  </r>
  <r>
    <x v="5"/>
    <x v="5"/>
    <x v="0"/>
    <x v="3"/>
    <x v="42"/>
    <n v="0.57663112235676839"/>
  </r>
  <r>
    <x v="5"/>
    <x v="5"/>
    <x v="0"/>
    <x v="3"/>
    <x v="43"/>
    <n v="185542"/>
  </r>
  <r>
    <x v="5"/>
    <x v="5"/>
    <x v="0"/>
    <x v="3"/>
    <x v="44"/>
    <n v="0.45856032198979618"/>
  </r>
  <r>
    <x v="5"/>
    <x v="5"/>
    <x v="0"/>
    <x v="3"/>
    <x v="45"/>
    <n v="52805"/>
  </r>
  <r>
    <x v="5"/>
    <x v="5"/>
    <x v="0"/>
    <x v="3"/>
    <x v="46"/>
    <n v="2.105445777464126"/>
  </r>
  <r>
    <x v="5"/>
    <x v="5"/>
    <x v="0"/>
    <x v="3"/>
    <x v="47"/>
    <n v="0.26548116418555778"/>
  </r>
  <r>
    <x v="5"/>
    <x v="5"/>
    <x v="0"/>
    <x v="3"/>
    <x v="48"/>
    <n v="198903"/>
  </r>
  <r>
    <x v="5"/>
    <x v="5"/>
    <x v="0"/>
    <x v="3"/>
    <x v="49"/>
    <n v="7.9077693965355869E-2"/>
  </r>
  <r>
    <x v="6"/>
    <x v="6"/>
    <x v="0"/>
    <x v="0"/>
    <x v="0"/>
    <m/>
  </r>
  <r>
    <x v="6"/>
    <x v="6"/>
    <x v="0"/>
    <x v="0"/>
    <x v="0"/>
    <m/>
  </r>
  <r>
    <x v="6"/>
    <x v="6"/>
    <x v="0"/>
    <x v="1"/>
    <x v="1"/>
    <n v="177"/>
  </r>
  <r>
    <x v="6"/>
    <x v="6"/>
    <x v="0"/>
    <x v="1"/>
    <x v="2"/>
    <n v="2"/>
  </r>
  <r>
    <x v="6"/>
    <x v="6"/>
    <x v="0"/>
    <x v="1"/>
    <x v="3"/>
    <n v="4669.5028248587569"/>
  </r>
  <r>
    <x v="6"/>
    <x v="6"/>
    <x v="0"/>
    <x v="1"/>
    <x v="4"/>
    <n v="826502"/>
  </r>
  <r>
    <x v="6"/>
    <x v="6"/>
    <x v="0"/>
    <x v="1"/>
    <x v="5"/>
    <n v="5.3766840785331782E-2"/>
  </r>
  <r>
    <x v="6"/>
    <x v="6"/>
    <x v="0"/>
    <x v="1"/>
    <x v="6"/>
    <n v="50007"/>
  </r>
  <r>
    <x v="6"/>
    <x v="6"/>
    <x v="0"/>
    <x v="1"/>
    <x v="7"/>
    <n v="9.4053557364137674E-2"/>
  </r>
  <r>
    <x v="6"/>
    <x v="6"/>
    <x v="0"/>
    <x v="1"/>
    <x v="8"/>
    <n v="0"/>
  </r>
  <r>
    <x v="6"/>
    <x v="6"/>
    <x v="0"/>
    <x v="1"/>
    <x v="9"/>
    <n v="0"/>
  </r>
  <r>
    <x v="6"/>
    <x v="6"/>
    <x v="0"/>
    <x v="1"/>
    <x v="10"/>
    <n v="590.56723395708661"/>
  </r>
  <r>
    <x v="6"/>
    <x v="6"/>
    <x v="0"/>
    <x v="1"/>
    <x v="11"/>
    <n v="0.13556455622242461"/>
  </r>
  <r>
    <x v="6"/>
    <x v="6"/>
    <x v="0"/>
    <x v="1"/>
    <x v="12"/>
    <n v="488105"/>
  </r>
  <r>
    <x v="6"/>
    <x v="6"/>
    <x v="0"/>
    <x v="1"/>
    <x v="13"/>
    <n v="0.1966202749183017"/>
  </r>
  <r>
    <x v="6"/>
    <x v="6"/>
    <x v="0"/>
    <x v="1"/>
    <x v="14"/>
    <n v="186670"/>
  </r>
  <r>
    <x v="6"/>
    <x v="6"/>
    <x v="0"/>
    <x v="1"/>
    <x v="15"/>
    <n v="0.16306020598259191"/>
  </r>
  <r>
    <x v="6"/>
    <x v="6"/>
    <x v="0"/>
    <x v="1"/>
    <x v="16"/>
    <n v="225.8554728240222"/>
  </r>
  <r>
    <x v="6"/>
    <x v="6"/>
    <x v="0"/>
    <x v="1"/>
    <x v="17"/>
    <n v="0.10371683845717521"/>
  </r>
  <r>
    <x v="6"/>
    <x v="6"/>
    <x v="0"/>
    <x v="1"/>
    <x v="18"/>
    <n v="674775"/>
  </r>
  <r>
    <x v="6"/>
    <x v="6"/>
    <x v="0"/>
    <x v="1"/>
    <x v="19"/>
    <n v="0.18714395797340619"/>
  </r>
  <r>
    <x v="6"/>
    <x v="6"/>
    <x v="0"/>
    <x v="1"/>
    <x v="20"/>
    <n v="18459"/>
  </r>
  <r>
    <x v="6"/>
    <x v="6"/>
    <x v="0"/>
    <x v="1"/>
    <x v="21"/>
    <n v="2.7355785261753921E-2"/>
  </r>
  <r>
    <x v="6"/>
    <x v="6"/>
    <x v="0"/>
    <x v="1"/>
    <x v="22"/>
    <n v="693234"/>
  </r>
  <r>
    <x v="6"/>
    <x v="6"/>
    <x v="0"/>
    <x v="1"/>
    <x v="23"/>
    <n v="0.18465694994847709"/>
  </r>
  <r>
    <x v="6"/>
    <x v="6"/>
    <x v="0"/>
    <x v="2"/>
    <x v="24"/>
    <n v="-371134"/>
  </r>
  <r>
    <x v="6"/>
    <x v="6"/>
    <x v="0"/>
    <x v="2"/>
    <x v="25"/>
    <n v="0.55001148530991817"/>
  </r>
  <r>
    <x v="6"/>
    <x v="6"/>
    <x v="0"/>
    <x v="2"/>
    <x v="26"/>
    <n v="-78575"/>
  </r>
  <r>
    <x v="6"/>
    <x v="6"/>
    <x v="0"/>
    <x v="2"/>
    <x v="27"/>
    <n v="-443.9265536723164"/>
  </r>
  <r>
    <x v="6"/>
    <x v="6"/>
    <x v="0"/>
    <x v="2"/>
    <x v="28"/>
    <n v="-80379"/>
  </r>
  <r>
    <x v="6"/>
    <x v="6"/>
    <x v="0"/>
    <x v="2"/>
    <x v="29"/>
    <n v="0.11594786176096381"/>
  </r>
  <r>
    <x v="6"/>
    <x v="6"/>
    <x v="0"/>
    <x v="2"/>
    <x v="30"/>
    <n v="-69451"/>
  </r>
  <r>
    <x v="6"/>
    <x v="6"/>
    <x v="0"/>
    <x v="2"/>
    <x v="31"/>
    <n v="0.1001840648323654"/>
  </r>
  <r>
    <x v="6"/>
    <x v="6"/>
    <x v="0"/>
    <x v="3"/>
    <x v="32"/>
    <n v="93695"/>
  </r>
  <r>
    <x v="6"/>
    <x v="6"/>
    <x v="0"/>
    <x v="3"/>
    <x v="33"/>
    <n v="0.13515638298179261"/>
  </r>
  <r>
    <x v="6"/>
    <x v="6"/>
    <x v="0"/>
    <x v="3"/>
    <x v="34"/>
    <n v="-16213"/>
  </r>
  <r>
    <x v="6"/>
    <x v="6"/>
    <x v="0"/>
    <x v="2"/>
    <x v="35"/>
    <n v="-87106"/>
  </r>
  <r>
    <x v="6"/>
    <x v="6"/>
    <x v="0"/>
    <x v="2"/>
    <x v="36"/>
    <n v="0.12565165586223409"/>
  </r>
  <r>
    <x v="6"/>
    <x v="6"/>
    <x v="0"/>
    <x v="2"/>
    <x v="37"/>
    <n v="11752"/>
  </r>
  <r>
    <x v="6"/>
    <x v="6"/>
    <x v="0"/>
    <x v="2"/>
    <x v="38"/>
    <n v="3.1665112870284048E-2"/>
  </r>
  <r>
    <x v="6"/>
    <x v="6"/>
    <x v="0"/>
    <x v="3"/>
    <x v="39"/>
    <n v="93855"/>
  </r>
  <r>
    <x v="6"/>
    <x v="6"/>
    <x v="0"/>
    <x v="3"/>
    <x v="40"/>
    <n v="-2.0838886258387128"/>
  </r>
  <r>
    <x v="6"/>
    <x v="6"/>
    <x v="0"/>
    <x v="3"/>
    <x v="41"/>
    <n v="163146"/>
  </r>
  <r>
    <x v="6"/>
    <x v="6"/>
    <x v="0"/>
    <x v="3"/>
    <x v="42"/>
    <n v="0.47821359645546208"/>
  </r>
  <r>
    <x v="6"/>
    <x v="6"/>
    <x v="0"/>
    <x v="3"/>
    <x v="43"/>
    <n v="174898"/>
  </r>
  <r>
    <x v="6"/>
    <x v="6"/>
    <x v="0"/>
    <x v="3"/>
    <x v="44"/>
    <n v="0.39666999401078051"/>
  </r>
  <r>
    <x v="6"/>
    <x v="6"/>
    <x v="0"/>
    <x v="3"/>
    <x v="45"/>
    <n v="41355"/>
  </r>
  <r>
    <x v="6"/>
    <x v="6"/>
    <x v="0"/>
    <x v="3"/>
    <x v="46"/>
    <n v="4.2248894504106129"/>
  </r>
  <r>
    <x v="6"/>
    <x v="6"/>
    <x v="0"/>
    <x v="3"/>
    <x v="47"/>
    <n v="0.20377442164133139"/>
  </r>
  <r>
    <x v="6"/>
    <x v="6"/>
    <x v="0"/>
    <x v="3"/>
    <x v="48"/>
    <n v="202945"/>
  </r>
  <r>
    <x v="6"/>
    <x v="6"/>
    <x v="0"/>
    <x v="3"/>
    <x v="49"/>
    <n v="5.9655181367330508E-2"/>
  </r>
  <r>
    <x v="7"/>
    <x v="7"/>
    <x v="0"/>
    <x v="0"/>
    <x v="0"/>
    <m/>
  </r>
  <r>
    <x v="7"/>
    <x v="7"/>
    <x v="0"/>
    <x v="0"/>
    <x v="0"/>
    <m/>
  </r>
  <r>
    <x v="7"/>
    <x v="7"/>
    <x v="0"/>
    <x v="1"/>
    <x v="1"/>
    <n v="179"/>
  </r>
  <r>
    <x v="7"/>
    <x v="7"/>
    <x v="0"/>
    <x v="1"/>
    <x v="2"/>
    <n v="2"/>
  </r>
  <r>
    <x v="7"/>
    <x v="7"/>
    <x v="0"/>
    <x v="1"/>
    <x v="3"/>
    <n v="4536.6592178770952"/>
  </r>
  <r>
    <x v="7"/>
    <x v="7"/>
    <x v="0"/>
    <x v="1"/>
    <x v="4"/>
    <n v="812062"/>
  </r>
  <r>
    <x v="7"/>
    <x v="7"/>
    <x v="0"/>
    <x v="1"/>
    <x v="5"/>
    <n v="6.400023060313198E-2"/>
  </r>
  <r>
    <x v="7"/>
    <x v="7"/>
    <x v="0"/>
    <x v="1"/>
    <x v="6"/>
    <n v="54023"/>
  </r>
  <r>
    <x v="7"/>
    <x v="7"/>
    <x v="0"/>
    <x v="1"/>
    <x v="7"/>
    <n v="4.4528228924980651E-2"/>
  </r>
  <r>
    <x v="7"/>
    <x v="7"/>
    <x v="0"/>
    <x v="1"/>
    <x v="8"/>
    <n v="15"/>
  </r>
  <r>
    <x v="7"/>
    <x v="7"/>
    <x v="0"/>
    <x v="1"/>
    <x v="9"/>
    <n v="0"/>
  </r>
  <r>
    <x v="7"/>
    <x v="7"/>
    <x v="0"/>
    <x v="1"/>
    <x v="10"/>
    <n v="588.31837963111195"/>
  </r>
  <r>
    <x v="7"/>
    <x v="7"/>
    <x v="0"/>
    <x v="1"/>
    <x v="11"/>
    <n v="0.10927089435213121"/>
  </r>
  <r>
    <x v="7"/>
    <x v="7"/>
    <x v="0"/>
    <x v="1"/>
    <x v="12"/>
    <n v="477751"/>
  </r>
  <r>
    <x v="7"/>
    <x v="7"/>
    <x v="0"/>
    <x v="1"/>
    <x v="13"/>
    <n v="0.18026448739201009"/>
  </r>
  <r>
    <x v="7"/>
    <x v="7"/>
    <x v="0"/>
    <x v="1"/>
    <x v="14"/>
    <n v="168633"/>
  </r>
  <r>
    <x v="7"/>
    <x v="7"/>
    <x v="0"/>
    <x v="1"/>
    <x v="15"/>
    <n v="0.19371827815413359"/>
  </r>
  <r>
    <x v="7"/>
    <x v="7"/>
    <x v="0"/>
    <x v="1"/>
    <x v="16"/>
    <n v="207.66025254229359"/>
  </r>
  <r>
    <x v="7"/>
    <x v="7"/>
    <x v="0"/>
    <x v="1"/>
    <x v="17"/>
    <n v="0.1219154318016178"/>
  </r>
  <r>
    <x v="7"/>
    <x v="7"/>
    <x v="0"/>
    <x v="1"/>
    <x v="18"/>
    <n v="646384"/>
  </r>
  <r>
    <x v="7"/>
    <x v="7"/>
    <x v="0"/>
    <x v="1"/>
    <x v="19"/>
    <n v="0.18374507828953399"/>
  </r>
  <r>
    <x v="7"/>
    <x v="7"/>
    <x v="0"/>
    <x v="1"/>
    <x v="20"/>
    <n v="16899"/>
  </r>
  <r>
    <x v="7"/>
    <x v="7"/>
    <x v="0"/>
    <x v="1"/>
    <x v="21"/>
    <n v="2.6143902076784079E-2"/>
  </r>
  <r>
    <x v="7"/>
    <x v="7"/>
    <x v="0"/>
    <x v="1"/>
    <x v="22"/>
    <n v="663283"/>
  </r>
  <r>
    <x v="7"/>
    <x v="7"/>
    <x v="0"/>
    <x v="1"/>
    <x v="23"/>
    <n v="0.1869052348282316"/>
  </r>
  <r>
    <x v="7"/>
    <x v="7"/>
    <x v="0"/>
    <x v="2"/>
    <x v="24"/>
    <n v="-343877"/>
  </r>
  <r>
    <x v="7"/>
    <x v="7"/>
    <x v="0"/>
    <x v="2"/>
    <x v="25"/>
    <n v="0.53200110151241364"/>
  </r>
  <r>
    <x v="7"/>
    <x v="7"/>
    <x v="0"/>
    <x v="2"/>
    <x v="26"/>
    <n v="-79141"/>
  </r>
  <r>
    <x v="7"/>
    <x v="7"/>
    <x v="0"/>
    <x v="2"/>
    <x v="27"/>
    <n v="-442.12849162011167"/>
  </r>
  <r>
    <x v="7"/>
    <x v="7"/>
    <x v="0"/>
    <x v="2"/>
    <x v="28"/>
    <n v="-83677"/>
  </r>
  <r>
    <x v="7"/>
    <x v="7"/>
    <x v="0"/>
    <x v="2"/>
    <x v="29"/>
    <n v="0.12615580378209601"/>
  </r>
  <r>
    <x v="7"/>
    <x v="7"/>
    <x v="0"/>
    <x v="2"/>
    <x v="30"/>
    <n v="-69613"/>
  </r>
  <r>
    <x v="7"/>
    <x v="7"/>
    <x v="0"/>
    <x v="2"/>
    <x v="31"/>
    <n v="0.1049521848140236"/>
  </r>
  <r>
    <x v="7"/>
    <x v="7"/>
    <x v="0"/>
    <x v="3"/>
    <x v="32"/>
    <n v="86975"/>
  </r>
  <r>
    <x v="7"/>
    <x v="7"/>
    <x v="0"/>
    <x v="3"/>
    <x v="33"/>
    <n v="0.13112804036889231"/>
  </r>
  <r>
    <x v="7"/>
    <x v="7"/>
    <x v="0"/>
    <x v="3"/>
    <x v="34"/>
    <n v="-12583"/>
  </r>
  <r>
    <x v="7"/>
    <x v="7"/>
    <x v="0"/>
    <x v="2"/>
    <x v="35"/>
    <n v="-136322"/>
  </r>
  <r>
    <x v="7"/>
    <x v="7"/>
    <x v="0"/>
    <x v="2"/>
    <x v="36"/>
    <n v="0.20552614796399121"/>
  </r>
  <r>
    <x v="7"/>
    <x v="7"/>
    <x v="0"/>
    <x v="2"/>
    <x v="37"/>
    <n v="20584"/>
  </r>
  <r>
    <x v="7"/>
    <x v="7"/>
    <x v="0"/>
    <x v="2"/>
    <x v="38"/>
    <n v="5.985861223635195E-2"/>
  </r>
  <r>
    <x v="7"/>
    <x v="7"/>
    <x v="0"/>
    <x v="3"/>
    <x v="39"/>
    <n v="66706"/>
  </r>
  <r>
    <x v="7"/>
    <x v="7"/>
    <x v="0"/>
    <x v="3"/>
    <x v="40"/>
    <n v="-3.297988149373019"/>
  </r>
  <r>
    <x v="7"/>
    <x v="7"/>
    <x v="0"/>
    <x v="3"/>
    <x v="41"/>
    <n v="156588"/>
  </r>
  <r>
    <x v="7"/>
    <x v="7"/>
    <x v="0"/>
    <x v="3"/>
    <x v="42"/>
    <n v="0.27308352100423572"/>
  </r>
  <r>
    <x v="7"/>
    <x v="7"/>
    <x v="0"/>
    <x v="3"/>
    <x v="43"/>
    <n v="177172"/>
  </r>
  <r>
    <x v="7"/>
    <x v="7"/>
    <x v="0"/>
    <x v="3"/>
    <x v="44"/>
    <n v="0.30164421000044078"/>
  </r>
  <r>
    <x v="7"/>
    <x v="7"/>
    <x v="0"/>
    <x v="3"/>
    <x v="45"/>
    <n v="37163"/>
  </r>
  <r>
    <x v="7"/>
    <x v="7"/>
    <x v="0"/>
    <x v="3"/>
    <x v="46"/>
    <n v="0.56911839216348592"/>
  </r>
  <r>
    <x v="7"/>
    <x v="7"/>
    <x v="0"/>
    <x v="3"/>
    <x v="47"/>
    <n v="0.18430370958143219"/>
  </r>
  <r>
    <x v="7"/>
    <x v="7"/>
    <x v="0"/>
    <x v="3"/>
    <x v="48"/>
    <n v="201640"/>
  </r>
  <r>
    <x v="7"/>
    <x v="7"/>
    <x v="0"/>
    <x v="3"/>
    <x v="49"/>
    <n v="5.60288745527927E-2"/>
  </r>
  <r>
    <x v="8"/>
    <x v="8"/>
    <x v="1"/>
    <x v="0"/>
    <x v="0"/>
    <m/>
  </r>
  <r>
    <x v="8"/>
    <x v="8"/>
    <x v="1"/>
    <x v="0"/>
    <x v="0"/>
    <m/>
  </r>
  <r>
    <x v="8"/>
    <x v="8"/>
    <x v="1"/>
    <x v="1"/>
    <x v="1"/>
    <n v="182"/>
  </r>
  <r>
    <x v="8"/>
    <x v="8"/>
    <x v="1"/>
    <x v="1"/>
    <x v="2"/>
    <n v="3"/>
  </r>
  <r>
    <x v="8"/>
    <x v="8"/>
    <x v="1"/>
    <x v="1"/>
    <x v="3"/>
    <n v="4661.2201503119686"/>
  </r>
  <r>
    <x v="8"/>
    <x v="8"/>
    <x v="1"/>
    <x v="1"/>
    <x v="4"/>
    <n v="848342.06735677831"/>
  </r>
  <r>
    <x v="8"/>
    <x v="8"/>
    <x v="1"/>
    <x v="1"/>
    <x v="5"/>
    <n v="5.776993722868573E-2"/>
  </r>
  <r>
    <x v="8"/>
    <x v="8"/>
    <x v="1"/>
    <x v="1"/>
    <x v="6"/>
    <n v="53335.700425367359"/>
  </r>
  <r>
    <x v="8"/>
    <x v="8"/>
    <x v="1"/>
    <x v="1"/>
    <x v="7"/>
    <n v="4.4528228924980651E-2"/>
  </r>
  <r>
    <x v="8"/>
    <x v="8"/>
    <x v="1"/>
    <x v="1"/>
    <x v="8"/>
    <n v="15.3"/>
  </r>
  <r>
    <x v="8"/>
    <x v="8"/>
    <x v="1"/>
    <x v="1"/>
    <x v="9"/>
    <n v="816.03621650812067"/>
  </r>
  <r>
    <x v="8"/>
    <x v="8"/>
    <x v="1"/>
    <x v="1"/>
    <x v="10"/>
    <n v="586.12630141768807"/>
  </r>
  <r>
    <x v="8"/>
    <x v="8"/>
    <x v="1"/>
    <x v="1"/>
    <x v="11"/>
    <n v="0.105"/>
  </r>
  <r>
    <x v="8"/>
    <x v="8"/>
    <x v="1"/>
    <x v="1"/>
    <x v="12"/>
    <n v="497235.59827686369"/>
  </r>
  <r>
    <x v="8"/>
    <x v="8"/>
    <x v="1"/>
    <x v="1"/>
    <x v="13"/>
    <n v="0.16883578063769791"/>
  </r>
  <r>
    <x v="8"/>
    <x v="8"/>
    <x v="1"/>
    <x v="1"/>
    <x v="14"/>
    <n v="180242.95231676701"/>
  </r>
  <r>
    <x v="8"/>
    <x v="8"/>
    <x v="1"/>
    <x v="1"/>
    <x v="15"/>
    <n v="0.16230285100511341"/>
  </r>
  <r>
    <x v="8"/>
    <x v="8"/>
    <x v="1"/>
    <x v="1"/>
    <x v="16"/>
    <n v="212.46494692684391"/>
  </r>
  <r>
    <x v="8"/>
    <x v="8"/>
    <x v="1"/>
    <x v="1"/>
    <x v="17"/>
    <n v="9.8823865282369083E-2"/>
  </r>
  <r>
    <x v="8"/>
    <x v="8"/>
    <x v="1"/>
    <x v="1"/>
    <x v="18"/>
    <n v="678294.58681013878"/>
  </r>
  <r>
    <x v="8"/>
    <x v="8"/>
    <x v="1"/>
    <x v="1"/>
    <x v="19"/>
    <n v="0.16849632085262981"/>
  </r>
  <r>
    <x v="8"/>
    <x v="8"/>
    <x v="1"/>
    <x v="1"/>
    <x v="20"/>
    <n v="17733.267256776991"/>
  </r>
  <r>
    <x v="8"/>
    <x v="8"/>
    <x v="1"/>
    <x v="1"/>
    <x v="21"/>
    <n v="2.6143902076784079E-2"/>
  </r>
  <r>
    <x v="8"/>
    <x v="8"/>
    <x v="1"/>
    <x v="1"/>
    <x v="22"/>
    <n v="696027.85406691581"/>
  </r>
  <r>
    <x v="8"/>
    <x v="8"/>
    <x v="1"/>
    <x v="1"/>
    <x v="23"/>
    <n v="0.1664287326603999"/>
  </r>
  <r>
    <x v="8"/>
    <x v="8"/>
    <x v="1"/>
    <x v="2"/>
    <x v="24"/>
    <n v="-375121.52380224637"/>
  </r>
  <r>
    <x v="8"/>
    <x v="8"/>
    <x v="1"/>
    <x v="2"/>
    <x v="25"/>
    <n v="0.55303629292746592"/>
  </r>
  <r>
    <x v="8"/>
    <x v="8"/>
    <x v="1"/>
    <x v="2"/>
    <x v="26"/>
    <n v="-78014.130697674424"/>
  </r>
  <r>
    <x v="8"/>
    <x v="8"/>
    <x v="1"/>
    <x v="2"/>
    <x v="27"/>
    <n v="-428.64906976744192"/>
  </r>
  <r>
    <x v="8"/>
    <x v="8"/>
    <x v="1"/>
    <x v="2"/>
    <x v="28"/>
    <n v="-75322.135411545314"/>
  </r>
  <r>
    <x v="8"/>
    <x v="8"/>
    <x v="1"/>
    <x v="2"/>
    <x v="29"/>
    <n v="0.10821712805232631"/>
  </r>
  <r>
    <x v="8"/>
    <x v="8"/>
    <x v="1"/>
    <x v="2"/>
    <x v="30"/>
    <n v="-73049.643975739178"/>
  </r>
  <r>
    <x v="8"/>
    <x v="8"/>
    <x v="1"/>
    <x v="2"/>
    <x v="31"/>
    <n v="0.1049521848140236"/>
  </r>
  <r>
    <x v="8"/>
    <x v="8"/>
    <x v="1"/>
    <x v="3"/>
    <x v="32"/>
    <n v="94520.420179710534"/>
  </r>
  <r>
    <x v="8"/>
    <x v="8"/>
    <x v="1"/>
    <x v="3"/>
    <x v="33"/>
    <n v="0.1357997666723024"/>
  </r>
  <r>
    <x v="8"/>
    <x v="8"/>
    <x v="1"/>
    <x v="3"/>
    <x v="34"/>
    <n v="-19849.288237739209"/>
  </r>
  <r>
    <x v="8"/>
    <x v="8"/>
    <x v="1"/>
    <x v="2"/>
    <x v="35"/>
    <n v="-139571.78445168171"/>
  </r>
  <r>
    <x v="8"/>
    <x v="8"/>
    <x v="1"/>
    <x v="2"/>
    <x v="36"/>
    <n v="0.20052614796399121"/>
  </r>
  <r>
    <x v="8"/>
    <x v="8"/>
    <x v="1"/>
    <x v="2"/>
    <x v="37"/>
    <n v="16489.30852784809"/>
  </r>
  <r>
    <x v="8"/>
    <x v="8"/>
    <x v="1"/>
    <x v="2"/>
    <x v="38"/>
    <n v="2.3690587138863E-2"/>
  </r>
  <r>
    <x v="8"/>
    <x v="8"/>
    <x v="1"/>
    <x v="3"/>
    <x v="39"/>
    <n v="-9384.3533496869895"/>
  </r>
  <r>
    <x v="8"/>
    <x v="8"/>
    <x v="1"/>
    <x v="3"/>
    <x v="40"/>
    <n v="-0.89883843919445716"/>
  </r>
  <r>
    <x v="8"/>
    <x v="8"/>
    <x v="1"/>
    <x v="3"/>
    <x v="41"/>
    <n v="167570.06415544971"/>
  </r>
  <r>
    <x v="8"/>
    <x v="8"/>
    <x v="1"/>
    <x v="3"/>
    <x v="42"/>
    <n v="0.21462789326942389"/>
  </r>
  <r>
    <x v="8"/>
    <x v="8"/>
    <x v="1"/>
    <x v="3"/>
    <x v="43"/>
    <n v="184059.37268329781"/>
  </r>
  <r>
    <x v="8"/>
    <x v="8"/>
    <x v="1"/>
    <x v="3"/>
    <x v="44"/>
    <n v="0.26426560715520592"/>
  </r>
  <r>
    <x v="8"/>
    <x v="8"/>
    <x v="1"/>
    <x v="3"/>
    <x v="45"/>
    <n v="43808.268618992763"/>
  </r>
  <r>
    <x v="8"/>
    <x v="8"/>
    <x v="1"/>
    <x v="3"/>
    <x v="46"/>
    <n v="0.75816786206175535"/>
  </r>
  <r>
    <x v="8"/>
    <x v="8"/>
    <x v="1"/>
    <x v="3"/>
    <x v="47"/>
    <n v="0.20746087694395229"/>
  </r>
  <r>
    <x v="8"/>
    <x v="8"/>
    <x v="1"/>
    <x v="3"/>
    <x v="48"/>
    <n v="211164"/>
  </r>
  <r>
    <x v="8"/>
    <x v="8"/>
    <x v="1"/>
    <x v="3"/>
    <x v="49"/>
    <n v="6.2940395794535323E-2"/>
  </r>
  <r>
    <x v="9"/>
    <x v="9"/>
    <x v="1"/>
    <x v="0"/>
    <x v="0"/>
    <m/>
  </r>
  <r>
    <x v="9"/>
    <x v="9"/>
    <x v="1"/>
    <x v="0"/>
    <x v="0"/>
    <m/>
  </r>
  <r>
    <x v="9"/>
    <x v="9"/>
    <x v="1"/>
    <x v="1"/>
    <x v="1"/>
    <n v="184"/>
  </r>
  <r>
    <x v="9"/>
    <x v="9"/>
    <x v="1"/>
    <x v="1"/>
    <x v="2"/>
    <n v="2"/>
  </r>
  <r>
    <x v="9"/>
    <x v="9"/>
    <x v="1"/>
    <x v="1"/>
    <x v="3"/>
    <n v="4788.2221951219508"/>
  </r>
  <r>
    <x v="9"/>
    <x v="9"/>
    <x v="1"/>
    <x v="1"/>
    <x v="4"/>
    <n v="881032.88390243892"/>
  </r>
  <r>
    <x v="9"/>
    <x v="9"/>
    <x v="1"/>
    <x v="1"/>
    <x v="5"/>
    <n v="5.8124899598910977E-2"/>
  </r>
  <r>
    <x v="9"/>
    <x v="9"/>
    <x v="1"/>
    <x v="1"/>
    <x v="6"/>
    <n v="48185.131728538283"/>
  </r>
  <r>
    <x v="9"/>
    <x v="9"/>
    <x v="1"/>
    <x v="1"/>
    <x v="7"/>
    <n v="4.4528228924980651E-2"/>
  </r>
  <r>
    <x v="9"/>
    <x v="9"/>
    <x v="1"/>
    <x v="1"/>
    <x v="8"/>
    <n v="15.606"/>
  </r>
  <r>
    <x v="9"/>
    <x v="9"/>
    <x v="1"/>
    <x v="1"/>
    <x v="9"/>
    <n v="751.97716575556854"/>
  </r>
  <r>
    <x v="9"/>
    <x v="9"/>
    <x v="1"/>
    <x v="1"/>
    <x v="10"/>
    <n v="612.24270629662897"/>
  </r>
  <r>
    <x v="9"/>
    <x v="9"/>
    <x v="1"/>
    <x v="1"/>
    <x v="11"/>
    <n v="0.10174999999999999"/>
  </r>
  <r>
    <x v="9"/>
    <x v="9"/>
    <x v="1"/>
    <x v="1"/>
    <x v="12"/>
    <n v="539405.95717675285"/>
  </r>
  <r>
    <x v="9"/>
    <x v="9"/>
    <x v="1"/>
    <x v="1"/>
    <x v="13"/>
    <n v="0.16578910813309999"/>
  </r>
  <r>
    <x v="9"/>
    <x v="9"/>
    <x v="1"/>
    <x v="1"/>
    <x v="14"/>
    <n v="211007.1648140387"/>
  </r>
  <r>
    <x v="9"/>
    <x v="9"/>
    <x v="1"/>
    <x v="1"/>
    <x v="15"/>
    <n v="0.15740226763079959"/>
  </r>
  <r>
    <x v="9"/>
    <x v="9"/>
    <x v="1"/>
    <x v="1"/>
    <x v="16"/>
    <n v="239.49976064389961"/>
  </r>
  <r>
    <x v="9"/>
    <x v="9"/>
    <x v="1"/>
    <x v="1"/>
    <x v="17"/>
    <n v="9.3823865282369079E-2"/>
  </r>
  <r>
    <x v="9"/>
    <x v="9"/>
    <x v="1"/>
    <x v="1"/>
    <x v="18"/>
    <n v="751165.0991565471"/>
  </r>
  <r>
    <x v="9"/>
    <x v="9"/>
    <x v="1"/>
    <x v="1"/>
    <x v="19"/>
    <n v="0.16458441405526919"/>
  </r>
  <r>
    <x v="9"/>
    <x v="9"/>
    <x v="1"/>
    <x v="1"/>
    <x v="20"/>
    <n v="19638.386795846571"/>
  </r>
  <r>
    <x v="9"/>
    <x v="9"/>
    <x v="1"/>
    <x v="1"/>
    <x v="21"/>
    <n v="2.6143902076784079E-2"/>
  </r>
  <r>
    <x v="9"/>
    <x v="9"/>
    <x v="1"/>
    <x v="1"/>
    <x v="22"/>
    <n v="770803.48595239362"/>
  </r>
  <r>
    <x v="9"/>
    <x v="9"/>
    <x v="1"/>
    <x v="1"/>
    <x v="23"/>
    <n v="0.15431042836043679"/>
  </r>
  <r>
    <x v="9"/>
    <x v="9"/>
    <x v="1"/>
    <x v="2"/>
    <x v="24"/>
    <n v="-412894.65739205398"/>
  </r>
  <r>
    <x v="9"/>
    <x v="9"/>
    <x v="1"/>
    <x v="2"/>
    <x v="25"/>
    <n v="0.54967231285862017"/>
  </r>
  <r>
    <x v="9"/>
    <x v="9"/>
    <x v="1"/>
    <x v="2"/>
    <x v="26"/>
    <n v="-80377.445485714285"/>
  </r>
  <r>
    <x v="9"/>
    <x v="9"/>
    <x v="1"/>
    <x v="2"/>
    <x v="27"/>
    <n v="-436.83394285714292"/>
  </r>
  <r>
    <x v="9"/>
    <x v="9"/>
    <x v="1"/>
    <x v="2"/>
    <x v="28"/>
    <n v="-72529.941455599677"/>
  </r>
  <r>
    <x v="9"/>
    <x v="9"/>
    <x v="1"/>
    <x v="2"/>
    <x v="29"/>
    <n v="9.40965405287221E-2"/>
  </r>
  <r>
    <x v="9"/>
    <x v="9"/>
    <x v="1"/>
    <x v="2"/>
    <x v="30"/>
    <n v="-80897.509912969239"/>
  </r>
  <r>
    <x v="9"/>
    <x v="9"/>
    <x v="1"/>
    <x v="2"/>
    <x v="31"/>
    <n v="0.1049521848140236"/>
  </r>
  <r>
    <x v="9"/>
    <x v="9"/>
    <x v="1"/>
    <x v="3"/>
    <x v="32"/>
    <n v="124103.93170605641"/>
  </r>
  <r>
    <x v="9"/>
    <x v="9"/>
    <x v="1"/>
    <x v="3"/>
    <x v="33"/>
    <n v="0.16100592948501699"/>
  </r>
  <r>
    <x v="9"/>
    <x v="9"/>
    <x v="1"/>
    <x v="3"/>
    <x v="34"/>
    <n v="-26061.82565827185"/>
  </r>
  <r>
    <x v="9"/>
    <x v="9"/>
    <x v="1"/>
    <x v="2"/>
    <x v="35"/>
    <n v="-150712.23644548791"/>
  </r>
  <r>
    <x v="9"/>
    <x v="9"/>
    <x v="1"/>
    <x v="2"/>
    <x v="36"/>
    <n v="0.1955261479639912"/>
  </r>
  <r>
    <x v="9"/>
    <x v="9"/>
    <x v="1"/>
    <x v="2"/>
    <x v="37"/>
    <n v="24005.896308021998"/>
  </r>
  <r>
    <x v="9"/>
    <x v="9"/>
    <x v="1"/>
    <x v="2"/>
    <x v="38"/>
    <n v="3.114399032376023E-2"/>
  </r>
  <r>
    <x v="9"/>
    <x v="9"/>
    <x v="1"/>
    <x v="3"/>
    <x v="39"/>
    <n v="60748.859432854173"/>
  </r>
  <r>
    <x v="9"/>
    <x v="9"/>
    <x v="1"/>
    <x v="3"/>
    <x v="40"/>
    <n v="0.63792120124172036"/>
  </r>
  <r>
    <x v="9"/>
    <x v="9"/>
    <x v="1"/>
    <x v="3"/>
    <x v="41"/>
    <n v="205001.44161902569"/>
  </r>
  <r>
    <x v="9"/>
    <x v="9"/>
    <x v="1"/>
    <x v="3"/>
    <x v="42"/>
    <n v="0.17499536664770821"/>
  </r>
  <r>
    <x v="9"/>
    <x v="9"/>
    <x v="1"/>
    <x v="3"/>
    <x v="43"/>
    <n v="229007.33792704769"/>
  </r>
  <r>
    <x v="9"/>
    <x v="9"/>
    <x v="1"/>
    <x v="3"/>
    <x v="44"/>
    <n v="0.23426144984449701"/>
  </r>
  <r>
    <x v="9"/>
    <x v="9"/>
    <x v="1"/>
    <x v="3"/>
    <x v="45"/>
    <n v="63863.585034835189"/>
  </r>
  <r>
    <x v="9"/>
    <x v="9"/>
    <x v="1"/>
    <x v="3"/>
    <x v="46"/>
    <n v="0.20942306665723301"/>
  </r>
  <r>
    <x v="9"/>
    <x v="9"/>
    <x v="1"/>
    <x v="3"/>
    <x v="47"/>
    <n v="0.30243595042164001"/>
  </r>
  <r>
    <x v="9"/>
    <x v="9"/>
    <x v="1"/>
    <x v="3"/>
    <x v="48"/>
    <n v="211164"/>
  </r>
  <r>
    <x v="9"/>
    <x v="9"/>
    <x v="1"/>
    <x v="3"/>
    <x v="49"/>
    <n v="8.2853264416579891E-2"/>
  </r>
  <r>
    <x v="10"/>
    <x v="10"/>
    <x v="1"/>
    <x v="0"/>
    <x v="0"/>
    <m/>
  </r>
  <r>
    <x v="10"/>
    <x v="10"/>
    <x v="1"/>
    <x v="0"/>
    <x v="0"/>
    <m/>
  </r>
  <r>
    <x v="10"/>
    <x v="10"/>
    <x v="1"/>
    <x v="1"/>
    <x v="1"/>
    <n v="186"/>
  </r>
  <r>
    <x v="10"/>
    <x v="10"/>
    <x v="1"/>
    <x v="1"/>
    <x v="2"/>
    <n v="2"/>
  </r>
  <r>
    <x v="10"/>
    <x v="10"/>
    <x v="1"/>
    <x v="1"/>
    <x v="3"/>
    <n v="4641.6072947823204"/>
  </r>
  <r>
    <x v="10"/>
    <x v="10"/>
    <x v="1"/>
    <x v="1"/>
    <x v="4"/>
    <n v="863338.95682951144"/>
  </r>
  <r>
    <x v="10"/>
    <x v="10"/>
    <x v="1"/>
    <x v="1"/>
    <x v="5"/>
    <n v="4.4569712873666838E-2"/>
  </r>
  <r>
    <x v="10"/>
    <x v="10"/>
    <x v="1"/>
    <x v="1"/>
    <x v="6"/>
    <n v="52233.723143851508"/>
  </r>
  <r>
    <x v="10"/>
    <x v="10"/>
    <x v="1"/>
    <x v="1"/>
    <x v="7"/>
    <n v="4.4528228924980651E-2"/>
  </r>
  <r>
    <x v="10"/>
    <x v="10"/>
    <x v="1"/>
    <x v="1"/>
    <x v="8"/>
    <n v="15.91812"/>
  </r>
  <r>
    <x v="10"/>
    <x v="10"/>
    <x v="1"/>
    <x v="1"/>
    <x v="9"/>
    <n v="831.46267305060564"/>
  </r>
  <r>
    <x v="10"/>
    <x v="10"/>
    <x v="1"/>
    <x v="1"/>
    <x v="10"/>
    <n v="648.73810650185965"/>
  </r>
  <r>
    <x v="10"/>
    <x v="10"/>
    <x v="1"/>
    <x v="1"/>
    <x v="11"/>
    <n v="9.849999999999999E-2"/>
  </r>
  <r>
    <x v="10"/>
    <x v="10"/>
    <x v="1"/>
    <x v="1"/>
    <x v="12"/>
    <n v="560080.88012286799"/>
  </r>
  <r>
    <x v="10"/>
    <x v="10"/>
    <x v="1"/>
    <x v="1"/>
    <x v="13"/>
    <n v="0.1474598295917231"/>
  </r>
  <r>
    <x v="10"/>
    <x v="10"/>
    <x v="1"/>
    <x v="1"/>
    <x v="14"/>
    <n v="212309.57854266779"/>
  </r>
  <r>
    <x v="10"/>
    <x v="10"/>
    <x v="1"/>
    <x v="1"/>
    <x v="15"/>
    <n v="0.13735243232800021"/>
  </r>
  <r>
    <x v="10"/>
    <x v="10"/>
    <x v="1"/>
    <x v="1"/>
    <x v="16"/>
    <n v="245.91682891542891"/>
  </r>
  <r>
    <x v="10"/>
    <x v="10"/>
    <x v="1"/>
    <x v="1"/>
    <x v="17"/>
    <n v="8.8823865282369074E-2"/>
  </r>
  <r>
    <x v="10"/>
    <x v="10"/>
    <x v="1"/>
    <x v="1"/>
    <x v="18"/>
    <n v="773221.92133858637"/>
  </r>
  <r>
    <x v="10"/>
    <x v="10"/>
    <x v="1"/>
    <x v="1"/>
    <x v="19"/>
    <n v="0.14589592284626199"/>
  </r>
  <r>
    <x v="10"/>
    <x v="10"/>
    <x v="1"/>
    <x v="1"/>
    <x v="20"/>
    <n v="20215.038195098841"/>
  </r>
  <r>
    <x v="10"/>
    <x v="10"/>
    <x v="1"/>
    <x v="1"/>
    <x v="21"/>
    <n v="2.6143902076784079E-2"/>
  </r>
  <r>
    <x v="10"/>
    <x v="10"/>
    <x v="1"/>
    <x v="1"/>
    <x v="22"/>
    <n v="793436.95953368524"/>
  </r>
  <r>
    <x v="10"/>
    <x v="10"/>
    <x v="1"/>
    <x v="1"/>
    <x v="23"/>
    <n v="0.14454420806493221"/>
  </r>
  <r>
    <x v="10"/>
    <x v="10"/>
    <x v="1"/>
    <x v="2"/>
    <x v="24"/>
    <n v="-424121.10454761668"/>
  </r>
  <r>
    <x v="10"/>
    <x v="10"/>
    <x v="1"/>
    <x v="2"/>
    <x v="25"/>
    <n v="0.54851148530991822"/>
  </r>
  <r>
    <x v="10"/>
    <x v="10"/>
    <x v="1"/>
    <x v="2"/>
    <x v="26"/>
    <n v="-84221.745762711871"/>
  </r>
  <r>
    <x v="10"/>
    <x v="10"/>
    <x v="1"/>
    <x v="2"/>
    <x v="27"/>
    <n v="-452.80508474576271"/>
  </r>
  <r>
    <x v="10"/>
    <x v="10"/>
    <x v="1"/>
    <x v="2"/>
    <x v="28"/>
    <n v="-91997.318900051192"/>
  </r>
  <r>
    <x v="10"/>
    <x v="10"/>
    <x v="1"/>
    <x v="2"/>
    <x v="29"/>
    <n v="0.11594786176096381"/>
  </r>
  <r>
    <x v="10"/>
    <x v="10"/>
    <x v="1"/>
    <x v="2"/>
    <x v="30"/>
    <n v="-83272.942415256271"/>
  </r>
  <r>
    <x v="10"/>
    <x v="10"/>
    <x v="1"/>
    <x v="2"/>
    <x v="31"/>
    <n v="0.1049521848140236"/>
  </r>
  <r>
    <x v="10"/>
    <x v="10"/>
    <x v="1"/>
    <x v="3"/>
    <x v="32"/>
    <n v="109823.8479080492"/>
  </r>
  <r>
    <x v="10"/>
    <x v="10"/>
    <x v="1"/>
    <x v="3"/>
    <x v="33"/>
    <n v="0.13841534174636169"/>
  </r>
  <r>
    <x v="10"/>
    <x v="10"/>
    <x v="1"/>
    <x v="3"/>
    <x v="34"/>
    <n v="-23063.008060690328"/>
  </r>
  <r>
    <x v="10"/>
    <x v="10"/>
    <x v="1"/>
    <x v="2"/>
    <x v="35"/>
    <n v="-151170.48755221421"/>
  </r>
  <r>
    <x v="10"/>
    <x v="10"/>
    <x v="1"/>
    <x v="2"/>
    <x v="36"/>
    <n v="0.1905261479639912"/>
  </r>
  <r>
    <x v="10"/>
    <x v="10"/>
    <x v="1"/>
    <x v="2"/>
    <x v="37"/>
    <n v="25124.270879089141"/>
  </r>
  <r>
    <x v="10"/>
    <x v="10"/>
    <x v="1"/>
    <x v="2"/>
    <x v="38"/>
    <n v="3.1665112870284048E-2"/>
  </r>
  <r>
    <x v="10"/>
    <x v="10"/>
    <x v="1"/>
    <x v="3"/>
    <x v="39"/>
    <n v="67255.142247061216"/>
  </r>
  <r>
    <x v="10"/>
    <x v="10"/>
    <x v="1"/>
    <x v="3"/>
    <x v="40"/>
    <n v="-0.28341439191240508"/>
  </r>
  <r>
    <x v="10"/>
    <x v="10"/>
    <x v="1"/>
    <x v="3"/>
    <x v="41"/>
    <n v="193096.7903233055"/>
  </r>
  <r>
    <x v="10"/>
    <x v="10"/>
    <x v="1"/>
    <x v="3"/>
    <x v="42"/>
    <n v="0.1835827438202926"/>
  </r>
  <r>
    <x v="10"/>
    <x v="10"/>
    <x v="1"/>
    <x v="3"/>
    <x v="43"/>
    <n v="218221.0612023946"/>
  </r>
  <r>
    <x v="10"/>
    <x v="10"/>
    <x v="1"/>
    <x v="3"/>
    <x v="44"/>
    <n v="0.2477047261969525"/>
  </r>
  <r>
    <x v="10"/>
    <x v="10"/>
    <x v="1"/>
    <x v="3"/>
    <x v="45"/>
    <n v="51578.718479075862"/>
  </r>
  <r>
    <x v="10"/>
    <x v="10"/>
    <x v="1"/>
    <x v="3"/>
    <x v="46"/>
    <n v="0.24721843740964489"/>
  </r>
  <r>
    <x v="10"/>
    <x v="10"/>
    <x v="1"/>
    <x v="3"/>
    <x v="47"/>
    <n v="0.2442590521067789"/>
  </r>
  <r>
    <x v="10"/>
    <x v="10"/>
    <x v="1"/>
    <x v="3"/>
    <x v="48"/>
    <n v="211164"/>
  </r>
  <r>
    <x v="10"/>
    <x v="10"/>
    <x v="1"/>
    <x v="3"/>
    <x v="49"/>
    <n v="6.5006700103042145E-2"/>
  </r>
  <r>
    <x v="11"/>
    <x v="11"/>
    <x v="1"/>
    <x v="0"/>
    <x v="0"/>
    <m/>
  </r>
  <r>
    <x v="11"/>
    <x v="11"/>
    <x v="1"/>
    <x v="0"/>
    <x v="0"/>
    <m/>
  </r>
  <r>
    <x v="11"/>
    <x v="11"/>
    <x v="1"/>
    <x v="1"/>
    <x v="1"/>
    <n v="189"/>
  </r>
  <r>
    <x v="11"/>
    <x v="11"/>
    <x v="1"/>
    <x v="1"/>
    <x v="2"/>
    <n v="3"/>
  </r>
  <r>
    <x v="11"/>
    <x v="11"/>
    <x v="1"/>
    <x v="1"/>
    <x v="3"/>
    <n v="4499.9553399326996"/>
  </r>
  <r>
    <x v="11"/>
    <x v="11"/>
    <x v="1"/>
    <x v="1"/>
    <x v="4"/>
    <n v="850491.55924728024"/>
  </r>
  <r>
    <x v="11"/>
    <x v="11"/>
    <x v="1"/>
    <x v="1"/>
    <x v="5"/>
    <n v="4.7323430042632397E-2"/>
  </r>
  <r>
    <x v="11"/>
    <x v="11"/>
    <x v="1"/>
    <x v="1"/>
    <x v="6"/>
    <n v="56428.548511214227"/>
  </r>
  <r>
    <x v="11"/>
    <x v="11"/>
    <x v="1"/>
    <x v="1"/>
    <x v="7"/>
    <n v="4.4528228924980651E-2"/>
  </r>
  <r>
    <x v="11"/>
    <x v="11"/>
    <x v="1"/>
    <x v="1"/>
    <x v="8"/>
    <n v="16.2364824"/>
  </r>
  <r>
    <x v="11"/>
    <x v="11"/>
    <x v="1"/>
    <x v="1"/>
    <x v="9"/>
    <n v="916.20113475987614"/>
  </r>
  <r>
    <x v="11"/>
    <x v="11"/>
    <x v="1"/>
    <x v="1"/>
    <x v="10"/>
    <n v="644.35570529097538"/>
  </r>
  <r>
    <x v="11"/>
    <x v="11"/>
    <x v="1"/>
    <x v="1"/>
    <x v="11"/>
    <n v="9.5249999999999987E-2"/>
  </r>
  <r>
    <x v="11"/>
    <x v="11"/>
    <x v="1"/>
    <x v="1"/>
    <x v="12"/>
    <n v="548019.08850280265"/>
  </r>
  <r>
    <x v="11"/>
    <x v="11"/>
    <x v="1"/>
    <x v="1"/>
    <x v="13"/>
    <n v="0.14708098675419329"/>
  </r>
  <r>
    <x v="11"/>
    <x v="11"/>
    <x v="1"/>
    <x v="1"/>
    <x v="14"/>
    <n v="191417.7007722506"/>
  </r>
  <r>
    <x v="11"/>
    <x v="11"/>
    <x v="1"/>
    <x v="1"/>
    <x v="15"/>
    <n v="0.13511412814959489"/>
  </r>
  <r>
    <x v="11"/>
    <x v="11"/>
    <x v="1"/>
    <x v="1"/>
    <x v="16"/>
    <n v="225.06713757590151"/>
  </r>
  <r>
    <x v="11"/>
    <x v="11"/>
    <x v="1"/>
    <x v="1"/>
    <x v="17"/>
    <n v="8.382386528236907E-2"/>
  </r>
  <r>
    <x v="11"/>
    <x v="11"/>
    <x v="1"/>
    <x v="1"/>
    <x v="18"/>
    <n v="740352.99040981324"/>
  </r>
  <r>
    <x v="11"/>
    <x v="11"/>
    <x v="1"/>
    <x v="1"/>
    <x v="19"/>
    <n v="0.14537641774829391"/>
  </r>
  <r>
    <x v="11"/>
    <x v="11"/>
    <x v="1"/>
    <x v="1"/>
    <x v="20"/>
    <n v="19355.716083528419"/>
  </r>
  <r>
    <x v="11"/>
    <x v="11"/>
    <x v="1"/>
    <x v="1"/>
    <x v="21"/>
    <n v="2.6143902076784079E-2"/>
  </r>
  <r>
    <x v="11"/>
    <x v="11"/>
    <x v="1"/>
    <x v="1"/>
    <x v="22"/>
    <n v="759708.70649334171"/>
  </r>
  <r>
    <x v="11"/>
    <x v="11"/>
    <x v="1"/>
    <x v="1"/>
    <x v="23"/>
    <n v="0.1453764177482941"/>
  </r>
  <r>
    <x v="11"/>
    <x v="11"/>
    <x v="1"/>
    <x v="2"/>
    <x v="24"/>
    <n v="-392758.07692041539"/>
  </r>
  <r>
    <x v="11"/>
    <x v="11"/>
    <x v="1"/>
    <x v="2"/>
    <x v="25"/>
    <n v="0.5305011015124137"/>
  </r>
  <r>
    <x v="11"/>
    <x v="11"/>
    <x v="1"/>
    <x v="2"/>
    <x v="26"/>
    <n v="-85233.530614525138"/>
  </r>
  <r>
    <x v="11"/>
    <x v="11"/>
    <x v="1"/>
    <x v="2"/>
    <x v="27"/>
    <n v="-450.97106145251399"/>
  </r>
  <r>
    <x v="11"/>
    <x v="11"/>
    <x v="1"/>
    <x v="2"/>
    <x v="28"/>
    <n v="-95841.662507924004"/>
  </r>
  <r>
    <x v="11"/>
    <x v="11"/>
    <x v="1"/>
    <x v="2"/>
    <x v="29"/>
    <n v="0.12615580378209601"/>
  </r>
  <r>
    <x v="11"/>
    <x v="11"/>
    <x v="1"/>
    <x v="2"/>
    <x v="30"/>
    <n v="-79733.088568711988"/>
  </r>
  <r>
    <x v="11"/>
    <x v="11"/>
    <x v="1"/>
    <x v="2"/>
    <x v="31"/>
    <n v="0.1049521848140236"/>
  </r>
  <r>
    <x v="11"/>
    <x v="11"/>
    <x v="1"/>
    <x v="3"/>
    <x v="32"/>
    <n v="106142.34788176521"/>
  </r>
  <r>
    <x v="11"/>
    <x v="11"/>
    <x v="1"/>
    <x v="3"/>
    <x v="33"/>
    <n v="0.13971453397144321"/>
  </r>
  <r>
    <x v="11"/>
    <x v="11"/>
    <x v="1"/>
    <x v="3"/>
    <x v="34"/>
    <n v="-22289.893055170691"/>
  </r>
  <r>
    <x v="11"/>
    <x v="11"/>
    <x v="1"/>
    <x v="2"/>
    <x v="35"/>
    <n v="-140945.82989041609"/>
  </r>
  <r>
    <x v="11"/>
    <x v="11"/>
    <x v="1"/>
    <x v="2"/>
    <x v="36"/>
    <n v="0.18552614796399119"/>
  </r>
  <r>
    <x v="11"/>
    <x v="11"/>
    <x v="1"/>
    <x v="2"/>
    <x v="37"/>
    <n v="45475.108874565463"/>
  </r>
  <r>
    <x v="11"/>
    <x v="11"/>
    <x v="1"/>
    <x v="2"/>
    <x v="38"/>
    <n v="5.985861223635195E-2"/>
  </r>
  <r>
    <x v="11"/>
    <x v="11"/>
    <x v="1"/>
    <x v="3"/>
    <x v="39"/>
    <n v="112350.364262174"/>
  </r>
  <r>
    <x v="11"/>
    <x v="11"/>
    <x v="1"/>
    <x v="3"/>
    <x v="40"/>
    <n v="0.68426174950040486"/>
  </r>
  <r>
    <x v="11"/>
    <x v="11"/>
    <x v="1"/>
    <x v="3"/>
    <x v="41"/>
    <n v="185875.43645047719"/>
  </r>
  <r>
    <x v="11"/>
    <x v="11"/>
    <x v="1"/>
    <x v="3"/>
    <x v="42"/>
    <n v="0.1870349991728433"/>
  </r>
  <r>
    <x v="11"/>
    <x v="11"/>
    <x v="1"/>
    <x v="3"/>
    <x v="43"/>
    <n v="231350.54532504259"/>
  </r>
  <r>
    <x v="11"/>
    <x v="11"/>
    <x v="1"/>
    <x v="3"/>
    <x v="44"/>
    <n v="0.30579631840834121"/>
  </r>
  <r>
    <x v="11"/>
    <x v="11"/>
    <x v="1"/>
    <x v="3"/>
    <x v="45"/>
    <n v="50165.892088077017"/>
  </r>
  <r>
    <x v="11"/>
    <x v="11"/>
    <x v="1"/>
    <x v="3"/>
    <x v="46"/>
    <n v="0.34988811689252791"/>
  </r>
  <r>
    <x v="11"/>
    <x v="11"/>
    <x v="1"/>
    <x v="3"/>
    <x v="47"/>
    <n v="0.2375683927567058"/>
  </r>
  <r>
    <x v="11"/>
    <x v="11"/>
    <x v="1"/>
    <x v="3"/>
    <x v="48"/>
    <n v="211164"/>
  </r>
  <r>
    <x v="11"/>
    <x v="11"/>
    <x v="1"/>
    <x v="3"/>
    <x v="49"/>
    <n v="6.6033061960856551E-2"/>
  </r>
  <r>
    <x v="12"/>
    <x v="12"/>
    <x v="1"/>
    <x v="0"/>
    <x v="0"/>
    <m/>
  </r>
  <r>
    <x v="12"/>
    <x v="12"/>
    <x v="1"/>
    <x v="0"/>
    <x v="0"/>
    <m/>
  </r>
  <r>
    <x v="12"/>
    <x v="12"/>
    <x v="1"/>
    <x v="1"/>
    <x v="1"/>
    <n v="191"/>
  </r>
  <r>
    <x v="12"/>
    <x v="12"/>
    <x v="1"/>
    <x v="1"/>
    <x v="2"/>
    <n v="2"/>
  </r>
  <r>
    <x v="12"/>
    <x v="12"/>
    <x v="1"/>
    <x v="1"/>
    <x v="3"/>
    <n v="4662.0344937606351"/>
  </r>
  <r>
    <x v="12"/>
    <x v="12"/>
    <x v="1"/>
    <x v="1"/>
    <x v="4"/>
    <n v="890448.58830828127"/>
  </r>
  <r>
    <x v="12"/>
    <x v="12"/>
    <x v="1"/>
    <x v="1"/>
    <x v="5"/>
    <n v="4.9633894830532599E-2"/>
  </r>
  <r>
    <x v="12"/>
    <x v="12"/>
    <x v="1"/>
    <x v="1"/>
    <x v="6"/>
    <n v="55710.644703782302"/>
  </r>
  <r>
    <x v="12"/>
    <x v="12"/>
    <x v="1"/>
    <x v="1"/>
    <x v="7"/>
    <n v="4.4528228924980651E-2"/>
  </r>
  <r>
    <x v="12"/>
    <x v="12"/>
    <x v="1"/>
    <x v="1"/>
    <x v="8"/>
    <n v="16.561212048000009"/>
  </r>
  <r>
    <x v="12"/>
    <x v="12"/>
    <x v="1"/>
    <x v="1"/>
    <x v="9"/>
    <n v="922.63580027012711"/>
  </r>
  <r>
    <x v="12"/>
    <x v="12"/>
    <x v="1"/>
    <x v="1"/>
    <x v="10"/>
    <n v="640.04992114811546"/>
  </r>
  <r>
    <x v="12"/>
    <x v="12"/>
    <x v="1"/>
    <x v="1"/>
    <x v="11"/>
    <n v="9.1999999999999985E-2"/>
  </r>
  <r>
    <x v="12"/>
    <x v="12"/>
    <x v="1"/>
    <x v="1"/>
    <x v="12"/>
    <n v="569931.54873316607"/>
  </r>
  <r>
    <x v="12"/>
    <x v="12"/>
    <x v="1"/>
    <x v="1"/>
    <x v="13"/>
    <n v="0.14620021315494161"/>
  </r>
  <r>
    <x v="12"/>
    <x v="12"/>
    <x v="1"/>
    <x v="1"/>
    <x v="14"/>
    <n v="204101.72913759551"/>
  </r>
  <r>
    <x v="12"/>
    <x v="12"/>
    <x v="1"/>
    <x v="1"/>
    <x v="15"/>
    <n v="0.13237009555246321"/>
  </r>
  <r>
    <x v="12"/>
    <x v="12"/>
    <x v="1"/>
    <x v="1"/>
    <x v="16"/>
    <n v="229.21225528063121"/>
  </r>
  <r>
    <x v="12"/>
    <x v="12"/>
    <x v="1"/>
    <x v="1"/>
    <x v="17"/>
    <n v="7.8823865282369066E-2"/>
  </r>
  <r>
    <x v="12"/>
    <x v="12"/>
    <x v="1"/>
    <x v="1"/>
    <x v="18"/>
    <n v="774955.91367103159"/>
  </r>
  <r>
    <x v="12"/>
    <x v="12"/>
    <x v="1"/>
    <x v="1"/>
    <x v="19"/>
    <n v="0.1425064105486504"/>
  </r>
  <r>
    <x v="12"/>
    <x v="12"/>
    <x v="1"/>
    <x v="1"/>
    <x v="20"/>
    <n v="20260.371520840192"/>
  </r>
  <r>
    <x v="12"/>
    <x v="12"/>
    <x v="1"/>
    <x v="1"/>
    <x v="21"/>
    <n v="2.6143902076784079E-2"/>
  </r>
  <r>
    <x v="12"/>
    <x v="12"/>
    <x v="1"/>
    <x v="1"/>
    <x v="22"/>
    <n v="795216.28519187181"/>
  </r>
  <r>
    <x v="12"/>
    <x v="12"/>
    <x v="1"/>
    <x v="1"/>
    <x v="23"/>
    <n v="0.1425064105486504"/>
  </r>
  <r>
    <x v="12"/>
    <x v="12"/>
    <x v="1"/>
    <x v="2"/>
    <x v="24"/>
    <n v="-427416.3118083381"/>
  </r>
  <r>
    <x v="12"/>
    <x v="12"/>
    <x v="1"/>
    <x v="2"/>
    <x v="25"/>
    <n v="0.55153629292746598"/>
  </r>
  <r>
    <x v="12"/>
    <x v="12"/>
    <x v="1"/>
    <x v="2"/>
    <x v="26"/>
    <n v="-83509.411772093023"/>
  </r>
  <r>
    <x v="12"/>
    <x v="12"/>
    <x v="1"/>
    <x v="2"/>
    <x v="27"/>
    <n v="-437.22205116279071"/>
  </r>
  <r>
    <x v="12"/>
    <x v="12"/>
    <x v="1"/>
    <x v="2"/>
    <x v="28"/>
    <n v="-86056.022563904029"/>
  </r>
  <r>
    <x v="12"/>
    <x v="12"/>
    <x v="1"/>
    <x v="2"/>
    <x v="29"/>
    <n v="0.10821712805232631"/>
  </r>
  <r>
    <x v="12"/>
    <x v="12"/>
    <x v="1"/>
    <x v="2"/>
    <x v="30"/>
    <n v="-83459.686530578605"/>
  </r>
  <r>
    <x v="12"/>
    <x v="12"/>
    <x v="1"/>
    <x v="2"/>
    <x v="31"/>
    <n v="0.1049521848140236"/>
  </r>
  <r>
    <x v="12"/>
    <x v="12"/>
    <x v="1"/>
    <x v="3"/>
    <x v="32"/>
    <n v="114774.852516958"/>
  </r>
  <r>
    <x v="12"/>
    <x v="12"/>
    <x v="1"/>
    <x v="3"/>
    <x v="33"/>
    <n v="0.1443316172646853"/>
  </r>
  <r>
    <x v="12"/>
    <x v="12"/>
    <x v="1"/>
    <x v="3"/>
    <x v="34"/>
    <n v="-24102.71902856119"/>
  </r>
  <r>
    <x v="12"/>
    <x v="12"/>
    <x v="1"/>
    <x v="2"/>
    <x v="35"/>
    <n v="-143557.3327639233"/>
  </r>
  <r>
    <x v="12"/>
    <x v="12"/>
    <x v="1"/>
    <x v="2"/>
    <x v="36"/>
    <n v="0.18052614796399119"/>
  </r>
  <r>
    <x v="12"/>
    <x v="12"/>
    <x v="1"/>
    <x v="2"/>
    <x v="37"/>
    <n v="18839.14069858097"/>
  </r>
  <r>
    <x v="12"/>
    <x v="12"/>
    <x v="1"/>
    <x v="2"/>
    <x v="38"/>
    <n v="2.3690587138863E-2"/>
  </r>
  <r>
    <x v="12"/>
    <x v="12"/>
    <x v="1"/>
    <x v="3"/>
    <x v="39"/>
    <n v="9713.4464649182009"/>
  </r>
  <r>
    <x v="12"/>
    <x v="12"/>
    <x v="1"/>
    <x v="3"/>
    <x v="40"/>
    <n v="-2.035068278331845"/>
  </r>
  <r>
    <x v="12"/>
    <x v="12"/>
    <x v="1"/>
    <x v="3"/>
    <x v="41"/>
    <n v="198234.53904753659"/>
  </r>
  <r>
    <x v="12"/>
    <x v="12"/>
    <x v="1"/>
    <x v="3"/>
    <x v="42"/>
    <n v="0.18299494630282179"/>
  </r>
  <r>
    <x v="12"/>
    <x v="12"/>
    <x v="1"/>
    <x v="3"/>
    <x v="43"/>
    <n v="217073.67974611759"/>
  </r>
  <r>
    <x v="12"/>
    <x v="12"/>
    <x v="1"/>
    <x v="3"/>
    <x v="44"/>
    <n v="0.17936770391815871"/>
  </r>
  <r>
    <x v="12"/>
    <x v="12"/>
    <x v="1"/>
    <x v="3"/>
    <x v="45"/>
    <n v="55411.114294007013"/>
  </r>
  <r>
    <x v="12"/>
    <x v="12"/>
    <x v="1"/>
    <x v="3"/>
    <x v="46"/>
    <n v="0.26485515270932042"/>
  </r>
  <r>
    <x v="12"/>
    <x v="12"/>
    <x v="1"/>
    <x v="3"/>
    <x v="47"/>
    <n v="0.26240795918815241"/>
  </r>
  <r>
    <x v="12"/>
    <x v="12"/>
    <x v="1"/>
    <x v="3"/>
    <x v="48"/>
    <n v="211164"/>
  </r>
  <r>
    <x v="12"/>
    <x v="12"/>
    <x v="1"/>
    <x v="3"/>
    <x v="49"/>
    <n v="6.9680557762517747E-2"/>
  </r>
  <r>
    <x v="13"/>
    <x v="13"/>
    <x v="1"/>
    <x v="0"/>
    <x v="0"/>
    <m/>
  </r>
  <r>
    <x v="13"/>
    <x v="13"/>
    <x v="1"/>
    <x v="0"/>
    <x v="0"/>
    <m/>
  </r>
  <r>
    <x v="13"/>
    <x v="13"/>
    <x v="1"/>
    <x v="1"/>
    <x v="1"/>
    <n v="193"/>
  </r>
  <r>
    <x v="13"/>
    <x v="13"/>
    <x v="1"/>
    <x v="1"/>
    <x v="2"/>
    <n v="2"/>
  </r>
  <r>
    <x v="13"/>
    <x v="13"/>
    <x v="1"/>
    <x v="1"/>
    <x v="3"/>
    <n v="4773.0710975609754"/>
  </r>
  <r>
    <x v="13"/>
    <x v="13"/>
    <x v="1"/>
    <x v="1"/>
    <x v="4"/>
    <n v="921202.72182926827"/>
  </r>
  <r>
    <x v="13"/>
    <x v="13"/>
    <x v="1"/>
    <x v="1"/>
    <x v="5"/>
    <n v="4.559402794240941E-2"/>
  </r>
  <r>
    <x v="13"/>
    <x v="13"/>
    <x v="1"/>
    <x v="1"/>
    <x v="6"/>
    <n v="50330.730304926983"/>
  </r>
  <r>
    <x v="13"/>
    <x v="13"/>
    <x v="1"/>
    <x v="1"/>
    <x v="7"/>
    <n v="4.4528228924980651E-2"/>
  </r>
  <r>
    <x v="13"/>
    <x v="13"/>
    <x v="1"/>
    <x v="1"/>
    <x v="8"/>
    <n v="16.89243628896001"/>
  </r>
  <r>
    <x v="13"/>
    <x v="13"/>
    <x v="1"/>
    <x v="1"/>
    <x v="9"/>
    <n v="850.20865505280767"/>
  </r>
  <r>
    <x v="13"/>
    <x v="13"/>
    <x v="1"/>
    <x v="1"/>
    <x v="10"/>
    <n v="666.57924648045469"/>
  </r>
  <r>
    <x v="13"/>
    <x v="13"/>
    <x v="1"/>
    <x v="1"/>
    <x v="11"/>
    <n v="8.8749999999999982E-2"/>
  </r>
  <r>
    <x v="13"/>
    <x v="13"/>
    <x v="1"/>
    <x v="1"/>
    <x v="12"/>
    <n v="614054.61617269751"/>
  </r>
  <r>
    <x v="13"/>
    <x v="13"/>
    <x v="1"/>
    <x v="1"/>
    <x v="13"/>
    <n v="0.1383904979222981"/>
  </r>
  <r>
    <x v="13"/>
    <x v="13"/>
    <x v="1"/>
    <x v="1"/>
    <x v="14"/>
    <n v="236915.43068415031"/>
  </r>
  <r>
    <x v="13"/>
    <x v="13"/>
    <x v="1"/>
    <x v="1"/>
    <x v="15"/>
    <n v="0.1227838206012795"/>
  </r>
  <r>
    <x v="13"/>
    <x v="13"/>
    <x v="1"/>
    <x v="1"/>
    <x v="16"/>
    <n v="257.1805587088345"/>
  </r>
  <r>
    <x v="13"/>
    <x v="13"/>
    <x v="1"/>
    <x v="1"/>
    <x v="17"/>
    <n v="7.3823865282369061E-2"/>
  </r>
  <r>
    <x v="13"/>
    <x v="13"/>
    <x v="1"/>
    <x v="1"/>
    <x v="18"/>
    <n v="851820.25551190064"/>
  </r>
  <r>
    <x v="13"/>
    <x v="13"/>
    <x v="1"/>
    <x v="1"/>
    <x v="19"/>
    <n v="0.1339987127575217"/>
  </r>
  <r>
    <x v="13"/>
    <x v="13"/>
    <x v="1"/>
    <x v="1"/>
    <x v="20"/>
    <n v="22269.905347124321"/>
  </r>
  <r>
    <x v="13"/>
    <x v="13"/>
    <x v="1"/>
    <x v="1"/>
    <x v="21"/>
    <n v="2.6143902076784079E-2"/>
  </r>
  <r>
    <x v="13"/>
    <x v="13"/>
    <x v="1"/>
    <x v="1"/>
    <x v="22"/>
    <n v="874090.16085902497"/>
  </r>
  <r>
    <x v="13"/>
    <x v="13"/>
    <x v="1"/>
    <x v="1"/>
    <x v="23"/>
    <n v="0.13399871275752201"/>
  </r>
  <r>
    <x v="13"/>
    <x v="13"/>
    <x v="1"/>
    <x v="2"/>
    <x v="24"/>
    <n v="-466944.27960377937"/>
  </r>
  <r>
    <x v="13"/>
    <x v="13"/>
    <x v="1"/>
    <x v="2"/>
    <x v="25"/>
    <n v="0.54817231285862023"/>
  </r>
  <r>
    <x v="13"/>
    <x v="13"/>
    <x v="1"/>
    <x v="2"/>
    <x v="26"/>
    <n v="-85995.129990857138"/>
  </r>
  <r>
    <x v="13"/>
    <x v="13"/>
    <x v="1"/>
    <x v="2"/>
    <x v="27"/>
    <n v="-445.57062171428572"/>
  </r>
  <r>
    <x v="13"/>
    <x v="13"/>
    <x v="1"/>
    <x v="2"/>
    <x v="28"/>
    <n v="-82248.860247028468"/>
  </r>
  <r>
    <x v="13"/>
    <x v="13"/>
    <x v="1"/>
    <x v="2"/>
    <x v="29"/>
    <n v="9.40965405287221E-2"/>
  </r>
  <r>
    <x v="13"/>
    <x v="13"/>
    <x v="1"/>
    <x v="2"/>
    <x v="30"/>
    <n v="-91737.672106595986"/>
  </r>
  <r>
    <x v="13"/>
    <x v="13"/>
    <x v="1"/>
    <x v="2"/>
    <x v="31"/>
    <n v="0.1049521848140236"/>
  </r>
  <r>
    <x v="13"/>
    <x v="13"/>
    <x v="1"/>
    <x v="3"/>
    <x v="32"/>
    <n v="147164.21891076391"/>
  </r>
  <r>
    <x v="13"/>
    <x v="13"/>
    <x v="1"/>
    <x v="3"/>
    <x v="33"/>
    <n v="0.16836274505839999"/>
  </r>
  <r>
    <x v="13"/>
    <x v="13"/>
    <x v="1"/>
    <x v="3"/>
    <x v="34"/>
    <n v="-30904.485971260419"/>
  </r>
  <r>
    <x v="13"/>
    <x v="13"/>
    <x v="1"/>
    <x v="2"/>
    <x v="35"/>
    <n v="-153425.67890881011"/>
  </r>
  <r>
    <x v="13"/>
    <x v="13"/>
    <x v="1"/>
    <x v="2"/>
    <x v="36"/>
    <n v="0.17552614796399121"/>
  </r>
  <r>
    <x v="13"/>
    <x v="13"/>
    <x v="1"/>
    <x v="2"/>
    <x v="37"/>
    <n v="27222.6555118875"/>
  </r>
  <r>
    <x v="13"/>
    <x v="13"/>
    <x v="1"/>
    <x v="2"/>
    <x v="38"/>
    <n v="3.114399032376023E-2"/>
  </r>
  <r>
    <x v="13"/>
    <x v="13"/>
    <x v="1"/>
    <x v="3"/>
    <x v="39"/>
    <n v="89282.810230997784"/>
  </r>
  <r>
    <x v="13"/>
    <x v="13"/>
    <x v="1"/>
    <x v="3"/>
    <x v="40"/>
    <n v="0.46970348191775102"/>
  </r>
  <r>
    <x v="13"/>
    <x v="13"/>
    <x v="1"/>
    <x v="3"/>
    <x v="41"/>
    <n v="238901.89101735991"/>
  </r>
  <r>
    <x v="13"/>
    <x v="13"/>
    <x v="1"/>
    <x v="3"/>
    <x v="42"/>
    <n v="0.16536688293799789"/>
  </r>
  <r>
    <x v="13"/>
    <x v="13"/>
    <x v="1"/>
    <x v="3"/>
    <x v="43"/>
    <n v="266124.54652924743"/>
  </r>
  <r>
    <x v="13"/>
    <x v="13"/>
    <x v="1"/>
    <x v="3"/>
    <x v="44"/>
    <n v="0.1620786868149342"/>
  </r>
  <r>
    <x v="13"/>
    <x v="13"/>
    <x v="1"/>
    <x v="3"/>
    <x v="45"/>
    <n v="77501.334106862967"/>
  </r>
  <r>
    <x v="13"/>
    <x v="13"/>
    <x v="1"/>
    <x v="3"/>
    <x v="46"/>
    <n v="0.21354499695857809"/>
  </r>
  <r>
    <x v="13"/>
    <x v="13"/>
    <x v="1"/>
    <x v="3"/>
    <x v="47"/>
    <n v="0.3670196345345938"/>
  </r>
  <r>
    <x v="13"/>
    <x v="13"/>
    <x v="1"/>
    <x v="3"/>
    <x v="48"/>
    <n v="211164"/>
  </r>
  <r>
    <x v="13"/>
    <x v="13"/>
    <x v="1"/>
    <x v="3"/>
    <x v="49"/>
    <n v="8.8665148719552445E-2"/>
  </r>
  <r>
    <x v="14"/>
    <x v="14"/>
    <x v="1"/>
    <x v="0"/>
    <x v="0"/>
    <m/>
  </r>
  <r>
    <x v="14"/>
    <x v="14"/>
    <x v="1"/>
    <x v="0"/>
    <x v="0"/>
    <m/>
  </r>
  <r>
    <x v="14"/>
    <x v="14"/>
    <x v="1"/>
    <x v="1"/>
    <x v="1"/>
    <n v="195"/>
  </r>
  <r>
    <x v="14"/>
    <x v="14"/>
    <x v="1"/>
    <x v="1"/>
    <x v="2"/>
    <n v="2"/>
  </r>
  <r>
    <x v="14"/>
    <x v="14"/>
    <x v="1"/>
    <x v="1"/>
    <x v="3"/>
    <n v="4655.5550598205382"/>
  </r>
  <r>
    <x v="14"/>
    <x v="14"/>
    <x v="1"/>
    <x v="1"/>
    <x v="4"/>
    <n v="907833.23666500498"/>
  </r>
  <r>
    <x v="14"/>
    <x v="14"/>
    <x v="1"/>
    <x v="1"/>
    <x v="5"/>
    <n v="5.1537440171693927E-2"/>
  </r>
  <r>
    <x v="14"/>
    <x v="14"/>
    <x v="1"/>
    <x v="1"/>
    <x v="6"/>
    <n v="54559.598325604988"/>
  </r>
  <r>
    <x v="14"/>
    <x v="14"/>
    <x v="1"/>
    <x v="1"/>
    <x v="7"/>
    <n v="4.4528228924980651E-2"/>
  </r>
  <r>
    <x v="14"/>
    <x v="14"/>
    <x v="1"/>
    <x v="1"/>
    <x v="8"/>
    <n v="17.230285014739209"/>
  </r>
  <r>
    <x v="14"/>
    <x v="14"/>
    <x v="1"/>
    <x v="1"/>
    <x v="9"/>
    <n v="940.07742943986193"/>
  </r>
  <r>
    <x v="14"/>
    <x v="14"/>
    <x v="1"/>
    <x v="1"/>
    <x v="10"/>
    <n v="704.20521460776854"/>
  </r>
  <r>
    <x v="14"/>
    <x v="14"/>
    <x v="1"/>
    <x v="1"/>
    <x v="11"/>
    <n v="8.5499999999999979E-2"/>
  </r>
  <r>
    <x v="14"/>
    <x v="14"/>
    <x v="1"/>
    <x v="1"/>
    <x v="12"/>
    <n v="639300.89925374498"/>
  </r>
  <r>
    <x v="14"/>
    <x v="14"/>
    <x v="1"/>
    <x v="1"/>
    <x v="13"/>
    <n v="0.14144389130637361"/>
  </r>
  <r>
    <x v="14"/>
    <x v="14"/>
    <x v="1"/>
    <x v="1"/>
    <x v="14"/>
    <n v="238616.49989131119"/>
  </r>
  <r>
    <x v="14"/>
    <x v="14"/>
    <x v="1"/>
    <x v="1"/>
    <x v="15"/>
    <n v="0.1239083112934376"/>
  </r>
  <r>
    <x v="14"/>
    <x v="14"/>
    <x v="1"/>
    <x v="1"/>
    <x v="16"/>
    <n v="262.84177561937167"/>
  </r>
  <r>
    <x v="14"/>
    <x v="14"/>
    <x v="1"/>
    <x v="1"/>
    <x v="17"/>
    <n v="6.8823865282369057E-2"/>
  </r>
  <r>
    <x v="14"/>
    <x v="14"/>
    <x v="1"/>
    <x v="1"/>
    <x v="18"/>
    <n v="878857.47657449613"/>
  </r>
  <r>
    <x v="14"/>
    <x v="14"/>
    <x v="1"/>
    <x v="1"/>
    <x v="19"/>
    <n v="0.13661738282463021"/>
  </r>
  <r>
    <x v="14"/>
    <x v="14"/>
    <x v="1"/>
    <x v="1"/>
    <x v="20"/>
    <n v="22976.76380701318"/>
  </r>
  <r>
    <x v="14"/>
    <x v="14"/>
    <x v="1"/>
    <x v="1"/>
    <x v="21"/>
    <n v="2.6143902076784079E-2"/>
  </r>
  <r>
    <x v="14"/>
    <x v="14"/>
    <x v="1"/>
    <x v="1"/>
    <x v="22"/>
    <n v="901834.2403815093"/>
  </r>
  <r>
    <x v="14"/>
    <x v="14"/>
    <x v="1"/>
    <x v="1"/>
    <x v="23"/>
    <n v="0.13661738282463021"/>
  </r>
  <r>
    <x v="14"/>
    <x v="14"/>
    <x v="1"/>
    <x v="2"/>
    <x v="24"/>
    <n v="-480745.13363674178"/>
  </r>
  <r>
    <x v="14"/>
    <x v="14"/>
    <x v="1"/>
    <x v="2"/>
    <x v="25"/>
    <n v="0.54701148530991828"/>
  </r>
  <r>
    <x v="14"/>
    <x v="14"/>
    <x v="1"/>
    <x v="2"/>
    <x v="26"/>
    <n v="-90062.931355932204"/>
  </r>
  <r>
    <x v="14"/>
    <x v="14"/>
    <x v="1"/>
    <x v="2"/>
    <x v="27"/>
    <n v="-461.86118644067801"/>
  </r>
  <r>
    <x v="14"/>
    <x v="14"/>
    <x v="1"/>
    <x v="2"/>
    <x v="28"/>
    <n v="-104565.7518350591"/>
  </r>
  <r>
    <x v="14"/>
    <x v="14"/>
    <x v="1"/>
    <x v="2"/>
    <x v="29"/>
    <n v="0.11594786176096381"/>
  </r>
  <r>
    <x v="14"/>
    <x v="14"/>
    <x v="1"/>
    <x v="2"/>
    <x v="30"/>
    <n v="-94649.473868134723"/>
  </r>
  <r>
    <x v="14"/>
    <x v="14"/>
    <x v="1"/>
    <x v="2"/>
    <x v="31"/>
    <n v="0.1049521848140236"/>
  </r>
  <r>
    <x v="14"/>
    <x v="14"/>
    <x v="1"/>
    <x v="3"/>
    <x v="32"/>
    <n v="131810.94968564139"/>
  </r>
  <r>
    <x v="14"/>
    <x v="14"/>
    <x v="1"/>
    <x v="3"/>
    <x v="33"/>
    <n v="0.1461587327066674"/>
  </r>
  <r>
    <x v="14"/>
    <x v="14"/>
    <x v="1"/>
    <x v="3"/>
    <x v="34"/>
    <n v="-27680.299433984699"/>
  </r>
  <r>
    <x v="14"/>
    <x v="14"/>
    <x v="1"/>
    <x v="2"/>
    <x v="35"/>
    <n v="-153786.31911429091"/>
  </r>
  <r>
    <x v="14"/>
    <x v="14"/>
    <x v="1"/>
    <x v="2"/>
    <x v="36"/>
    <n v="0.17052614796399121"/>
  </r>
  <r>
    <x v="14"/>
    <x v="14"/>
    <x v="1"/>
    <x v="2"/>
    <x v="37"/>
    <n v="28556.683011967369"/>
  </r>
  <r>
    <x v="14"/>
    <x v="14"/>
    <x v="1"/>
    <x v="2"/>
    <x v="38"/>
    <n v="3.1665112870284048E-2"/>
  </r>
  <r>
    <x v="14"/>
    <x v="14"/>
    <x v="1"/>
    <x v="3"/>
    <x v="39"/>
    <n v="100686.5016743021"/>
  </r>
  <r>
    <x v="14"/>
    <x v="14"/>
    <x v="1"/>
    <x v="3"/>
    <x v="40"/>
    <n v="0.49708257703821462"/>
  </r>
  <r>
    <x v="14"/>
    <x v="14"/>
    <x v="1"/>
    <x v="3"/>
    <x v="41"/>
    <n v="226460.4235537762"/>
  </r>
  <r>
    <x v="14"/>
    <x v="14"/>
    <x v="1"/>
    <x v="3"/>
    <x v="42"/>
    <n v="0.17278191509351021"/>
  </r>
  <r>
    <x v="14"/>
    <x v="14"/>
    <x v="1"/>
    <x v="3"/>
    <x v="43"/>
    <n v="255017.10656574351"/>
  </r>
  <r>
    <x v="14"/>
    <x v="14"/>
    <x v="1"/>
    <x v="3"/>
    <x v="44"/>
    <n v="0.16861821292868481"/>
  </r>
  <r>
    <x v="14"/>
    <x v="14"/>
    <x v="1"/>
    <x v="3"/>
    <x v="45"/>
    <n v="64142.03953982042"/>
  </r>
  <r>
    <x v="14"/>
    <x v="14"/>
    <x v="1"/>
    <x v="3"/>
    <x v="46"/>
    <n v="0.2435756728977507"/>
  </r>
  <r>
    <x v="14"/>
    <x v="14"/>
    <x v="1"/>
    <x v="3"/>
    <x v="47"/>
    <n v="0.30375461508505441"/>
  </r>
  <r>
    <x v="14"/>
    <x v="14"/>
    <x v="1"/>
    <x v="3"/>
    <x v="48"/>
    <n v="211164"/>
  </r>
  <r>
    <x v="14"/>
    <x v="14"/>
    <x v="1"/>
    <x v="3"/>
    <x v="49"/>
    <n v="7.112397896168364E-2"/>
  </r>
  <r>
    <x v="15"/>
    <x v="15"/>
    <x v="1"/>
    <x v="0"/>
    <x v="0"/>
    <m/>
  </r>
  <r>
    <x v="15"/>
    <x v="15"/>
    <x v="1"/>
    <x v="0"/>
    <x v="0"/>
    <m/>
  </r>
  <r>
    <x v="15"/>
    <x v="15"/>
    <x v="1"/>
    <x v="1"/>
    <x v="1"/>
    <n v="197"/>
  </r>
  <r>
    <x v="15"/>
    <x v="15"/>
    <x v="1"/>
    <x v="1"/>
    <x v="2"/>
    <n v="2"/>
  </r>
  <r>
    <x v="15"/>
    <x v="15"/>
    <x v="1"/>
    <x v="1"/>
    <x v="3"/>
    <n v="4518.3072789048974"/>
  </r>
  <r>
    <x v="15"/>
    <x v="15"/>
    <x v="1"/>
    <x v="1"/>
    <x v="4"/>
    <n v="890106.53394426475"/>
  </r>
  <r>
    <x v="15"/>
    <x v="15"/>
    <x v="1"/>
    <x v="1"/>
    <x v="5"/>
    <n v="4.6578915764955209E-2"/>
  </r>
  <r>
    <x v="15"/>
    <x v="15"/>
    <x v="1"/>
    <x v="1"/>
    <x v="6"/>
    <n v="58941.21183722595"/>
  </r>
  <r>
    <x v="15"/>
    <x v="15"/>
    <x v="1"/>
    <x v="1"/>
    <x v="7"/>
    <n v="4.4528228924980651E-2"/>
  </r>
  <r>
    <x v="15"/>
    <x v="15"/>
    <x v="1"/>
    <x v="1"/>
    <x v="8"/>
    <n v="17.574890715033991"/>
  </r>
  <r>
    <x v="15"/>
    <x v="15"/>
    <x v="1"/>
    <x v="1"/>
    <x v="9"/>
    <n v="1035.885356650914"/>
  </r>
  <r>
    <x v="15"/>
    <x v="15"/>
    <x v="1"/>
    <x v="1"/>
    <x v="10"/>
    <n v="697.35396205115808"/>
  </r>
  <r>
    <x v="15"/>
    <x v="15"/>
    <x v="1"/>
    <x v="1"/>
    <x v="11"/>
    <n v="8.2249999999999976E-2"/>
  </r>
  <r>
    <x v="15"/>
    <x v="15"/>
    <x v="1"/>
    <x v="1"/>
    <x v="12"/>
    <n v="620719.31809365668"/>
  </r>
  <r>
    <x v="15"/>
    <x v="15"/>
    <x v="1"/>
    <x v="1"/>
    <x v="13"/>
    <n v="0.1326600315866229"/>
  </r>
  <r>
    <x v="15"/>
    <x v="15"/>
    <x v="1"/>
    <x v="1"/>
    <x v="14"/>
    <n v="213119.80271040069"/>
  </r>
  <r>
    <x v="15"/>
    <x v="15"/>
    <x v="1"/>
    <x v="1"/>
    <x v="15"/>
    <n v="0.1133756274921056"/>
  </r>
  <r>
    <x v="15"/>
    <x v="15"/>
    <x v="1"/>
    <x v="1"/>
    <x v="16"/>
    <n v="239.43179224403431"/>
  </r>
  <r>
    <x v="15"/>
    <x v="15"/>
    <x v="1"/>
    <x v="1"/>
    <x v="17"/>
    <n v="6.3823865282369052E-2"/>
  </r>
  <r>
    <x v="15"/>
    <x v="15"/>
    <x v="1"/>
    <x v="1"/>
    <x v="18"/>
    <n v="834875.00616070826"/>
  </r>
  <r>
    <x v="15"/>
    <x v="15"/>
    <x v="1"/>
    <x v="1"/>
    <x v="19"/>
    <n v="0.12767155259084381"/>
  </r>
  <r>
    <x v="15"/>
    <x v="15"/>
    <x v="1"/>
    <x v="1"/>
    <x v="20"/>
    <n v="21826.890407420058"/>
  </r>
  <r>
    <x v="15"/>
    <x v="15"/>
    <x v="1"/>
    <x v="1"/>
    <x v="21"/>
    <n v="2.6143902076784079E-2"/>
  </r>
  <r>
    <x v="15"/>
    <x v="15"/>
    <x v="1"/>
    <x v="1"/>
    <x v="22"/>
    <n v="856701.89656812837"/>
  </r>
  <r>
    <x v="15"/>
    <x v="15"/>
    <x v="1"/>
    <x v="1"/>
    <x v="23"/>
    <n v="0.12767155259084381"/>
  </r>
  <r>
    <x v="15"/>
    <x v="15"/>
    <x v="1"/>
    <x v="2"/>
    <x v="24"/>
    <n v="-441649.79788419791"/>
  </r>
  <r>
    <x v="15"/>
    <x v="15"/>
    <x v="1"/>
    <x v="2"/>
    <x v="25"/>
    <n v="0.52900110151241375"/>
  </r>
  <r>
    <x v="15"/>
    <x v="15"/>
    <x v="1"/>
    <x v="2"/>
    <x v="26"/>
    <n v="-90618.125088268163"/>
  </r>
  <r>
    <x v="15"/>
    <x v="15"/>
    <x v="1"/>
    <x v="2"/>
    <x v="27"/>
    <n v="-459.99048268156429"/>
  </r>
  <r>
    <x v="15"/>
    <x v="15"/>
    <x v="1"/>
    <x v="2"/>
    <x v="28"/>
    <n v="-108077.9163631983"/>
  </r>
  <r>
    <x v="15"/>
    <x v="15"/>
    <x v="1"/>
    <x v="2"/>
    <x v="29"/>
    <n v="0.12615580378209601"/>
  </r>
  <r>
    <x v="15"/>
    <x v="15"/>
    <x v="1"/>
    <x v="2"/>
    <x v="30"/>
    <n v="-89912.73577914272"/>
  </r>
  <r>
    <x v="15"/>
    <x v="15"/>
    <x v="1"/>
    <x v="2"/>
    <x v="31"/>
    <n v="0.1049521848140236"/>
  </r>
  <r>
    <x v="15"/>
    <x v="15"/>
    <x v="1"/>
    <x v="3"/>
    <x v="32"/>
    <n v="126443.3214533212"/>
  </r>
  <r>
    <x v="15"/>
    <x v="15"/>
    <x v="1"/>
    <x v="3"/>
    <x v="33"/>
    <n v="0.14759313824311809"/>
  </r>
  <r>
    <x v="15"/>
    <x v="15"/>
    <x v="1"/>
    <x v="3"/>
    <x v="34"/>
    <n v="-26553.097505197449"/>
  </r>
  <r>
    <x v="15"/>
    <x v="15"/>
    <x v="1"/>
    <x v="2"/>
    <x v="35"/>
    <n v="-141806.5648923679"/>
  </r>
  <r>
    <x v="15"/>
    <x v="15"/>
    <x v="1"/>
    <x v="2"/>
    <x v="36"/>
    <n v="0.1655261479639912"/>
  </r>
  <r>
    <x v="15"/>
    <x v="15"/>
    <x v="1"/>
    <x v="2"/>
    <x v="37"/>
    <n v="51280.986628818893"/>
  </r>
  <r>
    <x v="15"/>
    <x v="15"/>
    <x v="1"/>
    <x v="2"/>
    <x v="38"/>
    <n v="5.985861223635195E-2"/>
  </r>
  <r>
    <x v="15"/>
    <x v="15"/>
    <x v="1"/>
    <x v="3"/>
    <x v="39"/>
    <n v="95315.337608076414"/>
  </r>
  <r>
    <x v="15"/>
    <x v="15"/>
    <x v="1"/>
    <x v="3"/>
    <x v="40"/>
    <n v="-0.15162413371749889"/>
  </r>
  <r>
    <x v="15"/>
    <x v="15"/>
    <x v="1"/>
    <x v="3"/>
    <x v="41"/>
    <n v="216356.05723246391"/>
  </r>
  <r>
    <x v="15"/>
    <x v="15"/>
    <x v="1"/>
    <x v="3"/>
    <x v="42"/>
    <n v="0.16398412487444361"/>
  </r>
  <r>
    <x v="15"/>
    <x v="15"/>
    <x v="1"/>
    <x v="3"/>
    <x v="43"/>
    <n v="267637.04386128281"/>
  </r>
  <r>
    <x v="15"/>
    <x v="15"/>
    <x v="1"/>
    <x v="3"/>
    <x v="44"/>
    <n v="0.15684639292835209"/>
  </r>
  <r>
    <x v="15"/>
    <x v="15"/>
    <x v="1"/>
    <x v="3"/>
    <x v="45"/>
    <n v="61902.845443330887"/>
  </r>
  <r>
    <x v="15"/>
    <x v="15"/>
    <x v="1"/>
    <x v="3"/>
    <x v="46"/>
    <n v="0.233962815505147"/>
  </r>
  <r>
    <x v="15"/>
    <x v="15"/>
    <x v="1"/>
    <x v="3"/>
    <x v="47"/>
    <n v="0.29315056280109719"/>
  </r>
  <r>
    <x v="15"/>
    <x v="15"/>
    <x v="1"/>
    <x v="3"/>
    <x v="48"/>
    <n v="211164"/>
  </r>
  <r>
    <x v="15"/>
    <x v="15"/>
    <x v="1"/>
    <x v="3"/>
    <x v="49"/>
    <n v="7.225715933547968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1369B5-1444-40B2-96AA-735B0E28C364}" name="PivotTable7"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95">
  <location ref="P3:S37" firstHeaderRow="1" firstDataRow="2" firstDataCol="1"/>
  <pivotFields count="9">
    <pivotField axis="axisRow" showAll="0">
      <items count="17">
        <item x="0"/>
        <item x="4"/>
        <item x="8"/>
        <item x="12"/>
        <item x="1"/>
        <item x="5"/>
        <item x="9"/>
        <item x="13"/>
        <item x="2"/>
        <item x="6"/>
        <item x="10"/>
        <item x="14"/>
        <item x="3"/>
        <item x="7"/>
        <item x="11"/>
        <item x="15"/>
        <item t="default"/>
      </items>
    </pivotField>
    <pivotField axis="axisRow" numFmtId="171" showAll="0">
      <items count="17">
        <item x="0"/>
        <item x="1"/>
        <item x="2"/>
        <item x="3"/>
        <item x="4"/>
        <item x="5"/>
        <item x="6"/>
        <item x="7"/>
        <item x="8"/>
        <item x="9"/>
        <item x="10"/>
        <item x="11"/>
        <item x="12"/>
        <item x="13"/>
        <item x="14"/>
        <item x="15"/>
        <item t="default"/>
      </items>
    </pivotField>
    <pivotField showAll="0">
      <items count="3">
        <item x="0"/>
        <item x="1"/>
        <item t="default"/>
      </items>
    </pivotField>
    <pivotField showAll="0">
      <items count="5">
        <item h="1" x="2"/>
        <item h="1" x="3"/>
        <item x="1"/>
        <item h="1" x="0"/>
        <item t="default"/>
      </items>
    </pivotField>
    <pivotField axis="axisCol" showAll="0">
      <items count="51">
        <item h="1" x="21"/>
        <item h="1" x="35"/>
        <item h="1" x="36"/>
        <item x="10"/>
        <item h="1" x="11"/>
        <item x="4"/>
        <item h="1" x="5"/>
        <item h="1" x="24"/>
        <item h="1" x="25"/>
        <item h="1" x="30"/>
        <item h="1" x="31"/>
        <item h="1" x="9"/>
        <item h="1" x="8"/>
        <item h="1" x="6"/>
        <item h="1" x="7"/>
        <item h="1" x="33"/>
        <item h="1" x="41"/>
        <item h="1" x="43"/>
        <item h="1" x="44"/>
        <item h="1" x="42"/>
        <item h="1" x="47"/>
        <item h="1" x="39"/>
        <item h="1" x="40"/>
        <item h="1" x="16"/>
        <item h="1" x="17"/>
        <item h="1" x="14"/>
        <item h="1" x="15"/>
        <item h="1" x="3"/>
        <item h="1" x="12"/>
        <item h="1" x="13"/>
        <item h="1" x="45"/>
        <item h="1" x="46"/>
        <item h="1" x="49"/>
        <item h="1" x="2"/>
        <item h="1" x="32"/>
        <item h="1" x="20"/>
        <item h="1" x="26"/>
        <item h="1" x="27"/>
        <item h="1" x="37"/>
        <item h="1" x="38"/>
        <item h="1" x="28"/>
        <item h="1" x="29"/>
        <item h="1" x="48"/>
        <item h="1" x="34"/>
        <item h="1" x="18"/>
        <item h="1" x="19"/>
        <item h="1" x="1"/>
        <item h="1" x="22"/>
        <item h="1" x="23"/>
        <item h="1"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1"/>
    <field x="0"/>
  </rowFields>
  <rowItems count="33">
    <i>
      <x/>
    </i>
    <i r="1">
      <x/>
    </i>
    <i>
      <x v="1"/>
    </i>
    <i r="1">
      <x v="4"/>
    </i>
    <i>
      <x v="2"/>
    </i>
    <i r="1">
      <x v="8"/>
    </i>
    <i>
      <x v="3"/>
    </i>
    <i r="1">
      <x v="12"/>
    </i>
    <i>
      <x v="4"/>
    </i>
    <i r="1">
      <x v="1"/>
    </i>
    <i>
      <x v="5"/>
    </i>
    <i r="1">
      <x v="5"/>
    </i>
    <i>
      <x v="6"/>
    </i>
    <i r="1">
      <x v="9"/>
    </i>
    <i>
      <x v="7"/>
    </i>
    <i r="1">
      <x v="13"/>
    </i>
    <i>
      <x v="8"/>
    </i>
    <i r="1">
      <x v="2"/>
    </i>
    <i>
      <x v="9"/>
    </i>
    <i r="1">
      <x v="6"/>
    </i>
    <i>
      <x v="10"/>
    </i>
    <i r="1">
      <x v="10"/>
    </i>
    <i>
      <x v="11"/>
    </i>
    <i r="1">
      <x v="14"/>
    </i>
    <i>
      <x v="12"/>
    </i>
    <i r="1">
      <x v="3"/>
    </i>
    <i>
      <x v="13"/>
    </i>
    <i r="1">
      <x v="7"/>
    </i>
    <i>
      <x v="14"/>
    </i>
    <i r="1">
      <x v="11"/>
    </i>
    <i>
      <x v="15"/>
    </i>
    <i r="1">
      <x v="15"/>
    </i>
    <i t="grand">
      <x/>
    </i>
  </rowItems>
  <colFields count="1">
    <field x="4"/>
  </colFields>
  <colItems count="3">
    <i>
      <x v="3"/>
    </i>
    <i>
      <x v="5"/>
    </i>
    <i t="grand">
      <x/>
    </i>
  </colItems>
  <dataFields count="1">
    <dataField name="Sum of Value" fld="5" baseField="0" baseItem="0"/>
  </dataFields>
  <chartFormats count="35">
    <chartFormat chart="2" format="53" series="1">
      <pivotArea type="data" outline="0" fieldPosition="0">
        <references count="1">
          <reference field="4294967294" count="1" selected="0">
            <x v="0"/>
          </reference>
        </references>
      </pivotArea>
    </chartFormat>
    <chartFormat chart="2" format="54" series="1">
      <pivotArea type="data" outline="0" fieldPosition="0">
        <references count="2">
          <reference field="4294967294" count="1" selected="0">
            <x v="0"/>
          </reference>
          <reference field="4" count="1" selected="0">
            <x v="18"/>
          </reference>
        </references>
      </pivotArea>
    </chartFormat>
    <chartFormat chart="13" format="0" series="1">
      <pivotArea type="data" outline="0" fieldPosition="0">
        <references count="2">
          <reference field="4294967294" count="1" selected="0">
            <x v="0"/>
          </reference>
          <reference field="4" count="1" selected="0">
            <x v="17"/>
          </reference>
        </references>
      </pivotArea>
    </chartFormat>
    <chartFormat chart="13" format="1" series="1">
      <pivotArea type="data" outline="0" fieldPosition="0">
        <references count="2">
          <reference field="4294967294" count="1" selected="0">
            <x v="0"/>
          </reference>
          <reference field="4" count="1" selected="0">
            <x v="18"/>
          </reference>
        </references>
      </pivotArea>
    </chartFormat>
    <chartFormat chart="14" format="2" series="1">
      <pivotArea type="data" outline="0" fieldPosition="0">
        <references count="2">
          <reference field="4294967294" count="1" selected="0">
            <x v="0"/>
          </reference>
          <reference field="4" count="1" selected="0">
            <x v="17"/>
          </reference>
        </references>
      </pivotArea>
    </chartFormat>
    <chartFormat chart="14" format="3" series="1">
      <pivotArea type="data" outline="0" fieldPosition="0">
        <references count="2">
          <reference field="4294967294" count="1" selected="0">
            <x v="0"/>
          </reference>
          <reference field="4" count="1" selected="0">
            <x v="18"/>
          </reference>
        </references>
      </pivotArea>
    </chartFormat>
    <chartFormat chart="15" format="4" series="1">
      <pivotArea type="data" outline="0" fieldPosition="0">
        <references count="2">
          <reference field="4294967294" count="1" selected="0">
            <x v="0"/>
          </reference>
          <reference field="4" count="1" selected="0">
            <x v="17"/>
          </reference>
        </references>
      </pivotArea>
    </chartFormat>
    <chartFormat chart="15" format="5" series="1">
      <pivotArea type="data" outline="0" fieldPosition="0">
        <references count="2">
          <reference field="4294967294" count="1" selected="0">
            <x v="0"/>
          </reference>
          <reference field="4" count="1" selected="0">
            <x v="18"/>
          </reference>
        </references>
      </pivotArea>
    </chartFormat>
    <chartFormat chart="15" format="6" series="1">
      <pivotArea type="data" outline="0" fieldPosition="0">
        <references count="2">
          <reference field="4294967294" count="1" selected="0">
            <x v="0"/>
          </reference>
          <reference field="4" count="1" selected="0">
            <x v="15"/>
          </reference>
        </references>
      </pivotArea>
    </chartFormat>
    <chartFormat chart="14" format="4" series="1">
      <pivotArea type="data" outline="0" fieldPosition="0">
        <references count="2">
          <reference field="4294967294" count="1" selected="0">
            <x v="0"/>
          </reference>
          <reference field="4" count="1" selected="0">
            <x v="15"/>
          </reference>
        </references>
      </pivotArea>
    </chartFormat>
    <chartFormat chart="13" format="2" series="1">
      <pivotArea type="data" outline="0" fieldPosition="0">
        <references count="2">
          <reference field="4294967294" count="1" selected="0">
            <x v="0"/>
          </reference>
          <reference field="4" count="1" selected="0">
            <x v="15"/>
          </reference>
        </references>
      </pivotArea>
    </chartFormat>
    <chartFormat chart="15" format="7" series="1">
      <pivotArea type="data" outline="0" fieldPosition="0">
        <references count="2">
          <reference field="4294967294" count="1" selected="0">
            <x v="0"/>
          </reference>
          <reference field="4" count="1" selected="0">
            <x v="16"/>
          </reference>
        </references>
      </pivotArea>
    </chartFormat>
    <chartFormat chart="14" format="5" series="1">
      <pivotArea type="data" outline="0" fieldPosition="0">
        <references count="2">
          <reference field="4294967294" count="1" selected="0">
            <x v="0"/>
          </reference>
          <reference field="4" count="1" selected="0">
            <x v="16"/>
          </reference>
        </references>
      </pivotArea>
    </chartFormat>
    <chartFormat chart="13" format="3" series="1">
      <pivotArea type="data" outline="0" fieldPosition="0">
        <references count="2">
          <reference field="4294967294" count="1" selected="0">
            <x v="0"/>
          </reference>
          <reference field="4" count="1" selected="0">
            <x v="16"/>
          </reference>
        </references>
      </pivotArea>
    </chartFormat>
    <chartFormat chart="15" format="8" series="1">
      <pivotArea type="data" outline="0" fieldPosition="0">
        <references count="2">
          <reference field="4294967294" count="1" selected="0">
            <x v="0"/>
          </reference>
          <reference field="4" count="1" selected="0">
            <x v="19"/>
          </reference>
        </references>
      </pivotArea>
    </chartFormat>
    <chartFormat chart="14" format="6" series="1">
      <pivotArea type="data" outline="0" fieldPosition="0">
        <references count="2">
          <reference field="4294967294" count="1" selected="0">
            <x v="0"/>
          </reference>
          <reference field="4" count="1" selected="0">
            <x v="19"/>
          </reference>
        </references>
      </pivotArea>
    </chartFormat>
    <chartFormat chart="13" format="4" series="1">
      <pivotArea type="data" outline="0" fieldPosition="0">
        <references count="2">
          <reference field="4294967294" count="1" selected="0">
            <x v="0"/>
          </reference>
          <reference field="4" count="1" selected="0">
            <x v="19"/>
          </reference>
        </references>
      </pivotArea>
    </chartFormat>
    <chartFormat chart="2" format="55" series="1">
      <pivotArea type="data" outline="0" fieldPosition="0">
        <references count="2">
          <reference field="4294967294" count="1" selected="0">
            <x v="0"/>
          </reference>
          <reference field="4" count="1" selected="0">
            <x v="16"/>
          </reference>
        </references>
      </pivotArea>
    </chartFormat>
    <chartFormat chart="2" format="56" series="1">
      <pivotArea type="data" outline="0" fieldPosition="0">
        <references count="2">
          <reference field="4294967294" count="1" selected="0">
            <x v="0"/>
          </reference>
          <reference field="4" count="1" selected="0">
            <x v="17"/>
          </reference>
        </references>
      </pivotArea>
    </chartFormat>
    <chartFormat chart="2" format="57" series="1">
      <pivotArea type="data" outline="0" fieldPosition="0">
        <references count="2">
          <reference field="4294967294" count="1" selected="0">
            <x v="0"/>
          </reference>
          <reference field="4" count="1" selected="0">
            <x v="19"/>
          </reference>
        </references>
      </pivotArea>
    </chartFormat>
    <chartFormat chart="2" format="58" series="1">
      <pivotArea type="data" outline="0" fieldPosition="0">
        <references count="2">
          <reference field="4294967294" count="1" selected="0">
            <x v="0"/>
          </reference>
          <reference field="4" count="1" selected="0">
            <x v="15"/>
          </reference>
        </references>
      </pivotArea>
    </chartFormat>
    <chartFormat chart="2" format="59" series="1">
      <pivotArea type="data" outline="0" fieldPosition="0">
        <references count="2">
          <reference field="4294967294" count="1" selected="0">
            <x v="0"/>
          </reference>
          <reference field="4" count="1" selected="0">
            <x v="30"/>
          </reference>
        </references>
      </pivotArea>
    </chartFormat>
    <chartFormat chart="2" format="60" series="1">
      <pivotArea type="data" outline="0" fieldPosition="0">
        <references count="2">
          <reference field="4294967294" count="1" selected="0">
            <x v="0"/>
          </reference>
          <reference field="4" count="1" selected="0">
            <x v="34"/>
          </reference>
        </references>
      </pivotArea>
    </chartFormat>
    <chartFormat chart="2" format="61" series="1">
      <pivotArea type="data" outline="0" fieldPosition="0">
        <references count="2">
          <reference field="4294967294" count="1" selected="0">
            <x v="0"/>
          </reference>
          <reference field="4" count="1" selected="0">
            <x v="42"/>
          </reference>
        </references>
      </pivotArea>
    </chartFormat>
    <chartFormat chart="2" format="62" series="1">
      <pivotArea type="data" outline="0" fieldPosition="0">
        <references count="2">
          <reference field="4294967294" count="1" selected="0">
            <x v="0"/>
          </reference>
          <reference field="4" count="1" selected="0">
            <x v="43"/>
          </reference>
        </references>
      </pivotArea>
    </chartFormat>
    <chartFormat chart="2" format="63" series="1">
      <pivotArea type="data" outline="0" fieldPosition="0">
        <references count="2">
          <reference field="4294967294" count="1" selected="0">
            <x v="0"/>
          </reference>
          <reference field="4" count="1" selected="0">
            <x v="20"/>
          </reference>
        </references>
      </pivotArea>
    </chartFormat>
    <chartFormat chart="2" format="64" series="1">
      <pivotArea type="data" outline="0" fieldPosition="0">
        <references count="2">
          <reference field="4294967294" count="1" selected="0">
            <x v="0"/>
          </reference>
          <reference field="4" count="1" selected="0">
            <x v="32"/>
          </reference>
        </references>
      </pivotArea>
    </chartFormat>
    <chartFormat chart="2" format="65">
      <pivotArea type="data" outline="0" fieldPosition="0">
        <references count="4">
          <reference field="4294967294" count="1" selected="0">
            <x v="0"/>
          </reference>
          <reference field="0" count="1" selected="0">
            <x v="7"/>
          </reference>
          <reference field="1" count="1" selected="0">
            <x v="13"/>
          </reference>
          <reference field="4" count="1" selected="0">
            <x v="30"/>
          </reference>
        </references>
      </pivotArea>
    </chartFormat>
    <chartFormat chart="2" format="66">
      <pivotArea type="data" outline="0" fieldPosition="0">
        <references count="4">
          <reference field="4294967294" count="1" selected="0">
            <x v="0"/>
          </reference>
          <reference field="0" count="1" selected="0">
            <x v="5"/>
          </reference>
          <reference field="1" count="1" selected="0">
            <x v="5"/>
          </reference>
          <reference field="4" count="1" selected="0">
            <x v="30"/>
          </reference>
        </references>
      </pivotArea>
    </chartFormat>
    <chartFormat chart="2" format="67">
      <pivotArea type="data" outline="0" fieldPosition="0">
        <references count="4">
          <reference field="4294967294" count="1" selected="0">
            <x v="0"/>
          </reference>
          <reference field="0" count="1" selected="0">
            <x v="3"/>
          </reference>
          <reference field="1" count="1" selected="0">
            <x v="12"/>
          </reference>
          <reference field="4" count="1" selected="0">
            <x v="30"/>
          </reference>
        </references>
      </pivotArea>
    </chartFormat>
    <chartFormat chart="2" format="68" series="1">
      <pivotArea type="data" outline="0" fieldPosition="0">
        <references count="2">
          <reference field="4294967294" count="1" selected="0">
            <x v="0"/>
          </reference>
          <reference field="4" count="1" selected="0">
            <x v="48"/>
          </reference>
        </references>
      </pivotArea>
    </chartFormat>
    <chartFormat chart="2" format="69" series="1">
      <pivotArea type="data" outline="0" fieldPosition="0">
        <references count="2">
          <reference field="4294967294" count="1" selected="0">
            <x v="0"/>
          </reference>
          <reference field="4" count="1" selected="0">
            <x v="47"/>
          </reference>
        </references>
      </pivotArea>
    </chartFormat>
    <chartFormat chart="2" format="70" series="1">
      <pivotArea type="data" outline="0" fieldPosition="0">
        <references count="2">
          <reference field="4294967294" count="1" selected="0">
            <x v="0"/>
          </reference>
          <reference field="4" count="1" selected="0">
            <x v="4"/>
          </reference>
        </references>
      </pivotArea>
    </chartFormat>
    <chartFormat chart="2" format="71" series="1">
      <pivotArea type="data" outline="0" fieldPosition="0">
        <references count="2">
          <reference field="4294967294" count="1" selected="0">
            <x v="0"/>
          </reference>
          <reference field="4" count="1" selected="0">
            <x v="5"/>
          </reference>
        </references>
      </pivotArea>
    </chartFormat>
    <chartFormat chart="2" format="72"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B4EEDF7-E1EE-4350-ADD3-5D2AC876F6A8}" sourceName="Category">
  <pivotTables>
    <pivotTable tabId="17" name="PivotTable7"/>
  </pivotTables>
  <data>
    <tabular pivotCacheId="1069276967">
      <items count="4">
        <i x="1" s="1"/>
        <i x="2" nd="1"/>
        <i x="3"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 xr10:uid="{793773D6-DCD1-4213-AC5F-672E34EFA794}" sourceName="Metric">
  <pivotTables>
    <pivotTable tabId="17" name="PivotTable7"/>
  </pivotTables>
  <data>
    <tabular pivotCacheId="1069276967">
      <items count="50">
        <i x="21"/>
        <i x="10" s="1"/>
        <i x="11"/>
        <i x="4" s="1"/>
        <i x="5"/>
        <i x="9"/>
        <i x="8"/>
        <i x="6"/>
        <i x="7"/>
        <i x="16"/>
        <i x="17"/>
        <i x="14"/>
        <i x="15"/>
        <i x="3"/>
        <i x="12"/>
        <i x="13"/>
        <i x="2"/>
        <i x="20"/>
        <i x="18"/>
        <i x="19"/>
        <i x="1"/>
        <i x="22"/>
        <i x="23"/>
        <i x="35" nd="1"/>
        <i x="36" nd="1"/>
        <i x="24" nd="1"/>
        <i x="25" nd="1"/>
        <i x="30" nd="1"/>
        <i x="31" nd="1"/>
        <i x="33" nd="1"/>
        <i x="41" nd="1"/>
        <i x="43" nd="1"/>
        <i x="44" nd="1"/>
        <i x="42" nd="1"/>
        <i x="47" nd="1"/>
        <i x="39" nd="1"/>
        <i x="40" nd="1"/>
        <i x="45" nd="1"/>
        <i x="46" nd="1"/>
        <i x="49" nd="1"/>
        <i x="32" nd="1"/>
        <i x="26" nd="1"/>
        <i x="27" nd="1"/>
        <i x="37" nd="1"/>
        <i x="38" nd="1"/>
        <i x="28" nd="1"/>
        <i x="29" nd="1"/>
        <i x="48" nd="1"/>
        <i x="34" nd="1"/>
        <i x="0"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or_Forecasted" xr10:uid="{40E10A48-6B0B-4D11-9AC1-F571486D0141}" sourceName="Actual or Forecasted">
  <pivotTables>
    <pivotTable tabId="17" name="PivotTable7"/>
  </pivotTables>
  <data>
    <tabular pivotCacheId="10692769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AA620E8-5113-44E0-ACE8-E3B5122C6F3A}" cache="Slicer_Category" caption="Category" rowHeight="231085"/>
  <slicer name="Metric" xr10:uid="{EF933388-060C-439D-ACC9-C5EA153635E1}" cache="Slicer_Metric" caption="Metric" rowHeight="231085"/>
  <slicer name="Actual or Forecasted" xr10:uid="{5811459A-95E2-4521-833F-752DF186D863}" cache="Slicer_Actual_or_Forecasted" caption="Actual or Forecasted" rowHeight="23108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C6CC-AAA1-48BA-A30F-CC1AFB0076D9}">
  <dimension ref="C2:G21"/>
  <sheetViews>
    <sheetView showGridLines="0" tabSelected="1" workbookViewId="0">
      <selection activeCell="D35" sqref="D35"/>
    </sheetView>
  </sheetViews>
  <sheetFormatPr defaultRowHeight="13.5" x14ac:dyDescent="0.25"/>
  <cols>
    <col min="3" max="3" width="16.28515625" customWidth="1"/>
    <col min="4" max="4" width="25" bestFit="1" customWidth="1"/>
    <col min="5" max="5" width="2.7109375" customWidth="1"/>
    <col min="6" max="6" width="2.140625" customWidth="1"/>
  </cols>
  <sheetData>
    <row r="2" spans="3:7" ht="15.75" x14ac:dyDescent="0.25">
      <c r="C2" s="201" t="s">
        <v>199</v>
      </c>
      <c r="D2" s="201"/>
      <c r="E2" s="201"/>
    </row>
    <row r="3" spans="3:7" x14ac:dyDescent="0.25">
      <c r="C3" t="s">
        <v>203</v>
      </c>
      <c r="D3" s="172" t="s">
        <v>228</v>
      </c>
    </row>
    <row r="4" spans="3:7" x14ac:dyDescent="0.25">
      <c r="C4" t="s">
        <v>201</v>
      </c>
      <c r="D4" s="172" t="s">
        <v>202</v>
      </c>
    </row>
    <row r="5" spans="3:7" x14ac:dyDescent="0.25">
      <c r="C5" t="s">
        <v>200</v>
      </c>
      <c r="D5" s="173">
        <v>29.71</v>
      </c>
    </row>
    <row r="6" spans="3:7" x14ac:dyDescent="0.25">
      <c r="C6" t="s">
        <v>204</v>
      </c>
      <c r="D6" s="174">
        <v>45747</v>
      </c>
    </row>
    <row r="8" spans="3:7" x14ac:dyDescent="0.25">
      <c r="C8" s="202" t="s">
        <v>205</v>
      </c>
      <c r="D8" s="202"/>
      <c r="E8" s="202"/>
      <c r="F8" s="202"/>
      <c r="G8" s="202"/>
    </row>
    <row r="9" spans="3:7" x14ac:dyDescent="0.25">
      <c r="C9" s="175" t="s">
        <v>206</v>
      </c>
      <c r="D9" s="203" t="s">
        <v>207</v>
      </c>
      <c r="E9" s="203"/>
      <c r="F9" s="203"/>
      <c r="G9" s="203"/>
    </row>
    <row r="10" spans="3:7" x14ac:dyDescent="0.25">
      <c r="C10" s="176" t="s">
        <v>208</v>
      </c>
      <c r="D10" s="204" t="s">
        <v>209</v>
      </c>
      <c r="E10" s="204"/>
      <c r="F10" s="204"/>
      <c r="G10" s="204"/>
    </row>
    <row r="11" spans="3:7" x14ac:dyDescent="0.25">
      <c r="C11" s="177" t="s">
        <v>210</v>
      </c>
      <c r="D11" s="204" t="s">
        <v>211</v>
      </c>
      <c r="E11" s="204"/>
      <c r="F11" s="204"/>
      <c r="G11" s="204"/>
    </row>
    <row r="14" spans="3:7" ht="15" x14ac:dyDescent="0.25">
      <c r="C14" s="200" t="s">
        <v>212</v>
      </c>
      <c r="D14" s="200"/>
      <c r="E14" s="200"/>
      <c r="F14" s="200"/>
      <c r="G14" s="200"/>
    </row>
    <row r="15" spans="3:7" x14ac:dyDescent="0.25">
      <c r="C15" s="166" t="s">
        <v>144</v>
      </c>
      <c r="D15" s="167"/>
      <c r="E15" s="167"/>
      <c r="F15" s="167"/>
      <c r="G15" s="181">
        <f>+'2-Step Valuation'!E40</f>
        <v>25.713598494957608</v>
      </c>
    </row>
    <row r="16" spans="3:7" x14ac:dyDescent="0.25">
      <c r="C16" s="168" t="s">
        <v>145</v>
      </c>
      <c r="D16" s="150"/>
      <c r="E16" s="150"/>
      <c r="F16" s="150"/>
      <c r="G16" s="182">
        <f>+'3-Step Valuation'!E46</f>
        <v>31.797110554997005</v>
      </c>
    </row>
    <row r="17" spans="3:7" x14ac:dyDescent="0.25">
      <c r="C17" s="168" t="s">
        <v>149</v>
      </c>
      <c r="D17" s="150"/>
      <c r="E17" s="150"/>
      <c r="F17" s="150"/>
      <c r="G17" s="182">
        <f>+'Target Multiple Valuation'!V12</f>
        <v>38.141180586250449</v>
      </c>
    </row>
    <row r="18" spans="3:7" x14ac:dyDescent="0.25">
      <c r="C18" s="168" t="s">
        <v>213</v>
      </c>
      <c r="D18" s="150"/>
      <c r="E18" s="150"/>
      <c r="F18" s="150"/>
      <c r="G18" s="182">
        <f>+'Target Multiple Valuation'!V15</f>
        <v>30.310399214055025</v>
      </c>
    </row>
    <row r="19" spans="3:7" x14ac:dyDescent="0.25">
      <c r="C19" s="152" t="s">
        <v>156</v>
      </c>
      <c r="D19" s="153"/>
      <c r="E19" s="153"/>
      <c r="F19" s="153"/>
      <c r="G19" s="189">
        <f>AVERAGE(G15:G18)</f>
        <v>31.49057221256502</v>
      </c>
    </row>
    <row r="20" spans="3:7" x14ac:dyDescent="0.25">
      <c r="C20" s="152" t="s">
        <v>157</v>
      </c>
      <c r="D20" s="153"/>
      <c r="E20" s="153"/>
      <c r="F20" s="153"/>
      <c r="G20" s="189">
        <f>+D5</f>
        <v>29.71</v>
      </c>
    </row>
    <row r="21" spans="3:7" x14ac:dyDescent="0.25">
      <c r="C21" s="152" t="s">
        <v>30</v>
      </c>
      <c r="D21" s="153"/>
      <c r="E21" s="153"/>
      <c r="F21" s="153"/>
      <c r="G21" s="190">
        <f>+G19/G20-1</f>
        <v>5.9931747309492467E-2</v>
      </c>
    </row>
  </sheetData>
  <mergeCells count="6">
    <mergeCell ref="C14:G14"/>
    <mergeCell ref="C2:E2"/>
    <mergeCell ref="C8:G8"/>
    <mergeCell ref="D9:G9"/>
    <mergeCell ref="D10:G10"/>
    <mergeCell ref="D11:G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F947-B2B0-4FBE-A66F-6377314C06EB}">
  <dimension ref="B2:Z119"/>
  <sheetViews>
    <sheetView showGridLines="0" zoomScale="90" zoomScaleNormal="90" workbookViewId="0">
      <pane ySplit="11" topLeftCell="A12" activePane="bottomLeft" state="frozen"/>
      <selection pane="bottomLeft" activeCell="F149" sqref="F149"/>
    </sheetView>
  </sheetViews>
  <sheetFormatPr defaultRowHeight="13.5" outlineLevelRow="1" x14ac:dyDescent="0.25"/>
  <cols>
    <col min="2" max="2" width="13.42578125" customWidth="1"/>
    <col min="3" max="3" width="13" customWidth="1"/>
    <col min="4" max="4" width="9" customWidth="1"/>
    <col min="5" max="5" width="5" bestFit="1" customWidth="1"/>
    <col min="6" max="8" width="9.42578125" bestFit="1" customWidth="1"/>
    <col min="9" max="9" width="10.42578125" bestFit="1" customWidth="1"/>
    <col min="10" max="12" width="9.42578125" bestFit="1" customWidth="1"/>
    <col min="13" max="13" width="10.42578125" bestFit="1" customWidth="1"/>
    <col min="14" max="16" width="9.42578125" bestFit="1" customWidth="1"/>
    <col min="17" max="17" width="10.42578125" bestFit="1" customWidth="1"/>
    <col min="18" max="20" width="9.42578125" bestFit="1" customWidth="1"/>
    <col min="21" max="21" width="10.42578125" bestFit="1" customWidth="1"/>
    <col min="22" max="22" width="5.140625" customWidth="1"/>
    <col min="23" max="24" width="10.85546875" bestFit="1" customWidth="1"/>
    <col min="25" max="25" width="10.85546875" customWidth="1"/>
    <col min="26" max="26" width="10.85546875" bestFit="1" customWidth="1"/>
  </cols>
  <sheetData>
    <row r="2" spans="2:26" x14ac:dyDescent="0.25">
      <c r="B2" s="17" t="s">
        <v>29</v>
      </c>
      <c r="C2" s="19"/>
      <c r="D2" s="18"/>
    </row>
    <row r="3" spans="2:26" x14ac:dyDescent="0.25">
      <c r="B3" s="25" t="s">
        <v>33</v>
      </c>
      <c r="C3" s="26"/>
      <c r="D3" s="27"/>
      <c r="E3" s="20" t="s">
        <v>31</v>
      </c>
      <c r="G3" s="166" t="s">
        <v>144</v>
      </c>
      <c r="H3" s="167"/>
      <c r="I3" s="167"/>
      <c r="J3" s="167"/>
      <c r="K3" s="169">
        <f>+'2-Step Valuation'!E40</f>
        <v>25.713598494957608</v>
      </c>
    </row>
    <row r="4" spans="2:26" x14ac:dyDescent="0.25">
      <c r="B4" s="28" t="s">
        <v>15</v>
      </c>
      <c r="C4" s="3"/>
      <c r="D4" s="29"/>
      <c r="E4" s="20" t="s">
        <v>31</v>
      </c>
      <c r="G4" s="168" t="s">
        <v>145</v>
      </c>
      <c r="H4" s="150"/>
      <c r="I4" s="150"/>
      <c r="J4" s="150"/>
      <c r="K4" s="170">
        <f>+'3-Step Valuation'!E46</f>
        <v>31.797110554997005</v>
      </c>
    </row>
    <row r="5" spans="2:26" x14ac:dyDescent="0.25">
      <c r="B5" s="28" t="s">
        <v>35</v>
      </c>
      <c r="C5" s="3"/>
      <c r="D5" s="29"/>
      <c r="E5" s="20" t="s">
        <v>31</v>
      </c>
      <c r="G5" s="168" t="s">
        <v>149</v>
      </c>
      <c r="H5" s="150"/>
      <c r="I5" s="150"/>
      <c r="J5" s="150"/>
      <c r="K5" s="170">
        <f>+'Target Multiple Valuation'!V12</f>
        <v>38.141180586250449</v>
      </c>
    </row>
    <row r="6" spans="2:26" x14ac:dyDescent="0.25">
      <c r="B6" s="28" t="s">
        <v>191</v>
      </c>
      <c r="C6" s="3"/>
      <c r="D6" s="29"/>
      <c r="E6" s="20" t="s">
        <v>31</v>
      </c>
      <c r="G6" s="168" t="s">
        <v>213</v>
      </c>
      <c r="H6" s="150"/>
      <c r="I6" s="150"/>
      <c r="J6" s="150"/>
      <c r="K6" s="170">
        <f>+'Target Multiple Valuation'!V15</f>
        <v>30.310399214055025</v>
      </c>
    </row>
    <row r="7" spans="2:26" ht="15" x14ac:dyDescent="0.25">
      <c r="B7" s="19"/>
      <c r="C7" s="19"/>
      <c r="D7" s="19"/>
      <c r="G7" s="152" t="s">
        <v>156</v>
      </c>
      <c r="H7" s="153"/>
      <c r="I7" s="153"/>
      <c r="J7" s="153"/>
      <c r="K7" s="189">
        <f>AVERAGE(K3:K6)</f>
        <v>31.49057221256502</v>
      </c>
      <c r="Q7" s="171" t="s">
        <v>230</v>
      </c>
      <c r="W7" s="205" t="s">
        <v>231</v>
      </c>
      <c r="X7" s="205"/>
      <c r="Y7" s="205"/>
      <c r="Z7" s="205"/>
    </row>
    <row r="8" spans="2:26" x14ac:dyDescent="0.25">
      <c r="B8" s="19"/>
      <c r="C8" s="19"/>
      <c r="D8" s="19"/>
    </row>
    <row r="9" spans="2:26" x14ac:dyDescent="0.25">
      <c r="B9" s="5" t="s">
        <v>28</v>
      </c>
    </row>
    <row r="10" spans="2:26" x14ac:dyDescent="0.25">
      <c r="B10" s="1" t="s">
        <v>0</v>
      </c>
      <c r="C10" s="1"/>
      <c r="D10" s="1"/>
      <c r="E10" s="1"/>
      <c r="F10" s="2" t="s">
        <v>1</v>
      </c>
      <c r="G10" s="2" t="s">
        <v>2</v>
      </c>
      <c r="H10" s="2" t="s">
        <v>3</v>
      </c>
      <c r="I10" s="2" t="s">
        <v>4</v>
      </c>
      <c r="J10" s="2" t="s">
        <v>5</v>
      </c>
      <c r="K10" s="2" t="s">
        <v>6</v>
      </c>
      <c r="L10" s="2" t="s">
        <v>7</v>
      </c>
      <c r="M10" s="2" t="s">
        <v>8</v>
      </c>
      <c r="N10" s="16" t="s">
        <v>92</v>
      </c>
      <c r="O10" s="16" t="s">
        <v>93</v>
      </c>
      <c r="P10" s="16" t="s">
        <v>94</v>
      </c>
      <c r="Q10" s="16" t="s">
        <v>95</v>
      </c>
      <c r="R10" s="16" t="s">
        <v>96</v>
      </c>
      <c r="S10" s="16" t="s">
        <v>97</v>
      </c>
      <c r="T10" s="16" t="s">
        <v>98</v>
      </c>
      <c r="U10" s="16" t="s">
        <v>99</v>
      </c>
      <c r="W10" s="2" t="s">
        <v>55</v>
      </c>
      <c r="X10" s="2" t="s">
        <v>56</v>
      </c>
      <c r="Y10" s="16" t="s">
        <v>57</v>
      </c>
      <c r="Z10" s="16" t="s">
        <v>58</v>
      </c>
    </row>
    <row r="11" spans="2:26" x14ac:dyDescent="0.25">
      <c r="B11" s="3" t="s">
        <v>9</v>
      </c>
      <c r="C11" s="3"/>
      <c r="D11" s="3"/>
      <c r="E11" s="3"/>
      <c r="F11" s="4">
        <v>45016</v>
      </c>
      <c r="G11" s="4">
        <v>45107</v>
      </c>
      <c r="H11" s="4">
        <v>45199</v>
      </c>
      <c r="I11" s="4">
        <v>45291</v>
      </c>
      <c r="J11" s="4">
        <v>45382</v>
      </c>
      <c r="K11" s="4">
        <v>45473</v>
      </c>
      <c r="L11" s="4">
        <v>45565</v>
      </c>
      <c r="M11" s="80">
        <v>45657</v>
      </c>
      <c r="N11" s="4">
        <f>+M11+90</f>
        <v>45747</v>
      </c>
      <c r="O11" s="4">
        <v>45838</v>
      </c>
      <c r="P11" s="4">
        <v>45930</v>
      </c>
      <c r="Q11" s="4">
        <v>46022</v>
      </c>
      <c r="R11" s="4">
        <f t="shared" ref="R11" si="0">+Q11+90</f>
        <v>46112</v>
      </c>
      <c r="S11" s="4">
        <v>46203</v>
      </c>
      <c r="T11" s="4">
        <v>46295</v>
      </c>
      <c r="U11" s="4">
        <v>46387</v>
      </c>
    </row>
    <row r="12" spans="2:26" x14ac:dyDescent="0.25">
      <c r="B12" s="57" t="s">
        <v>196</v>
      </c>
      <c r="M12" s="37"/>
    </row>
    <row r="13" spans="2:26" hidden="1" outlineLevel="1" x14ac:dyDescent="0.25">
      <c r="B13" t="s">
        <v>35</v>
      </c>
      <c r="F13" s="14">
        <v>164</v>
      </c>
      <c r="G13" s="14">
        <v>164</v>
      </c>
      <c r="H13" s="14">
        <v>170</v>
      </c>
      <c r="I13" s="14">
        <v>171</v>
      </c>
      <c r="J13" s="14">
        <v>172</v>
      </c>
      <c r="K13" s="14">
        <v>175</v>
      </c>
      <c r="L13" s="14">
        <v>177</v>
      </c>
      <c r="M13" s="38">
        <v>179</v>
      </c>
      <c r="N13" s="7">
        <f>+M13+N14</f>
        <v>182</v>
      </c>
      <c r="O13" s="7">
        <f t="shared" ref="O13:U13" si="1">+N13+O14</f>
        <v>184</v>
      </c>
      <c r="P13" s="7">
        <f t="shared" si="1"/>
        <v>186</v>
      </c>
      <c r="Q13" s="7">
        <f t="shared" si="1"/>
        <v>189</v>
      </c>
      <c r="R13" s="7">
        <f t="shared" si="1"/>
        <v>191</v>
      </c>
      <c r="S13" s="7">
        <f t="shared" si="1"/>
        <v>193</v>
      </c>
      <c r="T13" s="7">
        <f t="shared" si="1"/>
        <v>196</v>
      </c>
      <c r="U13" s="7">
        <f t="shared" si="1"/>
        <v>198</v>
      </c>
      <c r="W13" s="7">
        <f>+I13</f>
        <v>171</v>
      </c>
      <c r="X13" s="7">
        <f>+M13</f>
        <v>179</v>
      </c>
      <c r="Y13" s="7">
        <f>+Q13</f>
        <v>189</v>
      </c>
      <c r="Z13" s="7">
        <f>+U13</f>
        <v>198</v>
      </c>
    </row>
    <row r="14" spans="2:26" hidden="1" outlineLevel="1" x14ac:dyDescent="0.25">
      <c r="B14" s="9" t="s">
        <v>37</v>
      </c>
      <c r="F14" s="7"/>
      <c r="G14" s="7">
        <f t="shared" ref="G14:I14" si="2">+G13-F13</f>
        <v>0</v>
      </c>
      <c r="H14" s="7">
        <f t="shared" si="2"/>
        <v>6</v>
      </c>
      <c r="I14" s="7">
        <f t="shared" si="2"/>
        <v>1</v>
      </c>
      <c r="J14" s="7">
        <f>+J13-I13</f>
        <v>1</v>
      </c>
      <c r="K14" s="7">
        <f t="shared" ref="K14:M14" si="3">+K13-J13</f>
        <v>3</v>
      </c>
      <c r="L14" s="7">
        <f t="shared" si="3"/>
        <v>2</v>
      </c>
      <c r="M14" s="39">
        <f t="shared" si="3"/>
        <v>2</v>
      </c>
      <c r="N14" s="7">
        <f t="shared" ref="N14:U14" si="4">INDEX(N15:N17,MATCH($E$5,$B$15:$B$17,0))</f>
        <v>3</v>
      </c>
      <c r="O14" s="7">
        <f t="shared" si="4"/>
        <v>2</v>
      </c>
      <c r="P14" s="7">
        <f t="shared" si="4"/>
        <v>2</v>
      </c>
      <c r="Q14" s="7">
        <f t="shared" si="4"/>
        <v>3</v>
      </c>
      <c r="R14" s="7">
        <f t="shared" si="4"/>
        <v>2</v>
      </c>
      <c r="S14" s="7">
        <f t="shared" si="4"/>
        <v>2</v>
      </c>
      <c r="T14" s="7">
        <f t="shared" si="4"/>
        <v>3</v>
      </c>
      <c r="U14" s="7">
        <f t="shared" si="4"/>
        <v>2</v>
      </c>
      <c r="W14" s="7">
        <f>+SUM(F14:I14)</f>
        <v>7</v>
      </c>
      <c r="X14" s="7">
        <f>+SUM(J14:M14)</f>
        <v>8</v>
      </c>
      <c r="Y14" s="7">
        <f>+SUM(N14:Q14)</f>
        <v>10</v>
      </c>
      <c r="Z14" s="7">
        <f>+SUM(R14:U14)</f>
        <v>9</v>
      </c>
    </row>
    <row r="15" spans="2:26" hidden="1" outlineLevel="1" x14ac:dyDescent="0.25">
      <c r="B15" s="21" t="s">
        <v>30</v>
      </c>
      <c r="F15" s="11"/>
      <c r="G15" s="11"/>
      <c r="H15" s="11"/>
      <c r="I15" s="11"/>
      <c r="J15" s="12"/>
      <c r="K15" s="12"/>
      <c r="L15" s="12"/>
      <c r="M15" s="40"/>
      <c r="N15" s="35">
        <v>3</v>
      </c>
      <c r="O15" s="34">
        <v>3</v>
      </c>
      <c r="P15" s="34">
        <v>3</v>
      </c>
      <c r="Q15" s="34">
        <v>3</v>
      </c>
      <c r="R15" s="34">
        <v>3</v>
      </c>
      <c r="S15" s="34">
        <v>3</v>
      </c>
      <c r="T15" s="34">
        <v>3</v>
      </c>
      <c r="U15" s="34">
        <v>3</v>
      </c>
    </row>
    <row r="16" spans="2:26" hidden="1" outlineLevel="1" x14ac:dyDescent="0.25">
      <c r="B16" s="21" t="s">
        <v>31</v>
      </c>
      <c r="F16" s="11"/>
      <c r="G16" s="11"/>
      <c r="H16" s="11"/>
      <c r="I16" s="11"/>
      <c r="J16" s="12"/>
      <c r="K16" s="12"/>
      <c r="L16" s="12"/>
      <c r="M16" s="40"/>
      <c r="N16" s="35">
        <v>3</v>
      </c>
      <c r="O16" s="34">
        <v>2</v>
      </c>
      <c r="P16" s="34">
        <v>2</v>
      </c>
      <c r="Q16" s="34">
        <v>3</v>
      </c>
      <c r="R16" s="34">
        <v>2</v>
      </c>
      <c r="S16" s="34">
        <v>2</v>
      </c>
      <c r="T16" s="34">
        <v>3</v>
      </c>
      <c r="U16" s="34">
        <v>2</v>
      </c>
    </row>
    <row r="17" spans="2:26" hidden="1" outlineLevel="1" x14ac:dyDescent="0.25">
      <c r="B17" s="21" t="s">
        <v>32</v>
      </c>
      <c r="F17" s="11"/>
      <c r="G17" s="15"/>
      <c r="H17" s="11"/>
      <c r="I17" s="11"/>
      <c r="J17" s="12"/>
      <c r="K17" s="12"/>
      <c r="L17" s="12"/>
      <c r="M17" s="41"/>
      <c r="N17" s="35">
        <v>3</v>
      </c>
      <c r="O17" s="34">
        <v>2</v>
      </c>
      <c r="P17" s="34">
        <v>2</v>
      </c>
      <c r="Q17" s="34">
        <v>2</v>
      </c>
      <c r="R17" s="34">
        <v>2</v>
      </c>
      <c r="S17" s="34">
        <v>1</v>
      </c>
      <c r="T17" s="34">
        <v>2</v>
      </c>
      <c r="U17" s="34">
        <v>1</v>
      </c>
    </row>
    <row r="18" spans="2:26" hidden="1" outlineLevel="1" x14ac:dyDescent="0.25">
      <c r="B18" s="9"/>
      <c r="F18" s="11"/>
      <c r="G18" s="11"/>
      <c r="H18" s="11"/>
      <c r="I18" s="11"/>
      <c r="J18" s="12"/>
      <c r="K18" s="12"/>
      <c r="L18" s="12"/>
      <c r="M18" s="40"/>
    </row>
    <row r="19" spans="2:26" hidden="1" outlineLevel="1" x14ac:dyDescent="0.25">
      <c r="B19" t="s">
        <v>36</v>
      </c>
      <c r="F19" s="14">
        <f>+F21/F13</f>
        <v>4659.5914634146338</v>
      </c>
      <c r="G19" s="14">
        <f t="shared" ref="G19:M19" si="5">+G21/G13</f>
        <v>4818.5243902439024</v>
      </c>
      <c r="H19" s="14">
        <f t="shared" si="5"/>
        <v>4613.7117647058822</v>
      </c>
      <c r="I19" s="14">
        <f t="shared" si="5"/>
        <v>4463.2514619883041</v>
      </c>
      <c r="J19" s="14">
        <f t="shared" si="5"/>
        <v>4662.8488372093025</v>
      </c>
      <c r="K19" s="14">
        <f t="shared" si="5"/>
        <v>4757.92</v>
      </c>
      <c r="L19" s="14">
        <f t="shared" si="5"/>
        <v>4669.5028248587569</v>
      </c>
      <c r="M19" s="38">
        <f t="shared" si="5"/>
        <v>4536.6592178770952</v>
      </c>
      <c r="N19" s="7">
        <f>AVERAGE(J19,F19)</f>
        <v>4661.2201503119686</v>
      </c>
      <c r="O19" s="7">
        <f t="shared" ref="O19:U19" si="6">AVERAGE(K19,G19)</f>
        <v>4788.2221951219508</v>
      </c>
      <c r="P19" s="7">
        <f t="shared" si="6"/>
        <v>4641.6072947823195</v>
      </c>
      <c r="Q19" s="7">
        <f t="shared" si="6"/>
        <v>4499.9553399326996</v>
      </c>
      <c r="R19" s="7">
        <f t="shared" si="6"/>
        <v>4662.0344937606351</v>
      </c>
      <c r="S19" s="7">
        <f t="shared" si="6"/>
        <v>4773.0710975609754</v>
      </c>
      <c r="T19" s="7">
        <f t="shared" si="6"/>
        <v>4655.5550598205382</v>
      </c>
      <c r="U19" s="7">
        <f t="shared" si="6"/>
        <v>4518.3072789048974</v>
      </c>
      <c r="W19" s="7">
        <f>+I19</f>
        <v>4463.2514619883041</v>
      </c>
      <c r="X19" s="7">
        <f>+M19</f>
        <v>4536.6592178770952</v>
      </c>
      <c r="Y19" s="7">
        <f>+Q19</f>
        <v>4499.9553399326996</v>
      </c>
      <c r="Z19" s="7">
        <f>+U19</f>
        <v>4518.3072789048974</v>
      </c>
    </row>
    <row r="20" spans="2:26" hidden="1" outlineLevel="1" x14ac:dyDescent="0.25">
      <c r="M20" s="42"/>
    </row>
    <row r="21" spans="2:26" hidden="1" outlineLevel="1" x14ac:dyDescent="0.25">
      <c r="B21" t="s">
        <v>14</v>
      </c>
      <c r="F21" s="14">
        <v>764173</v>
      </c>
      <c r="G21" s="14">
        <v>790238</v>
      </c>
      <c r="H21" s="14">
        <v>784331</v>
      </c>
      <c r="I21" s="14">
        <v>763216</v>
      </c>
      <c r="J21" s="14">
        <v>802010</v>
      </c>
      <c r="K21" s="14">
        <v>832636</v>
      </c>
      <c r="L21" s="14">
        <v>826502</v>
      </c>
      <c r="M21" s="38">
        <v>812062</v>
      </c>
      <c r="N21" s="24">
        <f>+N19*N13</f>
        <v>848342.06735677831</v>
      </c>
      <c r="O21" s="24">
        <f t="shared" ref="O21:U21" si="7">+O19*O13</f>
        <v>881032.88390243892</v>
      </c>
      <c r="P21" s="24">
        <f t="shared" si="7"/>
        <v>863338.95682951144</v>
      </c>
      <c r="Q21" s="24">
        <f t="shared" si="7"/>
        <v>850491.55924728024</v>
      </c>
      <c r="R21" s="24">
        <f t="shared" si="7"/>
        <v>890448.58830828127</v>
      </c>
      <c r="S21" s="24">
        <f t="shared" si="7"/>
        <v>921202.72182926827</v>
      </c>
      <c r="T21" s="24">
        <f t="shared" si="7"/>
        <v>912488.79172482551</v>
      </c>
      <c r="U21" s="24">
        <f t="shared" si="7"/>
        <v>894624.8412231697</v>
      </c>
      <c r="W21" s="7">
        <f>+I21</f>
        <v>763216</v>
      </c>
      <c r="X21" s="7">
        <f>+M21</f>
        <v>812062</v>
      </c>
      <c r="Y21" s="7">
        <f>+Q21</f>
        <v>850491.55924728024</v>
      </c>
      <c r="Z21" s="7">
        <f>+U21</f>
        <v>894624.8412231697</v>
      </c>
    </row>
    <row r="22" spans="2:26" hidden="1" outlineLevel="1" x14ac:dyDescent="0.25">
      <c r="B22" s="9" t="s">
        <v>16</v>
      </c>
      <c r="F22" s="11"/>
      <c r="G22" s="11"/>
      <c r="H22" s="11"/>
      <c r="I22" s="11"/>
      <c r="J22" s="12">
        <f t="shared" ref="J22" si="8">+J21/F21-1</f>
        <v>4.9513657247769904E-2</v>
      </c>
      <c r="K22" s="12">
        <f t="shared" ref="K22" si="9">+K21/G21-1</f>
        <v>5.365219085895645E-2</v>
      </c>
      <c r="L22" s="12">
        <f t="shared" ref="L22" si="10">+L21/H21-1</f>
        <v>5.3766840785331782E-2</v>
      </c>
      <c r="M22" s="40">
        <f>+M21/I21-1</f>
        <v>6.400023060313198E-2</v>
      </c>
      <c r="N22" s="12">
        <f t="shared" ref="N22" si="11">+N21/J21-1</f>
        <v>5.776993722868573E-2</v>
      </c>
      <c r="O22" s="12">
        <f t="shared" ref="O22" si="12">+O21/K21-1</f>
        <v>5.8124899598910984E-2</v>
      </c>
      <c r="P22" s="12">
        <f t="shared" ref="P22" si="13">+P21/L21-1</f>
        <v>4.4569712873666845E-2</v>
      </c>
      <c r="Q22" s="12">
        <f t="shared" ref="Q22" si="14">+Q21/M21-1</f>
        <v>4.7323430042632397E-2</v>
      </c>
      <c r="R22" s="12">
        <f t="shared" ref="R22" si="15">+R21/N21-1</f>
        <v>4.9633894830532599E-2</v>
      </c>
      <c r="S22" s="12">
        <f t="shared" ref="S22" si="16">+S21/O21-1</f>
        <v>4.559402794240941E-2</v>
      </c>
      <c r="T22" s="12">
        <f t="shared" ref="T22" si="17">+T21/P21-1</f>
        <v>5.6929939864881929E-2</v>
      </c>
      <c r="U22" s="12">
        <f t="shared" ref="U22" si="18">+U21/Q21-1</f>
        <v>5.189149909371138E-2</v>
      </c>
      <c r="X22" s="12">
        <f>+X21/W21-1</f>
        <v>6.400023060313198E-2</v>
      </c>
      <c r="Y22" s="12">
        <f t="shared" ref="Y22" si="19">+Y21/X21-1</f>
        <v>4.7323430042632397E-2</v>
      </c>
      <c r="Z22" s="12">
        <f t="shared" ref="Z22" si="20">+Z21/Y21-1</f>
        <v>5.189149909371138E-2</v>
      </c>
    </row>
    <row r="23" spans="2:26" hidden="1" outlineLevel="1" x14ac:dyDescent="0.25">
      <c r="B23" s="9"/>
      <c r="M23" s="42"/>
    </row>
    <row r="24" spans="2:26" hidden="1" outlineLevel="1" x14ac:dyDescent="0.25">
      <c r="B24" t="s">
        <v>158</v>
      </c>
      <c r="F24" s="133">
        <f t="shared" ref="F24:M24" si="21">(F30*1000)/F21</f>
        <v>467.81029950024407</v>
      </c>
      <c r="G24" s="133">
        <f t="shared" si="21"/>
        <v>489.87140582963616</v>
      </c>
      <c r="H24" s="133">
        <f t="shared" si="21"/>
        <v>520.0648705712257</v>
      </c>
      <c r="I24" s="133">
        <f t="shared" si="21"/>
        <v>530.36492945640555</v>
      </c>
      <c r="J24" s="133">
        <f t="shared" si="21"/>
        <v>530.43104200695757</v>
      </c>
      <c r="K24" s="133">
        <f t="shared" si="21"/>
        <v>555.70020993567414</v>
      </c>
      <c r="L24" s="133">
        <f t="shared" si="21"/>
        <v>590.56723395708661</v>
      </c>
      <c r="M24" s="43">
        <f t="shared" si="21"/>
        <v>588.31837963111195</v>
      </c>
      <c r="N24" s="33">
        <f>+J24*(1+N25)</f>
        <v>586.12630141768807</v>
      </c>
      <c r="O24" s="33">
        <f t="shared" ref="O24:U24" si="22">+K24*(1+O25)</f>
        <v>612.24270629662897</v>
      </c>
      <c r="P24" s="33">
        <f t="shared" si="22"/>
        <v>648.73810650185965</v>
      </c>
      <c r="Q24" s="33">
        <f t="shared" si="22"/>
        <v>644.35570529097538</v>
      </c>
      <c r="R24" s="33">
        <f t="shared" si="22"/>
        <v>640.04992114811546</v>
      </c>
      <c r="S24" s="33">
        <f t="shared" si="22"/>
        <v>666.57924648045469</v>
      </c>
      <c r="T24" s="33">
        <f t="shared" si="22"/>
        <v>704.20521460776854</v>
      </c>
      <c r="U24" s="33">
        <f t="shared" si="22"/>
        <v>697.35396205115808</v>
      </c>
      <c r="W24" s="160">
        <f>+I24</f>
        <v>530.36492945640555</v>
      </c>
      <c r="X24" s="160">
        <f>+M24</f>
        <v>588.31837963111195</v>
      </c>
      <c r="Y24" s="160">
        <f>+Q24</f>
        <v>644.35570529097538</v>
      </c>
      <c r="Z24" s="160">
        <f>+U24</f>
        <v>697.35396205115808</v>
      </c>
    </row>
    <row r="25" spans="2:26" hidden="1" outlineLevel="1" x14ac:dyDescent="0.25">
      <c r="B25" s="9" t="s">
        <v>16</v>
      </c>
      <c r="F25" s="83"/>
      <c r="G25" s="83"/>
      <c r="H25" s="83"/>
      <c r="I25" s="83"/>
      <c r="J25" s="84">
        <f t="shared" ref="J25" si="23">+J24/F24-1</f>
        <v>0.13385926426504602</v>
      </c>
      <c r="K25" s="84">
        <f t="shared" ref="K25" si="24">+K24/G24-1</f>
        <v>0.13437976440888955</v>
      </c>
      <c r="L25" s="84">
        <f t="shared" ref="L25" si="25">+L24/H24-1</f>
        <v>0.13556455622242458</v>
      </c>
      <c r="M25" s="40">
        <f>+M24/I24-1</f>
        <v>0.10927089435213122</v>
      </c>
      <c r="N25" s="22">
        <f t="shared" ref="N25:U25" si="26">INDEX(N26:N28,MATCH($E$3,$B$26:$B$28,0))</f>
        <v>0.105</v>
      </c>
      <c r="O25" s="22">
        <f t="shared" si="26"/>
        <v>0.10174999999999999</v>
      </c>
      <c r="P25" s="22">
        <f t="shared" si="26"/>
        <v>9.849999999999999E-2</v>
      </c>
      <c r="Q25" s="22">
        <f t="shared" si="26"/>
        <v>9.5249999999999987E-2</v>
      </c>
      <c r="R25" s="22">
        <f t="shared" si="26"/>
        <v>9.1999999999999985E-2</v>
      </c>
      <c r="S25" s="22">
        <f t="shared" si="26"/>
        <v>8.8749999999999982E-2</v>
      </c>
      <c r="T25" s="22">
        <f t="shared" si="26"/>
        <v>8.5499999999999979E-2</v>
      </c>
      <c r="U25" s="22">
        <f t="shared" si="26"/>
        <v>8.2249999999999976E-2</v>
      </c>
      <c r="X25" s="12">
        <f>+X24/W24-1</f>
        <v>0.10927089435213122</v>
      </c>
      <c r="Y25" s="12">
        <f t="shared" ref="Y25" si="27">+Y24/X24-1</f>
        <v>9.5250000000000057E-2</v>
      </c>
      <c r="Z25" s="12">
        <f t="shared" ref="Z25" si="28">+Z24/Y24-1</f>
        <v>8.2249999999999934E-2</v>
      </c>
    </row>
    <row r="26" spans="2:26" hidden="1" outlineLevel="1" x14ac:dyDescent="0.25">
      <c r="B26" s="21" t="s">
        <v>30</v>
      </c>
      <c r="F26" s="11"/>
      <c r="G26" s="11"/>
      <c r="H26" s="11"/>
      <c r="I26" s="11"/>
      <c r="J26" s="12"/>
      <c r="K26" s="12"/>
      <c r="L26" s="12"/>
      <c r="M26" s="40"/>
      <c r="N26" s="36">
        <v>0.111</v>
      </c>
      <c r="O26" s="23">
        <f>+N26-0.003</f>
        <v>0.108</v>
      </c>
      <c r="P26" s="23">
        <f t="shared" ref="P26:U26" si="29">+O26-0.003</f>
        <v>0.105</v>
      </c>
      <c r="Q26" s="23">
        <f t="shared" si="29"/>
        <v>0.10199999999999999</v>
      </c>
      <c r="R26" s="23">
        <f t="shared" si="29"/>
        <v>9.8999999999999991E-2</v>
      </c>
      <c r="S26" s="23">
        <f t="shared" si="29"/>
        <v>9.5999999999999988E-2</v>
      </c>
      <c r="T26" s="23">
        <f t="shared" si="29"/>
        <v>9.2999999999999985E-2</v>
      </c>
      <c r="U26" s="23">
        <f t="shared" si="29"/>
        <v>8.9999999999999983E-2</v>
      </c>
    </row>
    <row r="27" spans="2:26" hidden="1" outlineLevel="1" x14ac:dyDescent="0.25">
      <c r="B27" s="21" t="s">
        <v>31</v>
      </c>
      <c r="F27" s="11"/>
      <c r="G27" s="11"/>
      <c r="H27" s="11"/>
      <c r="I27" s="11"/>
      <c r="J27" s="12"/>
      <c r="K27" s="12"/>
      <c r="L27" s="12"/>
      <c r="M27" s="40"/>
      <c r="N27" s="36">
        <v>0.105</v>
      </c>
      <c r="O27" s="23">
        <f>+N27-0.00325</f>
        <v>0.10174999999999999</v>
      </c>
      <c r="P27" s="23">
        <f t="shared" ref="P27:U27" si="30">+O27-0.00325</f>
        <v>9.849999999999999E-2</v>
      </c>
      <c r="Q27" s="23">
        <f t="shared" si="30"/>
        <v>9.5249999999999987E-2</v>
      </c>
      <c r="R27" s="23">
        <f t="shared" si="30"/>
        <v>9.1999999999999985E-2</v>
      </c>
      <c r="S27" s="23">
        <f t="shared" si="30"/>
        <v>8.8749999999999982E-2</v>
      </c>
      <c r="T27" s="23">
        <f t="shared" si="30"/>
        <v>8.5499999999999979E-2</v>
      </c>
      <c r="U27" s="23">
        <f t="shared" si="30"/>
        <v>8.2249999999999976E-2</v>
      </c>
    </row>
    <row r="28" spans="2:26" hidden="1" outlineLevel="1" x14ac:dyDescent="0.25">
      <c r="B28" s="21" t="s">
        <v>32</v>
      </c>
      <c r="F28" s="11"/>
      <c r="G28" s="11"/>
      <c r="H28" s="11"/>
      <c r="I28" s="11"/>
      <c r="J28" s="12"/>
      <c r="K28" s="12"/>
      <c r="L28" s="12"/>
      <c r="M28" s="40"/>
      <c r="N28" s="36">
        <v>0.1</v>
      </c>
      <c r="O28" s="23">
        <f>+N28-0.0035</f>
        <v>9.6500000000000002E-2</v>
      </c>
      <c r="P28" s="23">
        <f t="shared" ref="P28:U28" si="31">+O28-0.0035</f>
        <v>9.2999999999999999E-2</v>
      </c>
      <c r="Q28" s="23">
        <f t="shared" si="31"/>
        <v>8.9499999999999996E-2</v>
      </c>
      <c r="R28" s="23">
        <f t="shared" si="31"/>
        <v>8.5999999999999993E-2</v>
      </c>
      <c r="S28" s="23">
        <f t="shared" si="31"/>
        <v>8.249999999999999E-2</v>
      </c>
      <c r="T28" s="23">
        <f t="shared" si="31"/>
        <v>7.8999999999999987E-2</v>
      </c>
      <c r="U28" s="23">
        <f t="shared" si="31"/>
        <v>7.5499999999999984E-2</v>
      </c>
    </row>
    <row r="29" spans="2:26" hidden="1" outlineLevel="1" x14ac:dyDescent="0.25">
      <c r="B29" s="154"/>
      <c r="C29" s="150"/>
      <c r="D29" s="150"/>
      <c r="E29" s="150"/>
      <c r="F29" s="155"/>
      <c r="G29" s="155"/>
      <c r="H29" s="155"/>
      <c r="I29" s="155"/>
      <c r="J29" s="156"/>
      <c r="K29" s="156"/>
      <c r="L29" s="156"/>
      <c r="M29" s="157"/>
      <c r="N29" s="150"/>
      <c r="O29" s="150"/>
      <c r="P29" s="150"/>
      <c r="Q29" s="150"/>
      <c r="R29" s="150"/>
      <c r="S29" s="150"/>
      <c r="T29" s="150"/>
      <c r="U29" s="150"/>
    </row>
    <row r="30" spans="2:26" hidden="1" outlineLevel="1" x14ac:dyDescent="0.25">
      <c r="B30" s="6" t="s">
        <v>17</v>
      </c>
      <c r="C30" s="6"/>
      <c r="D30" s="6"/>
      <c r="E30" s="6"/>
      <c r="F30" s="134">
        <v>357488</v>
      </c>
      <c r="G30" s="134">
        <v>387115</v>
      </c>
      <c r="H30" s="134">
        <v>407903</v>
      </c>
      <c r="I30" s="134">
        <v>404783</v>
      </c>
      <c r="J30" s="134">
        <v>425411</v>
      </c>
      <c r="K30" s="134">
        <v>462696</v>
      </c>
      <c r="L30" s="134">
        <v>488105</v>
      </c>
      <c r="M30" s="135">
        <v>477751</v>
      </c>
      <c r="N30" s="8">
        <f t="shared" ref="N30:U30" si="32">+(N24/1000)*N21</f>
        <v>497235.59827686369</v>
      </c>
      <c r="O30" s="8">
        <f t="shared" si="32"/>
        <v>539405.95717675285</v>
      </c>
      <c r="P30" s="8">
        <f t="shared" si="32"/>
        <v>560080.88012286799</v>
      </c>
      <c r="Q30" s="8">
        <f t="shared" si="32"/>
        <v>548019.08850280265</v>
      </c>
      <c r="R30" s="8">
        <f t="shared" si="32"/>
        <v>569931.54873316607</v>
      </c>
      <c r="S30" s="8">
        <f t="shared" si="32"/>
        <v>614054.61617269751</v>
      </c>
      <c r="T30" s="8">
        <f t="shared" si="32"/>
        <v>642579.36540376418</v>
      </c>
      <c r="U30" s="8">
        <f t="shared" si="32"/>
        <v>623870.17757636565</v>
      </c>
      <c r="W30" s="7">
        <f>+SUM(F30:I30)</f>
        <v>1557289</v>
      </c>
      <c r="X30" s="7">
        <f>+SUM(J30:M30)</f>
        <v>1853963</v>
      </c>
      <c r="Y30" s="7">
        <f>+SUM(N30:Q30)</f>
        <v>2144741.5240792874</v>
      </c>
      <c r="Z30" s="7">
        <f>+SUM(R30:U30)</f>
        <v>2450435.7078859936</v>
      </c>
    </row>
    <row r="31" spans="2:26" hidden="1" outlineLevel="1" x14ac:dyDescent="0.25">
      <c r="B31" s="9" t="s">
        <v>16</v>
      </c>
      <c r="F31" s="11"/>
      <c r="G31" s="11"/>
      <c r="H31" s="11"/>
      <c r="I31" s="11"/>
      <c r="J31" s="12">
        <f t="shared" ref="J31" si="33">+J30/F30-1</f>
        <v>0.1900007832430739</v>
      </c>
      <c r="K31" s="12">
        <f t="shared" ref="K31" si="34">+K30/G30-1</f>
        <v>0.19524172403549334</v>
      </c>
      <c r="L31" s="12">
        <f t="shared" ref="L31" si="35">+L30/H30-1</f>
        <v>0.1966202749183017</v>
      </c>
      <c r="M31" s="40">
        <f>+M30/I30-1</f>
        <v>0.18026448739201006</v>
      </c>
      <c r="N31" s="12">
        <f t="shared" ref="N31:U31" si="36">+N30/J30-1</f>
        <v>0.16883578063769789</v>
      </c>
      <c r="O31" s="12">
        <f t="shared" si="36"/>
        <v>0.16578910813309999</v>
      </c>
      <c r="P31" s="12">
        <f t="shared" si="36"/>
        <v>0.1474598295917231</v>
      </c>
      <c r="Q31" s="12">
        <f t="shared" si="36"/>
        <v>0.14708098675419334</v>
      </c>
      <c r="R31" s="12">
        <f t="shared" si="36"/>
        <v>0.14620021315494158</v>
      </c>
      <c r="S31" s="12">
        <f t="shared" si="36"/>
        <v>0.13839049792229807</v>
      </c>
      <c r="T31" s="12">
        <f t="shared" si="36"/>
        <v>0.14729744972332925</v>
      </c>
      <c r="U31" s="12">
        <f t="shared" si="36"/>
        <v>0.13840957489416916</v>
      </c>
      <c r="X31" s="12">
        <f>+X30/W30-1</f>
        <v>0.19050670748974663</v>
      </c>
      <c r="Y31" s="12">
        <f t="shared" ref="Y31:Z31" si="37">+Y30/X30-1</f>
        <v>0.15684160044147988</v>
      </c>
      <c r="Z31" s="12">
        <f t="shared" si="37"/>
        <v>0.1425319463322916</v>
      </c>
    </row>
    <row r="32" spans="2:26" hidden="1" outlineLevel="1" x14ac:dyDescent="0.25">
      <c r="B32" s="9"/>
      <c r="F32" s="11"/>
      <c r="G32" s="11"/>
      <c r="H32" s="11"/>
      <c r="I32" s="11"/>
      <c r="J32" s="12"/>
      <c r="K32" s="12"/>
      <c r="L32" s="12"/>
      <c r="M32" s="40"/>
      <c r="N32" s="12"/>
      <c r="O32" s="12"/>
      <c r="P32" s="12"/>
      <c r="Q32" s="12"/>
      <c r="R32" s="12"/>
      <c r="S32" s="12"/>
      <c r="T32" s="12"/>
      <c r="U32" s="12"/>
    </row>
    <row r="33" spans="2:26" hidden="1" outlineLevel="1" x14ac:dyDescent="0.25">
      <c r="B33" t="s">
        <v>15</v>
      </c>
      <c r="F33" s="14">
        <v>49333</v>
      </c>
      <c r="G33" s="14">
        <v>42401</v>
      </c>
      <c r="H33" s="14">
        <v>45708</v>
      </c>
      <c r="I33" s="14">
        <v>51720</v>
      </c>
      <c r="J33" s="14">
        <v>51062</v>
      </c>
      <c r="K33" s="14">
        <v>46131</v>
      </c>
      <c r="L33" s="14">
        <v>50007</v>
      </c>
      <c r="M33" s="38">
        <v>54023</v>
      </c>
      <c r="N33" s="24">
        <f>+J33*(1+N34)</f>
        <v>53359.789999999994</v>
      </c>
      <c r="O33" s="24">
        <f t="shared" ref="O33:U33" si="38">+K33*(1+O34)</f>
        <v>48206.894999999997</v>
      </c>
      <c r="P33" s="24">
        <f t="shared" si="38"/>
        <v>52257.314999999995</v>
      </c>
      <c r="Q33" s="24">
        <f t="shared" si="38"/>
        <v>56454.034999999996</v>
      </c>
      <c r="R33" s="24">
        <f t="shared" si="38"/>
        <v>55760.980549999993</v>
      </c>
      <c r="S33" s="24">
        <f t="shared" si="38"/>
        <v>50376.205274999993</v>
      </c>
      <c r="T33" s="24">
        <f t="shared" si="38"/>
        <v>54608.894174999994</v>
      </c>
      <c r="U33" s="24">
        <f t="shared" si="38"/>
        <v>58994.466574999991</v>
      </c>
      <c r="W33" s="7">
        <f>+I33</f>
        <v>51720</v>
      </c>
      <c r="X33" s="7">
        <f>+M33</f>
        <v>54023</v>
      </c>
      <c r="Y33" s="7">
        <f>+Q33</f>
        <v>56454.034999999996</v>
      </c>
      <c r="Z33" s="7">
        <f>+U33</f>
        <v>58994.466574999991</v>
      </c>
    </row>
    <row r="34" spans="2:26" hidden="1" outlineLevel="1" x14ac:dyDescent="0.25">
      <c r="B34" s="9" t="s">
        <v>16</v>
      </c>
      <c r="F34" s="11"/>
      <c r="G34" s="11"/>
      <c r="H34" s="11"/>
      <c r="I34" s="11"/>
      <c r="J34" s="12">
        <f t="shared" ref="J34" si="39">+J33/F33-1</f>
        <v>3.5047534104960087E-2</v>
      </c>
      <c r="K34" s="12">
        <f t="shared" ref="K34" si="40">+K33/G33-1</f>
        <v>8.7969623357939675E-2</v>
      </c>
      <c r="L34" s="12">
        <f t="shared" ref="L34" si="41">+L33/H33-1</f>
        <v>9.4053557364137674E-2</v>
      </c>
      <c r="M34" s="40">
        <f>+M33/I33-1</f>
        <v>4.4528228924980651E-2</v>
      </c>
      <c r="N34" s="22">
        <f t="shared" ref="N34:U34" si="42">INDEX(N35:N37,MATCH($E$4,$B$35:$B$37,0))</f>
        <v>4.4999999999999998E-2</v>
      </c>
      <c r="O34" s="22">
        <f t="shared" si="42"/>
        <v>4.4999999999999998E-2</v>
      </c>
      <c r="P34" s="22">
        <f t="shared" si="42"/>
        <v>4.4999999999999998E-2</v>
      </c>
      <c r="Q34" s="22">
        <f t="shared" si="42"/>
        <v>4.4999999999999998E-2</v>
      </c>
      <c r="R34" s="22">
        <f t="shared" si="42"/>
        <v>4.4999999999999998E-2</v>
      </c>
      <c r="S34" s="22">
        <f t="shared" si="42"/>
        <v>4.4999999999999998E-2</v>
      </c>
      <c r="T34" s="22">
        <f t="shared" si="42"/>
        <v>4.4999999999999998E-2</v>
      </c>
      <c r="U34" s="22">
        <f t="shared" si="42"/>
        <v>4.4999999999999998E-2</v>
      </c>
      <c r="X34" s="12">
        <f>+X33/W33-1</f>
        <v>4.4528228924980651E-2</v>
      </c>
      <c r="Y34" s="12">
        <f t="shared" ref="Y34:Z34" si="43">+Y33/X33-1</f>
        <v>4.4999999999999929E-2</v>
      </c>
      <c r="Z34" s="12">
        <f t="shared" si="43"/>
        <v>4.4999999999999929E-2</v>
      </c>
    </row>
    <row r="35" spans="2:26" hidden="1" outlineLevel="1" x14ac:dyDescent="0.25">
      <c r="B35" s="21" t="s">
        <v>30</v>
      </c>
      <c r="F35" s="11"/>
      <c r="G35" s="11"/>
      <c r="H35" s="11"/>
      <c r="I35" s="11"/>
      <c r="J35" s="12"/>
      <c r="K35" s="12"/>
      <c r="L35" s="12"/>
      <c r="M35" s="40"/>
      <c r="N35" s="36">
        <f>AVERAGE(J34:M34)</f>
        <v>6.5399735938004522E-2</v>
      </c>
      <c r="O35" s="23">
        <f>+N35+0.0075</f>
        <v>7.2899735938004528E-2</v>
      </c>
      <c r="P35" s="23">
        <f t="shared" ref="P35:Q35" si="44">+O35+0.0075</f>
        <v>8.0399735938004535E-2</v>
      </c>
      <c r="Q35" s="23">
        <f t="shared" si="44"/>
        <v>8.7899735938004542E-2</v>
      </c>
      <c r="R35" s="23">
        <f>+Q35+0.0075</f>
        <v>9.5399735938004548E-2</v>
      </c>
      <c r="S35" s="23">
        <f>+R35</f>
        <v>9.5399735938004548E-2</v>
      </c>
      <c r="T35" s="23">
        <f t="shared" ref="T35:U35" si="45">+S35</f>
        <v>9.5399735938004548E-2</v>
      </c>
      <c r="U35" s="23">
        <f t="shared" si="45"/>
        <v>9.5399735938004548E-2</v>
      </c>
    </row>
    <row r="36" spans="2:26" hidden="1" outlineLevel="1" x14ac:dyDescent="0.25">
      <c r="B36" s="21" t="s">
        <v>31</v>
      </c>
      <c r="F36" s="11"/>
      <c r="G36" s="11"/>
      <c r="H36" s="11"/>
      <c r="I36" s="11"/>
      <c r="J36" s="12"/>
      <c r="K36" s="12"/>
      <c r="L36" s="12"/>
      <c r="M36" s="40"/>
      <c r="N36" s="36">
        <v>4.4999999999999998E-2</v>
      </c>
      <c r="O36" s="36">
        <v>4.4999999999999998E-2</v>
      </c>
      <c r="P36" s="36">
        <v>4.4999999999999998E-2</v>
      </c>
      <c r="Q36" s="36">
        <v>4.4999999999999998E-2</v>
      </c>
      <c r="R36" s="36">
        <v>4.4999999999999998E-2</v>
      </c>
      <c r="S36" s="36">
        <v>4.4999999999999998E-2</v>
      </c>
      <c r="T36" s="36">
        <v>4.4999999999999998E-2</v>
      </c>
      <c r="U36" s="36">
        <v>4.4999999999999998E-2</v>
      </c>
    </row>
    <row r="37" spans="2:26" hidden="1" outlineLevel="1" x14ac:dyDescent="0.25">
      <c r="B37" s="21" t="s">
        <v>32</v>
      </c>
      <c r="F37" s="11"/>
      <c r="G37" s="11"/>
      <c r="H37" s="11"/>
      <c r="I37" s="11"/>
      <c r="J37" s="12"/>
      <c r="K37" s="12"/>
      <c r="L37" s="12"/>
      <c r="M37" s="40"/>
      <c r="N37" s="36">
        <f>+M34</f>
        <v>4.4528228924980651E-2</v>
      </c>
      <c r="O37" s="23">
        <f>+N37</f>
        <v>4.4528228924980651E-2</v>
      </c>
      <c r="P37" s="23">
        <f>+O37</f>
        <v>4.4528228924980651E-2</v>
      </c>
      <c r="Q37" s="23">
        <f t="shared" ref="Q37" si="46">+P37-0.0035</f>
        <v>4.1028228924980648E-2</v>
      </c>
      <c r="R37" s="23">
        <f t="shared" ref="R37" si="47">+Q37-0.0035</f>
        <v>3.7528228924980644E-2</v>
      </c>
      <c r="S37" s="23">
        <f t="shared" ref="S37" si="48">+R37-0.0035</f>
        <v>3.4028228924980641E-2</v>
      </c>
      <c r="T37" s="23">
        <f t="shared" ref="T37" si="49">+S37-0.0035</f>
        <v>3.0528228924980642E-2</v>
      </c>
      <c r="U37" s="23">
        <f t="shared" ref="U37" si="50">+T37-0.0035</f>
        <v>2.7028228924980642E-2</v>
      </c>
    </row>
    <row r="38" spans="2:26" hidden="1" outlineLevel="1" x14ac:dyDescent="0.25">
      <c r="B38" s="9"/>
      <c r="F38" s="83"/>
      <c r="G38" s="83"/>
      <c r="H38" s="83"/>
      <c r="I38" s="83"/>
      <c r="J38" s="84"/>
      <c r="K38" s="84"/>
      <c r="L38" s="84"/>
      <c r="M38" s="40"/>
    </row>
    <row r="39" spans="2:26" hidden="1" outlineLevel="1" x14ac:dyDescent="0.25">
      <c r="B39" s="150" t="s">
        <v>159</v>
      </c>
      <c r="C39" s="150"/>
      <c r="D39" s="150"/>
      <c r="E39" s="150"/>
      <c r="F39" s="155"/>
      <c r="G39" s="155"/>
      <c r="H39" s="155"/>
      <c r="I39" s="155"/>
      <c r="J39" s="156"/>
      <c r="K39" s="156"/>
      <c r="L39" s="156"/>
      <c r="M39" s="158">
        <v>15</v>
      </c>
      <c r="N39" s="159">
        <f>+M39*1.02</f>
        <v>15.3</v>
      </c>
      <c r="O39" s="159">
        <f t="shared" ref="O39:U39" si="51">+N39*1.02</f>
        <v>15.606000000000002</v>
      </c>
      <c r="P39" s="159">
        <f t="shared" si="51"/>
        <v>15.918120000000002</v>
      </c>
      <c r="Q39" s="159">
        <f t="shared" si="51"/>
        <v>16.236482400000003</v>
      </c>
      <c r="R39" s="159">
        <f t="shared" si="51"/>
        <v>16.561212048000005</v>
      </c>
      <c r="S39" s="159">
        <f t="shared" si="51"/>
        <v>16.892436288960006</v>
      </c>
      <c r="T39" s="159">
        <f t="shared" si="51"/>
        <v>17.230285014739206</v>
      </c>
      <c r="U39" s="159">
        <f t="shared" si="51"/>
        <v>17.574890715033991</v>
      </c>
      <c r="Y39" s="161">
        <f>+Q39</f>
        <v>16.236482400000003</v>
      </c>
      <c r="Z39" s="161">
        <f>+U39</f>
        <v>17.574890715033991</v>
      </c>
    </row>
    <row r="40" spans="2:26" hidden="1" outlineLevel="1" x14ac:dyDescent="0.25">
      <c r="B40" s="6" t="s">
        <v>160</v>
      </c>
      <c r="C40" s="6"/>
      <c r="D40" s="6"/>
      <c r="E40" s="6"/>
      <c r="F40" s="136"/>
      <c r="G40" s="136"/>
      <c r="H40" s="136"/>
      <c r="I40" s="136"/>
      <c r="J40" s="137"/>
      <c r="K40" s="137"/>
      <c r="L40" s="137"/>
      <c r="M40" s="138"/>
      <c r="N40" s="8">
        <f>+N33*N39/1000</f>
        <v>816.40478699999994</v>
      </c>
      <c r="O40" s="8">
        <f t="shared" ref="O40:U40" si="52">+O33*O39/1000</f>
        <v>752.31680337</v>
      </c>
      <c r="P40" s="8">
        <f t="shared" si="52"/>
        <v>831.83821104779997</v>
      </c>
      <c r="Q40" s="8">
        <f t="shared" si="52"/>
        <v>916.61494568648413</v>
      </c>
      <c r="R40" s="8">
        <f t="shared" si="52"/>
        <v>923.46942289295384</v>
      </c>
      <c r="S40" s="8">
        <f t="shared" si="52"/>
        <v>850.97683808750833</v>
      </c>
      <c r="T40" s="8">
        <f t="shared" si="52"/>
        <v>940.92681097498155</v>
      </c>
      <c r="U40" s="8">
        <f t="shared" si="52"/>
        <v>1036.8213028473506</v>
      </c>
      <c r="Y40" s="7">
        <f>+SUM(N40:Q40)</f>
        <v>3317.1747471042841</v>
      </c>
      <c r="Z40" s="7">
        <f>+SUM(R40:U40)</f>
        <v>3752.1943748027943</v>
      </c>
    </row>
    <row r="41" spans="2:26" hidden="1" outlineLevel="1" x14ac:dyDescent="0.25">
      <c r="B41" s="9"/>
      <c r="F41" s="11"/>
      <c r="G41" s="11"/>
      <c r="H41" s="11"/>
      <c r="I41" s="11"/>
      <c r="J41" s="12"/>
      <c r="K41" s="12"/>
      <c r="L41" s="12"/>
      <c r="M41" s="40"/>
      <c r="N41" s="12"/>
      <c r="O41" s="12"/>
      <c r="P41" s="12"/>
      <c r="Q41" s="12"/>
      <c r="R41" s="12"/>
      <c r="S41" s="12"/>
      <c r="T41" s="12"/>
      <c r="U41" s="12"/>
    </row>
    <row r="42" spans="2:26" hidden="1" outlineLevel="1" x14ac:dyDescent="0.25">
      <c r="B42" s="6" t="s">
        <v>18</v>
      </c>
      <c r="C42" s="6"/>
      <c r="D42" s="6"/>
      <c r="E42" s="6"/>
      <c r="F42" s="134">
        <v>140264</v>
      </c>
      <c r="G42" s="134">
        <v>155010</v>
      </c>
      <c r="H42" s="134">
        <v>160499</v>
      </c>
      <c r="I42" s="134">
        <v>141267</v>
      </c>
      <c r="J42" s="134">
        <v>155074</v>
      </c>
      <c r="K42" s="134">
        <v>182311</v>
      </c>
      <c r="L42" s="134">
        <v>186670</v>
      </c>
      <c r="M42" s="135">
        <v>168633</v>
      </c>
      <c r="N42" s="8">
        <f t="shared" ref="N42:U42" si="53">+(N44/1000)*N21</f>
        <v>180242.95231676695</v>
      </c>
      <c r="O42" s="8">
        <f t="shared" si="53"/>
        <v>211007.1648140387</v>
      </c>
      <c r="P42" s="8">
        <f t="shared" si="53"/>
        <v>212309.57854266779</v>
      </c>
      <c r="Q42" s="8">
        <f t="shared" si="53"/>
        <v>191417.70077225062</v>
      </c>
      <c r="R42" s="8">
        <f t="shared" si="53"/>
        <v>204101.72913759545</v>
      </c>
      <c r="S42" s="8">
        <f t="shared" si="53"/>
        <v>236915.43068415025</v>
      </c>
      <c r="T42" s="8">
        <f t="shared" si="53"/>
        <v>239840.17424972821</v>
      </c>
      <c r="U42" s="8">
        <f t="shared" si="53"/>
        <v>214201.62912009814</v>
      </c>
      <c r="W42" s="7">
        <f>+SUM(F42:I42)</f>
        <v>597040</v>
      </c>
      <c r="X42" s="7">
        <f>+SUM(J42:M42)</f>
        <v>692688</v>
      </c>
      <c r="Y42" s="7">
        <f>+SUM(N42:Q42)</f>
        <v>794977.39644572407</v>
      </c>
      <c r="Z42" s="7">
        <f>+SUM(R42:U42)</f>
        <v>895058.96319157211</v>
      </c>
    </row>
    <row r="43" spans="2:26" hidden="1" outlineLevel="1" x14ac:dyDescent="0.25">
      <c r="B43" s="9" t="s">
        <v>16</v>
      </c>
      <c r="F43" s="11"/>
      <c r="G43" s="11"/>
      <c r="H43" s="11"/>
      <c r="I43" s="11"/>
      <c r="J43" s="12">
        <f t="shared" ref="J43" si="54">+J42/F42-1</f>
        <v>0.10558660811042042</v>
      </c>
      <c r="K43" s="12">
        <f t="shared" ref="K43" si="55">+K42/G42-1</f>
        <v>0.17612412102444996</v>
      </c>
      <c r="L43" s="12">
        <f t="shared" ref="L43" si="56">+L42/H42-1</f>
        <v>0.16306020598259185</v>
      </c>
      <c r="M43" s="40">
        <f>+M42/I42-1</f>
        <v>0.19371827815413356</v>
      </c>
      <c r="N43" s="12">
        <f t="shared" ref="N43:U43" si="57">+N42/J42-1</f>
        <v>0.16230285100511344</v>
      </c>
      <c r="O43" s="12">
        <f t="shared" si="57"/>
        <v>0.15740226763079956</v>
      </c>
      <c r="P43" s="12">
        <f t="shared" si="57"/>
        <v>0.13735243232800021</v>
      </c>
      <c r="Q43" s="12">
        <f t="shared" si="57"/>
        <v>0.13511412814959489</v>
      </c>
      <c r="R43" s="12">
        <f t="shared" si="57"/>
        <v>0.13237009555246315</v>
      </c>
      <c r="S43" s="12">
        <f t="shared" si="57"/>
        <v>0.12278382060127946</v>
      </c>
      <c r="T43" s="12">
        <f t="shared" si="57"/>
        <v>0.129671943659045</v>
      </c>
      <c r="U43" s="12">
        <f t="shared" si="57"/>
        <v>0.11902728042353772</v>
      </c>
      <c r="X43" s="12">
        <f>+X42/W42-1</f>
        <v>0.16020367144579928</v>
      </c>
      <c r="Y43" s="12">
        <f t="shared" ref="Y43:Z43" si="58">+Y42/X42-1</f>
        <v>0.14767023024178871</v>
      </c>
      <c r="Z43" s="12">
        <f t="shared" si="58"/>
        <v>0.12589234259150528</v>
      </c>
    </row>
    <row r="44" spans="2:26" hidden="1" outlineLevel="1" x14ac:dyDescent="0.25">
      <c r="B44" s="30" t="s">
        <v>34</v>
      </c>
      <c r="F44" s="33">
        <f t="shared" ref="F44:M44" si="59">+F42/F21*1000</f>
        <v>183.55005999950271</v>
      </c>
      <c r="G44" s="33">
        <f t="shared" si="59"/>
        <v>196.15609474613976</v>
      </c>
      <c r="H44" s="33">
        <f t="shared" si="59"/>
        <v>204.63171798641136</v>
      </c>
      <c r="I44" s="33">
        <f t="shared" si="59"/>
        <v>185.09439005471583</v>
      </c>
      <c r="J44" s="33">
        <f t="shared" si="59"/>
        <v>193.35669131307588</v>
      </c>
      <c r="K44" s="33">
        <f t="shared" si="59"/>
        <v>218.95642273454428</v>
      </c>
      <c r="L44" s="33">
        <f t="shared" si="59"/>
        <v>225.8554728240222</v>
      </c>
      <c r="M44" s="43">
        <f t="shared" si="59"/>
        <v>207.66025254229356</v>
      </c>
      <c r="N44" s="33">
        <f>+J44*(1+N45)</f>
        <v>212.46494692684394</v>
      </c>
      <c r="O44" s="33">
        <f t="shared" ref="O44:U44" si="60">+K44*(1+O45)</f>
        <v>239.49976064389961</v>
      </c>
      <c r="P44" s="33">
        <f t="shared" si="60"/>
        <v>245.91682891542888</v>
      </c>
      <c r="Q44" s="33">
        <f t="shared" si="60"/>
        <v>225.06713757590151</v>
      </c>
      <c r="R44" s="33">
        <f t="shared" si="60"/>
        <v>229.21225528063121</v>
      </c>
      <c r="S44" s="33">
        <f t="shared" si="60"/>
        <v>257.1805587088345</v>
      </c>
      <c r="T44" s="33">
        <f t="shared" si="60"/>
        <v>262.84177561937173</v>
      </c>
      <c r="U44" s="33">
        <f t="shared" si="60"/>
        <v>239.43179224403428</v>
      </c>
      <c r="W44" s="160">
        <f>+I44</f>
        <v>185.09439005471583</v>
      </c>
      <c r="X44" s="160">
        <f>+M44</f>
        <v>207.66025254229356</v>
      </c>
      <c r="Y44" s="160">
        <f>+Q44</f>
        <v>225.06713757590151</v>
      </c>
      <c r="Z44" s="160">
        <f>+U44</f>
        <v>239.43179224403428</v>
      </c>
    </row>
    <row r="45" spans="2:26" hidden="1" outlineLevel="1" x14ac:dyDescent="0.25">
      <c r="B45" s="9" t="s">
        <v>16</v>
      </c>
      <c r="F45" s="11"/>
      <c r="G45" s="11"/>
      <c r="H45" s="11"/>
      <c r="I45" s="11"/>
      <c r="J45" s="12">
        <f>+J44/F44-1</f>
        <v>5.3427557112210922E-2</v>
      </c>
      <c r="K45" s="12">
        <f t="shared" ref="K45" si="61">+K44/G44-1</f>
        <v>0.11623563375847246</v>
      </c>
      <c r="L45" s="12">
        <f t="shared" ref="L45" si="62">+L44/H44-1</f>
        <v>0.10371683845717516</v>
      </c>
      <c r="M45" s="40">
        <f>+M44/I44-1</f>
        <v>0.12191543180161779</v>
      </c>
      <c r="N45" s="12">
        <f>+AVERAGE(J45:M45)</f>
        <v>9.8823865282369083E-2</v>
      </c>
      <c r="O45" s="12">
        <f>+N45-0.005</f>
        <v>9.3823865282369079E-2</v>
      </c>
      <c r="P45" s="12">
        <f t="shared" ref="P45:U45" si="63">+O45-0.005</f>
        <v>8.8823865282369074E-2</v>
      </c>
      <c r="Q45" s="12">
        <f t="shared" si="63"/>
        <v>8.382386528236907E-2</v>
      </c>
      <c r="R45" s="12">
        <f t="shared" si="63"/>
        <v>7.8823865282369066E-2</v>
      </c>
      <c r="S45" s="12">
        <f t="shared" si="63"/>
        <v>7.3823865282369061E-2</v>
      </c>
      <c r="T45" s="12">
        <f t="shared" si="63"/>
        <v>6.8823865282369057E-2</v>
      </c>
      <c r="U45" s="12">
        <f t="shared" si="63"/>
        <v>6.3823865282369052E-2</v>
      </c>
      <c r="X45" s="12">
        <f>+X44/W44-1</f>
        <v>0.12191543180161779</v>
      </c>
      <c r="Y45" s="12">
        <f t="shared" ref="Y45:Z45" si="64">+Y44/X44-1</f>
        <v>8.382386528236907E-2</v>
      </c>
      <c r="Z45" s="12">
        <f t="shared" si="64"/>
        <v>6.3823865282369052E-2</v>
      </c>
    </row>
    <row r="46" spans="2:26" hidden="1" outlineLevel="1" x14ac:dyDescent="0.25">
      <c r="B46" s="13"/>
      <c r="C46" s="13"/>
      <c r="D46" s="13"/>
      <c r="E46" s="13"/>
      <c r="F46" s="13"/>
      <c r="G46" s="13"/>
      <c r="H46" s="13"/>
      <c r="I46" s="13"/>
      <c r="J46" s="13"/>
      <c r="K46" s="13"/>
      <c r="L46" s="13"/>
      <c r="M46" s="44"/>
      <c r="N46" s="13"/>
      <c r="O46" s="13"/>
      <c r="P46" s="13"/>
      <c r="Q46" s="13"/>
      <c r="R46" s="13"/>
      <c r="S46" s="13"/>
      <c r="T46" s="13"/>
      <c r="U46" s="13"/>
    </row>
    <row r="47" spans="2:26" hidden="1" outlineLevel="1" x14ac:dyDescent="0.25">
      <c r="B47" s="6" t="s">
        <v>19</v>
      </c>
      <c r="C47" s="6"/>
      <c r="D47" s="6"/>
      <c r="E47" s="6"/>
      <c r="F47" s="8">
        <f t="shared" ref="F47:M47" si="65">+F30+F42</f>
        <v>497752</v>
      </c>
      <c r="G47" s="8">
        <f t="shared" si="65"/>
        <v>542125</v>
      </c>
      <c r="H47" s="8">
        <f t="shared" si="65"/>
        <v>568402</v>
      </c>
      <c r="I47" s="8">
        <f t="shared" si="65"/>
        <v>546050</v>
      </c>
      <c r="J47" s="8">
        <f t="shared" si="65"/>
        <v>580485</v>
      </c>
      <c r="K47" s="8">
        <f t="shared" si="65"/>
        <v>645007</v>
      </c>
      <c r="L47" s="8">
        <f t="shared" si="65"/>
        <v>674775</v>
      </c>
      <c r="M47" s="45">
        <f t="shared" si="65"/>
        <v>646384</v>
      </c>
      <c r="N47" s="8">
        <f t="shared" ref="N47:U47" si="66">+N30+N42+N40</f>
        <v>678294.95538063068</v>
      </c>
      <c r="O47" s="8">
        <f t="shared" si="66"/>
        <v>751165.43879416154</v>
      </c>
      <c r="P47" s="8">
        <f t="shared" si="66"/>
        <v>773222.2968765836</v>
      </c>
      <c r="Q47" s="8">
        <f t="shared" si="66"/>
        <v>740353.40422073985</v>
      </c>
      <c r="R47" s="8">
        <f t="shared" si="66"/>
        <v>774956.74729365436</v>
      </c>
      <c r="S47" s="8">
        <f t="shared" si="66"/>
        <v>851821.02369493537</v>
      </c>
      <c r="T47" s="8">
        <f t="shared" si="66"/>
        <v>883360.46646446735</v>
      </c>
      <c r="U47" s="8">
        <f t="shared" si="66"/>
        <v>839108.6279993112</v>
      </c>
      <c r="W47" s="7">
        <f>+SUM(F47:I47)</f>
        <v>2154329</v>
      </c>
      <c r="X47" s="7">
        <f>+SUM(J47:M47)</f>
        <v>2546651</v>
      </c>
      <c r="Y47" s="7">
        <f>+SUM(N47:Q47)</f>
        <v>2943036.0952721159</v>
      </c>
      <c r="Z47" s="7">
        <f>+SUM(R47:U47)</f>
        <v>3349246.8654523683</v>
      </c>
    </row>
    <row r="48" spans="2:26" hidden="1" outlineLevel="1" x14ac:dyDescent="0.25">
      <c r="B48" s="9" t="s">
        <v>16</v>
      </c>
      <c r="F48" s="11"/>
      <c r="G48" s="11"/>
      <c r="H48" s="11"/>
      <c r="I48" s="11"/>
      <c r="J48" s="12">
        <f t="shared" ref="J48" si="67">+J47/F47-1</f>
        <v>0.16621329497420412</v>
      </c>
      <c r="K48" s="12">
        <f t="shared" ref="K48" si="68">+K47/G47-1</f>
        <v>0.18977542079778642</v>
      </c>
      <c r="L48" s="12">
        <f t="shared" ref="L48" si="69">+L47/H47-1</f>
        <v>0.18714395797340622</v>
      </c>
      <c r="M48" s="40">
        <f>+M47/I47-1</f>
        <v>0.18374507828953401</v>
      </c>
      <c r="N48" s="12">
        <f t="shared" ref="N48:U48" si="70">+N47/J47-1</f>
        <v>0.16849695578805779</v>
      </c>
      <c r="O48" s="12">
        <f t="shared" si="70"/>
        <v>0.16458494061949946</v>
      </c>
      <c r="P48" s="12">
        <f t="shared" si="70"/>
        <v>0.14589647938436312</v>
      </c>
      <c r="Q48" s="12">
        <f t="shared" si="70"/>
        <v>0.14537705794193512</v>
      </c>
      <c r="R48" s="12">
        <f t="shared" si="70"/>
        <v>0.14250701873314253</v>
      </c>
      <c r="S48" s="12">
        <f t="shared" si="70"/>
        <v>0.13399922267770359</v>
      </c>
      <c r="T48" s="12">
        <f t="shared" si="70"/>
        <v>0.14244049871917142</v>
      </c>
      <c r="U48" s="12">
        <f t="shared" si="70"/>
        <v>0.13338930194089715</v>
      </c>
      <c r="X48" s="12">
        <f>+X47/W47-1</f>
        <v>0.18210867513736306</v>
      </c>
      <c r="Y48" s="12">
        <f t="shared" ref="Y48" si="71">+Y47/X47-1</f>
        <v>0.15564955514992662</v>
      </c>
      <c r="Z48" s="12">
        <f t="shared" ref="Z48" si="72">+Z47/Y47-1</f>
        <v>0.13802439284819368</v>
      </c>
    </row>
    <row r="49" spans="2:26" hidden="1" outlineLevel="1" x14ac:dyDescent="0.25">
      <c r="B49" s="9"/>
      <c r="F49" s="11"/>
      <c r="G49" s="11"/>
      <c r="H49" s="11"/>
      <c r="I49" s="11"/>
      <c r="J49" s="12"/>
      <c r="K49" s="12"/>
      <c r="L49" s="12"/>
      <c r="M49" s="40"/>
      <c r="N49" s="12"/>
      <c r="O49" s="12"/>
      <c r="P49" s="12"/>
      <c r="Q49" s="12"/>
      <c r="R49" s="12"/>
      <c r="S49" s="12"/>
      <c r="T49" s="12"/>
      <c r="U49" s="12"/>
    </row>
    <row r="50" spans="2:26" hidden="1" outlineLevel="1" x14ac:dyDescent="0.25">
      <c r="B50" t="s">
        <v>11</v>
      </c>
      <c r="F50" s="134">
        <v>13099</v>
      </c>
      <c r="G50" s="134">
        <v>19606</v>
      </c>
      <c r="H50" s="134">
        <v>16775</v>
      </c>
      <c r="I50" s="134">
        <v>12784</v>
      </c>
      <c r="J50" s="134">
        <v>16232</v>
      </c>
      <c r="K50" s="134">
        <v>22754</v>
      </c>
      <c r="L50" s="134">
        <v>18459</v>
      </c>
      <c r="M50" s="135">
        <v>16899</v>
      </c>
      <c r="N50" s="8">
        <f>+N51*N47</f>
        <v>17733.276892647835</v>
      </c>
      <c r="O50" s="8">
        <f t="shared" ref="O50:U50" si="73">+O51*O47</f>
        <v>19638.395675299103</v>
      </c>
      <c r="P50" s="8">
        <f t="shared" si="73"/>
        <v>20215.048013127471</v>
      </c>
      <c r="Q50" s="8">
        <f t="shared" si="73"/>
        <v>19355.726902160764</v>
      </c>
      <c r="R50" s="8">
        <f t="shared" si="73"/>
        <v>20260.393314988407</v>
      </c>
      <c r="S50" s="8">
        <f t="shared" si="73"/>
        <v>22269.92543042636</v>
      </c>
      <c r="T50" s="8">
        <f t="shared" si="73"/>
        <v>23094.48953374934</v>
      </c>
      <c r="U50" s="8">
        <f t="shared" si="73"/>
        <v>21937.573802198633</v>
      </c>
      <c r="W50" s="7">
        <f>+SUM(F50:I50)</f>
        <v>62264</v>
      </c>
      <c r="X50" s="7">
        <f>+SUM(J50:M50)</f>
        <v>74344</v>
      </c>
      <c r="Y50" s="7">
        <f>+SUM(N50:Q50)</f>
        <v>76942.44748323517</v>
      </c>
      <c r="Z50" s="7">
        <f>+SUM(R50:U50)</f>
        <v>87562.382081362739</v>
      </c>
    </row>
    <row r="51" spans="2:26" hidden="1" outlineLevel="1" x14ac:dyDescent="0.25">
      <c r="B51" s="5" t="s">
        <v>38</v>
      </c>
      <c r="F51" s="12">
        <f>+F50/F47</f>
        <v>2.6316318166476477E-2</v>
      </c>
      <c r="G51" s="12">
        <f t="shared" ref="G51:K51" si="74">+G50/G47</f>
        <v>3.6165091076781182E-2</v>
      </c>
      <c r="H51" s="12">
        <f t="shared" si="74"/>
        <v>2.9512563291473289E-2</v>
      </c>
      <c r="I51" s="12">
        <f t="shared" si="74"/>
        <v>2.341177547843604E-2</v>
      </c>
      <c r="J51" s="12">
        <f t="shared" si="74"/>
        <v>2.7962824190116885E-2</v>
      </c>
      <c r="K51" s="12">
        <f t="shared" si="74"/>
        <v>3.5277136527200478E-2</v>
      </c>
      <c r="L51" s="12">
        <f>+L50/L47</f>
        <v>2.7355785261753918E-2</v>
      </c>
      <c r="M51" s="40">
        <f>+M50/M47</f>
        <v>2.6143902076784079E-2</v>
      </c>
      <c r="N51" s="12">
        <f>+M51</f>
        <v>2.6143902076784079E-2</v>
      </c>
      <c r="O51" s="12">
        <f t="shared" ref="O51:U51" si="75">+N51</f>
        <v>2.6143902076784079E-2</v>
      </c>
      <c r="P51" s="12">
        <f t="shared" si="75"/>
        <v>2.6143902076784079E-2</v>
      </c>
      <c r="Q51" s="12">
        <f t="shared" si="75"/>
        <v>2.6143902076784079E-2</v>
      </c>
      <c r="R51" s="12">
        <f t="shared" si="75"/>
        <v>2.6143902076784079E-2</v>
      </c>
      <c r="S51" s="12">
        <f t="shared" si="75"/>
        <v>2.6143902076784079E-2</v>
      </c>
      <c r="T51" s="12">
        <f t="shared" si="75"/>
        <v>2.6143902076784079E-2</v>
      </c>
      <c r="U51" s="12">
        <f t="shared" si="75"/>
        <v>2.6143902076784079E-2</v>
      </c>
      <c r="X51" s="12">
        <f>+X50/W50-1</f>
        <v>0.19401259154567652</v>
      </c>
      <c r="Y51" s="12">
        <f t="shared" ref="Y51" si="76">+Y50/X50-1</f>
        <v>3.4951677112277757E-2</v>
      </c>
      <c r="Z51" s="12">
        <f t="shared" ref="Z51" si="77">+Z50/Y50-1</f>
        <v>0.13802439284819368</v>
      </c>
    </row>
    <row r="52" spans="2:26" ht="14.25" hidden="1" outlineLevel="1" thickBot="1" x14ac:dyDescent="0.3">
      <c r="B52" s="50"/>
      <c r="C52" s="51"/>
      <c r="D52" s="51"/>
      <c r="E52" s="51"/>
      <c r="F52" s="52"/>
      <c r="G52" s="52"/>
      <c r="H52" s="52"/>
      <c r="I52" s="52"/>
      <c r="J52" s="53"/>
      <c r="K52" s="53"/>
      <c r="L52" s="53"/>
      <c r="M52" s="54"/>
      <c r="N52" s="51"/>
      <c r="O52" s="51"/>
      <c r="P52" s="51"/>
      <c r="Q52" s="51"/>
      <c r="R52" s="51"/>
      <c r="S52" s="51"/>
      <c r="T52" s="51"/>
      <c r="U52" s="51"/>
      <c r="W52" s="51"/>
      <c r="X52" s="51"/>
      <c r="Y52" s="51"/>
      <c r="Z52" s="51"/>
    </row>
    <row r="53" spans="2:26" hidden="1" outlineLevel="1" x14ac:dyDescent="0.25">
      <c r="B53" s="6" t="s">
        <v>10</v>
      </c>
      <c r="C53" s="6"/>
      <c r="D53" s="6"/>
      <c r="E53" s="6"/>
      <c r="F53" s="8">
        <v>510851</v>
      </c>
      <c r="G53" s="8">
        <v>561731</v>
      </c>
      <c r="H53" s="8">
        <v>585177</v>
      </c>
      <c r="I53" s="8">
        <v>558834</v>
      </c>
      <c r="J53" s="8">
        <v>596717</v>
      </c>
      <c r="K53" s="8">
        <v>667761</v>
      </c>
      <c r="L53" s="8">
        <v>693234</v>
      </c>
      <c r="M53" s="45">
        <v>663283</v>
      </c>
      <c r="N53" s="8">
        <f>+N50+N47</f>
        <v>696028.23227327853</v>
      </c>
      <c r="O53" s="8">
        <f t="shared" ref="O53:U53" si="78">+O50+O47</f>
        <v>770803.83446946065</v>
      </c>
      <c r="P53" s="8">
        <f t="shared" si="78"/>
        <v>793437.34488971112</v>
      </c>
      <c r="Q53" s="8">
        <f t="shared" si="78"/>
        <v>759709.13112290064</v>
      </c>
      <c r="R53" s="8">
        <f t="shared" si="78"/>
        <v>795217.14060864272</v>
      </c>
      <c r="S53" s="8">
        <f t="shared" si="78"/>
        <v>874090.94912536175</v>
      </c>
      <c r="T53" s="8">
        <f t="shared" si="78"/>
        <v>906454.95599821664</v>
      </c>
      <c r="U53" s="8">
        <f t="shared" si="78"/>
        <v>861046.20180150983</v>
      </c>
      <c r="W53" s="7">
        <f>+SUM(F53:I53)</f>
        <v>2216593</v>
      </c>
      <c r="X53" s="7">
        <f>+SUM(J53:M53)</f>
        <v>2620995</v>
      </c>
      <c r="Y53" s="7">
        <f>+SUM(N53:Q53)</f>
        <v>3019978.5427553509</v>
      </c>
      <c r="Z53" s="7">
        <f>+SUM(R53:U53)</f>
        <v>3436809.2475337312</v>
      </c>
    </row>
    <row r="54" spans="2:26" hidden="1" outlineLevel="1" x14ac:dyDescent="0.25">
      <c r="B54" s="9" t="s">
        <v>16</v>
      </c>
      <c r="F54" s="11"/>
      <c r="G54" s="11"/>
      <c r="H54" s="11"/>
      <c r="I54" s="11"/>
      <c r="J54" s="12">
        <f t="shared" ref="J54" si="79">+J53/F53-1</f>
        <v>0.16808423591223276</v>
      </c>
      <c r="K54" s="12">
        <f t="shared" ref="K54" si="80">+K53/G53-1</f>
        <v>0.18875582796747903</v>
      </c>
      <c r="L54" s="12">
        <f t="shared" ref="L54" si="81">+L53/H53-1</f>
        <v>0.18465694994847714</v>
      </c>
      <c r="M54" s="40">
        <f>+M53/I53-1</f>
        <v>0.18690523482823163</v>
      </c>
      <c r="N54" s="12">
        <f t="shared" ref="N54:U54" si="82">+N53/J53-1</f>
        <v>0.1664293664723453</v>
      </c>
      <c r="O54" s="12">
        <f t="shared" si="82"/>
        <v>0.15431095027930741</v>
      </c>
      <c r="P54" s="12">
        <f t="shared" si="82"/>
        <v>0.14454476394653337</v>
      </c>
      <c r="Q54" s="12">
        <f t="shared" si="82"/>
        <v>0.14537705794193534</v>
      </c>
      <c r="R54" s="12">
        <f t="shared" si="82"/>
        <v>0.14250701873314253</v>
      </c>
      <c r="S54" s="12">
        <f t="shared" si="82"/>
        <v>0.13399922267770359</v>
      </c>
      <c r="T54" s="12">
        <f t="shared" si="82"/>
        <v>0.14244049871917119</v>
      </c>
      <c r="U54" s="12">
        <f t="shared" si="82"/>
        <v>0.13338930194089715</v>
      </c>
      <c r="X54" s="12">
        <f>+X53/W53-1</f>
        <v>0.18244305562635987</v>
      </c>
      <c r="Y54" s="12">
        <f t="shared" ref="Y54" si="83">+Y53/X53-1</f>
        <v>0.15222598393180875</v>
      </c>
      <c r="Z54" s="12">
        <f t="shared" ref="Z54" si="84">+Z53/Y53-1</f>
        <v>0.13802439284819368</v>
      </c>
    </row>
    <row r="55" spans="2:26" collapsed="1" x14ac:dyDescent="0.25">
      <c r="M55" s="42"/>
    </row>
    <row r="56" spans="2:26" x14ac:dyDescent="0.25">
      <c r="B56" s="57" t="s">
        <v>197</v>
      </c>
      <c r="M56" s="42"/>
    </row>
    <row r="57" spans="2:26" hidden="1" outlineLevel="1" x14ac:dyDescent="0.25">
      <c r="B57" t="s">
        <v>12</v>
      </c>
      <c r="F57" s="14">
        <v>-274109</v>
      </c>
      <c r="G57" s="14">
        <v>-302603</v>
      </c>
      <c r="H57" s="14">
        <v>-319401</v>
      </c>
      <c r="I57" s="14">
        <v>-288257</v>
      </c>
      <c r="J57" s="14">
        <v>-321900</v>
      </c>
      <c r="K57" s="14">
        <v>-355510</v>
      </c>
      <c r="L57" s="14">
        <v>-371134</v>
      </c>
      <c r="M57" s="38">
        <v>-343877</v>
      </c>
      <c r="N57" s="24">
        <f t="shared" ref="N57:U57" si="85">+-N58*N47</f>
        <v>-375121.72763510491</v>
      </c>
      <c r="O57" s="24">
        <f t="shared" si="85"/>
        <v>-412894.84408144705</v>
      </c>
      <c r="P57" s="24">
        <f t="shared" si="85"/>
        <v>-424121.31053452141</v>
      </c>
      <c r="Q57" s="24">
        <f t="shared" si="85"/>
        <v>-392758.29644756776</v>
      </c>
      <c r="R57" s="24">
        <f t="shared" si="85"/>
        <v>-427416.77158146916</v>
      </c>
      <c r="S57" s="24">
        <f t="shared" si="85"/>
        <v>-466944.70070045028</v>
      </c>
      <c r="T57" s="24">
        <f t="shared" si="85"/>
        <v>-483208.32082479051</v>
      </c>
      <c r="U57" s="24">
        <f t="shared" si="85"/>
        <v>-443889.38850020582</v>
      </c>
      <c r="W57" s="7">
        <f>+SUM(F57:I57)</f>
        <v>-1184370</v>
      </c>
      <c r="X57" s="7">
        <f>+SUM(J57:M57)</f>
        <v>-1392421</v>
      </c>
      <c r="Y57" s="7">
        <f>+SUM(N57:Q57)</f>
        <v>-1604896.1786986412</v>
      </c>
      <c r="Z57" s="7">
        <f>+SUM(R57:U57)</f>
        <v>-1821459.1816069158</v>
      </c>
    </row>
    <row r="58" spans="2:26" hidden="1" outlineLevel="1" x14ac:dyDescent="0.25">
      <c r="B58" s="5" t="s">
        <v>38</v>
      </c>
      <c r="F58" s="12">
        <f t="shared" ref="F58:M58" si="86">-F57/F47</f>
        <v>0.55069391986370719</v>
      </c>
      <c r="G58" s="12">
        <f t="shared" si="86"/>
        <v>0.5581793866728153</v>
      </c>
      <c r="H58" s="12">
        <f t="shared" si="86"/>
        <v>0.56192800166079637</v>
      </c>
      <c r="I58" s="12">
        <f t="shared" si="86"/>
        <v>0.52789488142111529</v>
      </c>
      <c r="J58" s="12">
        <f t="shared" si="86"/>
        <v>0.55453629292746587</v>
      </c>
      <c r="K58" s="12">
        <f t="shared" si="86"/>
        <v>0.55117231285862012</v>
      </c>
      <c r="L58" s="12">
        <f t="shared" si="86"/>
        <v>0.55001148530991817</v>
      </c>
      <c r="M58" s="40">
        <f t="shared" si="86"/>
        <v>0.53200110151241364</v>
      </c>
      <c r="N58" s="22">
        <f t="shared" ref="N58:U58" si="87">INDEX(N59:N61,MATCH($E$6,$B$59:$B$61,0))</f>
        <v>0.55303629292746592</v>
      </c>
      <c r="O58" s="22">
        <f t="shared" si="87"/>
        <v>0.54967231285862017</v>
      </c>
      <c r="P58" s="22">
        <f t="shared" si="87"/>
        <v>0.54851148530991822</v>
      </c>
      <c r="Q58" s="22">
        <f t="shared" si="87"/>
        <v>0.5305011015124137</v>
      </c>
      <c r="R58" s="22">
        <f t="shared" si="87"/>
        <v>0.55153629292746598</v>
      </c>
      <c r="S58" s="22">
        <f t="shared" si="87"/>
        <v>0.54817231285862023</v>
      </c>
      <c r="T58" s="22">
        <f t="shared" si="87"/>
        <v>0.54701148530991828</v>
      </c>
      <c r="U58" s="22">
        <f t="shared" si="87"/>
        <v>0.52900110151241375</v>
      </c>
      <c r="X58" s="12">
        <f>+-X57/X53</f>
        <v>0.53125664108477888</v>
      </c>
      <c r="Y58" s="12">
        <f t="shared" ref="Y58:Z58" si="88">+-Y57/Y53</f>
        <v>0.53142635153770834</v>
      </c>
      <c r="Z58" s="12">
        <f t="shared" si="88"/>
        <v>0.52998553321340214</v>
      </c>
    </row>
    <row r="59" spans="2:26" hidden="1" outlineLevel="1" x14ac:dyDescent="0.25">
      <c r="B59" s="21" t="s">
        <v>30</v>
      </c>
      <c r="F59" s="11"/>
      <c r="G59" s="11"/>
      <c r="H59" s="11"/>
      <c r="I59" s="11"/>
      <c r="J59" s="12"/>
      <c r="K59" s="12"/>
      <c r="L59" s="12"/>
      <c r="M59" s="40"/>
      <c r="N59" s="36">
        <f>+J58-0.003</f>
        <v>0.55153629292746587</v>
      </c>
      <c r="O59" s="36">
        <f t="shared" ref="O59:Q59" si="89">+K58-0.003</f>
        <v>0.54817231285862011</v>
      </c>
      <c r="P59" s="36">
        <f t="shared" si="89"/>
        <v>0.54701148530991817</v>
      </c>
      <c r="Q59" s="36">
        <f t="shared" si="89"/>
        <v>0.52900110151241364</v>
      </c>
      <c r="R59" s="36">
        <f>+N59-0.003</f>
        <v>0.54853629292746586</v>
      </c>
      <c r="S59" s="36">
        <f t="shared" ref="S59:U59" si="90">+O59-0.003</f>
        <v>0.54517231285862011</v>
      </c>
      <c r="T59" s="36">
        <f t="shared" si="90"/>
        <v>0.54401148530991816</v>
      </c>
      <c r="U59" s="36">
        <f t="shared" si="90"/>
        <v>0.52600110151241364</v>
      </c>
    </row>
    <row r="60" spans="2:26" hidden="1" outlineLevel="1" x14ac:dyDescent="0.25">
      <c r="B60" s="21" t="s">
        <v>31</v>
      </c>
      <c r="F60" s="11"/>
      <c r="G60" s="11"/>
      <c r="H60" s="11"/>
      <c r="I60" s="11"/>
      <c r="J60" s="12"/>
      <c r="K60" s="12"/>
      <c r="L60" s="12"/>
      <c r="M60" s="40"/>
      <c r="N60" s="36">
        <f>+J58-0.0015</f>
        <v>0.55303629292746592</v>
      </c>
      <c r="O60" s="36">
        <f t="shared" ref="O60:Q60" si="91">+K58-0.0015</f>
        <v>0.54967231285862017</v>
      </c>
      <c r="P60" s="36">
        <f t="shared" si="91"/>
        <v>0.54851148530991822</v>
      </c>
      <c r="Q60" s="36">
        <f t="shared" si="91"/>
        <v>0.5305011015124137</v>
      </c>
      <c r="R60" s="36">
        <f>+N60-0.0015</f>
        <v>0.55153629292746598</v>
      </c>
      <c r="S60" s="36">
        <f t="shared" ref="S60:U60" si="92">+O60-0.0015</f>
        <v>0.54817231285862023</v>
      </c>
      <c r="T60" s="36">
        <f t="shared" si="92"/>
        <v>0.54701148530991828</v>
      </c>
      <c r="U60" s="36">
        <f t="shared" si="92"/>
        <v>0.52900110151241375</v>
      </c>
    </row>
    <row r="61" spans="2:26" hidden="1" outlineLevel="1" x14ac:dyDescent="0.25">
      <c r="B61" s="21" t="s">
        <v>32</v>
      </c>
      <c r="F61" s="11"/>
      <c r="G61" s="11"/>
      <c r="H61" s="11"/>
      <c r="I61" s="11"/>
      <c r="J61" s="12"/>
      <c r="K61" s="12"/>
      <c r="L61" s="12"/>
      <c r="M61" s="40"/>
      <c r="N61" s="36">
        <f>+J58-0.0005</f>
        <v>0.55403629292746592</v>
      </c>
      <c r="O61" s="36">
        <f t="shared" ref="O61:Q61" si="93">+K58-0.0005</f>
        <v>0.55067231285862017</v>
      </c>
      <c r="P61" s="36">
        <f t="shared" si="93"/>
        <v>0.54951148530991822</v>
      </c>
      <c r="Q61" s="36">
        <f t="shared" si="93"/>
        <v>0.5315011015124137</v>
      </c>
      <c r="R61" s="23">
        <f>+N61-0.0005</f>
        <v>0.55353629292746598</v>
      </c>
      <c r="S61" s="23">
        <f t="shared" ref="S61:U61" si="94">+O61-0.0005</f>
        <v>0.55017231285862023</v>
      </c>
      <c r="T61" s="23">
        <f t="shared" si="94"/>
        <v>0.54901148530991828</v>
      </c>
      <c r="U61" s="23">
        <f t="shared" si="94"/>
        <v>0.53100110151241375</v>
      </c>
    </row>
    <row r="62" spans="2:26" hidden="1" outlineLevel="1" x14ac:dyDescent="0.25">
      <c r="B62" s="5"/>
      <c r="F62" s="12"/>
      <c r="G62" s="12"/>
      <c r="H62" s="12"/>
      <c r="I62" s="12"/>
      <c r="J62" s="12"/>
      <c r="K62" s="12"/>
      <c r="L62" s="12"/>
      <c r="M62" s="40"/>
    </row>
    <row r="63" spans="2:26" hidden="1" outlineLevel="1" x14ac:dyDescent="0.25">
      <c r="B63" t="s">
        <v>13</v>
      </c>
      <c r="F63" s="14">
        <v>-66537</v>
      </c>
      <c r="G63" s="14">
        <v>-67434</v>
      </c>
      <c r="H63" s="14">
        <v>-69225</v>
      </c>
      <c r="I63" s="14">
        <v>-71926</v>
      </c>
      <c r="J63" s="14">
        <v>-72282</v>
      </c>
      <c r="K63" s="14">
        <v>-74947</v>
      </c>
      <c r="L63" s="14">
        <v>-78575</v>
      </c>
      <c r="M63" s="38">
        <v>-79141</v>
      </c>
      <c r="N63" s="24">
        <f t="shared" ref="N63:U63" si="95">+N64*N13</f>
        <v>-78014.130697674424</v>
      </c>
      <c r="O63" s="24">
        <f t="shared" si="95"/>
        <v>-80377.445485714285</v>
      </c>
      <c r="P63" s="24">
        <f t="shared" si="95"/>
        <v>-84221.745762711871</v>
      </c>
      <c r="Q63" s="24">
        <f t="shared" si="95"/>
        <v>-85233.530614525138</v>
      </c>
      <c r="R63" s="24">
        <f t="shared" si="95"/>
        <v>-83509.411772093023</v>
      </c>
      <c r="S63" s="24">
        <f t="shared" si="95"/>
        <v>-85995.129990857138</v>
      </c>
      <c r="T63" s="24">
        <f t="shared" si="95"/>
        <v>-90524.792542372874</v>
      </c>
      <c r="U63" s="24">
        <f t="shared" si="95"/>
        <v>-91078.115570949725</v>
      </c>
      <c r="W63" s="7">
        <f>+SUM(F63:I63)</f>
        <v>-275122</v>
      </c>
      <c r="X63" s="7">
        <f>+SUM(J63:M63)</f>
        <v>-304945</v>
      </c>
      <c r="Y63" s="7">
        <f>+SUM(N63:Q63)</f>
        <v>-327846.8525606257</v>
      </c>
      <c r="Z63" s="7">
        <f>+SUM(R63:U63)</f>
        <v>-351107.44987627276</v>
      </c>
    </row>
    <row r="64" spans="2:26" hidden="1" outlineLevel="1" x14ac:dyDescent="0.25">
      <c r="B64" s="46" t="s">
        <v>41</v>
      </c>
      <c r="F64" s="7">
        <f t="shared" ref="F64:M64" si="96">+F63/F13</f>
        <v>-405.71341463414632</v>
      </c>
      <c r="G64" s="7">
        <f t="shared" si="96"/>
        <v>-411.1829268292683</v>
      </c>
      <c r="H64" s="7">
        <f t="shared" si="96"/>
        <v>-407.20588235294116</v>
      </c>
      <c r="I64" s="7">
        <f t="shared" si="96"/>
        <v>-420.61988304093569</v>
      </c>
      <c r="J64" s="7">
        <f t="shared" si="96"/>
        <v>-420.24418604651163</v>
      </c>
      <c r="K64" s="7">
        <f t="shared" si="96"/>
        <v>-428.26857142857142</v>
      </c>
      <c r="L64" s="7">
        <f t="shared" si="96"/>
        <v>-443.9265536723164</v>
      </c>
      <c r="M64" s="39">
        <f t="shared" si="96"/>
        <v>-442.12849162011173</v>
      </c>
      <c r="N64" s="7">
        <f>+J64*1.02</f>
        <v>-428.64906976744186</v>
      </c>
      <c r="O64" s="7">
        <f t="shared" ref="O64:U64" si="97">+K64*1.02</f>
        <v>-436.83394285714286</v>
      </c>
      <c r="P64" s="7">
        <f t="shared" si="97"/>
        <v>-452.80508474576271</v>
      </c>
      <c r="Q64" s="7">
        <f t="shared" si="97"/>
        <v>-450.97106145251399</v>
      </c>
      <c r="R64" s="7">
        <f t="shared" si="97"/>
        <v>-437.22205116279071</v>
      </c>
      <c r="S64" s="7">
        <f t="shared" si="97"/>
        <v>-445.57062171428572</v>
      </c>
      <c r="T64" s="7">
        <f t="shared" si="97"/>
        <v>-461.86118644067795</v>
      </c>
      <c r="U64" s="7">
        <f t="shared" si="97"/>
        <v>-459.99048268156429</v>
      </c>
      <c r="W64" s="7"/>
      <c r="X64" s="7"/>
      <c r="Y64" s="7"/>
      <c r="Z64" s="7"/>
    </row>
    <row r="65" spans="2:26" hidden="1" outlineLevel="1" x14ac:dyDescent="0.25">
      <c r="M65" s="42"/>
    </row>
    <row r="66" spans="2:26" hidden="1" outlineLevel="1" x14ac:dyDescent="0.25">
      <c r="B66" t="s">
        <v>39</v>
      </c>
      <c r="F66" s="14">
        <v>-44624</v>
      </c>
      <c r="G66" s="14">
        <v>-81034</v>
      </c>
      <c r="H66" s="14">
        <v>-86184</v>
      </c>
      <c r="I66" s="14">
        <v>-75652</v>
      </c>
      <c r="J66" s="14">
        <v>-64575</v>
      </c>
      <c r="K66" s="14">
        <v>-62834</v>
      </c>
      <c r="L66" s="14">
        <v>-80379</v>
      </c>
      <c r="M66" s="38">
        <v>-83677</v>
      </c>
      <c r="N66" s="24">
        <f t="shared" ref="N66:U66" si="98">-N67*N53</f>
        <v>-74626.148107678426</v>
      </c>
      <c r="O66" s="24">
        <f t="shared" si="98"/>
        <v>-71759.170415380548</v>
      </c>
      <c r="P66" s="24">
        <f t="shared" si="98"/>
        <v>-91203.926236368701</v>
      </c>
      <c r="Q66" s="24">
        <f t="shared" si="98"/>
        <v>-95082.006946284426</v>
      </c>
      <c r="R66" s="24">
        <f t="shared" si="98"/>
        <v>-84465.680853432976</v>
      </c>
      <c r="S66" s="24">
        <f t="shared" si="98"/>
        <v>-80500.752521913048</v>
      </c>
      <c r="T66" s="24">
        <f t="shared" si="98"/>
        <v>-103288.60401862534</v>
      </c>
      <c r="U66" s="24">
        <f t="shared" si="98"/>
        <v>-106903.88327818732</v>
      </c>
      <c r="W66" s="7">
        <f>+SUM(F66:I66)</f>
        <v>-287494</v>
      </c>
      <c r="X66" s="7">
        <f>+SUM(J66:M66)</f>
        <v>-291465</v>
      </c>
      <c r="Y66" s="7">
        <f>+SUM(N66:Q66)</f>
        <v>-332671.25170571211</v>
      </c>
      <c r="Z66" s="7">
        <f>+SUM(R66:U66)</f>
        <v>-375158.92067215865</v>
      </c>
    </row>
    <row r="67" spans="2:26" hidden="1" outlineLevel="1" x14ac:dyDescent="0.25">
      <c r="B67" s="5" t="s">
        <v>42</v>
      </c>
      <c r="F67" s="12">
        <f t="shared" ref="F67:M67" si="99">-F66/F53</f>
        <v>8.7352280802034249E-2</v>
      </c>
      <c r="G67" s="12">
        <f t="shared" si="99"/>
        <v>0.14425766069524382</v>
      </c>
      <c r="H67" s="12">
        <f t="shared" si="99"/>
        <v>0.14727851573113776</v>
      </c>
      <c r="I67" s="12">
        <f t="shared" si="99"/>
        <v>0.1353747266630162</v>
      </c>
      <c r="J67" s="12">
        <f t="shared" si="99"/>
        <v>0.10821712805232631</v>
      </c>
      <c r="K67" s="12">
        <f t="shared" si="99"/>
        <v>9.40965405287221E-2</v>
      </c>
      <c r="L67" s="12">
        <f t="shared" si="99"/>
        <v>0.11594786176096383</v>
      </c>
      <c r="M67" s="40">
        <f t="shared" si="99"/>
        <v>0.12615580378209604</v>
      </c>
      <c r="N67" s="12">
        <f>+J67-0.001</f>
        <v>0.1072171280523263</v>
      </c>
      <c r="O67" s="12">
        <f t="shared" ref="O67:U67" si="100">+K67-0.001</f>
        <v>9.3096540528722099E-2</v>
      </c>
      <c r="P67" s="12">
        <f t="shared" si="100"/>
        <v>0.11494786176096383</v>
      </c>
      <c r="Q67" s="12">
        <f t="shared" si="100"/>
        <v>0.12515580378209604</v>
      </c>
      <c r="R67" s="12">
        <f t="shared" si="100"/>
        <v>0.1062171280523263</v>
      </c>
      <c r="S67" s="12">
        <f t="shared" si="100"/>
        <v>9.2096540528722098E-2</v>
      </c>
      <c r="T67" s="12">
        <f t="shared" si="100"/>
        <v>0.11394786176096383</v>
      </c>
      <c r="U67" s="12">
        <f t="shared" si="100"/>
        <v>0.12415580378209604</v>
      </c>
      <c r="W67" s="12">
        <f>-W66/W53</f>
        <v>0.12970085171251555</v>
      </c>
      <c r="X67" s="12">
        <f t="shared" ref="X67:Z67" si="101">-X66/X53</f>
        <v>0.11120395117121551</v>
      </c>
      <c r="Y67" s="12">
        <f t="shared" si="101"/>
        <v>0.11015682628068986</v>
      </c>
      <c r="Z67" s="12">
        <f t="shared" si="101"/>
        <v>0.10915907565756647</v>
      </c>
    </row>
    <row r="68" spans="2:26" hidden="1" outlineLevel="1" x14ac:dyDescent="0.25">
      <c r="M68" s="42"/>
    </row>
    <row r="69" spans="2:26" hidden="1" outlineLevel="1" x14ac:dyDescent="0.25">
      <c r="B69" t="s">
        <v>40</v>
      </c>
      <c r="F69" s="14">
        <v>-58197</v>
      </c>
      <c r="G69" s="14">
        <v>-58252</v>
      </c>
      <c r="H69" s="14">
        <v>-63618</v>
      </c>
      <c r="I69" s="14">
        <v>-64330</v>
      </c>
      <c r="J69" s="14">
        <v>-65903</v>
      </c>
      <c r="K69" s="14">
        <v>-69714</v>
      </c>
      <c r="L69" s="14">
        <v>-69451</v>
      </c>
      <c r="M69" s="38">
        <v>-69613</v>
      </c>
      <c r="N69" s="24">
        <f t="shared" ref="N69:U69" si="102">-N70*N53</f>
        <v>-73049.683669323262</v>
      </c>
      <c r="O69" s="24">
        <f t="shared" si="102"/>
        <v>-80897.546490596869</v>
      </c>
      <c r="P69" s="24">
        <f t="shared" si="102"/>
        <v>-83272.982859213123</v>
      </c>
      <c r="Q69" s="24">
        <f t="shared" si="102"/>
        <v>-79733.13313451194</v>
      </c>
      <c r="R69" s="24">
        <f t="shared" si="102"/>
        <v>-83459.776308437635</v>
      </c>
      <c r="S69" s="24">
        <f t="shared" si="102"/>
        <v>-91737.754836870241</v>
      </c>
      <c r="T69" s="24">
        <f t="shared" si="102"/>
        <v>-95134.428067512446</v>
      </c>
      <c r="U69" s="24">
        <f t="shared" si="102"/>
        <v>-90368.680104885105</v>
      </c>
      <c r="W69" s="7">
        <f>+SUM(F69:I69)</f>
        <v>-244397</v>
      </c>
      <c r="X69" s="7">
        <f>+SUM(J69:M69)</f>
        <v>-274681</v>
      </c>
      <c r="Y69" s="7">
        <f>+SUM(N69:Q69)</f>
        <v>-316953.34615364519</v>
      </c>
      <c r="Z69" s="7">
        <f>+SUM(R69:U69)</f>
        <v>-360700.63931770541</v>
      </c>
    </row>
    <row r="70" spans="2:26" hidden="1" outlineLevel="1" x14ac:dyDescent="0.25">
      <c r="B70" s="5" t="s">
        <v>42</v>
      </c>
      <c r="F70" s="12">
        <f t="shared" ref="F70:M70" si="103">-F69/F53</f>
        <v>0.11392167187692694</v>
      </c>
      <c r="G70" s="12">
        <f t="shared" si="103"/>
        <v>0.10370088173876819</v>
      </c>
      <c r="H70" s="12">
        <f t="shared" si="103"/>
        <v>0.10871582444286088</v>
      </c>
      <c r="I70" s="12">
        <f t="shared" si="103"/>
        <v>0.11511468521958221</v>
      </c>
      <c r="J70" s="12">
        <f t="shared" si="103"/>
        <v>0.1104426386377462</v>
      </c>
      <c r="K70" s="12">
        <f t="shared" si="103"/>
        <v>0.10439962801062057</v>
      </c>
      <c r="L70" s="12">
        <f t="shared" si="103"/>
        <v>0.1001840648323654</v>
      </c>
      <c r="M70" s="40">
        <f t="shared" si="103"/>
        <v>0.10495218481402357</v>
      </c>
      <c r="N70" s="12">
        <f>+M70</f>
        <v>0.10495218481402357</v>
      </c>
      <c r="O70" s="12">
        <f t="shared" ref="O70:U70" si="104">+N70</f>
        <v>0.10495218481402357</v>
      </c>
      <c r="P70" s="12">
        <f t="shared" si="104"/>
        <v>0.10495218481402357</v>
      </c>
      <c r="Q70" s="12">
        <f t="shared" si="104"/>
        <v>0.10495218481402357</v>
      </c>
      <c r="R70" s="12">
        <f t="shared" si="104"/>
        <v>0.10495218481402357</v>
      </c>
      <c r="S70" s="12">
        <f t="shared" si="104"/>
        <v>0.10495218481402357</v>
      </c>
      <c r="T70" s="12">
        <f t="shared" si="104"/>
        <v>0.10495218481402357</v>
      </c>
      <c r="U70" s="12">
        <f t="shared" si="104"/>
        <v>0.10495218481402357</v>
      </c>
      <c r="W70" s="12">
        <f>-W69/W53</f>
        <v>0.11025794992585468</v>
      </c>
      <c r="X70" s="12">
        <f t="shared" ref="X70:Z70" si="105">-X69/X53</f>
        <v>0.10480027623097335</v>
      </c>
      <c r="Y70" s="12">
        <f t="shared" si="105"/>
        <v>0.10495218481402357</v>
      </c>
      <c r="Z70" s="12">
        <f t="shared" si="105"/>
        <v>0.10495218481402356</v>
      </c>
    </row>
    <row r="71" spans="2:26" ht="14.25" hidden="1" outlineLevel="1" thickBot="1" x14ac:dyDescent="0.3">
      <c r="B71" s="51"/>
      <c r="C71" s="51"/>
      <c r="D71" s="51"/>
      <c r="E71" s="51"/>
      <c r="F71" s="51"/>
      <c r="G71" s="51"/>
      <c r="H71" s="51"/>
      <c r="I71" s="51"/>
      <c r="J71" s="51"/>
      <c r="K71" s="51"/>
      <c r="L71" s="51"/>
      <c r="M71" s="55"/>
      <c r="N71" s="51"/>
      <c r="O71" s="51"/>
      <c r="P71" s="51"/>
      <c r="Q71" s="51"/>
      <c r="R71" s="51"/>
      <c r="S71" s="51"/>
      <c r="T71" s="51"/>
      <c r="U71" s="51"/>
      <c r="W71" s="51"/>
      <c r="X71" s="51"/>
      <c r="Y71" s="51"/>
      <c r="Z71" s="51"/>
    </row>
    <row r="72" spans="2:26" hidden="1" outlineLevel="1" x14ac:dyDescent="0.25">
      <c r="B72" s="6" t="s">
        <v>43</v>
      </c>
      <c r="F72" s="8">
        <f t="shared" ref="F72:U72" si="106">+F53+F57+F63+F66+F69</f>
        <v>67384</v>
      </c>
      <c r="G72" s="8">
        <f t="shared" si="106"/>
        <v>52408</v>
      </c>
      <c r="H72" s="8">
        <f t="shared" si="106"/>
        <v>46749</v>
      </c>
      <c r="I72" s="8">
        <f t="shared" si="106"/>
        <v>58669</v>
      </c>
      <c r="J72" s="8">
        <f t="shared" si="106"/>
        <v>72057</v>
      </c>
      <c r="K72" s="8">
        <f t="shared" si="106"/>
        <v>104756</v>
      </c>
      <c r="L72" s="8">
        <f t="shared" si="106"/>
        <v>93695</v>
      </c>
      <c r="M72" s="45">
        <f t="shared" si="106"/>
        <v>86975</v>
      </c>
      <c r="N72" s="8">
        <f t="shared" si="106"/>
        <v>95216.542163497521</v>
      </c>
      <c r="O72" s="8">
        <f t="shared" si="106"/>
        <v>124874.82799632187</v>
      </c>
      <c r="P72" s="8">
        <f t="shared" si="106"/>
        <v>110617.37949689601</v>
      </c>
      <c r="Q72" s="8">
        <f t="shared" si="106"/>
        <v>106902.16398001136</v>
      </c>
      <c r="R72" s="8">
        <f t="shared" si="106"/>
        <v>116365.50009320991</v>
      </c>
      <c r="S72" s="8">
        <f t="shared" si="106"/>
        <v>148912.61107527104</v>
      </c>
      <c r="T72" s="8">
        <f t="shared" si="106"/>
        <v>134298.81054491544</v>
      </c>
      <c r="U72" s="8">
        <f t="shared" si="106"/>
        <v>128806.13434728186</v>
      </c>
      <c r="W72" s="8">
        <f>+SUM(F72:I72)</f>
        <v>225210</v>
      </c>
      <c r="X72" s="8">
        <f>SUM(J72:M72)</f>
        <v>357483</v>
      </c>
      <c r="Y72" s="8">
        <f>SUM(N72:Q72)</f>
        <v>437610.91363672673</v>
      </c>
      <c r="Z72" s="8">
        <f>SUM(R72:U72)</f>
        <v>528383.05606067821</v>
      </c>
    </row>
    <row r="73" spans="2:26" hidden="1" outlineLevel="1" x14ac:dyDescent="0.25">
      <c r="B73" s="5" t="s">
        <v>44</v>
      </c>
      <c r="F73" s="12">
        <f t="shared" ref="F73:U73" si="107">+F72/F53</f>
        <v>0.13190538924265588</v>
      </c>
      <c r="G73" s="12">
        <f t="shared" si="107"/>
        <v>9.3297325588226399E-2</v>
      </c>
      <c r="H73" s="12">
        <f t="shared" si="107"/>
        <v>7.988864907540795E-2</v>
      </c>
      <c r="I73" s="12">
        <f t="shared" si="107"/>
        <v>0.1049846644978652</v>
      </c>
      <c r="J73" s="12">
        <f t="shared" si="107"/>
        <v>0.12075573513072362</v>
      </c>
      <c r="K73" s="12">
        <f t="shared" si="107"/>
        <v>0.15687648724618539</v>
      </c>
      <c r="L73" s="12">
        <f t="shared" si="107"/>
        <v>0.13515638298179258</v>
      </c>
      <c r="M73" s="40">
        <f t="shared" si="107"/>
        <v>0.13112804036889231</v>
      </c>
      <c r="N73" s="12">
        <f t="shared" si="107"/>
        <v>0.13679982757669673</v>
      </c>
      <c r="O73" s="12">
        <f t="shared" si="107"/>
        <v>0.16200597663382463</v>
      </c>
      <c r="P73" s="12">
        <f t="shared" si="107"/>
        <v>0.13941539330023844</v>
      </c>
      <c r="Q73" s="12">
        <f t="shared" si="107"/>
        <v>0.14071459667991992</v>
      </c>
      <c r="R73" s="12">
        <f t="shared" si="107"/>
        <v>0.14633173022923798</v>
      </c>
      <c r="S73" s="12">
        <f t="shared" si="107"/>
        <v>0.17036283378094338</v>
      </c>
      <c r="T73" s="12">
        <f t="shared" si="107"/>
        <v>0.14815828371418785</v>
      </c>
      <c r="U73" s="12">
        <f t="shared" si="107"/>
        <v>0.14959259337976211</v>
      </c>
      <c r="W73" s="12">
        <f>+W72/W53</f>
        <v>0.1016018727840429</v>
      </c>
      <c r="X73" s="12">
        <f t="shared" ref="X73:Z73" si="108">+X72/X53</f>
        <v>0.13639209536836203</v>
      </c>
      <c r="Y73" s="12">
        <f t="shared" si="108"/>
        <v>0.14490530559778805</v>
      </c>
      <c r="Z73" s="12">
        <f t="shared" si="108"/>
        <v>0.15374232842275087</v>
      </c>
    </row>
    <row r="74" spans="2:26" hidden="1" outlineLevel="1" x14ac:dyDescent="0.25">
      <c r="M74" s="42"/>
    </row>
    <row r="75" spans="2:26" hidden="1" outlineLevel="1" x14ac:dyDescent="0.25">
      <c r="B75" t="s">
        <v>45</v>
      </c>
      <c r="F75" s="14">
        <v>-8872</v>
      </c>
      <c r="G75" s="14">
        <v>-3513</v>
      </c>
      <c r="H75" s="14">
        <v>-5815</v>
      </c>
      <c r="I75" s="14">
        <v>-527</v>
      </c>
      <c r="J75" s="14">
        <v>-9914</v>
      </c>
      <c r="K75" s="14">
        <v>-13818</v>
      </c>
      <c r="L75" s="14">
        <v>-16213</v>
      </c>
      <c r="M75" s="38">
        <v>-12583</v>
      </c>
      <c r="N75" s="24">
        <f t="shared" ref="N75:U75" si="109">+N72*-$F$76</f>
        <v>-19995.473854334479</v>
      </c>
      <c r="O75" s="24">
        <f t="shared" si="109"/>
        <v>-26223.713879227591</v>
      </c>
      <c r="P75" s="24">
        <f t="shared" si="109"/>
        <v>-23229.649694348162</v>
      </c>
      <c r="Q75" s="24">
        <f t="shared" si="109"/>
        <v>-22449.454435802385</v>
      </c>
      <c r="R75" s="24">
        <f t="shared" si="109"/>
        <v>-24436.755019574081</v>
      </c>
      <c r="S75" s="24">
        <f t="shared" si="109"/>
        <v>-31271.648325806917</v>
      </c>
      <c r="T75" s="24">
        <f t="shared" si="109"/>
        <v>-28202.750214432243</v>
      </c>
      <c r="U75" s="24">
        <f t="shared" si="109"/>
        <v>-27049.28821292919</v>
      </c>
      <c r="W75" s="7">
        <f>+SUM(F75:I75)</f>
        <v>-18727</v>
      </c>
      <c r="X75" s="7">
        <f>+SUM(J75:M75)</f>
        <v>-52528</v>
      </c>
      <c r="Y75" s="7">
        <f>+SUM(N75:Q75)</f>
        <v>-91898.291863712613</v>
      </c>
      <c r="Z75" s="7">
        <f>+SUM(R75:U75)</f>
        <v>-110960.44177274243</v>
      </c>
    </row>
    <row r="76" spans="2:26" hidden="1" outlineLevel="1" x14ac:dyDescent="0.25">
      <c r="B76" s="5" t="s">
        <v>46</v>
      </c>
      <c r="F76" s="47">
        <v>0.21</v>
      </c>
      <c r="M76" s="42"/>
    </row>
    <row r="77" spans="2:26" hidden="1" outlineLevel="1" x14ac:dyDescent="0.25">
      <c r="B77" s="5"/>
      <c r="F77" s="48"/>
      <c r="G77" s="48"/>
      <c r="H77" s="48"/>
      <c r="I77" s="48"/>
      <c r="J77" s="48"/>
      <c r="K77" s="48"/>
      <c r="L77" s="48"/>
      <c r="M77" s="49"/>
    </row>
    <row r="78" spans="2:26" hidden="1" outlineLevel="1" x14ac:dyDescent="0.25">
      <c r="B78" s="6" t="s">
        <v>47</v>
      </c>
      <c r="C78" s="6"/>
      <c r="D78" s="6"/>
      <c r="E78" s="6"/>
      <c r="F78" s="8">
        <f t="shared" ref="F78:U78" si="110">+F72+F75</f>
        <v>58512</v>
      </c>
      <c r="G78" s="8">
        <f t="shared" si="110"/>
        <v>48895</v>
      </c>
      <c r="H78" s="8">
        <f t="shared" si="110"/>
        <v>40934</v>
      </c>
      <c r="I78" s="8">
        <f t="shared" si="110"/>
        <v>58142</v>
      </c>
      <c r="J78" s="8">
        <f t="shared" si="110"/>
        <v>62143</v>
      </c>
      <c r="K78" s="8">
        <f t="shared" si="110"/>
        <v>90938</v>
      </c>
      <c r="L78" s="8">
        <f t="shared" si="110"/>
        <v>77482</v>
      </c>
      <c r="M78" s="45">
        <f t="shared" si="110"/>
        <v>74392</v>
      </c>
      <c r="N78" s="8">
        <f t="shared" si="110"/>
        <v>75221.068309163034</v>
      </c>
      <c r="O78" s="8">
        <f t="shared" si="110"/>
        <v>98651.114117094272</v>
      </c>
      <c r="P78" s="8">
        <f t="shared" si="110"/>
        <v>87387.729802547852</v>
      </c>
      <c r="Q78" s="8">
        <f t="shared" si="110"/>
        <v>84452.709544208978</v>
      </c>
      <c r="R78" s="8">
        <f t="shared" si="110"/>
        <v>91928.74507363583</v>
      </c>
      <c r="S78" s="8">
        <f t="shared" si="110"/>
        <v>117640.96274946412</v>
      </c>
      <c r="T78" s="8">
        <f t="shared" si="110"/>
        <v>106096.06033048319</v>
      </c>
      <c r="U78" s="8">
        <f t="shared" si="110"/>
        <v>101756.84613435267</v>
      </c>
      <c r="W78" s="8">
        <f>+SUM(F78:I78)</f>
        <v>206483</v>
      </c>
      <c r="X78" s="8">
        <f>SUM(J78:M78)</f>
        <v>304955</v>
      </c>
      <c r="Y78" s="8">
        <f>SUM(N78:Q78)</f>
        <v>345712.62177301408</v>
      </c>
      <c r="Z78" s="8">
        <f>SUM(R78:U78)</f>
        <v>417422.61428793584</v>
      </c>
    </row>
    <row r="79" spans="2:26" hidden="1" outlineLevel="1" x14ac:dyDescent="0.25">
      <c r="M79" s="42"/>
    </row>
    <row r="80" spans="2:26" hidden="1" outlineLevel="1" x14ac:dyDescent="0.25">
      <c r="B80" t="s">
        <v>40</v>
      </c>
      <c r="F80" s="14">
        <f t="shared" ref="F80:U80" si="111">+F69</f>
        <v>-58197</v>
      </c>
      <c r="G80" s="14">
        <f t="shared" si="111"/>
        <v>-58252</v>
      </c>
      <c r="H80" s="14">
        <f t="shared" si="111"/>
        <v>-63618</v>
      </c>
      <c r="I80" s="14">
        <f t="shared" si="111"/>
        <v>-64330</v>
      </c>
      <c r="J80" s="14">
        <f t="shared" si="111"/>
        <v>-65903</v>
      </c>
      <c r="K80" s="14">
        <f t="shared" si="111"/>
        <v>-69714</v>
      </c>
      <c r="L80" s="14">
        <f t="shared" si="111"/>
        <v>-69451</v>
      </c>
      <c r="M80" s="14">
        <f t="shared" si="111"/>
        <v>-69613</v>
      </c>
      <c r="N80" s="7">
        <f t="shared" si="111"/>
        <v>-73049.683669323262</v>
      </c>
      <c r="O80" s="7">
        <f t="shared" si="111"/>
        <v>-80897.546490596869</v>
      </c>
      <c r="P80" s="7">
        <f t="shared" si="111"/>
        <v>-83272.982859213123</v>
      </c>
      <c r="Q80" s="7">
        <f t="shared" si="111"/>
        <v>-79733.13313451194</v>
      </c>
      <c r="R80" s="7">
        <f t="shared" si="111"/>
        <v>-83459.776308437635</v>
      </c>
      <c r="S80" s="7">
        <f t="shared" si="111"/>
        <v>-91737.754836870241</v>
      </c>
      <c r="T80" s="7">
        <f t="shared" si="111"/>
        <v>-95134.428067512446</v>
      </c>
      <c r="U80" s="7">
        <f t="shared" si="111"/>
        <v>-90368.680104885105</v>
      </c>
      <c r="W80" s="7">
        <f>+SUM(F80:I80)</f>
        <v>-244397</v>
      </c>
      <c r="X80" s="7">
        <f>SUM(J80:M80)</f>
        <v>-274681</v>
      </c>
      <c r="Y80" s="7">
        <f>SUM(N80:Q80)</f>
        <v>-316953.34615364519</v>
      </c>
      <c r="Z80" s="7">
        <f>SUM(R80:U80)</f>
        <v>-360700.63931770541</v>
      </c>
    </row>
    <row r="81" spans="2:26" hidden="1" outlineLevel="1" x14ac:dyDescent="0.25">
      <c r="M81" s="42"/>
    </row>
    <row r="82" spans="2:26" hidden="1" outlineLevel="1" x14ac:dyDescent="0.25">
      <c r="B82" s="19" t="s">
        <v>48</v>
      </c>
      <c r="F82" s="14">
        <v>121536</v>
      </c>
      <c r="G82" s="14">
        <v>115889</v>
      </c>
      <c r="H82" s="14">
        <v>116116</v>
      </c>
      <c r="I82" s="14">
        <v>134457</v>
      </c>
      <c r="J82" s="14">
        <v>146994</v>
      </c>
      <c r="K82" s="14">
        <v>138568</v>
      </c>
      <c r="L82" s="14">
        <v>126841</v>
      </c>
      <c r="M82" s="38">
        <v>138179</v>
      </c>
      <c r="N82" s="24">
        <f t="shared" ref="N82:U82" si="112">+N83*N53</f>
        <v>171458.11829523594</v>
      </c>
      <c r="O82" s="24">
        <f t="shared" si="112"/>
        <v>159950.55975830308</v>
      </c>
      <c r="P82" s="24">
        <f t="shared" si="112"/>
        <v>145175.20240374224</v>
      </c>
      <c r="Q82" s="24">
        <f t="shared" si="112"/>
        <v>158267.05648935866</v>
      </c>
      <c r="R82" s="24">
        <f t="shared" si="112"/>
        <v>195892.10357108447</v>
      </c>
      <c r="S82" s="24">
        <f t="shared" si="112"/>
        <v>181383.81043277928</v>
      </c>
      <c r="T82" s="24">
        <f t="shared" si="112"/>
        <v>165854.0306357879</v>
      </c>
      <c r="U82" s="24">
        <f t="shared" si="112"/>
        <v>179378.18867471477</v>
      </c>
    </row>
    <row r="83" spans="2:26" hidden="1" outlineLevel="1" x14ac:dyDescent="0.25">
      <c r="B83" s="56" t="s">
        <v>50</v>
      </c>
      <c r="F83" s="11">
        <f t="shared" ref="F83:M83" si="113">F82/F53</f>
        <v>0.23790890102985018</v>
      </c>
      <c r="G83" s="11">
        <f t="shared" si="113"/>
        <v>0.20630693338982539</v>
      </c>
      <c r="H83" s="11">
        <f t="shared" si="113"/>
        <v>0.19842885144152966</v>
      </c>
      <c r="I83" s="11">
        <f t="shared" si="113"/>
        <v>0.2406027550220638</v>
      </c>
      <c r="J83" s="11">
        <f t="shared" si="113"/>
        <v>0.24633787875994817</v>
      </c>
      <c r="K83" s="11">
        <f t="shared" si="113"/>
        <v>0.20751137008600382</v>
      </c>
      <c r="L83" s="11">
        <f t="shared" si="113"/>
        <v>0.18296996396599127</v>
      </c>
      <c r="M83" s="58">
        <f t="shared" si="113"/>
        <v>0.20832585789172947</v>
      </c>
      <c r="N83" s="11">
        <f>+J83</f>
        <v>0.24633787875994817</v>
      </c>
      <c r="O83" s="11">
        <f t="shared" ref="O83:U83" si="114">+K83</f>
        <v>0.20751137008600382</v>
      </c>
      <c r="P83" s="11">
        <f t="shared" si="114"/>
        <v>0.18296996396599127</v>
      </c>
      <c r="Q83" s="11">
        <f t="shared" si="114"/>
        <v>0.20832585789172947</v>
      </c>
      <c r="R83" s="11">
        <f t="shared" si="114"/>
        <v>0.24633787875994817</v>
      </c>
      <c r="S83" s="11">
        <f t="shared" si="114"/>
        <v>0.20751137008600382</v>
      </c>
      <c r="T83" s="11">
        <f t="shared" si="114"/>
        <v>0.18296996396599127</v>
      </c>
      <c r="U83" s="11">
        <f t="shared" si="114"/>
        <v>0.20832585789172947</v>
      </c>
    </row>
    <row r="84" spans="2:26" hidden="1" outlineLevel="1" x14ac:dyDescent="0.25">
      <c r="B84" s="19" t="s">
        <v>49</v>
      </c>
      <c r="F84" s="14">
        <v>358031</v>
      </c>
      <c r="G84" s="14">
        <v>415717</v>
      </c>
      <c r="H84" s="14">
        <v>402832</v>
      </c>
      <c r="I84" s="14">
        <v>424586</v>
      </c>
      <c r="J84" s="14">
        <v>365486</v>
      </c>
      <c r="K84" s="14">
        <v>366731</v>
      </c>
      <c r="L84" s="14">
        <v>377280</v>
      </c>
      <c r="M84" s="38">
        <v>427057</v>
      </c>
      <c r="N84" s="24">
        <f t="shared" ref="N84:U84" si="115">+N85*N53</f>
        <v>426313.60343451163</v>
      </c>
      <c r="O84" s="24">
        <f t="shared" si="115"/>
        <v>423321.60910688073</v>
      </c>
      <c r="P84" s="24">
        <f t="shared" si="115"/>
        <v>431813.84854174807</v>
      </c>
      <c r="Q84" s="24">
        <f t="shared" si="115"/>
        <v>489141.29023350909</v>
      </c>
      <c r="R84" s="24">
        <f t="shared" si="115"/>
        <v>487066.28410534706</v>
      </c>
      <c r="S84" s="24">
        <f t="shared" si="115"/>
        <v>480046.37566987745</v>
      </c>
      <c r="T84" s="24">
        <f t="shared" si="115"/>
        <v>493321.62848187936</v>
      </c>
      <c r="U84" s="24">
        <f t="shared" si="115"/>
        <v>554387.50548822666</v>
      </c>
    </row>
    <row r="85" spans="2:26" hidden="1" outlineLevel="1" x14ac:dyDescent="0.25">
      <c r="B85" s="56" t="s">
        <v>50</v>
      </c>
      <c r="F85" s="11">
        <f t="shared" ref="F85:M85" si="116">F84/F53</f>
        <v>0.70085210756169602</v>
      </c>
      <c r="G85" s="11">
        <f t="shared" si="116"/>
        <v>0.74006419442758187</v>
      </c>
      <c r="H85" s="11">
        <f t="shared" si="116"/>
        <v>0.68839342626248123</v>
      </c>
      <c r="I85" s="11">
        <f t="shared" si="116"/>
        <v>0.75977123797048851</v>
      </c>
      <c r="J85" s="11">
        <f t="shared" si="116"/>
        <v>0.6124947001677512</v>
      </c>
      <c r="K85" s="11">
        <f t="shared" si="116"/>
        <v>0.54919499641338743</v>
      </c>
      <c r="L85" s="11">
        <f t="shared" si="116"/>
        <v>0.54423181782774643</v>
      </c>
      <c r="M85" s="58">
        <f t="shared" si="116"/>
        <v>0.643853377819121</v>
      </c>
      <c r="N85" s="11">
        <f>+J85</f>
        <v>0.6124947001677512</v>
      </c>
      <c r="O85" s="11">
        <f t="shared" ref="O85:U85" si="117">+K85</f>
        <v>0.54919499641338743</v>
      </c>
      <c r="P85" s="11">
        <f t="shared" si="117"/>
        <v>0.54423181782774643</v>
      </c>
      <c r="Q85" s="11">
        <f t="shared" si="117"/>
        <v>0.643853377819121</v>
      </c>
      <c r="R85" s="11">
        <f t="shared" si="117"/>
        <v>0.6124947001677512</v>
      </c>
      <c r="S85" s="11">
        <f t="shared" si="117"/>
        <v>0.54919499641338743</v>
      </c>
      <c r="T85" s="11">
        <f t="shared" si="117"/>
        <v>0.54423181782774643</v>
      </c>
      <c r="U85" s="11">
        <f t="shared" si="117"/>
        <v>0.643853377819121</v>
      </c>
    </row>
    <row r="86" spans="2:26" hidden="1" outlineLevel="1" x14ac:dyDescent="0.25">
      <c r="B86" s="19" t="s">
        <v>51</v>
      </c>
      <c r="F86" s="7">
        <f>+F82-F84</f>
        <v>-236495</v>
      </c>
      <c r="G86" s="7">
        <f t="shared" ref="G86:U86" si="118">+G82-G84</f>
        <v>-299828</v>
      </c>
      <c r="H86" s="7">
        <f t="shared" si="118"/>
        <v>-286716</v>
      </c>
      <c r="I86" s="7">
        <f t="shared" si="118"/>
        <v>-290129</v>
      </c>
      <c r="J86" s="7">
        <f t="shared" si="118"/>
        <v>-218492</v>
      </c>
      <c r="K86" s="7">
        <f t="shared" si="118"/>
        <v>-228163</v>
      </c>
      <c r="L86" s="7">
        <f t="shared" si="118"/>
        <v>-250439</v>
      </c>
      <c r="M86" s="39">
        <f t="shared" si="118"/>
        <v>-288878</v>
      </c>
      <c r="N86" s="7">
        <f t="shared" si="118"/>
        <v>-254855.4851392757</v>
      </c>
      <c r="O86" s="7">
        <f t="shared" si="118"/>
        <v>-263371.04934857762</v>
      </c>
      <c r="P86" s="7">
        <f t="shared" si="118"/>
        <v>-286638.64613800583</v>
      </c>
      <c r="Q86" s="7">
        <f t="shared" si="118"/>
        <v>-330874.23374415044</v>
      </c>
      <c r="R86" s="7">
        <f t="shared" si="118"/>
        <v>-291174.18053426256</v>
      </c>
      <c r="S86" s="7">
        <f t="shared" si="118"/>
        <v>-298662.56523709814</v>
      </c>
      <c r="T86" s="7">
        <f t="shared" si="118"/>
        <v>-327467.59784609149</v>
      </c>
      <c r="U86" s="7">
        <f t="shared" si="118"/>
        <v>-375009.31681351189</v>
      </c>
    </row>
    <row r="87" spans="2:26" hidden="1" outlineLevel="1" x14ac:dyDescent="0.25">
      <c r="B87" s="19" t="s">
        <v>52</v>
      </c>
      <c r="F87" s="7">
        <f>+I87</f>
        <v>-3413</v>
      </c>
      <c r="G87" s="7">
        <f>+G86-F86</f>
        <v>-63333</v>
      </c>
      <c r="H87" s="7">
        <f t="shared" ref="H87:N87" si="119">+H86-G86</f>
        <v>13112</v>
      </c>
      <c r="I87" s="7">
        <f t="shared" si="119"/>
        <v>-3413</v>
      </c>
      <c r="J87" s="7">
        <f t="shared" si="119"/>
        <v>71637</v>
      </c>
      <c r="K87" s="7">
        <f t="shared" si="119"/>
        <v>-9671</v>
      </c>
      <c r="L87" s="7">
        <f t="shared" si="119"/>
        <v>-22276</v>
      </c>
      <c r="M87" s="39">
        <f t="shared" si="119"/>
        <v>-38439</v>
      </c>
      <c r="N87" s="7">
        <f t="shared" si="119"/>
        <v>34022.514860724303</v>
      </c>
      <c r="O87" s="7">
        <f t="shared" ref="O87" si="120">+O86-N86</f>
        <v>-8515.5642093019269</v>
      </c>
      <c r="P87" s="7">
        <f t="shared" ref="P87" si="121">+P86-O86</f>
        <v>-23267.596789428208</v>
      </c>
      <c r="Q87" s="7">
        <f t="shared" ref="Q87" si="122">+Q86-P86</f>
        <v>-44235.587606144603</v>
      </c>
      <c r="R87" s="7">
        <f t="shared" ref="R87" si="123">+R86-Q86</f>
        <v>39700.053209887876</v>
      </c>
      <c r="S87" s="7">
        <f t="shared" ref="S87" si="124">+S86-R86</f>
        <v>-7488.3847028355813</v>
      </c>
      <c r="T87" s="7">
        <f t="shared" ref="T87" si="125">+T86-S86</f>
        <v>-28805.032608993351</v>
      </c>
      <c r="U87" s="7">
        <f t="shared" ref="U87" si="126">+U86-T86</f>
        <v>-47541.718967420398</v>
      </c>
      <c r="X87" s="7"/>
      <c r="Y87" s="7"/>
      <c r="Z87" s="7"/>
    </row>
    <row r="88" spans="2:26" hidden="1" outlineLevel="1" x14ac:dyDescent="0.25">
      <c r="M88" s="42"/>
    </row>
    <row r="89" spans="2:26" hidden="1" outlineLevel="1" x14ac:dyDescent="0.25">
      <c r="B89" s="6" t="s">
        <v>89</v>
      </c>
      <c r="F89" s="14">
        <v>-170814</v>
      </c>
      <c r="G89" s="14">
        <v>-166262</v>
      </c>
      <c r="H89" s="14">
        <v>-192889</v>
      </c>
      <c r="I89" s="14">
        <v>-168028</v>
      </c>
      <c r="J89" s="14">
        <v>-156801</v>
      </c>
      <c r="K89" s="14">
        <v>-144306</v>
      </c>
      <c r="L89" s="14">
        <v>-87106</v>
      </c>
      <c r="M89" s="38">
        <v>-136322</v>
      </c>
      <c r="N89" s="7">
        <f t="shared" ref="N89:U89" si="127">+-N90*N53</f>
        <v>-139571.86029194671</v>
      </c>
      <c r="O89" s="7">
        <f t="shared" si="127"/>
        <v>-150712.30458968756</v>
      </c>
      <c r="P89" s="7">
        <f t="shared" si="127"/>
        <v>-151170.56097261343</v>
      </c>
      <c r="Q89" s="7">
        <f t="shared" si="127"/>
        <v>-140945.90867030248</v>
      </c>
      <c r="R89" s="7">
        <f t="shared" si="127"/>
        <v>-143557.48718901785</v>
      </c>
      <c r="S89" s="7">
        <f t="shared" si="127"/>
        <v>-153425.81727016377</v>
      </c>
      <c r="T89" s="7">
        <f t="shared" si="127"/>
        <v>-154574.27194924504</v>
      </c>
      <c r="U89" s="7">
        <f t="shared" si="127"/>
        <v>-142525.66100322935</v>
      </c>
      <c r="W89" s="7">
        <f>+SUM(F89:I89)</f>
        <v>-697993</v>
      </c>
      <c r="X89" s="7">
        <f>SUM(J89:M89)</f>
        <v>-524535</v>
      </c>
      <c r="Y89" s="7">
        <f>SUM(N89:Q89)</f>
        <v>-582400.63452455017</v>
      </c>
      <c r="Z89" s="7">
        <f>SUM(R89:U89)</f>
        <v>-594083.23741165595</v>
      </c>
    </row>
    <row r="90" spans="2:26" hidden="1" outlineLevel="1" x14ac:dyDescent="0.25">
      <c r="B90" s="56" t="s">
        <v>50</v>
      </c>
      <c r="F90" s="83">
        <f t="shared" ref="F90:M90" si="128">+-F89/F53</f>
        <v>0.33437147035045445</v>
      </c>
      <c r="G90" s="83">
        <f t="shared" si="128"/>
        <v>0.29598152852521936</v>
      </c>
      <c r="H90" s="83">
        <f t="shared" si="128"/>
        <v>0.32962505361625627</v>
      </c>
      <c r="I90" s="83">
        <f t="shared" si="128"/>
        <v>0.30067605049084345</v>
      </c>
      <c r="J90" s="83">
        <f t="shared" si="128"/>
        <v>0.2627728051991145</v>
      </c>
      <c r="K90" s="83">
        <f t="shared" si="128"/>
        <v>0.21610426484924997</v>
      </c>
      <c r="L90" s="83">
        <f t="shared" si="128"/>
        <v>0.12565165586223412</v>
      </c>
      <c r="M90" s="58">
        <f t="shared" si="128"/>
        <v>0.20552614796399124</v>
      </c>
      <c r="N90" s="11">
        <f>+M90-0.005</f>
        <v>0.20052614796399124</v>
      </c>
      <c r="O90" s="11">
        <f t="shared" ref="O90:U90" si="129">+N90-0.005</f>
        <v>0.19552614796399123</v>
      </c>
      <c r="P90" s="11">
        <f t="shared" si="129"/>
        <v>0.19052614796399123</v>
      </c>
      <c r="Q90" s="11">
        <f t="shared" si="129"/>
        <v>0.18552614796399122</v>
      </c>
      <c r="R90" s="11">
        <f t="shared" si="129"/>
        <v>0.18052614796399122</v>
      </c>
      <c r="S90" s="11">
        <f t="shared" si="129"/>
        <v>0.17552614796399121</v>
      </c>
      <c r="T90" s="11">
        <f t="shared" si="129"/>
        <v>0.17052614796399121</v>
      </c>
      <c r="U90" s="11">
        <f t="shared" si="129"/>
        <v>0.1655261479639912</v>
      </c>
      <c r="W90" s="83">
        <f>+-W89/W53</f>
        <v>0.31489452506617138</v>
      </c>
      <c r="X90" s="83">
        <f t="shared" ref="X90:Z90" si="130">+-X89/X53</f>
        <v>0.20012819558984279</v>
      </c>
      <c r="Y90" s="83">
        <f t="shared" si="130"/>
        <v>0.19284926242991871</v>
      </c>
      <c r="Z90" s="83">
        <f t="shared" si="130"/>
        <v>0.17285894986402653</v>
      </c>
    </row>
    <row r="91" spans="2:26" hidden="1" outlineLevel="1" x14ac:dyDescent="0.25">
      <c r="B91" s="56"/>
      <c r="F91" s="83"/>
      <c r="G91" s="83"/>
      <c r="H91" s="83"/>
      <c r="I91" s="83"/>
      <c r="J91" s="83"/>
      <c r="K91" s="83"/>
      <c r="L91" s="83"/>
      <c r="M91" s="58"/>
      <c r="N91" s="11"/>
      <c r="O91" s="11"/>
      <c r="P91" s="11"/>
      <c r="Q91" s="11"/>
      <c r="R91" s="11"/>
      <c r="S91" s="11"/>
      <c r="T91" s="11"/>
      <c r="U91" s="11"/>
    </row>
    <row r="92" spans="2:26" hidden="1" outlineLevel="1" x14ac:dyDescent="0.25">
      <c r="B92" s="6" t="s">
        <v>90</v>
      </c>
      <c r="F92" s="14">
        <v>5622</v>
      </c>
      <c r="G92" s="14">
        <v>16549</v>
      </c>
      <c r="H92" s="14">
        <v>14858</v>
      </c>
      <c r="I92" s="14">
        <v>13115</v>
      </c>
      <c r="J92" s="14">
        <v>7626</v>
      </c>
      <c r="K92" s="14">
        <v>11072</v>
      </c>
      <c r="L92" s="14">
        <v>11752</v>
      </c>
      <c r="M92" s="38">
        <v>20584</v>
      </c>
      <c r="N92" s="7">
        <f t="shared" ref="N92:U92" si="131">+N93*N53</f>
        <v>16489.317487778881</v>
      </c>
      <c r="O92" s="7">
        <f t="shared" si="131"/>
        <v>24005.907162234165</v>
      </c>
      <c r="P92" s="7">
        <f t="shared" si="131"/>
        <v>25124.283081431196</v>
      </c>
      <c r="Q92" s="7">
        <f t="shared" si="131"/>
        <v>45475.134292301569</v>
      </c>
      <c r="R92" s="7">
        <f t="shared" si="131"/>
        <v>18839.160963906521</v>
      </c>
      <c r="S92" s="7">
        <f t="shared" si="131"/>
        <v>27222.680061646661</v>
      </c>
      <c r="T92" s="7">
        <f t="shared" si="131"/>
        <v>28702.998493511892</v>
      </c>
      <c r="U92" s="7">
        <f t="shared" si="131"/>
        <v>51541.030711220228</v>
      </c>
      <c r="W92" s="7">
        <f>+SUM(F92:I92)</f>
        <v>50144</v>
      </c>
      <c r="X92" s="7">
        <f>SUM(J92:M92)</f>
        <v>51034</v>
      </c>
      <c r="Y92" s="7">
        <f>SUM(N92:Q92)</f>
        <v>111094.64202374581</v>
      </c>
      <c r="Z92" s="7">
        <f>SUM(R92:U92)</f>
        <v>126305.87023028531</v>
      </c>
    </row>
    <row r="93" spans="2:26" hidden="1" outlineLevel="1" x14ac:dyDescent="0.25">
      <c r="B93" s="56" t="s">
        <v>50</v>
      </c>
      <c r="F93" s="83">
        <f>+-F92/F57</f>
        <v>2.0510089052165378E-2</v>
      </c>
      <c r="G93" s="83">
        <f t="shared" ref="G93" si="132">+-G92/G57</f>
        <v>5.4688816700429278E-2</v>
      </c>
      <c r="H93" s="83">
        <f t="shared" ref="H93" si="133">+-H92/H57</f>
        <v>4.6518326492402964E-2</v>
      </c>
      <c r="I93" s="83">
        <f t="shared" ref="I93" si="134">+-I92/I57</f>
        <v>4.5497594160766264E-2</v>
      </c>
      <c r="J93" s="83">
        <f t="shared" ref="J93" si="135">+-J92/J57</f>
        <v>2.3690587138863E-2</v>
      </c>
      <c r="K93" s="83">
        <f t="shared" ref="K93" si="136">+-K92/K57</f>
        <v>3.114399032376023E-2</v>
      </c>
      <c r="L93" s="83">
        <f t="shared" ref="L93" si="137">+-L92/L57</f>
        <v>3.1665112870284048E-2</v>
      </c>
      <c r="M93" s="58">
        <f t="shared" ref="M93" si="138">+-M92/M57</f>
        <v>5.985861223635195E-2</v>
      </c>
      <c r="N93" s="11">
        <f>+J93</f>
        <v>2.3690587138863E-2</v>
      </c>
      <c r="O93" s="11">
        <f t="shared" ref="O93:U93" si="139">+K93</f>
        <v>3.114399032376023E-2</v>
      </c>
      <c r="P93" s="11">
        <f t="shared" si="139"/>
        <v>3.1665112870284048E-2</v>
      </c>
      <c r="Q93" s="11">
        <f t="shared" si="139"/>
        <v>5.985861223635195E-2</v>
      </c>
      <c r="R93" s="11">
        <f t="shared" si="139"/>
        <v>2.3690587138863E-2</v>
      </c>
      <c r="S93" s="11">
        <f t="shared" si="139"/>
        <v>3.114399032376023E-2</v>
      </c>
      <c r="T93" s="11">
        <f t="shared" si="139"/>
        <v>3.1665112870284048E-2</v>
      </c>
      <c r="U93" s="11">
        <f t="shared" si="139"/>
        <v>5.985861223635195E-2</v>
      </c>
      <c r="W93" s="83">
        <f t="shared" ref="W93:Z93" si="140">+-W92/W57</f>
        <v>4.2338120688636155E-2</v>
      </c>
      <c r="X93" s="83">
        <f t="shared" si="140"/>
        <v>3.6651271418629852E-2</v>
      </c>
      <c r="Y93" s="83">
        <f t="shared" si="140"/>
        <v>6.9222323224564522E-2</v>
      </c>
      <c r="Z93" s="83">
        <f t="shared" si="140"/>
        <v>6.9343233988288761E-2</v>
      </c>
    </row>
    <row r="94" spans="2:26" ht="14.25" hidden="1" outlineLevel="1" thickBot="1" x14ac:dyDescent="0.3">
      <c r="B94" s="51"/>
      <c r="C94" s="51"/>
      <c r="D94" s="51"/>
      <c r="E94" s="51"/>
      <c r="F94" s="51"/>
      <c r="G94" s="51"/>
      <c r="H94" s="51"/>
      <c r="I94" s="51"/>
      <c r="J94" s="51"/>
      <c r="K94" s="51"/>
      <c r="L94" s="51"/>
      <c r="M94" s="55"/>
      <c r="N94" s="51"/>
      <c r="O94" s="51"/>
      <c r="P94" s="51"/>
      <c r="Q94" s="51"/>
      <c r="R94" s="51"/>
      <c r="S94" s="51"/>
      <c r="T94" s="51"/>
      <c r="U94" s="51"/>
      <c r="W94" s="51"/>
      <c r="X94" s="51"/>
      <c r="Y94" s="51"/>
      <c r="Z94" s="51"/>
    </row>
    <row r="95" spans="2:26" hidden="1" outlineLevel="1" x14ac:dyDescent="0.25">
      <c r="B95" s="6" t="s">
        <v>53</v>
      </c>
      <c r="C95" s="6"/>
      <c r="D95" s="6"/>
      <c r="E95" s="6"/>
      <c r="F95" s="8">
        <f>+F78+-F80-F87+F89+F92</f>
        <v>-45070</v>
      </c>
      <c r="G95" s="8">
        <f>+G78+-G80-G87+G89+G92</f>
        <v>20767</v>
      </c>
      <c r="H95" s="8">
        <f t="shared" ref="H95:T95" si="141">+H78+-H80-H87+H89+H92</f>
        <v>-86591</v>
      </c>
      <c r="I95" s="8">
        <f t="shared" si="141"/>
        <v>-29028</v>
      </c>
      <c r="J95" s="8">
        <f t="shared" si="141"/>
        <v>-92766</v>
      </c>
      <c r="K95" s="8">
        <f t="shared" si="141"/>
        <v>37089</v>
      </c>
      <c r="L95" s="8">
        <f t="shared" si="141"/>
        <v>93855</v>
      </c>
      <c r="M95" s="59">
        <f t="shared" si="141"/>
        <v>66706</v>
      </c>
      <c r="N95" s="8">
        <f t="shared" si="141"/>
        <v>-8834.3056864058199</v>
      </c>
      <c r="O95" s="8">
        <f t="shared" si="141"/>
        <v>61357.827389539692</v>
      </c>
      <c r="P95" s="8">
        <f t="shared" si="141"/>
        <v>67882.031560006959</v>
      </c>
      <c r="Q95" s="8">
        <f t="shared" si="141"/>
        <v>112950.65590686462</v>
      </c>
      <c r="R95" s="8">
        <f t="shared" si="141"/>
        <v>10970.141947074262</v>
      </c>
      <c r="S95" s="8">
        <f t="shared" si="141"/>
        <v>90663.965080652837</v>
      </c>
      <c r="T95" s="8">
        <f t="shared" si="141"/>
        <v>104164.24755125586</v>
      </c>
      <c r="U95" s="8">
        <f>+U78+-U80-U87+U89+U92-U92</f>
        <v>97141.584203428822</v>
      </c>
      <c r="W95" s="8">
        <f>+SUM(F95:I95)</f>
        <v>-139922</v>
      </c>
      <c r="X95" s="8">
        <f>SUM(J95:M95)</f>
        <v>104884</v>
      </c>
      <c r="Y95" s="8">
        <f>SUM(N95:Q95)</f>
        <v>233356.20917000546</v>
      </c>
      <c r="Z95" s="8">
        <f>SUM(R95:U95)</f>
        <v>302939.93878241174</v>
      </c>
    </row>
    <row r="96" spans="2:26" hidden="1" outlineLevel="1" x14ac:dyDescent="0.25">
      <c r="B96" s="9" t="s">
        <v>16</v>
      </c>
      <c r="F96" s="11"/>
      <c r="G96" s="11"/>
      <c r="H96" s="11"/>
      <c r="I96" s="11"/>
      <c r="J96" s="12"/>
      <c r="K96" s="12">
        <f t="shared" ref="K96" si="142">+K95/G95-1</f>
        <v>0.78595849183801225</v>
      </c>
      <c r="L96" s="12">
        <f t="shared" ref="L96" si="143">+L95/H95-1</f>
        <v>-2.0838886258387133</v>
      </c>
      <c r="M96" s="40">
        <f>+M95/I95-1</f>
        <v>-3.297988149373019</v>
      </c>
      <c r="N96" s="84">
        <f t="shared" ref="N96:U96" si="144">+N95/J95-1</f>
        <v>-0.90476784935853849</v>
      </c>
      <c r="O96" s="84">
        <f t="shared" si="144"/>
        <v>0.65434030007656419</v>
      </c>
      <c r="P96" s="84">
        <f t="shared" si="144"/>
        <v>-0.27673505343341365</v>
      </c>
      <c r="Q96" s="84">
        <f t="shared" si="144"/>
        <v>0.69326081472228318</v>
      </c>
      <c r="R96" s="84">
        <f t="shared" si="144"/>
        <v>-2.2417661711610291</v>
      </c>
      <c r="S96" s="84">
        <f t="shared" si="144"/>
        <v>0.47762671753448149</v>
      </c>
      <c r="T96" s="84">
        <f t="shared" si="144"/>
        <v>0.53448924785310559</v>
      </c>
      <c r="U96" s="84">
        <f t="shared" si="144"/>
        <v>-0.13996440814360067</v>
      </c>
      <c r="X96" s="10"/>
      <c r="Y96" s="10">
        <f>+Y95/X95-1</f>
        <v>1.2248980699630589</v>
      </c>
      <c r="Z96" s="10">
        <f>+Z95/Y95-1</f>
        <v>0.29818675003292028</v>
      </c>
    </row>
    <row r="97" spans="2:26" collapsed="1" x14ac:dyDescent="0.25">
      <c r="M97" s="42"/>
    </row>
    <row r="98" spans="2:26" x14ac:dyDescent="0.25">
      <c r="B98" s="57" t="s">
        <v>198</v>
      </c>
      <c r="M98" s="42"/>
    </row>
    <row r="99" spans="2:26" outlineLevel="1" x14ac:dyDescent="0.25">
      <c r="M99" s="42"/>
    </row>
    <row r="100" spans="2:26" outlineLevel="1" x14ac:dyDescent="0.25">
      <c r="B100" s="6" t="s">
        <v>73</v>
      </c>
      <c r="C100" s="6"/>
      <c r="D100" s="6"/>
      <c r="E100" s="6"/>
      <c r="F100" s="8">
        <f t="shared" ref="F100:U100" si="145">+F72+-F80</f>
        <v>125581</v>
      </c>
      <c r="G100" s="8">
        <f t="shared" si="145"/>
        <v>110660</v>
      </c>
      <c r="H100" s="8">
        <f t="shared" si="145"/>
        <v>110367</v>
      </c>
      <c r="I100" s="8">
        <f t="shared" si="145"/>
        <v>122999</v>
      </c>
      <c r="J100" s="8">
        <f t="shared" si="145"/>
        <v>137960</v>
      </c>
      <c r="K100" s="8">
        <f t="shared" si="145"/>
        <v>174470</v>
      </c>
      <c r="L100" s="8">
        <f t="shared" si="145"/>
        <v>163146</v>
      </c>
      <c r="M100" s="45">
        <f t="shared" si="145"/>
        <v>156588</v>
      </c>
      <c r="N100" s="8">
        <f t="shared" si="145"/>
        <v>168266.22583282078</v>
      </c>
      <c r="O100" s="8">
        <f t="shared" si="145"/>
        <v>205772.37448691874</v>
      </c>
      <c r="P100" s="8">
        <f t="shared" si="145"/>
        <v>193890.36235610914</v>
      </c>
      <c r="Q100" s="8">
        <f t="shared" si="145"/>
        <v>186635.2971145233</v>
      </c>
      <c r="R100" s="8">
        <f t="shared" si="145"/>
        <v>199825.27640164754</v>
      </c>
      <c r="S100" s="8">
        <f t="shared" si="145"/>
        <v>240650.36591214128</v>
      </c>
      <c r="T100" s="8">
        <f t="shared" si="145"/>
        <v>229433.2386124279</v>
      </c>
      <c r="U100" s="8">
        <f t="shared" si="145"/>
        <v>219174.81445216696</v>
      </c>
      <c r="W100" s="8">
        <f>SUM(F100:I100)</f>
        <v>469607</v>
      </c>
      <c r="X100" s="8">
        <f>SUM(J100:M100)</f>
        <v>632164</v>
      </c>
      <c r="Y100" s="8">
        <f>SUM(N100:Q100)</f>
        <v>754564.2597903721</v>
      </c>
      <c r="Z100" s="8">
        <f>SUM(R100:U100)</f>
        <v>889083.69537838362</v>
      </c>
    </row>
    <row r="101" spans="2:26" outlineLevel="1" x14ac:dyDescent="0.25">
      <c r="B101" s="9" t="s">
        <v>16</v>
      </c>
      <c r="F101" s="11"/>
      <c r="G101" s="11"/>
      <c r="H101" s="11"/>
      <c r="I101" s="11"/>
      <c r="J101" s="12"/>
      <c r="K101" s="12">
        <f t="shared" ref="K101" si="146">+K100/G100-1</f>
        <v>0.57663112235676839</v>
      </c>
      <c r="L101" s="12">
        <f t="shared" ref="L101" si="147">+L100/H100-1</f>
        <v>0.47821359645546213</v>
      </c>
      <c r="M101" s="40">
        <f>+M100/I100-1</f>
        <v>0.27308352100423572</v>
      </c>
      <c r="N101" s="84">
        <f t="shared" ref="N101" si="148">+N100/J100-1</f>
        <v>0.21967400574674389</v>
      </c>
      <c r="O101" s="84">
        <f t="shared" ref="O101" si="149">+O100/K100-1</f>
        <v>0.17941407970951295</v>
      </c>
      <c r="P101" s="84">
        <f t="shared" ref="P101" si="150">+P100/L100-1</f>
        <v>0.18844692702309063</v>
      </c>
      <c r="Q101" s="84">
        <f t="shared" ref="Q101" si="151">+Q100/M100-1</f>
        <v>0.19188761025444667</v>
      </c>
      <c r="R101" s="84">
        <f t="shared" ref="R101" si="152">+R100/N100-1</f>
        <v>0.18755427842175498</v>
      </c>
      <c r="S101" s="84">
        <f t="shared" ref="S101" si="153">+S100/O100-1</f>
        <v>0.1694979295067609</v>
      </c>
      <c r="T101" s="84">
        <f t="shared" ref="T101" si="154">+T100/P100-1</f>
        <v>0.18331430105349367</v>
      </c>
      <c r="U101" s="84">
        <f t="shared" ref="U101" si="155">+U100/Q100-1</f>
        <v>0.17434814228991602</v>
      </c>
      <c r="X101" s="10">
        <f>+X100/W100-1</f>
        <v>0.34615540228318564</v>
      </c>
      <c r="Y101" s="10">
        <f>+Y100/X100-1</f>
        <v>0.19362105369867955</v>
      </c>
      <c r="Z101" s="10">
        <f>+Z100/Y100-1</f>
        <v>0.1782743269942082</v>
      </c>
    </row>
    <row r="102" spans="2:26" outlineLevel="1" x14ac:dyDescent="0.25">
      <c r="B102" s="6" t="s">
        <v>143</v>
      </c>
      <c r="F102" s="8">
        <f>+F100+F92</f>
        <v>131203</v>
      </c>
      <c r="G102" s="8">
        <f t="shared" ref="G102:U102" si="156">+G100+G92</f>
        <v>127209</v>
      </c>
      <c r="H102" s="8">
        <f t="shared" si="156"/>
        <v>125225</v>
      </c>
      <c r="I102" s="8">
        <f t="shared" si="156"/>
        <v>136114</v>
      </c>
      <c r="J102" s="8">
        <f t="shared" si="156"/>
        <v>145586</v>
      </c>
      <c r="K102" s="8">
        <f t="shared" si="156"/>
        <v>185542</v>
      </c>
      <c r="L102" s="8">
        <f t="shared" si="156"/>
        <v>174898</v>
      </c>
      <c r="M102" s="45">
        <f t="shared" si="156"/>
        <v>177172</v>
      </c>
      <c r="N102" s="8">
        <f t="shared" si="156"/>
        <v>184755.54332059965</v>
      </c>
      <c r="O102" s="8">
        <f t="shared" si="156"/>
        <v>229778.28164915289</v>
      </c>
      <c r="P102" s="8">
        <f t="shared" si="156"/>
        <v>219014.64543754034</v>
      </c>
      <c r="Q102" s="8">
        <f t="shared" si="156"/>
        <v>232110.43140682488</v>
      </c>
      <c r="R102" s="8">
        <f t="shared" si="156"/>
        <v>218664.43736555407</v>
      </c>
      <c r="S102" s="8">
        <f t="shared" si="156"/>
        <v>267873.04597378796</v>
      </c>
      <c r="T102" s="8">
        <f t="shared" si="156"/>
        <v>258136.2371059398</v>
      </c>
      <c r="U102" s="8">
        <f t="shared" si="156"/>
        <v>270715.84516338719</v>
      </c>
      <c r="W102" s="8">
        <f>SUM(F102:I102)</f>
        <v>519751</v>
      </c>
      <c r="X102" s="8">
        <f>SUM(J102:M102)</f>
        <v>683198</v>
      </c>
      <c r="Y102" s="8">
        <f>SUM(N102:Q102)</f>
        <v>865658.90181411779</v>
      </c>
      <c r="Z102" s="8">
        <f>SUM(R102:U102)</f>
        <v>1015389.5656086691</v>
      </c>
    </row>
    <row r="103" spans="2:26" outlineLevel="1" x14ac:dyDescent="0.25">
      <c r="B103" s="9" t="s">
        <v>16</v>
      </c>
      <c r="F103" s="11"/>
      <c r="G103" s="11"/>
      <c r="H103" s="11"/>
      <c r="I103" s="11"/>
      <c r="J103" s="12"/>
      <c r="K103" s="12">
        <f t="shared" ref="K103" si="157">+K102/G102-1</f>
        <v>0.45856032198979624</v>
      </c>
      <c r="L103" s="12">
        <f t="shared" ref="L103" si="158">+L102/H102-1</f>
        <v>0.39666999401078051</v>
      </c>
      <c r="M103" s="40">
        <f>+M102/I102-1</f>
        <v>0.30164421000044084</v>
      </c>
      <c r="N103" s="84">
        <f t="shared" ref="N103" si="159">+N102/J102-1</f>
        <v>0.26904745868833313</v>
      </c>
      <c r="O103" s="84">
        <f t="shared" ref="O103" si="160">+O102/K102-1</f>
        <v>0.23841653991631495</v>
      </c>
      <c r="P103" s="84">
        <f t="shared" ref="P103" si="161">+P102/L102-1</f>
        <v>0.25224213791775973</v>
      </c>
      <c r="Q103" s="84">
        <f t="shared" ref="Q103" si="162">+Q102/M102-1</f>
        <v>0.31008529229689152</v>
      </c>
      <c r="R103" s="84">
        <f t="shared" ref="R103" si="163">+R102/N102-1</f>
        <v>0.18353383847386673</v>
      </c>
      <c r="S103" s="84">
        <f t="shared" ref="S103" si="164">+S102/O102-1</f>
        <v>0.16578922973582744</v>
      </c>
      <c r="T103" s="84">
        <f t="shared" ref="T103" si="165">+T102/P102-1</f>
        <v>0.17862545945383523</v>
      </c>
      <c r="U103" s="84">
        <f t="shared" ref="U103" si="166">+U102/Q102-1</f>
        <v>0.16632347595312424</v>
      </c>
      <c r="W103" s="8"/>
      <c r="X103" s="10">
        <f>+X102/W102-1</f>
        <v>0.31447173742811452</v>
      </c>
      <c r="Y103" s="10">
        <f>+Y102/X102-1</f>
        <v>0.26706884653368101</v>
      </c>
      <c r="Z103" s="10">
        <f>+Z102/Y102-1</f>
        <v>0.17296727785132027</v>
      </c>
    </row>
    <row r="104" spans="2:26" outlineLevel="1" x14ac:dyDescent="0.25">
      <c r="M104" s="42"/>
    </row>
    <row r="105" spans="2:26" outlineLevel="1" x14ac:dyDescent="0.25">
      <c r="M105" s="42"/>
    </row>
    <row r="106" spans="2:26" outlineLevel="1" x14ac:dyDescent="0.25">
      <c r="B106" s="6" t="s">
        <v>150</v>
      </c>
      <c r="M106" s="42"/>
    </row>
    <row r="107" spans="2:26" outlineLevel="1" x14ac:dyDescent="0.25">
      <c r="M107" s="42"/>
    </row>
    <row r="108" spans="2:26" outlineLevel="1" x14ac:dyDescent="0.25">
      <c r="B108" s="6" t="s">
        <v>43</v>
      </c>
      <c r="F108" s="8">
        <f>+F72</f>
        <v>67384</v>
      </c>
      <c r="G108" s="8">
        <f t="shared" ref="G108:U108" si="167">+G72</f>
        <v>52408</v>
      </c>
      <c r="H108" s="8">
        <f t="shared" si="167"/>
        <v>46749</v>
      </c>
      <c r="I108" s="8">
        <f t="shared" si="167"/>
        <v>58669</v>
      </c>
      <c r="J108" s="8">
        <f t="shared" si="167"/>
        <v>72057</v>
      </c>
      <c r="K108" s="8">
        <f t="shared" si="167"/>
        <v>104756</v>
      </c>
      <c r="L108" s="8">
        <f t="shared" si="167"/>
        <v>93695</v>
      </c>
      <c r="M108" s="45">
        <f t="shared" si="167"/>
        <v>86975</v>
      </c>
      <c r="N108" s="8">
        <f t="shared" si="167"/>
        <v>95216.542163497521</v>
      </c>
      <c r="O108" s="8">
        <f t="shared" si="167"/>
        <v>124874.82799632187</v>
      </c>
      <c r="P108" s="8">
        <f t="shared" si="167"/>
        <v>110617.37949689601</v>
      </c>
      <c r="Q108" s="8">
        <f t="shared" si="167"/>
        <v>106902.16398001136</v>
      </c>
      <c r="R108" s="8">
        <f t="shared" si="167"/>
        <v>116365.50009320991</v>
      </c>
      <c r="S108" s="8">
        <f t="shared" si="167"/>
        <v>148912.61107527104</v>
      </c>
      <c r="T108" s="8">
        <f t="shared" si="167"/>
        <v>134298.81054491544</v>
      </c>
      <c r="U108" s="8">
        <f t="shared" si="167"/>
        <v>128806.13434728186</v>
      </c>
    </row>
    <row r="109" spans="2:26" outlineLevel="1" x14ac:dyDescent="0.25">
      <c r="B109" s="5" t="s">
        <v>44</v>
      </c>
      <c r="F109" s="12">
        <f t="shared" ref="F109:U109" si="168">+F108/F53</f>
        <v>0.13190538924265588</v>
      </c>
      <c r="G109" s="12">
        <f t="shared" si="168"/>
        <v>9.3297325588226399E-2</v>
      </c>
      <c r="H109" s="12">
        <f t="shared" si="168"/>
        <v>7.988864907540795E-2</v>
      </c>
      <c r="I109" s="12">
        <f t="shared" si="168"/>
        <v>0.1049846644978652</v>
      </c>
      <c r="J109" s="12">
        <f t="shared" si="168"/>
        <v>0.12075573513072362</v>
      </c>
      <c r="K109" s="12">
        <f t="shared" si="168"/>
        <v>0.15687648724618539</v>
      </c>
      <c r="L109" s="12">
        <f t="shared" si="168"/>
        <v>0.13515638298179258</v>
      </c>
      <c r="M109" s="40">
        <f t="shared" si="168"/>
        <v>0.13112804036889231</v>
      </c>
      <c r="N109" s="12">
        <f t="shared" si="168"/>
        <v>0.13679982757669673</v>
      </c>
      <c r="O109" s="12">
        <f t="shared" si="168"/>
        <v>0.16200597663382463</v>
      </c>
      <c r="P109" s="12">
        <f t="shared" si="168"/>
        <v>0.13941539330023844</v>
      </c>
      <c r="Q109" s="12">
        <f t="shared" si="168"/>
        <v>0.14071459667991992</v>
      </c>
      <c r="R109" s="12">
        <f t="shared" si="168"/>
        <v>0.14633173022923798</v>
      </c>
      <c r="S109" s="12">
        <f t="shared" si="168"/>
        <v>0.17036283378094338</v>
      </c>
      <c r="T109" s="12">
        <f t="shared" si="168"/>
        <v>0.14815828371418785</v>
      </c>
      <c r="U109" s="12">
        <f t="shared" si="168"/>
        <v>0.14959259337976211</v>
      </c>
    </row>
    <row r="110" spans="2:26" outlineLevel="1" x14ac:dyDescent="0.25">
      <c r="B110" t="s">
        <v>151</v>
      </c>
      <c r="F110" s="7">
        <v>-31052</v>
      </c>
      <c r="G110" s="7">
        <v>-31891</v>
      </c>
      <c r="H110" s="7">
        <v>-33019</v>
      </c>
      <c r="I110" s="7">
        <v>-34458</v>
      </c>
      <c r="J110" s="7">
        <v>-37226</v>
      </c>
      <c r="K110" s="7">
        <v>-38133</v>
      </c>
      <c r="L110" s="7">
        <v>-36127</v>
      </c>
      <c r="M110" s="39">
        <v>-37229</v>
      </c>
      <c r="N110" s="7">
        <f t="shared" ref="N110:U110" si="169">+N111*-N53</f>
        <v>-39066.936826817335</v>
      </c>
      <c r="O110" s="7">
        <f t="shared" si="169"/>
        <v>-43263.970211001259</v>
      </c>
      <c r="P110" s="7">
        <f t="shared" si="169"/>
        <v>-44534.352475337153</v>
      </c>
      <c r="Q110" s="7">
        <f t="shared" si="169"/>
        <v>-42641.242490120305</v>
      </c>
      <c r="R110" s="7">
        <f t="shared" si="169"/>
        <v>-44634.249525043095</v>
      </c>
      <c r="S110" s="7">
        <f t="shared" si="169"/>
        <v>-49061.308589226755</v>
      </c>
      <c r="T110" s="7">
        <f t="shared" si="169"/>
        <v>-50877.847852059538</v>
      </c>
      <c r="U110" s="7">
        <f t="shared" si="169"/>
        <v>-48329.128059769973</v>
      </c>
    </row>
    <row r="111" spans="2:26" outlineLevel="1" x14ac:dyDescent="0.25">
      <c r="B111" s="56" t="s">
        <v>50</v>
      </c>
      <c r="F111" s="84">
        <f t="shared" ref="F111:M111" si="170">+-F110/F53</f>
        <v>6.078484724508712E-2</v>
      </c>
      <c r="G111" s="84">
        <f t="shared" si="170"/>
        <v>5.6772725735271867E-2</v>
      </c>
      <c r="H111" s="84">
        <f t="shared" si="170"/>
        <v>5.6425662662749905E-2</v>
      </c>
      <c r="I111" s="84">
        <f t="shared" si="170"/>
        <v>6.1660528886932436E-2</v>
      </c>
      <c r="J111" s="84">
        <f t="shared" si="170"/>
        <v>6.2384681515693367E-2</v>
      </c>
      <c r="K111" s="84">
        <f t="shared" si="170"/>
        <v>5.7105760893493333E-2</v>
      </c>
      <c r="L111" s="84">
        <f t="shared" si="170"/>
        <v>5.2113716292045691E-2</v>
      </c>
      <c r="M111" s="40">
        <f t="shared" si="170"/>
        <v>5.6128379590612149E-2</v>
      </c>
      <c r="N111" s="12">
        <f>+M111</f>
        <v>5.6128379590612149E-2</v>
      </c>
      <c r="O111" s="12">
        <f t="shared" ref="O111:U111" si="171">+N111</f>
        <v>5.6128379590612149E-2</v>
      </c>
      <c r="P111" s="12">
        <f t="shared" si="171"/>
        <v>5.6128379590612149E-2</v>
      </c>
      <c r="Q111" s="12">
        <f t="shared" si="171"/>
        <v>5.6128379590612149E-2</v>
      </c>
      <c r="R111" s="12">
        <f t="shared" si="171"/>
        <v>5.6128379590612149E-2</v>
      </c>
      <c r="S111" s="12">
        <f t="shared" si="171"/>
        <v>5.6128379590612149E-2</v>
      </c>
      <c r="T111" s="12">
        <f t="shared" si="171"/>
        <v>5.6128379590612149E-2</v>
      </c>
      <c r="U111" s="12">
        <f t="shared" si="171"/>
        <v>5.6128379590612149E-2</v>
      </c>
    </row>
    <row r="112" spans="2:26" outlineLevel="1" x14ac:dyDescent="0.25">
      <c r="B112" s="6" t="s">
        <v>152</v>
      </c>
      <c r="F112" s="8">
        <f>+F108+F110</f>
        <v>36332</v>
      </c>
      <c r="G112" s="8">
        <f t="shared" ref="G112:U112" si="172">+G108+G110</f>
        <v>20517</v>
      </c>
      <c r="H112" s="8">
        <f t="shared" si="172"/>
        <v>13730</v>
      </c>
      <c r="I112" s="8">
        <f t="shared" si="172"/>
        <v>24211</v>
      </c>
      <c r="J112" s="8">
        <f t="shared" si="172"/>
        <v>34831</v>
      </c>
      <c r="K112" s="8">
        <f t="shared" si="172"/>
        <v>66623</v>
      </c>
      <c r="L112" s="8">
        <f t="shared" si="172"/>
        <v>57568</v>
      </c>
      <c r="M112" s="45">
        <f t="shared" si="172"/>
        <v>49746</v>
      </c>
      <c r="N112" s="8">
        <f t="shared" si="172"/>
        <v>56149.605336680186</v>
      </c>
      <c r="O112" s="8">
        <f t="shared" si="172"/>
        <v>81610.857785320608</v>
      </c>
      <c r="P112" s="8">
        <f t="shared" si="172"/>
        <v>66083.027021558868</v>
      </c>
      <c r="Q112" s="8">
        <f t="shared" si="172"/>
        <v>64260.921489891058</v>
      </c>
      <c r="R112" s="8">
        <f t="shared" si="172"/>
        <v>71731.250568166812</v>
      </c>
      <c r="S112" s="8">
        <f t="shared" si="172"/>
        <v>99851.302486044282</v>
      </c>
      <c r="T112" s="8">
        <f t="shared" si="172"/>
        <v>83420.962692855901</v>
      </c>
      <c r="U112" s="8">
        <f t="shared" si="172"/>
        <v>80477.006287511875</v>
      </c>
    </row>
    <row r="113" spans="2:26" outlineLevel="1" x14ac:dyDescent="0.25">
      <c r="B113" s="13" t="s">
        <v>45</v>
      </c>
      <c r="C113" s="13"/>
      <c r="D113" s="13"/>
      <c r="E113" s="13"/>
      <c r="F113" s="131">
        <v>-8872</v>
      </c>
      <c r="G113" s="131">
        <v>-3513</v>
      </c>
      <c r="H113" s="131">
        <v>-5815</v>
      </c>
      <c r="I113" s="131">
        <v>-527</v>
      </c>
      <c r="J113" s="131">
        <v>-9914</v>
      </c>
      <c r="K113" s="131">
        <v>-13818</v>
      </c>
      <c r="L113" s="131">
        <v>-16213</v>
      </c>
      <c r="M113" s="132">
        <v>-12583</v>
      </c>
      <c r="N113" s="131">
        <f>+N112*-$F$76</f>
        <v>-11791.417120702839</v>
      </c>
      <c r="O113" s="131">
        <f t="shared" ref="O113:U113" si="173">+O112*-$F$76</f>
        <v>-17138.280134917328</v>
      </c>
      <c r="P113" s="131">
        <f t="shared" si="173"/>
        <v>-13877.435674527362</v>
      </c>
      <c r="Q113" s="131">
        <f t="shared" si="173"/>
        <v>-13494.793512877122</v>
      </c>
      <c r="R113" s="131">
        <f t="shared" si="173"/>
        <v>-15063.562619315029</v>
      </c>
      <c r="S113" s="131">
        <f t="shared" si="173"/>
        <v>-20968.773522069299</v>
      </c>
      <c r="T113" s="131">
        <f t="shared" si="173"/>
        <v>-17518.402165499738</v>
      </c>
      <c r="U113" s="131">
        <f t="shared" si="173"/>
        <v>-16900.171320377493</v>
      </c>
    </row>
    <row r="114" spans="2:26" outlineLevel="1" x14ac:dyDescent="0.25">
      <c r="B114" s="6" t="s">
        <v>153</v>
      </c>
      <c r="F114" s="8">
        <f>+F112+F113</f>
        <v>27460</v>
      </c>
      <c r="G114" s="8">
        <f t="shared" ref="G114:U114" si="174">+G112+G113</f>
        <v>17004</v>
      </c>
      <c r="H114" s="8">
        <f t="shared" si="174"/>
        <v>7915</v>
      </c>
      <c r="I114" s="8">
        <f t="shared" si="174"/>
        <v>23684</v>
      </c>
      <c r="J114" s="8">
        <f t="shared" si="174"/>
        <v>24917</v>
      </c>
      <c r="K114" s="8">
        <f t="shared" si="174"/>
        <v>52805</v>
      </c>
      <c r="L114" s="8">
        <f t="shared" si="174"/>
        <v>41355</v>
      </c>
      <c r="M114" s="128">
        <f t="shared" si="174"/>
        <v>37163</v>
      </c>
      <c r="N114" s="8">
        <f t="shared" si="174"/>
        <v>44358.188215977345</v>
      </c>
      <c r="O114" s="8">
        <f t="shared" si="174"/>
        <v>64472.577650403284</v>
      </c>
      <c r="P114" s="8">
        <f t="shared" si="174"/>
        <v>52205.591347031506</v>
      </c>
      <c r="Q114" s="8">
        <f t="shared" si="174"/>
        <v>50766.127977013937</v>
      </c>
      <c r="R114" s="8">
        <f t="shared" si="174"/>
        <v>56667.687948851781</v>
      </c>
      <c r="S114" s="8">
        <f t="shared" si="174"/>
        <v>78882.528963974983</v>
      </c>
      <c r="T114" s="8">
        <f t="shared" si="174"/>
        <v>65902.560527356167</v>
      </c>
      <c r="U114" s="8">
        <f t="shared" si="174"/>
        <v>63576.834967134382</v>
      </c>
      <c r="W114" s="8">
        <f>SUM(F114:I114)</f>
        <v>76063</v>
      </c>
      <c r="X114" s="8">
        <f>SUM(J114:M114)</f>
        <v>156240</v>
      </c>
      <c r="Y114" s="8">
        <f>SUM(N114:Q114)</f>
        <v>211802.48519042606</v>
      </c>
      <c r="Z114" s="8">
        <f>SUM(R114:U114)</f>
        <v>265029.61240731733</v>
      </c>
    </row>
    <row r="115" spans="2:26" outlineLevel="1" x14ac:dyDescent="0.25">
      <c r="B115" s="9" t="s">
        <v>16</v>
      </c>
      <c r="F115" s="11"/>
      <c r="G115" s="11"/>
      <c r="H115" s="11"/>
      <c r="I115" s="11"/>
      <c r="J115" s="12"/>
      <c r="K115" s="12">
        <f t="shared" ref="K115" si="175">+K114/G114-1</f>
        <v>2.105445777464126</v>
      </c>
      <c r="L115" s="12">
        <f t="shared" ref="L115" si="176">+L114/H114-1</f>
        <v>4.2248894504106129</v>
      </c>
      <c r="M115" s="40">
        <f>+M114/I114-1</f>
        <v>0.56911839216348592</v>
      </c>
      <c r="N115" s="84">
        <f t="shared" ref="N115" si="177">+N114/J114-1</f>
        <v>0.7802379185286088</v>
      </c>
      <c r="O115" s="84">
        <f t="shared" ref="O115" si="178">+O114/K114-1</f>
        <v>0.22095592558286681</v>
      </c>
      <c r="P115" s="84">
        <f t="shared" ref="P115" si="179">+P114/L114-1</f>
        <v>0.26237677057263942</v>
      </c>
      <c r="Q115" s="84">
        <f t="shared" ref="Q115" si="180">+Q114/M114-1</f>
        <v>0.36603955485332018</v>
      </c>
      <c r="R115" s="84">
        <f t="shared" ref="R115" si="181">+R114/N114-1</f>
        <v>0.27750231080088805</v>
      </c>
      <c r="S115" s="84">
        <f t="shared" ref="S115" si="182">+S114/O114-1</f>
        <v>0.22350512169233183</v>
      </c>
      <c r="T115" s="84">
        <f t="shared" ref="T115" si="183">+T114/P114-1</f>
        <v>0.26236594255345969</v>
      </c>
      <c r="U115" s="84">
        <f t="shared" ref="U115" si="184">+U114/Q114-1</f>
        <v>0.2523475297529274</v>
      </c>
      <c r="X115" s="10">
        <f>+X114/W114-1</f>
        <v>1.0540867438833597</v>
      </c>
      <c r="Y115" s="10">
        <f>+Y114/X114-1</f>
        <v>0.3556226650692913</v>
      </c>
      <c r="Z115" s="10">
        <f>+Z114/Y114-1</f>
        <v>0.25130548949430964</v>
      </c>
    </row>
    <row r="116" spans="2:26" outlineLevel="1" x14ac:dyDescent="0.25">
      <c r="B116" t="s">
        <v>169</v>
      </c>
      <c r="F116" s="11">
        <f t="shared" ref="F116:U116" si="185">+F114/F53</f>
        <v>5.3753442784686731E-2</v>
      </c>
      <c r="G116" s="11">
        <f t="shared" si="185"/>
        <v>3.0270716766566202E-2</v>
      </c>
      <c r="H116" s="11">
        <f t="shared" si="185"/>
        <v>1.3525822101688892E-2</v>
      </c>
      <c r="I116" s="11">
        <f t="shared" si="185"/>
        <v>4.2381100648850999E-2</v>
      </c>
      <c r="J116" s="11">
        <f t="shared" si="185"/>
        <v>4.1756812693454354E-2</v>
      </c>
      <c r="K116" s="11">
        <f t="shared" si="185"/>
        <v>7.9077693965355869E-2</v>
      </c>
      <c r="L116" s="11">
        <f t="shared" si="185"/>
        <v>5.9655181367330515E-2</v>
      </c>
      <c r="M116" s="11">
        <f t="shared" si="185"/>
        <v>5.60288745527927E-2</v>
      </c>
      <c r="N116" s="11">
        <f t="shared" si="185"/>
        <v>6.3730443909006812E-2</v>
      </c>
      <c r="O116" s="11">
        <f t="shared" si="185"/>
        <v>8.3643301664137859E-2</v>
      </c>
      <c r="P116" s="11">
        <f t="shared" si="185"/>
        <v>6.5796740830604786E-2</v>
      </c>
      <c r="Q116" s="11">
        <f t="shared" si="185"/>
        <v>6.6823111500553145E-2</v>
      </c>
      <c r="R116" s="11">
        <f t="shared" si="185"/>
        <v>7.1260647004514399E-2</v>
      </c>
      <c r="S116" s="11">
        <f t="shared" si="185"/>
        <v>9.0245218810361669E-2</v>
      </c>
      <c r="T116" s="11">
        <f t="shared" si="185"/>
        <v>7.2703624257624805E-2</v>
      </c>
      <c r="U116" s="11">
        <f t="shared" si="185"/>
        <v>7.3836728893428474E-2</v>
      </c>
    </row>
    <row r="117" spans="2:26" outlineLevel="1" x14ac:dyDescent="0.25">
      <c r="B117" t="s">
        <v>154</v>
      </c>
      <c r="F117" s="7">
        <v>194572</v>
      </c>
      <c r="G117" s="7">
        <v>195476</v>
      </c>
      <c r="H117" s="7">
        <v>196146</v>
      </c>
      <c r="I117" s="7">
        <v>195671</v>
      </c>
      <c r="J117" s="7">
        <v>197498</v>
      </c>
      <c r="K117" s="7">
        <v>198903</v>
      </c>
      <c r="L117" s="7">
        <v>202945</v>
      </c>
      <c r="M117" s="39">
        <v>201640</v>
      </c>
      <c r="N117" s="7">
        <v>211164</v>
      </c>
      <c r="O117" s="7">
        <v>211164</v>
      </c>
      <c r="P117" s="7">
        <v>211164</v>
      </c>
      <c r="Q117" s="7">
        <v>211164</v>
      </c>
      <c r="R117" s="7">
        <v>211164</v>
      </c>
      <c r="S117" s="7">
        <v>211164</v>
      </c>
      <c r="T117" s="7">
        <v>211164</v>
      </c>
      <c r="U117" s="7">
        <v>211164</v>
      </c>
    </row>
    <row r="118" spans="2:26" outlineLevel="1" x14ac:dyDescent="0.25">
      <c r="B118" s="6" t="s">
        <v>155</v>
      </c>
      <c r="C118" s="6"/>
      <c r="D118" s="6"/>
      <c r="E118" s="6"/>
      <c r="F118" s="178">
        <f>+F114/F117</f>
        <v>0.14113027568200975</v>
      </c>
      <c r="G118" s="178">
        <f t="shared" ref="G118:M118" si="186">+G114/G117</f>
        <v>8.6987660889316337E-2</v>
      </c>
      <c r="H118" s="178">
        <f t="shared" si="186"/>
        <v>4.03525944959367E-2</v>
      </c>
      <c r="I118" s="178">
        <f t="shared" si="186"/>
        <v>0.12103990882655069</v>
      </c>
      <c r="J118" s="178">
        <f t="shared" si="186"/>
        <v>0.12616330291952324</v>
      </c>
      <c r="K118" s="178">
        <f t="shared" si="186"/>
        <v>0.26548116418555778</v>
      </c>
      <c r="L118" s="178">
        <f t="shared" si="186"/>
        <v>0.20377442164133139</v>
      </c>
      <c r="M118" s="179">
        <f t="shared" si="186"/>
        <v>0.18430370958143225</v>
      </c>
      <c r="N118" s="178">
        <f>+N114/N117</f>
        <v>0.21006510681734267</v>
      </c>
      <c r="O118" s="178">
        <f t="shared" ref="O118" si="187">+O114/O117</f>
        <v>0.30531992977213579</v>
      </c>
      <c r="P118" s="178">
        <f t="shared" ref="P118" si="188">+P114/P117</f>
        <v>0.24722770617639137</v>
      </c>
      <c r="Q118" s="178">
        <f t="shared" ref="Q118" si="189">+Q114/Q117</f>
        <v>0.24041090326482703</v>
      </c>
      <c r="R118" s="178">
        <f t="shared" ref="R118" si="190">+R114/R117</f>
        <v>0.26835865937779063</v>
      </c>
      <c r="S118" s="178">
        <f t="shared" ref="S118" si="191">+S114/S117</f>
        <v>0.37356049783095124</v>
      </c>
      <c r="T118" s="178">
        <f t="shared" ref="T118" si="192">+T114/T117</f>
        <v>0.31209183633269005</v>
      </c>
      <c r="U118" s="178">
        <f t="shared" ref="U118" si="193">+U114/U117</f>
        <v>0.30107800082937614</v>
      </c>
      <c r="V118" s="180"/>
      <c r="W118" s="178">
        <f>SUM(F118:I118)</f>
        <v>0.38951043989381351</v>
      </c>
      <c r="X118" s="178">
        <f>SUM(J118:M118)</f>
        <v>0.77972259832784474</v>
      </c>
      <c r="Y118" s="178">
        <f>SUM(N118:Q118)</f>
        <v>1.0030236460306967</v>
      </c>
      <c r="Z118" s="178">
        <f>SUM(R118:U118)</f>
        <v>1.2550889943708081</v>
      </c>
    </row>
    <row r="119" spans="2:26" x14ac:dyDescent="0.25">
      <c r="X119" s="10"/>
      <c r="Y119" s="10"/>
      <c r="Z119" s="10"/>
    </row>
  </sheetData>
  <mergeCells count="1">
    <mergeCell ref="W7:Z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ECBF-C9F4-47B9-9E32-619E4EC481C5}">
  <dimension ref="A1:AX81"/>
  <sheetViews>
    <sheetView showGridLines="0" zoomScale="50" zoomScaleNormal="50" workbookViewId="0">
      <pane ySplit="3" topLeftCell="A4" activePane="bottomLeft" state="frozen"/>
      <selection pane="bottomLeft" activeCell="Z4" sqref="Z4"/>
    </sheetView>
  </sheetViews>
  <sheetFormatPr defaultRowHeight="13.5" x14ac:dyDescent="0.25"/>
  <cols>
    <col min="24" max="24" width="9" customWidth="1"/>
    <col min="25" max="25" width="11" customWidth="1"/>
  </cols>
  <sheetData>
    <row r="1" spans="1:50" x14ac:dyDescent="0.25">
      <c r="A1" s="206" t="s">
        <v>193</v>
      </c>
      <c r="B1" s="206"/>
      <c r="C1" s="206"/>
      <c r="D1" s="206"/>
      <c r="E1" s="206"/>
      <c r="F1" s="206"/>
      <c r="G1" s="206"/>
      <c r="H1" s="206"/>
      <c r="I1" s="206"/>
      <c r="J1" s="206"/>
      <c r="K1" s="206"/>
      <c r="L1" s="206"/>
      <c r="M1" s="206"/>
      <c r="N1" s="206"/>
      <c r="O1" s="206"/>
      <c r="P1" s="206"/>
      <c r="Q1" s="206"/>
      <c r="R1" s="206"/>
      <c r="S1" s="206"/>
      <c r="T1" s="206"/>
      <c r="U1" s="206"/>
      <c r="V1" s="206"/>
      <c r="W1" s="206"/>
      <c r="X1" s="206"/>
      <c r="Y1" s="206"/>
      <c r="Z1" s="207" t="s">
        <v>245</v>
      </c>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row>
    <row r="2" spans="1:50" ht="48.2" customHeight="1" x14ac:dyDescent="0.25">
      <c r="A2" s="206"/>
      <c r="B2" s="206"/>
      <c r="C2" s="206"/>
      <c r="D2" s="206"/>
      <c r="E2" s="206"/>
      <c r="F2" s="206"/>
      <c r="G2" s="206"/>
      <c r="H2" s="206"/>
      <c r="I2" s="206"/>
      <c r="J2" s="206"/>
      <c r="K2" s="206"/>
      <c r="L2" s="206"/>
      <c r="M2" s="206"/>
      <c r="N2" s="206"/>
      <c r="O2" s="206"/>
      <c r="P2" s="206"/>
      <c r="Q2" s="206"/>
      <c r="R2" s="206"/>
      <c r="S2" s="206"/>
      <c r="T2" s="206"/>
      <c r="U2" s="206"/>
      <c r="V2" s="206"/>
      <c r="W2" s="206"/>
      <c r="X2" s="206"/>
      <c r="Y2" s="206"/>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row>
    <row r="3" spans="1:50" x14ac:dyDescent="0.25">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row>
    <row r="4" spans="1:50" ht="46.5" x14ac:dyDescent="0.7">
      <c r="A4" s="149" t="s">
        <v>188</v>
      </c>
    </row>
    <row r="81" spans="1:1" ht="46.5" x14ac:dyDescent="0.7">
      <c r="A81" s="149" t="s">
        <v>190</v>
      </c>
    </row>
  </sheetData>
  <mergeCells count="2">
    <mergeCell ref="A1:Y3"/>
    <mergeCell ref="Z1:AX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BE174-519B-4283-AAC1-AF5F4379FA2F}">
  <dimension ref="C2:V91"/>
  <sheetViews>
    <sheetView showGridLines="0" zoomScaleNormal="100" workbookViewId="0">
      <selection activeCell="E36" sqref="E36"/>
    </sheetView>
  </sheetViews>
  <sheetFormatPr defaultRowHeight="13.5" x14ac:dyDescent="0.25"/>
  <cols>
    <col min="3" max="3" width="15.7109375" customWidth="1"/>
    <col min="4" max="4" width="13.85546875" customWidth="1"/>
    <col min="5" max="5" width="10.42578125" bestFit="1" customWidth="1"/>
    <col min="6" max="6" width="9.140625" customWidth="1"/>
    <col min="8" max="8" width="13" customWidth="1"/>
    <col min="10" max="10" width="10.42578125" bestFit="1" customWidth="1"/>
    <col min="14" max="14" width="10.42578125" bestFit="1" customWidth="1"/>
    <col min="18" max="18" width="10.42578125" bestFit="1" customWidth="1"/>
    <col min="22" max="22" width="11.140625" bestFit="1" customWidth="1"/>
  </cols>
  <sheetData>
    <row r="2" spans="3:22" x14ac:dyDescent="0.25">
      <c r="C2" s="68" t="s">
        <v>68</v>
      </c>
      <c r="D2" s="67"/>
      <c r="E2" s="70">
        <f>+Overview!D6</f>
        <v>45747</v>
      </c>
    </row>
    <row r="3" spans="3:22" x14ac:dyDescent="0.25">
      <c r="C3" s="68" t="s">
        <v>69</v>
      </c>
      <c r="D3" s="67"/>
      <c r="E3" s="129">
        <f>+Overview!D5</f>
        <v>29.71</v>
      </c>
    </row>
    <row r="4" spans="3:22" x14ac:dyDescent="0.25">
      <c r="C4" s="68" t="s">
        <v>70</v>
      </c>
      <c r="D4" s="67"/>
      <c r="E4" s="73">
        <f>+F67</f>
        <v>8.9098342849344592E-2</v>
      </c>
    </row>
    <row r="5" spans="3:22" x14ac:dyDescent="0.25">
      <c r="C5" s="68" t="s">
        <v>71</v>
      </c>
      <c r="D5" s="67"/>
      <c r="E5" s="73">
        <v>2.5000000000000001E-2</v>
      </c>
    </row>
    <row r="6" spans="3:22" x14ac:dyDescent="0.25">
      <c r="C6" s="68" t="s">
        <v>72</v>
      </c>
      <c r="D6" s="67"/>
      <c r="E6" s="69">
        <v>10</v>
      </c>
    </row>
    <row r="9" spans="3:22" x14ac:dyDescent="0.25">
      <c r="C9" s="57" t="s">
        <v>54</v>
      </c>
      <c r="D9" s="57"/>
      <c r="E9" s="19"/>
      <c r="F9" s="19"/>
      <c r="G9" s="19"/>
      <c r="H9" s="19"/>
      <c r="I9" s="19"/>
      <c r="J9" s="19"/>
      <c r="K9" s="19"/>
      <c r="L9" s="19"/>
      <c r="M9" s="19"/>
      <c r="N9" s="19"/>
      <c r="O9" s="19"/>
      <c r="P9" s="19"/>
      <c r="Q9" s="19"/>
      <c r="R9" s="19"/>
      <c r="S9" s="19"/>
    </row>
    <row r="10" spans="3:22" x14ac:dyDescent="0.25">
      <c r="C10" s="1" t="s">
        <v>0</v>
      </c>
      <c r="D10" s="1"/>
      <c r="E10" s="1"/>
      <c r="F10" s="1"/>
      <c r="G10" s="2" t="s">
        <v>1</v>
      </c>
      <c r="H10" s="2" t="s">
        <v>2</v>
      </c>
      <c r="I10" s="2" t="s">
        <v>3</v>
      </c>
      <c r="J10" s="2" t="s">
        <v>4</v>
      </c>
      <c r="K10" s="2" t="s">
        <v>5</v>
      </c>
      <c r="L10" s="2" t="s">
        <v>6</v>
      </c>
      <c r="M10" s="2" t="s">
        <v>7</v>
      </c>
      <c r="N10" s="2" t="s">
        <v>8</v>
      </c>
      <c r="O10" s="16" t="s">
        <v>20</v>
      </c>
      <c r="P10" s="16" t="s">
        <v>21</v>
      </c>
      <c r="Q10" s="16" t="s">
        <v>22</v>
      </c>
      <c r="R10" s="16" t="s">
        <v>23</v>
      </c>
      <c r="S10" s="16" t="s">
        <v>24</v>
      </c>
      <c r="T10" s="16" t="s">
        <v>25</v>
      </c>
      <c r="U10" s="16" t="s">
        <v>26</v>
      </c>
      <c r="V10" s="16" t="s">
        <v>27</v>
      </c>
    </row>
    <row r="11" spans="3:22" x14ac:dyDescent="0.25">
      <c r="C11" s="18" t="s">
        <v>9</v>
      </c>
      <c r="D11" s="18"/>
      <c r="E11" s="18"/>
      <c r="F11" s="145"/>
      <c r="G11" s="146">
        <v>45016</v>
      </c>
      <c r="H11" s="146">
        <v>45107</v>
      </c>
      <c r="I11" s="146">
        <v>45199</v>
      </c>
      <c r="J11" s="146">
        <v>45291</v>
      </c>
      <c r="K11" s="146">
        <v>45382</v>
      </c>
      <c r="L11" s="146">
        <v>45473</v>
      </c>
      <c r="M11" s="146">
        <v>45565</v>
      </c>
      <c r="N11" s="147">
        <v>45657</v>
      </c>
      <c r="O11" s="146">
        <v>45747</v>
      </c>
      <c r="P11" s="146">
        <v>45838</v>
      </c>
      <c r="Q11" s="146">
        <v>45930</v>
      </c>
      <c r="R11" s="146">
        <v>46022</v>
      </c>
      <c r="S11" s="146">
        <v>46112</v>
      </c>
      <c r="T11" s="146">
        <v>46203</v>
      </c>
      <c r="U11" s="146">
        <v>46295</v>
      </c>
      <c r="V11" s="146">
        <v>46387</v>
      </c>
    </row>
    <row r="12" spans="3:22" x14ac:dyDescent="0.25">
      <c r="C12" s="19" t="s">
        <v>63</v>
      </c>
      <c r="D12" s="19"/>
      <c r="E12" s="19"/>
      <c r="F12" s="19"/>
      <c r="G12" s="19"/>
      <c r="H12" s="19"/>
      <c r="I12" s="19"/>
      <c r="J12" s="19"/>
      <c r="K12" s="60"/>
      <c r="N12" s="71">
        <f>+'2-Step Valuation'!E2</f>
        <v>45747</v>
      </c>
      <c r="O12" s="65">
        <f t="shared" ref="O12:V12" si="0">+O11</f>
        <v>45747</v>
      </c>
      <c r="P12" s="65">
        <f t="shared" si="0"/>
        <v>45838</v>
      </c>
      <c r="Q12" s="65">
        <f t="shared" si="0"/>
        <v>45930</v>
      </c>
      <c r="R12" s="65">
        <f t="shared" si="0"/>
        <v>46022</v>
      </c>
      <c r="S12" s="65">
        <f t="shared" si="0"/>
        <v>46112</v>
      </c>
      <c r="T12" s="65">
        <f t="shared" si="0"/>
        <v>46203</v>
      </c>
      <c r="U12" s="65">
        <f t="shared" si="0"/>
        <v>46295</v>
      </c>
      <c r="V12" s="65">
        <f t="shared" si="0"/>
        <v>46387</v>
      </c>
    </row>
    <row r="13" spans="3:22" x14ac:dyDescent="0.25">
      <c r="C13" s="19" t="s">
        <v>64</v>
      </c>
      <c r="D13" s="19"/>
      <c r="E13" s="19"/>
      <c r="F13" s="19"/>
      <c r="G13" s="19"/>
      <c r="H13" s="19"/>
      <c r="I13" s="19"/>
      <c r="J13" s="19"/>
      <c r="K13" s="60"/>
      <c r="N13" s="71">
        <f>+N12</f>
        <v>45747</v>
      </c>
      <c r="O13" s="65">
        <f t="shared" ref="O13:V13" si="1">AVERAGE(N12:O12)</f>
        <v>45747</v>
      </c>
      <c r="P13" s="65">
        <f t="shared" si="1"/>
        <v>45792.5</v>
      </c>
      <c r="Q13" s="65">
        <f t="shared" si="1"/>
        <v>45884</v>
      </c>
      <c r="R13" s="65">
        <f t="shared" si="1"/>
        <v>45976</v>
      </c>
      <c r="S13" s="65">
        <f t="shared" si="1"/>
        <v>46067</v>
      </c>
      <c r="T13" s="65">
        <f t="shared" si="1"/>
        <v>46157.5</v>
      </c>
      <c r="U13" s="65">
        <f t="shared" si="1"/>
        <v>46249</v>
      </c>
      <c r="V13" s="65">
        <f t="shared" si="1"/>
        <v>46341</v>
      </c>
    </row>
    <row r="14" spans="3:22" x14ac:dyDescent="0.25">
      <c r="C14" s="19" t="s">
        <v>65</v>
      </c>
      <c r="D14" s="19"/>
      <c r="E14" s="19"/>
      <c r="F14" s="19"/>
      <c r="G14" s="19"/>
      <c r="H14" s="19"/>
      <c r="I14" s="19"/>
      <c r="J14" s="60"/>
      <c r="K14" s="66"/>
      <c r="N14" s="42"/>
      <c r="O14" s="61">
        <f>YEARFRAC(N12,O12)*4</f>
        <v>0</v>
      </c>
      <c r="P14" s="61">
        <f t="shared" ref="P14:V14" si="2">YEARFRAC(O12,P12)*4</f>
        <v>1</v>
      </c>
      <c r="Q14" s="61">
        <f t="shared" si="2"/>
        <v>1</v>
      </c>
      <c r="R14" s="61">
        <f t="shared" si="2"/>
        <v>1</v>
      </c>
      <c r="S14" s="61">
        <f t="shared" si="2"/>
        <v>1</v>
      </c>
      <c r="T14" s="61">
        <f t="shared" si="2"/>
        <v>1</v>
      </c>
      <c r="U14" s="61">
        <f t="shared" si="2"/>
        <v>1</v>
      </c>
      <c r="V14" s="61">
        <f t="shared" si="2"/>
        <v>1</v>
      </c>
    </row>
    <row r="15" spans="3:22" x14ac:dyDescent="0.25">
      <c r="C15" s="19"/>
      <c r="D15" s="19"/>
      <c r="E15" s="19"/>
      <c r="F15" s="19"/>
      <c r="G15" s="19"/>
      <c r="H15" s="19"/>
      <c r="I15" s="19"/>
      <c r="J15" s="60"/>
      <c r="K15" s="66"/>
      <c r="N15" s="42"/>
      <c r="O15" s="61"/>
      <c r="P15" s="61"/>
      <c r="Q15" s="61"/>
      <c r="R15" s="61"/>
      <c r="S15" s="61"/>
      <c r="T15" s="19"/>
      <c r="U15" s="19"/>
      <c r="V15" s="19"/>
    </row>
    <row r="16" spans="3:22" x14ac:dyDescent="0.25">
      <c r="C16" s="19" t="s">
        <v>53</v>
      </c>
      <c r="D16" s="19"/>
      <c r="E16" s="19"/>
      <c r="F16" s="19"/>
      <c r="G16" s="19"/>
      <c r="H16" s="19"/>
      <c r="I16" s="19"/>
      <c r="J16" s="19"/>
      <c r="K16" s="63"/>
      <c r="N16" s="62">
        <v>0</v>
      </c>
      <c r="O16" s="63">
        <f>+O14*Model!N95</f>
        <v>0</v>
      </c>
      <c r="P16" s="63">
        <f>+P14*Model!O95</f>
        <v>61357.827389539692</v>
      </c>
      <c r="Q16" s="63">
        <f>+Q14*Model!P95</f>
        <v>67882.031560006959</v>
      </c>
      <c r="R16" s="63">
        <f>+R14*Model!Q95</f>
        <v>112950.65590686462</v>
      </c>
      <c r="S16" s="63">
        <f>+S14*Model!R95</f>
        <v>10970.141947074262</v>
      </c>
      <c r="T16" s="63">
        <f>+T14*Model!S95</f>
        <v>90663.965080652837</v>
      </c>
      <c r="U16" s="63">
        <f>+U14*Model!T95</f>
        <v>104164.24755125586</v>
      </c>
      <c r="V16" s="63">
        <f>+V14*Model!U95</f>
        <v>97141.584203428822</v>
      </c>
    </row>
    <row r="17" spans="3:22" x14ac:dyDescent="0.25">
      <c r="C17" s="19" t="s">
        <v>66</v>
      </c>
      <c r="D17" s="19"/>
      <c r="E17" s="19"/>
      <c r="F17" s="19"/>
      <c r="G17" s="19"/>
      <c r="H17" s="19"/>
      <c r="I17" s="19"/>
      <c r="J17" s="19"/>
      <c r="K17" s="63"/>
      <c r="N17" s="62">
        <v>0</v>
      </c>
      <c r="O17" s="63">
        <v>0</v>
      </c>
      <c r="P17" s="63">
        <v>0</v>
      </c>
      <c r="Q17" s="63">
        <v>0</v>
      </c>
      <c r="R17" s="63">
        <v>0</v>
      </c>
      <c r="S17" s="63">
        <v>0</v>
      </c>
      <c r="T17" s="63">
        <v>0</v>
      </c>
      <c r="U17" s="63">
        <v>0</v>
      </c>
      <c r="V17" s="63">
        <f>((1+$E$5)*(V16*4))/($E$4-$E$5)</f>
        <v>6213584.899849412</v>
      </c>
    </row>
    <row r="18" spans="3:22" x14ac:dyDescent="0.25">
      <c r="C18" s="19"/>
      <c r="D18" s="19"/>
      <c r="E18" s="19"/>
      <c r="F18" s="19"/>
      <c r="G18" s="19"/>
      <c r="H18" s="19"/>
      <c r="I18" s="19"/>
      <c r="J18" s="19"/>
      <c r="K18" s="63"/>
      <c r="N18" s="62"/>
      <c r="O18" s="19"/>
      <c r="P18" s="19"/>
      <c r="Q18" s="19"/>
      <c r="R18" s="19"/>
      <c r="S18" s="63"/>
      <c r="T18" s="19"/>
      <c r="U18" s="19"/>
      <c r="V18" s="19"/>
    </row>
    <row r="19" spans="3:22" x14ac:dyDescent="0.25">
      <c r="C19" s="19" t="s">
        <v>67</v>
      </c>
      <c r="D19" s="19"/>
      <c r="E19" s="19"/>
      <c r="F19" s="19"/>
      <c r="G19" s="19"/>
      <c r="H19" s="19"/>
      <c r="I19" s="19"/>
      <c r="J19" s="19"/>
      <c r="K19" s="63"/>
      <c r="N19" s="62">
        <v>0</v>
      </c>
      <c r="O19" s="63">
        <v>0</v>
      </c>
      <c r="P19" s="63">
        <v>0</v>
      </c>
      <c r="Q19" s="63">
        <v>0</v>
      </c>
      <c r="R19" s="63">
        <v>0</v>
      </c>
      <c r="S19" s="63">
        <v>0</v>
      </c>
      <c r="T19" s="63">
        <v>0</v>
      </c>
      <c r="U19" s="63">
        <v>0</v>
      </c>
      <c r="V19" s="64">
        <f>(Model!U100*4)*'2-Step Valuation'!E6</f>
        <v>8766992.5780866779</v>
      </c>
    </row>
    <row r="20" spans="3:22" x14ac:dyDescent="0.25">
      <c r="N20" s="42"/>
    </row>
    <row r="22" spans="3:22" x14ac:dyDescent="0.25">
      <c r="C22" s="74" t="s">
        <v>53</v>
      </c>
      <c r="D22" s="75"/>
      <c r="E22" s="75"/>
      <c r="F22" s="19"/>
      <c r="G22" s="74" t="s">
        <v>74</v>
      </c>
      <c r="H22" s="75"/>
      <c r="I22" s="75"/>
      <c r="J22" s="75"/>
    </row>
    <row r="23" spans="3:22" x14ac:dyDescent="0.25">
      <c r="C23" s="19" t="s">
        <v>91</v>
      </c>
      <c r="D23" s="19"/>
      <c r="E23" s="63">
        <f>XNPV('2-Step Valuation'!$E$4,$N$16:$V$16,$N$13:$V$13)</f>
        <v>503244.64286629501</v>
      </c>
      <c r="F23" s="19"/>
      <c r="G23" s="19" t="s">
        <v>91</v>
      </c>
      <c r="H23" s="19"/>
      <c r="I23" s="19"/>
      <c r="J23" s="63">
        <f>XNPV('2-Step Valuation'!$E$4,$N$16:$V$16,$N$13:$V$13)</f>
        <v>503244.64286629501</v>
      </c>
    </row>
    <row r="24" spans="3:22" x14ac:dyDescent="0.25">
      <c r="C24" s="19"/>
      <c r="D24" s="19"/>
      <c r="E24" s="63"/>
      <c r="F24" s="19"/>
      <c r="G24" s="19"/>
      <c r="H24" s="19"/>
      <c r="I24" s="19"/>
      <c r="J24" s="63"/>
    </row>
    <row r="25" spans="3:22" x14ac:dyDescent="0.25">
      <c r="C25" s="75" t="s">
        <v>75</v>
      </c>
      <c r="D25" s="18"/>
      <c r="E25" s="76">
        <f>XNPV('2-Step Valuation'!$E$4,$N$17:$V$17,$N$13:$V$13)</f>
        <v>5407784.0964996489</v>
      </c>
      <c r="F25" s="19"/>
      <c r="G25" s="75" t="s">
        <v>75</v>
      </c>
      <c r="H25" s="75"/>
      <c r="I25" s="75"/>
      <c r="J25" s="76">
        <f>XNPV('2-Step Valuation'!$E$4,$N$19:$V$19,$N$13:$V$13)</f>
        <v>7630056.3687568819</v>
      </c>
    </row>
    <row r="26" spans="3:22" x14ac:dyDescent="0.25">
      <c r="C26" s="57" t="s">
        <v>76</v>
      </c>
      <c r="D26" s="19"/>
      <c r="E26" s="77">
        <f>SUM(E23:E25)</f>
        <v>5911028.7393659437</v>
      </c>
      <c r="F26" s="19"/>
      <c r="G26" s="57" t="s">
        <v>76</v>
      </c>
      <c r="H26" s="19"/>
      <c r="I26" s="19"/>
      <c r="J26" s="77">
        <f>SUM(J23:J25)</f>
        <v>8133301.0116231767</v>
      </c>
    </row>
    <row r="27" spans="3:22" x14ac:dyDescent="0.25">
      <c r="C27" s="19" t="s">
        <v>77</v>
      </c>
      <c r="D27" s="19"/>
      <c r="E27" s="78">
        <v>10879</v>
      </c>
      <c r="F27" s="19"/>
      <c r="G27" s="19" t="s">
        <v>77</v>
      </c>
      <c r="H27" s="19"/>
      <c r="I27" s="19"/>
      <c r="J27" s="78">
        <v>10879</v>
      </c>
    </row>
    <row r="28" spans="3:22" x14ac:dyDescent="0.25">
      <c r="C28" s="19" t="s">
        <v>78</v>
      </c>
      <c r="D28" s="19"/>
      <c r="E28" s="78" t="s">
        <v>79</v>
      </c>
      <c r="F28" s="19"/>
      <c r="G28" s="19" t="s">
        <v>78</v>
      </c>
      <c r="H28" s="19"/>
      <c r="I28" s="19"/>
      <c r="J28" s="78" t="s">
        <v>79</v>
      </c>
    </row>
    <row r="29" spans="3:22" x14ac:dyDescent="0.25">
      <c r="C29" s="19" t="s">
        <v>80</v>
      </c>
      <c r="D29" s="19"/>
      <c r="E29" s="78" t="s">
        <v>79</v>
      </c>
      <c r="F29" s="19"/>
      <c r="G29" s="19" t="s">
        <v>80</v>
      </c>
      <c r="H29" s="19"/>
      <c r="I29" s="19"/>
      <c r="J29" s="78" t="s">
        <v>79</v>
      </c>
    </row>
    <row r="30" spans="3:22" x14ac:dyDescent="0.25">
      <c r="C30" s="19" t="s">
        <v>81</v>
      </c>
      <c r="D30" s="19"/>
      <c r="E30" s="78" t="s">
        <v>79</v>
      </c>
      <c r="F30" s="19"/>
      <c r="G30" s="19" t="s">
        <v>81</v>
      </c>
      <c r="H30" s="19"/>
      <c r="I30" s="19"/>
      <c r="J30" s="78" t="s">
        <v>79</v>
      </c>
    </row>
    <row r="31" spans="3:22" x14ac:dyDescent="0.25">
      <c r="C31" s="19" t="s">
        <v>82</v>
      </c>
      <c r="D31" s="19"/>
      <c r="E31" s="78">
        <v>-1535741</v>
      </c>
      <c r="F31" s="19"/>
      <c r="G31" s="19" t="s">
        <v>82</v>
      </c>
      <c r="H31" s="19"/>
      <c r="I31" s="19"/>
      <c r="J31" s="78">
        <v>-1535741</v>
      </c>
    </row>
    <row r="32" spans="3:22" x14ac:dyDescent="0.25">
      <c r="C32" s="19" t="s">
        <v>83</v>
      </c>
      <c r="D32" s="19"/>
      <c r="E32" s="78" t="s">
        <v>79</v>
      </c>
      <c r="F32" s="19"/>
      <c r="G32" s="19" t="s">
        <v>83</v>
      </c>
      <c r="H32" s="19"/>
      <c r="I32" s="19"/>
      <c r="J32" s="78" t="s">
        <v>79</v>
      </c>
    </row>
    <row r="33" spans="3:13" x14ac:dyDescent="0.25">
      <c r="C33" s="19" t="s">
        <v>84</v>
      </c>
      <c r="D33" s="19"/>
      <c r="E33" s="78" t="s">
        <v>79</v>
      </c>
      <c r="F33" s="19"/>
      <c r="G33" s="19" t="s">
        <v>84</v>
      </c>
      <c r="H33" s="19"/>
      <c r="I33" s="19"/>
      <c r="J33" s="78" t="s">
        <v>79</v>
      </c>
    </row>
    <row r="34" spans="3:13" x14ac:dyDescent="0.25">
      <c r="C34" s="19" t="s">
        <v>85</v>
      </c>
      <c r="D34" s="19"/>
      <c r="E34" s="78" t="s">
        <v>79</v>
      </c>
      <c r="F34" s="19"/>
      <c r="G34" s="19" t="s">
        <v>85</v>
      </c>
      <c r="H34" s="19"/>
      <c r="I34" s="19"/>
      <c r="J34" s="78" t="s">
        <v>79</v>
      </c>
    </row>
    <row r="35" spans="3:13" x14ac:dyDescent="0.25">
      <c r="C35" s="75" t="s">
        <v>86</v>
      </c>
      <c r="D35" s="75"/>
      <c r="E35" s="79" t="s">
        <v>79</v>
      </c>
      <c r="F35" s="19"/>
      <c r="G35" s="75" t="s">
        <v>86</v>
      </c>
      <c r="H35" s="75"/>
      <c r="I35" s="75"/>
      <c r="J35" s="79" t="s">
        <v>79</v>
      </c>
    </row>
    <row r="36" spans="3:13" x14ac:dyDescent="0.25">
      <c r="C36" s="57" t="s">
        <v>87</v>
      </c>
      <c r="D36" s="19"/>
      <c r="E36" s="77">
        <f>SUM(E26:E35)</f>
        <v>4386166.7393659437</v>
      </c>
      <c r="F36" s="19"/>
      <c r="G36" s="57" t="s">
        <v>87</v>
      </c>
      <c r="H36" s="19"/>
      <c r="I36" s="19"/>
      <c r="J36" s="77">
        <f>SUM(J26:J35)</f>
        <v>6608439.0116231767</v>
      </c>
    </row>
    <row r="37" spans="3:13" ht="14.25" thickBot="1" x14ac:dyDescent="0.3">
      <c r="C37" s="75" t="s">
        <v>229</v>
      </c>
      <c r="D37" s="75"/>
      <c r="E37" s="63">
        <v>213789.71428571429</v>
      </c>
      <c r="F37" s="19"/>
      <c r="G37" s="75" t="s">
        <v>229</v>
      </c>
      <c r="H37" s="75"/>
      <c r="I37" s="75"/>
      <c r="J37" s="63">
        <f>+E37</f>
        <v>213789.71428571429</v>
      </c>
    </row>
    <row r="38" spans="3:13" ht="14.25" thickBot="1" x14ac:dyDescent="0.3">
      <c r="C38" s="57" t="s">
        <v>88</v>
      </c>
      <c r="D38" s="19"/>
      <c r="E38" s="81">
        <f>E36/E37</f>
        <v>20.516266435082809</v>
      </c>
      <c r="F38" s="19"/>
      <c r="G38" s="57" t="s">
        <v>88</v>
      </c>
      <c r="H38" s="19"/>
      <c r="I38" s="19"/>
      <c r="J38" s="81">
        <f>J36/J37</f>
        <v>30.910930554832408</v>
      </c>
    </row>
    <row r="39" spans="3:13" ht="14.25" thickBot="1" x14ac:dyDescent="0.3"/>
    <row r="40" spans="3:13" ht="14.25" thickBot="1" x14ac:dyDescent="0.3">
      <c r="C40" s="57" t="s">
        <v>140</v>
      </c>
      <c r="E40" s="81">
        <f>AVERAGE(E38,J38)</f>
        <v>25.713598494957608</v>
      </c>
    </row>
    <row r="41" spans="3:13" x14ac:dyDescent="0.25">
      <c r="M41" s="7"/>
    </row>
    <row r="42" spans="3:13" x14ac:dyDescent="0.25">
      <c r="C42" s="85" t="s">
        <v>70</v>
      </c>
      <c r="D42" s="85"/>
      <c r="E42" s="85"/>
      <c r="F42" s="85"/>
      <c r="G42" s="85"/>
      <c r="H42" s="85"/>
      <c r="I42" s="85"/>
      <c r="J42" s="85"/>
      <c r="K42" s="85"/>
    </row>
    <row r="43" spans="3:13" x14ac:dyDescent="0.25">
      <c r="C43" s="86"/>
      <c r="D43" s="86"/>
      <c r="E43" s="86"/>
      <c r="F43" s="86"/>
      <c r="G43" s="86"/>
      <c r="H43" s="86"/>
      <c r="I43" s="86"/>
      <c r="J43" s="86"/>
      <c r="K43" s="86"/>
    </row>
    <row r="44" spans="3:13" x14ac:dyDescent="0.25">
      <c r="C44" s="19" t="s">
        <v>100</v>
      </c>
      <c r="D44" s="19"/>
      <c r="E44" s="19"/>
      <c r="F44" s="87">
        <v>4017</v>
      </c>
      <c r="G44" s="63"/>
      <c r="H44" s="19"/>
      <c r="I44" s="19"/>
      <c r="J44" s="19"/>
      <c r="K44" s="19"/>
    </row>
    <row r="45" spans="3:13" x14ac:dyDescent="0.25">
      <c r="C45" s="19" t="s">
        <v>101</v>
      </c>
      <c r="D45" s="19"/>
      <c r="E45" s="19"/>
      <c r="F45" s="87">
        <v>6098.09</v>
      </c>
      <c r="G45" s="19"/>
      <c r="H45" s="19"/>
      <c r="I45" s="19"/>
      <c r="J45" s="19"/>
      <c r="K45" s="19"/>
    </row>
    <row r="46" spans="3:13" x14ac:dyDescent="0.25">
      <c r="C46" s="19" t="s">
        <v>102</v>
      </c>
      <c r="D46" s="19"/>
      <c r="E46" s="19"/>
      <c r="F46" s="88">
        <f>+F44/(F44+F45)</f>
        <v>0.39712943730604472</v>
      </c>
      <c r="G46" s="19"/>
      <c r="H46" s="19"/>
      <c r="I46" s="19"/>
      <c r="J46" s="19"/>
      <c r="K46" s="19"/>
    </row>
    <row r="47" spans="3:13" x14ac:dyDescent="0.25">
      <c r="C47" s="19" t="s">
        <v>103</v>
      </c>
      <c r="D47" s="19"/>
      <c r="E47" s="19"/>
      <c r="F47" s="88">
        <f>+F45/(F45+F44)</f>
        <v>0.60287056269395523</v>
      </c>
      <c r="G47" s="19"/>
      <c r="H47" s="19"/>
      <c r="I47" s="19"/>
      <c r="J47" s="19"/>
      <c r="K47" s="19"/>
    </row>
    <row r="48" spans="3:13" x14ac:dyDescent="0.25">
      <c r="C48" s="19" t="s">
        <v>104</v>
      </c>
      <c r="D48" s="19"/>
      <c r="E48" s="19"/>
      <c r="F48" s="88">
        <f>H78</f>
        <v>0.50892377315114934</v>
      </c>
      <c r="G48" s="19"/>
      <c r="H48" s="19"/>
      <c r="I48" s="19"/>
      <c r="J48" s="19"/>
      <c r="K48" s="19"/>
    </row>
    <row r="49" spans="3:11" x14ac:dyDescent="0.25">
      <c r="C49" s="19" t="s">
        <v>105</v>
      </c>
      <c r="D49" s="19"/>
      <c r="E49" s="19"/>
      <c r="F49" s="88">
        <f>G78</f>
        <v>0.49107622684885072</v>
      </c>
      <c r="G49" s="19"/>
      <c r="H49" s="19"/>
      <c r="I49" s="19"/>
      <c r="J49" s="19"/>
      <c r="K49" s="19"/>
    </row>
    <row r="50" spans="3:11" x14ac:dyDescent="0.25">
      <c r="C50" s="19" t="s">
        <v>106</v>
      </c>
      <c r="D50" s="19"/>
      <c r="E50" s="19"/>
      <c r="F50" s="196">
        <v>1.87</v>
      </c>
      <c r="G50" s="19"/>
      <c r="H50" s="19"/>
      <c r="I50" s="19"/>
      <c r="J50" s="19"/>
      <c r="K50" s="19"/>
    </row>
    <row r="51" spans="3:11" x14ac:dyDescent="0.25">
      <c r="C51" s="19" t="s">
        <v>107</v>
      </c>
      <c r="D51" s="19"/>
      <c r="E51" s="19"/>
      <c r="F51" s="89">
        <f>+K78</f>
        <v>0.8890141628207997</v>
      </c>
      <c r="G51" s="19"/>
      <c r="H51" s="19"/>
      <c r="I51" s="19"/>
      <c r="J51" s="19"/>
      <c r="K51" s="19"/>
    </row>
    <row r="52" spans="3:11" x14ac:dyDescent="0.25">
      <c r="C52" s="19"/>
      <c r="D52" s="19"/>
      <c r="E52" s="19"/>
      <c r="F52" s="63"/>
      <c r="G52" s="19"/>
      <c r="H52" s="19"/>
      <c r="I52" s="19"/>
      <c r="J52" s="19"/>
      <c r="K52" s="19"/>
    </row>
    <row r="53" spans="3:11" x14ac:dyDescent="0.25">
      <c r="C53" s="19"/>
      <c r="D53" s="19"/>
      <c r="E53" s="19"/>
      <c r="F53" s="63"/>
      <c r="G53" s="19"/>
      <c r="H53" s="19"/>
      <c r="I53" s="19"/>
      <c r="J53" s="19"/>
      <c r="K53" s="19"/>
    </row>
    <row r="54" spans="3:11" x14ac:dyDescent="0.25">
      <c r="C54" s="91" t="s">
        <v>108</v>
      </c>
      <c r="D54" s="92"/>
      <c r="E54" s="92"/>
      <c r="F54" s="92"/>
      <c r="H54" s="91" t="s">
        <v>232</v>
      </c>
      <c r="I54" s="92"/>
      <c r="J54" s="92"/>
      <c r="K54" s="92"/>
    </row>
    <row r="55" spans="3:11" x14ac:dyDescent="0.25">
      <c r="C55" s="19" t="s">
        <v>109</v>
      </c>
      <c r="D55" s="19"/>
      <c r="E55" s="19"/>
      <c r="F55" s="93">
        <f>K78*(1+(1-F61)*(F44/F45))</f>
        <v>1.3516547953336702</v>
      </c>
      <c r="H55" s="19" t="s">
        <v>233</v>
      </c>
      <c r="I55" s="19"/>
      <c r="J55" s="19"/>
      <c r="K55" s="93">
        <f>F50</f>
        <v>1.87</v>
      </c>
    </row>
    <row r="56" spans="3:11" x14ac:dyDescent="0.25">
      <c r="C56" s="94" t="s">
        <v>110</v>
      </c>
      <c r="D56" s="19"/>
      <c r="E56" s="19"/>
      <c r="F56" s="95">
        <v>0.04</v>
      </c>
      <c r="H56" s="94" t="s">
        <v>110</v>
      </c>
      <c r="I56" s="19"/>
      <c r="J56" s="19"/>
      <c r="K56" s="95">
        <v>0.04</v>
      </c>
    </row>
    <row r="57" spans="3:11" x14ac:dyDescent="0.25">
      <c r="C57" s="96" t="s">
        <v>111</v>
      </c>
      <c r="D57" s="97"/>
      <c r="E57" s="97"/>
      <c r="F57" s="98">
        <v>4.2999999999999997E-2</v>
      </c>
      <c r="H57" s="96" t="s">
        <v>111</v>
      </c>
      <c r="I57" s="97"/>
      <c r="J57" s="97"/>
      <c r="K57" s="98">
        <v>4.2999999999999997E-2</v>
      </c>
    </row>
    <row r="58" spans="3:11" x14ac:dyDescent="0.25">
      <c r="C58" s="94"/>
      <c r="D58" s="19"/>
      <c r="E58" s="19"/>
      <c r="F58" s="99">
        <f>+F56+(F55*(F57))</f>
        <v>9.8121156199347803E-2</v>
      </c>
      <c r="H58" s="94"/>
      <c r="I58" s="19"/>
      <c r="J58" s="19"/>
      <c r="K58" s="99">
        <f>+K56+(K55*(K57))</f>
        <v>0.12040999999999999</v>
      </c>
    </row>
    <row r="59" spans="3:11" x14ac:dyDescent="0.25">
      <c r="C59" s="91" t="s">
        <v>112</v>
      </c>
      <c r="D59" s="92"/>
      <c r="E59" s="92"/>
      <c r="F59" s="19"/>
      <c r="G59" s="19"/>
      <c r="H59" s="19"/>
      <c r="I59" s="19"/>
      <c r="J59" s="19"/>
      <c r="K59" s="19"/>
    </row>
    <row r="60" spans="3:11" x14ac:dyDescent="0.25">
      <c r="C60" s="19" t="s">
        <v>113</v>
      </c>
      <c r="D60" s="19"/>
      <c r="E60" s="19"/>
      <c r="F60" s="100">
        <v>7.817627582773215E-2</v>
      </c>
      <c r="G60" s="19"/>
      <c r="H60" s="19"/>
      <c r="I60" s="19"/>
      <c r="J60" s="19"/>
      <c r="K60" s="19"/>
    </row>
    <row r="61" spans="3:11" x14ac:dyDescent="0.25">
      <c r="C61" s="101" t="s">
        <v>114</v>
      </c>
      <c r="D61" s="92"/>
      <c r="E61" s="92"/>
      <c r="F61" s="102">
        <v>0.21</v>
      </c>
      <c r="G61" s="19"/>
      <c r="H61" s="19"/>
      <c r="I61" s="19"/>
      <c r="J61" s="19"/>
      <c r="K61" s="19"/>
    </row>
    <row r="62" spans="3:11" x14ac:dyDescent="0.25">
      <c r="C62" s="19"/>
      <c r="D62" s="19"/>
      <c r="E62" s="19"/>
      <c r="F62" s="99">
        <f>+F60*(1-F61)</f>
        <v>6.1759257903908404E-2</v>
      </c>
      <c r="G62" s="19"/>
      <c r="H62" s="19"/>
      <c r="I62" s="19"/>
      <c r="J62" s="19"/>
      <c r="K62" s="19"/>
    </row>
    <row r="63" spans="3:11" x14ac:dyDescent="0.25">
      <c r="C63" s="19"/>
      <c r="D63" s="19"/>
      <c r="E63" s="19"/>
      <c r="F63" s="19"/>
      <c r="G63" s="19"/>
      <c r="H63" s="19"/>
      <c r="I63" s="19"/>
      <c r="J63" s="19"/>
      <c r="K63" s="19"/>
    </row>
    <row r="64" spans="3:11" x14ac:dyDescent="0.25">
      <c r="C64" s="19" t="s">
        <v>234</v>
      </c>
      <c r="D64" s="19"/>
      <c r="E64" s="19"/>
      <c r="F64" s="103">
        <f>(F62*F48)+(F58*F49)</f>
        <v>7.961572171989445E-2</v>
      </c>
      <c r="G64" s="19"/>
      <c r="H64" s="19"/>
      <c r="I64" s="19"/>
      <c r="J64" s="19"/>
      <c r="K64" s="19"/>
    </row>
    <row r="65" spans="3:11" x14ac:dyDescent="0.25">
      <c r="C65" s="19" t="s">
        <v>236</v>
      </c>
      <c r="D65" s="19"/>
      <c r="E65" s="19"/>
      <c r="F65" s="103">
        <f>(F62*F48)+(K58*F49)</f>
        <v>9.0561243034342126E-2</v>
      </c>
      <c r="G65" s="19"/>
      <c r="H65" s="19"/>
      <c r="I65" s="19"/>
      <c r="J65" s="19"/>
      <c r="K65" s="19"/>
    </row>
    <row r="66" spans="3:11" ht="14.25" thickBot="1" x14ac:dyDescent="0.3">
      <c r="C66" s="75" t="s">
        <v>235</v>
      </c>
      <c r="D66" s="75"/>
      <c r="E66" s="75"/>
      <c r="F66" s="103">
        <f>(F62*F46)+(K58*F47)</f>
        <v>9.7118063793797185E-2</v>
      </c>
      <c r="G66" s="19"/>
      <c r="H66" s="19"/>
      <c r="I66" s="19"/>
      <c r="J66" s="19"/>
      <c r="K66" s="19"/>
    </row>
    <row r="67" spans="3:11" ht="14.25" thickBot="1" x14ac:dyDescent="0.3">
      <c r="C67" s="57" t="s">
        <v>115</v>
      </c>
      <c r="D67" s="57"/>
      <c r="E67" s="57"/>
      <c r="F67" s="104">
        <f>AVERAGE(F64:F66)</f>
        <v>8.9098342849344592E-2</v>
      </c>
      <c r="G67" s="19"/>
      <c r="H67" s="19"/>
      <c r="I67" s="19"/>
      <c r="J67" s="19"/>
      <c r="K67" s="19"/>
    </row>
    <row r="68" spans="3:11" x14ac:dyDescent="0.25">
      <c r="C68" s="57"/>
      <c r="D68" s="57"/>
      <c r="E68" s="57"/>
      <c r="F68" s="195"/>
      <c r="G68" s="19"/>
      <c r="H68" s="19"/>
      <c r="I68" s="19"/>
      <c r="J68" s="19"/>
      <c r="K68" s="19"/>
    </row>
    <row r="69" spans="3:11" x14ac:dyDescent="0.25">
      <c r="C69" s="57" t="s">
        <v>116</v>
      </c>
      <c r="D69" s="19"/>
      <c r="E69" s="19"/>
      <c r="F69" s="19"/>
      <c r="G69" s="19"/>
      <c r="H69" s="19"/>
      <c r="I69" s="19"/>
      <c r="J69" s="19"/>
      <c r="K69" s="19"/>
    </row>
    <row r="70" spans="3:11" x14ac:dyDescent="0.25">
      <c r="C70" s="19"/>
      <c r="D70" s="19"/>
      <c r="E70" s="105" t="s">
        <v>117</v>
      </c>
      <c r="F70" s="105" t="s">
        <v>118</v>
      </c>
      <c r="G70" s="105" t="s">
        <v>119</v>
      </c>
      <c r="H70" s="105" t="s">
        <v>120</v>
      </c>
      <c r="I70" s="105" t="s">
        <v>121</v>
      </c>
      <c r="J70" s="105" t="s">
        <v>122</v>
      </c>
      <c r="K70" s="105" t="s">
        <v>123</v>
      </c>
    </row>
    <row r="71" spans="3:11" x14ac:dyDescent="0.25">
      <c r="C71" s="74" t="s">
        <v>124</v>
      </c>
      <c r="D71" s="74" t="s">
        <v>125</v>
      </c>
      <c r="E71" s="106" t="s">
        <v>126</v>
      </c>
      <c r="F71" s="106" t="s">
        <v>127</v>
      </c>
      <c r="G71" s="106" t="s">
        <v>128</v>
      </c>
      <c r="H71" s="106" t="s">
        <v>128</v>
      </c>
      <c r="I71" s="106" t="s">
        <v>129</v>
      </c>
      <c r="J71" s="106" t="s">
        <v>130</v>
      </c>
      <c r="K71" s="106" t="s">
        <v>106</v>
      </c>
    </row>
    <row r="72" spans="3:11" x14ac:dyDescent="0.25">
      <c r="C72" s="19"/>
      <c r="D72" s="19" t="s">
        <v>132</v>
      </c>
      <c r="E72" s="107">
        <v>2612.9699999999998</v>
      </c>
      <c r="F72" s="107">
        <v>7843.17</v>
      </c>
      <c r="G72" s="108">
        <f>+F72/(E72+F72)</f>
        <v>0.75010185403026364</v>
      </c>
      <c r="H72" s="108">
        <f>+E72/(E72+F72)</f>
        <v>0.24989814596973645</v>
      </c>
      <c r="I72" s="109">
        <v>0.21</v>
      </c>
      <c r="J72" s="110">
        <v>1.39</v>
      </c>
      <c r="K72" s="111">
        <f>J72/(1+(1-I72)*(E72/F72))</f>
        <v>1.1003884332588305</v>
      </c>
    </row>
    <row r="73" spans="3:11" x14ac:dyDescent="0.25">
      <c r="C73" s="112"/>
      <c r="D73" s="112" t="s">
        <v>133</v>
      </c>
      <c r="E73" s="107">
        <v>379.62</v>
      </c>
      <c r="F73" s="107">
        <v>365.08</v>
      </c>
      <c r="G73" s="108">
        <f t="shared" ref="G73:G75" si="3">+F73/(E73+F73)</f>
        <v>0.49023767960252446</v>
      </c>
      <c r="H73" s="108">
        <f t="shared" ref="H73:H75" si="4">+E73/(E73+F73)</f>
        <v>0.50976232039747549</v>
      </c>
      <c r="I73" s="109">
        <v>0.21</v>
      </c>
      <c r="J73" s="110">
        <v>1.58</v>
      </c>
      <c r="K73" s="111">
        <f t="shared" ref="K73:K77" si="5">J73/(1+(1-I73)*(E73/F73))</f>
        <v>0.86743446943801905</v>
      </c>
    </row>
    <row r="74" spans="3:11" x14ac:dyDescent="0.25">
      <c r="C74" s="112"/>
      <c r="D74" s="112" t="s">
        <v>134</v>
      </c>
      <c r="E74" s="107">
        <v>2026</v>
      </c>
      <c r="F74" s="107">
        <v>1961.52</v>
      </c>
      <c r="G74" s="108">
        <f t="shared" si="3"/>
        <v>0.49191477409517698</v>
      </c>
      <c r="H74" s="108">
        <f t="shared" si="4"/>
        <v>0.50808522590482308</v>
      </c>
      <c r="I74" s="109">
        <v>0.21</v>
      </c>
      <c r="J74" s="110">
        <v>2.2200000000000002</v>
      </c>
      <c r="K74" s="111">
        <f t="shared" si="5"/>
        <v>1.2224876616339984</v>
      </c>
    </row>
    <row r="75" spans="3:11" x14ac:dyDescent="0.25">
      <c r="C75" s="112"/>
      <c r="D75" s="112" t="s">
        <v>135</v>
      </c>
      <c r="E75" s="107">
        <v>662.31</v>
      </c>
      <c r="F75" s="107">
        <v>1136</v>
      </c>
      <c r="G75" s="108">
        <f t="shared" si="3"/>
        <v>0.63170421117604869</v>
      </c>
      <c r="H75" s="108">
        <f t="shared" si="4"/>
        <v>0.36829578882395136</v>
      </c>
      <c r="I75" s="109">
        <v>0.21</v>
      </c>
      <c r="J75" s="110">
        <v>1.33</v>
      </c>
      <c r="K75" s="111">
        <f t="shared" si="5"/>
        <v>0.91059385620358047</v>
      </c>
    </row>
    <row r="76" spans="3:11" x14ac:dyDescent="0.25">
      <c r="C76" s="112"/>
      <c r="D76" s="112" t="s">
        <v>136</v>
      </c>
      <c r="E76" s="107">
        <v>2341</v>
      </c>
      <c r="F76" s="107">
        <v>1032.78</v>
      </c>
      <c r="G76" s="108">
        <f t="shared" ref="G76:G77" si="6">+F76/(E76+F76)</f>
        <v>0.30611954543568343</v>
      </c>
      <c r="H76" s="108">
        <f t="shared" ref="H76:H77" si="7">+E76/(E76+F76)</f>
        <v>0.69388045456431668</v>
      </c>
      <c r="I76" s="109">
        <v>0.21</v>
      </c>
      <c r="J76" s="110">
        <v>0.93</v>
      </c>
      <c r="K76" s="111">
        <f t="shared" si="5"/>
        <v>0.33325077979439105</v>
      </c>
    </row>
    <row r="77" spans="3:11" ht="14.25" thickBot="1" x14ac:dyDescent="0.3">
      <c r="C77" s="115"/>
      <c r="D77" s="115" t="s">
        <v>137</v>
      </c>
      <c r="E77" s="116">
        <v>4464</v>
      </c>
      <c r="F77" s="116">
        <v>1149</v>
      </c>
      <c r="G77" s="117">
        <f t="shared" si="6"/>
        <v>0.20470336718332444</v>
      </c>
      <c r="H77" s="117">
        <f t="shared" si="7"/>
        <v>0.79529663281667562</v>
      </c>
      <c r="I77" s="118">
        <v>0.21</v>
      </c>
      <c r="J77" s="119">
        <v>1.47</v>
      </c>
      <c r="K77" s="120">
        <f t="shared" si="5"/>
        <v>0.3612465672561147</v>
      </c>
    </row>
    <row r="78" spans="3:11" x14ac:dyDescent="0.25">
      <c r="C78" s="57" t="s">
        <v>131</v>
      </c>
      <c r="D78" s="19"/>
      <c r="E78" s="63">
        <f t="shared" ref="E78:K78" si="8">MEDIAN(E72:E77)</f>
        <v>2183.5</v>
      </c>
      <c r="F78" s="63">
        <f t="shared" si="8"/>
        <v>1142.5</v>
      </c>
      <c r="G78" s="108">
        <f t="shared" si="8"/>
        <v>0.49107622684885072</v>
      </c>
      <c r="H78" s="108">
        <f t="shared" si="8"/>
        <v>0.50892377315114934</v>
      </c>
      <c r="I78" s="108">
        <f t="shared" si="8"/>
        <v>0.21</v>
      </c>
      <c r="J78" s="113">
        <f t="shared" si="8"/>
        <v>1.43</v>
      </c>
      <c r="K78" s="114">
        <f t="shared" si="8"/>
        <v>0.8890141628207997</v>
      </c>
    </row>
    <row r="80" spans="3:11" x14ac:dyDescent="0.25">
      <c r="C80" s="85" t="s">
        <v>214</v>
      </c>
      <c r="D80" s="85"/>
      <c r="E80" s="85"/>
      <c r="F80" s="85"/>
      <c r="G80" s="85"/>
      <c r="H80" s="85"/>
      <c r="I80" s="85"/>
      <c r="J80" s="85"/>
      <c r="K80" s="85"/>
    </row>
    <row r="81" spans="3:11" x14ac:dyDescent="0.25">
      <c r="C81" s="19"/>
      <c r="D81" s="19"/>
      <c r="E81" s="19"/>
      <c r="F81" s="19"/>
      <c r="G81" s="19"/>
      <c r="H81" s="19"/>
      <c r="I81" s="19"/>
      <c r="J81" s="19"/>
      <c r="K81" s="19"/>
    </row>
    <row r="82" spans="3:11" x14ac:dyDescent="0.25">
      <c r="C82" s="183" t="s">
        <v>215</v>
      </c>
      <c r="D82" s="183" t="s">
        <v>216</v>
      </c>
      <c r="E82" s="183" t="s">
        <v>217</v>
      </c>
      <c r="F82" s="183" t="s">
        <v>218</v>
      </c>
      <c r="G82" s="183" t="s">
        <v>219</v>
      </c>
      <c r="H82" s="19"/>
      <c r="I82" s="19"/>
      <c r="J82" s="19"/>
      <c r="K82" s="19"/>
    </row>
    <row r="83" spans="3:11" x14ac:dyDescent="0.25">
      <c r="C83" s="19" t="s">
        <v>220</v>
      </c>
      <c r="D83" s="184">
        <v>20197</v>
      </c>
      <c r="E83" s="19">
        <v>12.05</v>
      </c>
      <c r="F83" s="185">
        <f>IF(E83&lt;E$3,D83-((D83*E83)/E$3),0)</f>
        <v>12005.352406597105</v>
      </c>
      <c r="G83" s="63">
        <f>+E83*D83</f>
        <v>243373.85</v>
      </c>
      <c r="H83" s="19"/>
      <c r="I83" s="19"/>
      <c r="J83" s="19"/>
      <c r="K83" s="19"/>
    </row>
    <row r="84" spans="3:11" x14ac:dyDescent="0.25">
      <c r="C84" s="19" t="s">
        <v>221</v>
      </c>
      <c r="D84" s="184"/>
      <c r="E84" s="19"/>
      <c r="F84" s="186">
        <f>IF(E84&lt;E$3,D84-((D84*E84)/E$3),0)</f>
        <v>0</v>
      </c>
      <c r="G84" s="63"/>
      <c r="H84" s="19"/>
      <c r="I84" s="19"/>
      <c r="J84" s="19"/>
      <c r="K84" s="19"/>
    </row>
    <row r="85" spans="3:11" x14ac:dyDescent="0.25">
      <c r="C85" s="19" t="s">
        <v>222</v>
      </c>
      <c r="D85" s="191">
        <v>3145</v>
      </c>
      <c r="E85" s="19">
        <v>14.95</v>
      </c>
      <c r="F85" s="185">
        <f>IF(E85&lt;E$3,D85-((D85*E85)/E$3),0)</f>
        <v>1562.4436216762033</v>
      </c>
      <c r="G85" s="63">
        <f>+E85*D85</f>
        <v>47017.75</v>
      </c>
      <c r="H85" s="19"/>
      <c r="I85" s="19"/>
      <c r="J85" s="19"/>
      <c r="K85" s="19"/>
    </row>
    <row r="86" spans="3:11" x14ac:dyDescent="0.25">
      <c r="C86" s="18" t="s">
        <v>223</v>
      </c>
      <c r="D86" s="192">
        <v>505</v>
      </c>
      <c r="E86" s="18">
        <v>13.28</v>
      </c>
      <c r="F86" s="193">
        <f>IF(E86&lt;E$3,D86-((D86*E86)/E$3),0)</f>
        <v>279.27128912823969</v>
      </c>
      <c r="G86" s="76">
        <f>+E86*D86</f>
        <v>6706.4</v>
      </c>
      <c r="H86" s="19"/>
      <c r="I86" s="19"/>
      <c r="J86" s="19"/>
      <c r="K86" s="19"/>
    </row>
    <row r="87" spans="3:11" x14ac:dyDescent="0.25">
      <c r="C87" s="57" t="s">
        <v>224</v>
      </c>
      <c r="D87" s="57"/>
      <c r="E87" s="57"/>
      <c r="F87" s="187">
        <f>SUM(F83:F86)</f>
        <v>13847.067317401546</v>
      </c>
      <c r="G87" s="187">
        <f>SUM(G83:G86)</f>
        <v>297098</v>
      </c>
      <c r="H87" s="19"/>
      <c r="I87" s="19"/>
      <c r="J87" s="19"/>
      <c r="K87" s="19"/>
    </row>
    <row r="88" spans="3:11" x14ac:dyDescent="0.25">
      <c r="C88" s="19"/>
      <c r="D88" s="19"/>
      <c r="E88" s="19"/>
      <c r="F88" s="19"/>
      <c r="G88" s="19"/>
      <c r="H88" s="19"/>
      <c r="I88" s="19"/>
      <c r="J88" s="19"/>
      <c r="K88" s="19"/>
    </row>
    <row r="89" spans="3:11" x14ac:dyDescent="0.25">
      <c r="C89" s="19" t="s">
        <v>225</v>
      </c>
      <c r="D89" s="19"/>
      <c r="E89" s="19"/>
      <c r="F89" s="19"/>
      <c r="G89" s="188">
        <f>F87</f>
        <v>13847.067317401546</v>
      </c>
      <c r="H89" s="19"/>
      <c r="I89" s="19"/>
      <c r="J89" s="19"/>
      <c r="K89" s="19"/>
    </row>
    <row r="90" spans="3:11" x14ac:dyDescent="0.25">
      <c r="C90" s="75" t="s">
        <v>226</v>
      </c>
      <c r="D90" s="75"/>
      <c r="E90" s="75"/>
      <c r="F90" s="75"/>
      <c r="G90" s="90">
        <f>+-G87/E3</f>
        <v>-9999.9326825984517</v>
      </c>
      <c r="H90" s="19"/>
      <c r="I90" s="19"/>
      <c r="J90" s="19"/>
      <c r="K90" s="19"/>
    </row>
    <row r="91" spans="3:11" x14ac:dyDescent="0.25">
      <c r="C91" s="57" t="s">
        <v>227</v>
      </c>
      <c r="D91" s="57"/>
      <c r="E91" s="57"/>
      <c r="F91" s="57"/>
      <c r="G91" s="77">
        <f>SUM(G89:G90)</f>
        <v>3847.1346348030947</v>
      </c>
      <c r="H91" s="19"/>
      <c r="I91" s="19"/>
      <c r="J91" s="19"/>
      <c r="K91" s="1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09034-E1C1-4FB3-93F9-09232D4FFF4F}">
  <dimension ref="C2:AB46"/>
  <sheetViews>
    <sheetView showGridLines="0" topLeftCell="B1" zoomScale="90" zoomScaleNormal="90" workbookViewId="0">
      <selection activeCell="E29" sqref="E29"/>
    </sheetView>
  </sheetViews>
  <sheetFormatPr defaultRowHeight="13.5" x14ac:dyDescent="0.25"/>
  <cols>
    <col min="3" max="3" width="15.7109375" customWidth="1"/>
    <col min="4" max="4" width="13.85546875" customWidth="1"/>
    <col min="5" max="5" width="10.85546875" bestFit="1" customWidth="1"/>
    <col min="8" max="8" width="13" customWidth="1"/>
    <col min="10" max="10" width="10.85546875" bestFit="1" customWidth="1"/>
    <col min="12" max="12" width="12.85546875" bestFit="1" customWidth="1"/>
    <col min="13" max="13" width="9.42578125" bestFit="1" customWidth="1"/>
    <col min="14" max="14" width="10.5703125" bestFit="1" customWidth="1"/>
    <col min="15" max="16" width="10.140625" bestFit="1" customWidth="1"/>
    <col min="17" max="17" width="12.42578125" bestFit="1" customWidth="1"/>
    <col min="18" max="18" width="10.5703125" bestFit="1" customWidth="1"/>
    <col min="19" max="21" width="10.140625" bestFit="1" customWidth="1"/>
    <col min="22" max="22" width="10.5703125" customWidth="1"/>
    <col min="23" max="23" width="10.28515625" bestFit="1" customWidth="1"/>
    <col min="24" max="25" width="10.5703125" bestFit="1" customWidth="1"/>
    <col min="26" max="26" width="12.140625" bestFit="1" customWidth="1"/>
    <col min="27" max="27" width="10.28515625" bestFit="1" customWidth="1"/>
    <col min="28" max="28" width="11" bestFit="1" customWidth="1"/>
  </cols>
  <sheetData>
    <row r="2" spans="3:28" x14ac:dyDescent="0.25">
      <c r="C2" s="68" t="s">
        <v>68</v>
      </c>
      <c r="D2" s="67"/>
      <c r="E2" s="70">
        <f>+Overview!D6</f>
        <v>45747</v>
      </c>
    </row>
    <row r="3" spans="3:28" x14ac:dyDescent="0.25">
      <c r="C3" s="68" t="s">
        <v>69</v>
      </c>
      <c r="D3" s="67"/>
      <c r="E3" s="129">
        <f>+Overview!D5</f>
        <v>29.71</v>
      </c>
    </row>
    <row r="4" spans="3:28" x14ac:dyDescent="0.25">
      <c r="C4" s="68" t="s">
        <v>70</v>
      </c>
      <c r="D4" s="67"/>
      <c r="E4" s="197">
        <f>'2-Step Valuation'!E4</f>
        <v>8.9098342849344592E-2</v>
      </c>
    </row>
    <row r="5" spans="3:28" x14ac:dyDescent="0.25">
      <c r="C5" s="68" t="s">
        <v>71</v>
      </c>
      <c r="D5" s="67"/>
      <c r="E5" s="73">
        <v>2.5000000000000001E-2</v>
      </c>
    </row>
    <row r="6" spans="3:28" x14ac:dyDescent="0.25">
      <c r="C6" s="68" t="s">
        <v>72</v>
      </c>
      <c r="D6" s="67"/>
      <c r="E6" s="69">
        <v>10</v>
      </c>
    </row>
    <row r="9" spans="3:28" x14ac:dyDescent="0.25">
      <c r="C9" s="57" t="s">
        <v>54</v>
      </c>
      <c r="D9" s="57"/>
      <c r="E9" s="19"/>
      <c r="F9" s="19"/>
      <c r="G9" s="19"/>
      <c r="H9" s="19"/>
      <c r="I9" s="19"/>
      <c r="J9" s="19"/>
      <c r="K9" s="19"/>
      <c r="L9" s="19"/>
      <c r="M9" s="19"/>
      <c r="N9" s="19"/>
      <c r="O9" s="19"/>
      <c r="P9" s="19"/>
      <c r="Q9" s="19"/>
      <c r="R9" s="19"/>
      <c r="S9" s="19"/>
    </row>
    <row r="10" spans="3:28" x14ac:dyDescent="0.25">
      <c r="C10" s="1" t="s">
        <v>0</v>
      </c>
      <c r="D10" s="1"/>
      <c r="E10" s="1"/>
      <c r="F10" s="1"/>
      <c r="G10" s="2" t="s">
        <v>1</v>
      </c>
      <c r="H10" s="2" t="s">
        <v>2</v>
      </c>
      <c r="I10" s="2" t="s">
        <v>3</v>
      </c>
      <c r="J10" s="2" t="s">
        <v>4</v>
      </c>
      <c r="K10" s="2" t="s">
        <v>5</v>
      </c>
      <c r="L10" s="2" t="s">
        <v>6</v>
      </c>
      <c r="M10" s="2" t="s">
        <v>7</v>
      </c>
      <c r="N10" s="2" t="s">
        <v>8</v>
      </c>
      <c r="O10" s="16" t="s">
        <v>92</v>
      </c>
      <c r="P10" s="16" t="s">
        <v>93</v>
      </c>
      <c r="Q10" s="16" t="s">
        <v>94</v>
      </c>
      <c r="R10" s="16" t="s">
        <v>95</v>
      </c>
      <c r="S10" s="16" t="s">
        <v>96</v>
      </c>
      <c r="T10" s="16" t="s">
        <v>97</v>
      </c>
      <c r="U10" s="16" t="s">
        <v>98</v>
      </c>
      <c r="V10" s="121" t="s">
        <v>99</v>
      </c>
      <c r="W10" s="16" t="s">
        <v>59</v>
      </c>
      <c r="X10" s="16" t="s">
        <v>60</v>
      </c>
      <c r="Y10" s="16" t="s">
        <v>61</v>
      </c>
      <c r="Z10" s="16" t="s">
        <v>62</v>
      </c>
      <c r="AA10" s="16" t="s">
        <v>243</v>
      </c>
      <c r="AB10" s="121" t="s">
        <v>244</v>
      </c>
    </row>
    <row r="11" spans="3:28" x14ac:dyDescent="0.25">
      <c r="C11" s="18" t="s">
        <v>9</v>
      </c>
      <c r="D11" s="18"/>
      <c r="E11" s="18"/>
      <c r="F11" s="145"/>
      <c r="G11" s="4">
        <v>45016</v>
      </c>
      <c r="H11" s="4">
        <v>45107</v>
      </c>
      <c r="I11" s="4">
        <v>45199</v>
      </c>
      <c r="J11" s="4">
        <v>45291</v>
      </c>
      <c r="K11" s="4">
        <v>45382</v>
      </c>
      <c r="L11" s="4">
        <v>45473</v>
      </c>
      <c r="M11" s="4">
        <v>45565</v>
      </c>
      <c r="N11" s="80">
        <v>45657</v>
      </c>
      <c r="O11" s="4">
        <v>45747</v>
      </c>
      <c r="P11" s="4">
        <v>45838</v>
      </c>
      <c r="Q11" s="4">
        <v>45930</v>
      </c>
      <c r="R11" s="4">
        <v>46022</v>
      </c>
      <c r="S11" s="4">
        <v>46112</v>
      </c>
      <c r="T11" s="4">
        <v>46203</v>
      </c>
      <c r="U11" s="4">
        <v>46295</v>
      </c>
      <c r="V11" s="80">
        <v>46387</v>
      </c>
      <c r="W11" s="4">
        <f>+V11+365</f>
        <v>46752</v>
      </c>
      <c r="X11" s="4">
        <v>47118</v>
      </c>
      <c r="Y11" s="4">
        <f t="shared" ref="Y11" si="0">+X11+365</f>
        <v>47483</v>
      </c>
      <c r="Z11" s="4">
        <f t="shared" ref="Z11" si="1">+Y11+365</f>
        <v>47848</v>
      </c>
      <c r="AA11" s="4">
        <f t="shared" ref="AA11" si="2">+Z11+365</f>
        <v>48213</v>
      </c>
      <c r="AB11" s="80">
        <v>48579</v>
      </c>
    </row>
    <row r="12" spans="3:28" x14ac:dyDescent="0.25">
      <c r="C12" s="19" t="s">
        <v>63</v>
      </c>
      <c r="D12" s="19"/>
      <c r="E12" s="19"/>
      <c r="F12" s="19"/>
      <c r="G12" s="19"/>
      <c r="H12" s="19"/>
      <c r="I12" s="19"/>
      <c r="J12" s="19"/>
      <c r="K12" s="60"/>
      <c r="N12" s="71">
        <f>+'3-Step Valuation'!E2</f>
        <v>45747</v>
      </c>
      <c r="O12" s="65">
        <f t="shared" ref="O12:V12" si="3">+O11</f>
        <v>45747</v>
      </c>
      <c r="P12" s="65">
        <f t="shared" si="3"/>
        <v>45838</v>
      </c>
      <c r="Q12" s="65">
        <f t="shared" si="3"/>
        <v>45930</v>
      </c>
      <c r="R12" s="65">
        <f t="shared" si="3"/>
        <v>46022</v>
      </c>
      <c r="S12" s="65">
        <f t="shared" si="3"/>
        <v>46112</v>
      </c>
      <c r="T12" s="65">
        <f t="shared" si="3"/>
        <v>46203</v>
      </c>
      <c r="U12" s="65">
        <f t="shared" si="3"/>
        <v>46295</v>
      </c>
      <c r="V12" s="122">
        <f t="shared" si="3"/>
        <v>46387</v>
      </c>
      <c r="W12" s="65">
        <f t="shared" ref="W12:Z12" si="4">+W11</f>
        <v>46752</v>
      </c>
      <c r="X12" s="65">
        <f t="shared" si="4"/>
        <v>47118</v>
      </c>
      <c r="Y12" s="65">
        <f t="shared" si="4"/>
        <v>47483</v>
      </c>
      <c r="Z12" s="65">
        <f t="shared" si="4"/>
        <v>47848</v>
      </c>
      <c r="AA12" s="65">
        <f t="shared" ref="AA12:AB12" si="5">+AA11</f>
        <v>48213</v>
      </c>
      <c r="AB12" s="122">
        <f t="shared" si="5"/>
        <v>48579</v>
      </c>
    </row>
    <row r="13" spans="3:28" x14ac:dyDescent="0.25">
      <c r="C13" s="19" t="s">
        <v>237</v>
      </c>
      <c r="D13" s="19"/>
      <c r="E13" s="19"/>
      <c r="F13" s="19"/>
      <c r="G13" s="19"/>
      <c r="H13" s="19"/>
      <c r="I13" s="19"/>
      <c r="J13" s="19"/>
      <c r="K13" s="60"/>
      <c r="N13" s="71">
        <f>+N12</f>
        <v>45747</v>
      </c>
      <c r="O13" s="65">
        <f t="shared" ref="O13:V13" si="6">AVERAGE(N12:O12)</f>
        <v>45747</v>
      </c>
      <c r="P13" s="65">
        <f t="shared" si="6"/>
        <v>45792.5</v>
      </c>
      <c r="Q13" s="65">
        <f t="shared" si="6"/>
        <v>45884</v>
      </c>
      <c r="R13" s="65">
        <f t="shared" si="6"/>
        <v>45976</v>
      </c>
      <c r="S13" s="65">
        <f t="shared" si="6"/>
        <v>46067</v>
      </c>
      <c r="T13" s="65">
        <f t="shared" si="6"/>
        <v>46157.5</v>
      </c>
      <c r="U13" s="65">
        <f t="shared" si="6"/>
        <v>46249</v>
      </c>
      <c r="V13" s="122">
        <f t="shared" si="6"/>
        <v>46341</v>
      </c>
      <c r="W13" s="65">
        <f>AVERAGE(V12:W12)</f>
        <v>46569.5</v>
      </c>
      <c r="X13" s="65">
        <f t="shared" ref="X13:Z13" si="7">AVERAGE(W12:X12)</f>
        <v>46935</v>
      </c>
      <c r="Y13" s="65">
        <f t="shared" si="7"/>
        <v>47300.5</v>
      </c>
      <c r="Z13" s="65">
        <f t="shared" si="7"/>
        <v>47665.5</v>
      </c>
      <c r="AA13" s="65">
        <f t="shared" ref="AA13" si="8">AVERAGE(Z12:AA12)</f>
        <v>48030.5</v>
      </c>
      <c r="AB13" s="122">
        <f t="shared" ref="AB13" si="9">AVERAGE(AA12:AB12)</f>
        <v>48396</v>
      </c>
    </row>
    <row r="14" spans="3:28" x14ac:dyDescent="0.25">
      <c r="C14" s="19" t="s">
        <v>238</v>
      </c>
      <c r="D14" s="19"/>
      <c r="E14" s="19"/>
      <c r="F14" s="19"/>
      <c r="G14" s="19"/>
      <c r="H14" s="19"/>
      <c r="I14" s="19"/>
      <c r="J14" s="60"/>
      <c r="K14" s="66"/>
      <c r="N14" s="42"/>
      <c r="O14" s="61">
        <f>YEARFRAC(N12,O12)*4</f>
        <v>0</v>
      </c>
      <c r="P14" s="61">
        <f t="shared" ref="P14:V14" si="10">YEARFRAC(O12,P12)*4</f>
        <v>1</v>
      </c>
      <c r="Q14" s="61">
        <f t="shared" si="10"/>
        <v>1</v>
      </c>
      <c r="R14" s="61">
        <f t="shared" si="10"/>
        <v>1</v>
      </c>
      <c r="S14" s="61">
        <f t="shared" si="10"/>
        <v>1</v>
      </c>
      <c r="T14" s="61">
        <f t="shared" si="10"/>
        <v>1</v>
      </c>
      <c r="U14" s="61">
        <f t="shared" si="10"/>
        <v>1</v>
      </c>
      <c r="V14" s="123">
        <f t="shared" si="10"/>
        <v>1</v>
      </c>
      <c r="W14" s="61">
        <f>YEARFRAC(V12,W12)</f>
        <v>1</v>
      </c>
      <c r="X14" s="61">
        <f t="shared" ref="X14:Z14" si="11">YEARFRAC(W12,X12)</f>
        <v>1</v>
      </c>
      <c r="Y14" s="61">
        <f t="shared" si="11"/>
        <v>1</v>
      </c>
      <c r="Z14" s="66">
        <f t="shared" si="11"/>
        <v>1</v>
      </c>
      <c r="AA14" s="66">
        <f t="shared" ref="AA14" si="12">YEARFRAC(Z12,AA12)</f>
        <v>1</v>
      </c>
      <c r="AB14" s="123">
        <f t="shared" ref="AB14" si="13">YEARFRAC(AA12,AB12)</f>
        <v>1</v>
      </c>
    </row>
    <row r="15" spans="3:28" x14ac:dyDescent="0.25">
      <c r="C15" s="19"/>
      <c r="D15" s="19"/>
      <c r="E15" s="19"/>
      <c r="F15" s="19"/>
      <c r="G15" s="19"/>
      <c r="H15" s="19"/>
      <c r="I15" s="19"/>
      <c r="J15" s="60"/>
      <c r="K15" s="66"/>
      <c r="N15" s="42"/>
      <c r="O15" s="61"/>
      <c r="P15" s="61"/>
      <c r="Q15" s="61"/>
      <c r="R15" s="61"/>
      <c r="S15" s="61"/>
      <c r="T15" s="61"/>
      <c r="U15" s="61"/>
      <c r="V15" s="123"/>
      <c r="W15" s="61"/>
      <c r="X15" s="61"/>
      <c r="Y15" s="61"/>
      <c r="Z15" s="66"/>
      <c r="AA15" s="66"/>
      <c r="AB15" s="123"/>
    </row>
    <row r="16" spans="3:28" x14ac:dyDescent="0.25">
      <c r="C16" s="19" t="s">
        <v>239</v>
      </c>
      <c r="D16" s="19"/>
      <c r="E16" s="19"/>
      <c r="F16" s="19"/>
      <c r="G16" s="19"/>
      <c r="H16" s="19"/>
      <c r="I16" s="19"/>
      <c r="J16" s="60"/>
      <c r="K16" s="66"/>
      <c r="N16" s="71">
        <f>N12</f>
        <v>45747</v>
      </c>
      <c r="O16" s="199">
        <f>P16</f>
        <v>45884.5</v>
      </c>
      <c r="P16" s="199">
        <v>45884.5</v>
      </c>
      <c r="Q16" s="199">
        <v>45884.5</v>
      </c>
      <c r="R16" s="199">
        <f>AVERAGE(R12,N12)</f>
        <v>45884.5</v>
      </c>
      <c r="S16" s="199">
        <v>46204.5</v>
      </c>
      <c r="T16" s="199">
        <v>46204.5</v>
      </c>
      <c r="U16" s="199">
        <v>46204.5</v>
      </c>
      <c r="V16" s="71">
        <f>AVERAGE(V12,R12)</f>
        <v>46204.5</v>
      </c>
      <c r="W16" s="199">
        <f>W13</f>
        <v>46569.5</v>
      </c>
      <c r="X16" s="199">
        <f t="shared" ref="X16:AB16" si="14">X13</f>
        <v>46935</v>
      </c>
      <c r="Y16" s="199">
        <f t="shared" si="14"/>
        <v>47300.5</v>
      </c>
      <c r="Z16" s="199">
        <f t="shared" si="14"/>
        <v>47665.5</v>
      </c>
      <c r="AA16" s="199">
        <f t="shared" si="14"/>
        <v>48030.5</v>
      </c>
      <c r="AB16" s="71">
        <f t="shared" si="14"/>
        <v>48396</v>
      </c>
    </row>
    <row r="17" spans="3:28" x14ac:dyDescent="0.25">
      <c r="C17" s="19"/>
      <c r="D17" s="19"/>
      <c r="E17" s="19"/>
      <c r="F17" s="19"/>
      <c r="G17" s="19"/>
      <c r="H17" s="19"/>
      <c r="I17" s="19"/>
      <c r="J17" s="60"/>
      <c r="K17" s="66"/>
      <c r="N17" s="42"/>
      <c r="O17" s="61"/>
      <c r="P17" s="61"/>
      <c r="Q17" s="61"/>
      <c r="R17" s="61"/>
      <c r="S17" s="61"/>
      <c r="T17" s="19"/>
      <c r="U17" s="19"/>
      <c r="V17" s="124"/>
      <c r="AB17" s="42"/>
    </row>
    <row r="18" spans="3:28" x14ac:dyDescent="0.25">
      <c r="C18" s="19" t="s">
        <v>240</v>
      </c>
      <c r="D18" s="19"/>
      <c r="E18" s="19"/>
      <c r="F18" s="19"/>
      <c r="G18" s="19"/>
      <c r="H18" s="19"/>
      <c r="I18" s="19"/>
      <c r="J18" s="19"/>
      <c r="K18" s="63"/>
      <c r="N18" s="62">
        <v>0</v>
      </c>
      <c r="O18" s="63">
        <f>+O14*Model!N95</f>
        <v>0</v>
      </c>
      <c r="P18" s="63">
        <f>+P14*Model!O95</f>
        <v>61357.827389539692</v>
      </c>
      <c r="Q18" s="63">
        <f>+Q14*Model!P95</f>
        <v>67882.031560006959</v>
      </c>
      <c r="R18" s="63">
        <f>+R14*Model!Q95</f>
        <v>112950.65590686462</v>
      </c>
      <c r="S18" s="63">
        <f>+S14*Model!R95</f>
        <v>10970.141947074262</v>
      </c>
      <c r="T18" s="63">
        <f>+T14*Model!S95</f>
        <v>90663.965080652837</v>
      </c>
      <c r="U18" s="63">
        <f>+U14*Model!T95</f>
        <v>104164.24755125586</v>
      </c>
      <c r="V18" s="125">
        <f>+V14*Model!U95</f>
        <v>97141.584203428822</v>
      </c>
      <c r="W18">
        <v>0</v>
      </c>
      <c r="X18">
        <v>0</v>
      </c>
      <c r="Y18">
        <v>0</v>
      </c>
      <c r="Z18">
        <v>0</v>
      </c>
      <c r="AA18">
        <v>0</v>
      </c>
      <c r="AB18" s="42">
        <v>0</v>
      </c>
    </row>
    <row r="19" spans="3:28" x14ac:dyDescent="0.25">
      <c r="C19" s="19"/>
      <c r="D19" s="19"/>
      <c r="E19" s="19"/>
      <c r="F19" s="19"/>
      <c r="G19" s="19"/>
      <c r="H19" s="19"/>
      <c r="I19" s="19"/>
      <c r="J19" s="19"/>
      <c r="K19" s="63"/>
      <c r="N19" s="62"/>
      <c r="O19" s="63"/>
      <c r="P19" s="63"/>
      <c r="Q19" s="63"/>
      <c r="R19" s="63"/>
      <c r="S19" s="63"/>
      <c r="T19" s="63"/>
      <c r="U19" s="63"/>
      <c r="V19" s="125"/>
      <c r="W19" s="63"/>
      <c r="X19" s="63"/>
      <c r="Y19" s="63"/>
      <c r="Z19" s="63"/>
      <c r="AA19" s="63"/>
      <c r="AB19" s="125"/>
    </row>
    <row r="20" spans="3:28" x14ac:dyDescent="0.25">
      <c r="C20" s="19" t="s">
        <v>241</v>
      </c>
      <c r="D20" s="19"/>
      <c r="E20" s="19"/>
      <c r="F20" s="19"/>
      <c r="G20" s="19"/>
      <c r="H20" s="19"/>
      <c r="I20" s="19"/>
      <c r="J20" s="19"/>
      <c r="K20" s="63"/>
      <c r="N20" s="62">
        <v>0</v>
      </c>
      <c r="O20" s="63">
        <v>0</v>
      </c>
      <c r="P20" s="63">
        <v>0</v>
      </c>
      <c r="Q20" s="63">
        <v>0</v>
      </c>
      <c r="R20" s="63">
        <v>0</v>
      </c>
      <c r="S20" s="63">
        <v>0</v>
      </c>
      <c r="T20" s="63">
        <v>0</v>
      </c>
      <c r="U20" s="63">
        <v>0</v>
      </c>
      <c r="V20" s="125">
        <v>0</v>
      </c>
      <c r="W20" s="63">
        <f>+SUM(S18:V18)*(1+W29)</f>
        <v>369586.7253145423</v>
      </c>
      <c r="X20" s="63">
        <f>+W20*(1+X29)</f>
        <v>428720.60136486904</v>
      </c>
      <c r="Y20" s="63">
        <f>+X20*(1+Y29)</f>
        <v>475879.86751500471</v>
      </c>
      <c r="Z20" s="63">
        <f>+Y20*(1+Z29)</f>
        <v>513950.25691620511</v>
      </c>
      <c r="AA20" s="63">
        <f t="shared" ref="AA20:AB20" si="15">+Z20*(1+AA29)</f>
        <v>542217.52104659635</v>
      </c>
      <c r="AB20" s="125">
        <f t="shared" si="15"/>
        <v>563906.22188846022</v>
      </c>
    </row>
    <row r="21" spans="3:28" x14ac:dyDescent="0.25">
      <c r="C21" s="19" t="s">
        <v>242</v>
      </c>
      <c r="D21" s="19"/>
      <c r="E21" s="19"/>
      <c r="F21" s="19"/>
      <c r="G21" s="19"/>
      <c r="H21" s="19"/>
      <c r="I21" s="19"/>
      <c r="J21" s="19"/>
      <c r="K21" s="63"/>
      <c r="N21" s="62">
        <v>0</v>
      </c>
      <c r="O21" s="63">
        <v>0</v>
      </c>
      <c r="P21" s="63">
        <v>0</v>
      </c>
      <c r="Q21" s="63">
        <v>0</v>
      </c>
      <c r="R21" s="63">
        <v>0</v>
      </c>
      <c r="S21" s="63">
        <v>0</v>
      </c>
      <c r="T21" s="63">
        <v>0</v>
      </c>
      <c r="U21" s="63">
        <v>0</v>
      </c>
      <c r="V21" s="125">
        <v>0</v>
      </c>
      <c r="W21" s="63">
        <v>0</v>
      </c>
      <c r="X21" s="63">
        <v>0</v>
      </c>
      <c r="Y21" s="63">
        <v>0</v>
      </c>
      <c r="Z21" s="63">
        <v>0</v>
      </c>
      <c r="AA21" s="63">
        <v>0</v>
      </c>
      <c r="AB21" s="125">
        <f>(AB20*(1+'3-Step Valuation'!E5))/(('3-Step Valuation'!E4-'3-Step Valuation'!E5))</f>
        <v>9017454.3013412971</v>
      </c>
    </row>
    <row r="22" spans="3:28" x14ac:dyDescent="0.25">
      <c r="C22" s="19"/>
      <c r="D22" s="19"/>
      <c r="E22" s="19"/>
      <c r="F22" s="19"/>
      <c r="G22" s="19"/>
      <c r="H22" s="19"/>
      <c r="I22" s="19"/>
      <c r="J22" s="19"/>
      <c r="K22" s="63"/>
      <c r="N22" s="62"/>
      <c r="O22" s="63"/>
      <c r="P22" s="63"/>
      <c r="Q22" s="63"/>
      <c r="R22" s="63"/>
      <c r="S22" s="63"/>
      <c r="T22" s="63"/>
      <c r="U22" s="63"/>
      <c r="V22" s="125"/>
      <c r="W22" s="63"/>
      <c r="X22" s="63"/>
      <c r="Y22" s="63"/>
      <c r="Z22" s="63"/>
      <c r="AA22" s="63"/>
      <c r="AB22" s="125"/>
    </row>
    <row r="23" spans="3:28" x14ac:dyDescent="0.25">
      <c r="C23" s="19"/>
      <c r="D23" s="19"/>
      <c r="E23" s="19"/>
      <c r="F23" s="19"/>
      <c r="G23" s="19"/>
      <c r="H23" s="19"/>
      <c r="I23" s="19"/>
      <c r="J23" s="19"/>
      <c r="K23" s="63"/>
      <c r="N23" s="62"/>
      <c r="O23" s="63"/>
      <c r="P23" s="63"/>
      <c r="Q23" s="63"/>
      <c r="R23" s="63"/>
      <c r="S23" s="63"/>
      <c r="T23" s="63"/>
      <c r="U23" s="63"/>
      <c r="V23" s="125"/>
      <c r="W23" s="63"/>
      <c r="X23" s="63"/>
      <c r="Y23" s="63"/>
      <c r="Z23" s="63"/>
      <c r="AA23" s="63"/>
      <c r="AB23" s="125"/>
    </row>
    <row r="24" spans="3:28" x14ac:dyDescent="0.25">
      <c r="C24" s="19" t="s">
        <v>73</v>
      </c>
      <c r="D24" s="19"/>
      <c r="E24" s="19"/>
      <c r="F24" s="19"/>
      <c r="G24" s="19"/>
      <c r="H24" s="19"/>
      <c r="I24" s="19"/>
      <c r="J24" s="19"/>
      <c r="K24" s="63"/>
      <c r="N24" s="62">
        <v>0</v>
      </c>
      <c r="O24" s="63">
        <f>+Model!N100</f>
        <v>168266.22583282078</v>
      </c>
      <c r="P24" s="63">
        <f>+Model!O100</f>
        <v>205772.37448691874</v>
      </c>
      <c r="Q24" s="63">
        <f>+Model!P100</f>
        <v>193890.36235610914</v>
      </c>
      <c r="R24" s="63">
        <f>+Model!Q100</f>
        <v>186635.2971145233</v>
      </c>
      <c r="S24" s="63">
        <f>+Model!R100</f>
        <v>199825.27640164754</v>
      </c>
      <c r="T24" s="63">
        <f>+Model!S100</f>
        <v>240650.36591214128</v>
      </c>
      <c r="U24" s="63">
        <f>+Model!T100</f>
        <v>229433.2386124279</v>
      </c>
      <c r="V24" s="125">
        <f>+Model!U100</f>
        <v>219174.81445216696</v>
      </c>
      <c r="W24" s="63">
        <f>+SUM(S24:V24)*(1+W30)</f>
        <v>1031337.0866389249</v>
      </c>
      <c r="X24" s="63">
        <f>+W24*(1+X30)</f>
        <v>1175724.2787683746</v>
      </c>
      <c r="Y24" s="63">
        <f t="shared" ref="Y24:Z24" si="16">+X24*(1+Y30)</f>
        <v>1305053.949432896</v>
      </c>
      <c r="Z24" s="63">
        <f t="shared" si="16"/>
        <v>1396407.7258931987</v>
      </c>
      <c r="AA24" s="63">
        <f t="shared" ref="AA24" si="17">+Z24*(1+AA30)</f>
        <v>1466228.1121878587</v>
      </c>
      <c r="AB24" s="125">
        <f t="shared" ref="AB24" si="18">+AA24*(1+AB30)</f>
        <v>1524877.236675373</v>
      </c>
    </row>
    <row r="25" spans="3:28" x14ac:dyDescent="0.25">
      <c r="C25" s="19" t="s">
        <v>67</v>
      </c>
      <c r="D25" s="19"/>
      <c r="E25" s="19"/>
      <c r="F25" s="19"/>
      <c r="G25" s="19"/>
      <c r="H25" s="19"/>
      <c r="I25" s="19"/>
      <c r="J25" s="19"/>
      <c r="K25" s="63"/>
      <c r="N25" s="62">
        <v>0</v>
      </c>
      <c r="O25" s="63">
        <v>0</v>
      </c>
      <c r="P25" s="63">
        <v>0</v>
      </c>
      <c r="Q25" s="63">
        <v>0</v>
      </c>
      <c r="R25" s="63">
        <v>0</v>
      </c>
      <c r="S25" s="63">
        <v>0</v>
      </c>
      <c r="T25" s="63">
        <v>0</v>
      </c>
      <c r="U25" s="63">
        <v>0</v>
      </c>
      <c r="V25" s="125">
        <v>0</v>
      </c>
      <c r="W25" s="63">
        <v>0</v>
      </c>
      <c r="X25" s="63">
        <v>0</v>
      </c>
      <c r="Y25" s="63">
        <v>0</v>
      </c>
      <c r="Z25" s="63">
        <v>0</v>
      </c>
      <c r="AA25" s="63">
        <v>0</v>
      </c>
      <c r="AB25" s="126">
        <f>SUM(AB24*'3-Step Valuation'!E6)</f>
        <v>15248772.366753731</v>
      </c>
    </row>
    <row r="26" spans="3:28" x14ac:dyDescent="0.25">
      <c r="N26" s="42"/>
      <c r="V26" s="42"/>
      <c r="AB26" s="42"/>
    </row>
    <row r="28" spans="3:28" x14ac:dyDescent="0.25">
      <c r="C28" s="74" t="s">
        <v>53</v>
      </c>
      <c r="D28" s="75"/>
      <c r="E28" s="75"/>
      <c r="F28" s="19"/>
      <c r="G28" s="74" t="s">
        <v>74</v>
      </c>
      <c r="H28" s="75"/>
      <c r="I28" s="75"/>
      <c r="J28" s="75"/>
    </row>
    <row r="29" spans="3:28" x14ac:dyDescent="0.25">
      <c r="C29" s="19" t="s">
        <v>91</v>
      </c>
      <c r="D29" s="19"/>
      <c r="E29" s="63">
        <f>XNPV('3-Step Valuation'!$E$4,$N$18:$V$18,$N$13:$V$13)</f>
        <v>503244.64286629501</v>
      </c>
      <c r="F29" s="19"/>
      <c r="G29" s="19" t="s">
        <v>91</v>
      </c>
      <c r="H29" s="19"/>
      <c r="I29" s="19"/>
      <c r="J29" s="63">
        <f>E29</f>
        <v>503244.64286629501</v>
      </c>
      <c r="U29" t="s">
        <v>195</v>
      </c>
      <c r="W29" s="72">
        <v>0.22</v>
      </c>
      <c r="X29" s="72">
        <v>0.16</v>
      </c>
      <c r="Y29" s="72">
        <v>0.11</v>
      </c>
      <c r="Z29" s="72">
        <v>0.08</v>
      </c>
      <c r="AA29" s="72">
        <v>5.5E-2</v>
      </c>
      <c r="AB29" s="72">
        <v>0.04</v>
      </c>
    </row>
    <row r="30" spans="3:28" x14ac:dyDescent="0.25">
      <c r="C30" s="19" t="s">
        <v>138</v>
      </c>
      <c r="D30" s="19"/>
      <c r="E30" s="63">
        <f>XNPV('3-Step Valuation'!$E$4,$N$20:$Z$20,$N$16:$Z$16)</f>
        <v>1288860.767855776</v>
      </c>
      <c r="F30" s="19"/>
      <c r="G30" s="19" t="s">
        <v>138</v>
      </c>
      <c r="H30" s="19"/>
      <c r="I30" s="19"/>
      <c r="J30" s="63">
        <f>XNPV('3-Step Valuation'!$E$4,$N$20:$Z$20,$N$16:$Z$16)</f>
        <v>1288860.767855776</v>
      </c>
      <c r="U30" t="s">
        <v>139</v>
      </c>
      <c r="W30" s="72">
        <v>0.16</v>
      </c>
      <c r="X30" s="72">
        <v>0.14000000000000001</v>
      </c>
      <c r="Y30" s="72">
        <v>0.11</v>
      </c>
      <c r="Z30" s="72">
        <v>7.0000000000000007E-2</v>
      </c>
      <c r="AA30" s="72">
        <v>0.05</v>
      </c>
      <c r="AB30" s="72">
        <v>0.04</v>
      </c>
    </row>
    <row r="31" spans="3:28" x14ac:dyDescent="0.25">
      <c r="C31" s="75" t="s">
        <v>75</v>
      </c>
      <c r="D31" s="18"/>
      <c r="E31" s="76">
        <f>XNPV('3-Step Valuation'!$E$4,N21:AB21,$N$16:$AB$16)</f>
        <v>4853647.392229585</v>
      </c>
      <c r="F31" s="19"/>
      <c r="G31" s="75" t="s">
        <v>75</v>
      </c>
      <c r="H31" s="75"/>
      <c r="I31" s="75"/>
      <c r="J31" s="76">
        <f>XNPV('3-Step Valuation'!$E$4,$N$25:$AB$25,$N$16:$AB$16)</f>
        <v>8207656.1476544328</v>
      </c>
      <c r="L31" s="198"/>
    </row>
    <row r="32" spans="3:28" x14ac:dyDescent="0.25">
      <c r="C32" s="57" t="s">
        <v>76</v>
      </c>
      <c r="D32" s="19"/>
      <c r="E32" s="77">
        <f>SUM(E29:E31)</f>
        <v>6645752.8029516563</v>
      </c>
      <c r="F32" s="19"/>
      <c r="G32" s="57" t="s">
        <v>76</v>
      </c>
      <c r="H32" s="19"/>
      <c r="I32" s="19"/>
      <c r="J32" s="77">
        <f>SUM(J29:J31)</f>
        <v>9999761.5583765041</v>
      </c>
    </row>
    <row r="33" spans="3:22" x14ac:dyDescent="0.25">
      <c r="C33" s="19" t="s">
        <v>77</v>
      </c>
      <c r="D33" s="19"/>
      <c r="E33" s="78">
        <v>10879</v>
      </c>
      <c r="F33" s="19"/>
      <c r="G33" s="19" t="s">
        <v>77</v>
      </c>
      <c r="H33" s="19"/>
      <c r="I33" s="19"/>
      <c r="J33" s="78">
        <v>10879</v>
      </c>
    </row>
    <row r="34" spans="3:22" x14ac:dyDescent="0.25">
      <c r="C34" s="19" t="s">
        <v>78</v>
      </c>
      <c r="D34" s="19"/>
      <c r="E34" s="78" t="s">
        <v>79</v>
      </c>
      <c r="F34" s="19"/>
      <c r="G34" s="19" t="s">
        <v>78</v>
      </c>
      <c r="H34" s="19"/>
      <c r="I34" s="19"/>
      <c r="J34" s="78" t="s">
        <v>79</v>
      </c>
    </row>
    <row r="35" spans="3:22" x14ac:dyDescent="0.25">
      <c r="C35" s="19" t="s">
        <v>80</v>
      </c>
      <c r="D35" s="19"/>
      <c r="E35" s="78" t="s">
        <v>79</v>
      </c>
      <c r="F35" s="19"/>
      <c r="G35" s="19" t="s">
        <v>80</v>
      </c>
      <c r="H35" s="19"/>
      <c r="I35" s="19"/>
      <c r="J35" s="78" t="s">
        <v>79</v>
      </c>
      <c r="Q35" s="82"/>
    </row>
    <row r="36" spans="3:22" x14ac:dyDescent="0.25">
      <c r="C36" s="19" t="s">
        <v>81</v>
      </c>
      <c r="D36" s="19"/>
      <c r="E36" s="78" t="s">
        <v>79</v>
      </c>
      <c r="F36" s="19"/>
      <c r="G36" s="19" t="s">
        <v>81</v>
      </c>
      <c r="H36" s="19"/>
      <c r="I36" s="19"/>
      <c r="J36" s="78" t="s">
        <v>79</v>
      </c>
    </row>
    <row r="37" spans="3:22" x14ac:dyDescent="0.25">
      <c r="C37" s="19" t="s">
        <v>82</v>
      </c>
      <c r="D37" s="19"/>
      <c r="E37" s="78">
        <v>-1535741</v>
      </c>
      <c r="F37" s="19"/>
      <c r="G37" s="19" t="s">
        <v>82</v>
      </c>
      <c r="H37" s="19"/>
      <c r="I37" s="19"/>
      <c r="J37" s="78">
        <v>-1535741</v>
      </c>
    </row>
    <row r="38" spans="3:22" x14ac:dyDescent="0.25">
      <c r="C38" s="19" t="s">
        <v>83</v>
      </c>
      <c r="D38" s="19"/>
      <c r="E38" s="78" t="s">
        <v>79</v>
      </c>
      <c r="F38" s="19"/>
      <c r="G38" s="19" t="s">
        <v>83</v>
      </c>
      <c r="H38" s="19"/>
      <c r="I38" s="19"/>
      <c r="J38" s="78" t="s">
        <v>79</v>
      </c>
    </row>
    <row r="39" spans="3:22" x14ac:dyDescent="0.25">
      <c r="C39" s="19" t="s">
        <v>84</v>
      </c>
      <c r="D39" s="19"/>
      <c r="E39" s="78" t="s">
        <v>79</v>
      </c>
      <c r="F39" s="19"/>
      <c r="G39" s="19" t="s">
        <v>84</v>
      </c>
      <c r="H39" s="19"/>
      <c r="I39" s="19"/>
      <c r="J39" s="78" t="s">
        <v>79</v>
      </c>
    </row>
    <row r="40" spans="3:22" x14ac:dyDescent="0.25">
      <c r="C40" s="19" t="s">
        <v>85</v>
      </c>
      <c r="D40" s="19"/>
      <c r="E40" s="78" t="s">
        <v>79</v>
      </c>
      <c r="F40" s="19"/>
      <c r="G40" s="19" t="s">
        <v>85</v>
      </c>
      <c r="H40" s="19"/>
      <c r="I40" s="19"/>
      <c r="J40" s="78" t="s">
        <v>79</v>
      </c>
    </row>
    <row r="41" spans="3:22" x14ac:dyDescent="0.25">
      <c r="C41" s="75" t="s">
        <v>86</v>
      </c>
      <c r="D41" s="75"/>
      <c r="E41" s="79" t="s">
        <v>79</v>
      </c>
      <c r="F41" s="19"/>
      <c r="G41" s="75" t="s">
        <v>86</v>
      </c>
      <c r="H41" s="75"/>
      <c r="I41" s="75"/>
      <c r="J41" s="79" t="s">
        <v>79</v>
      </c>
      <c r="V41" s="82"/>
    </row>
    <row r="42" spans="3:22" x14ac:dyDescent="0.25">
      <c r="C42" s="57" t="s">
        <v>87</v>
      </c>
      <c r="D42" s="19"/>
      <c r="E42" s="77">
        <f>SUM(E32:E41)</f>
        <v>5120890.8029516563</v>
      </c>
      <c r="F42" s="19"/>
      <c r="G42" s="57" t="s">
        <v>87</v>
      </c>
      <c r="H42" s="19"/>
      <c r="I42" s="19"/>
      <c r="J42" s="77">
        <f>SUM(J32:J41)</f>
        <v>8474899.5583765041</v>
      </c>
    </row>
    <row r="43" spans="3:22" ht="14.25" thickBot="1" x14ac:dyDescent="0.3">
      <c r="C43" s="75" t="str">
        <f>+'2-Step Valuation'!C37</f>
        <v>Shares Outstanding (thousands)</v>
      </c>
      <c r="D43" s="75"/>
      <c r="E43" s="63">
        <f>+'2-Step Valuation'!E37</f>
        <v>213789.71428571429</v>
      </c>
      <c r="F43" s="19"/>
      <c r="G43" s="75" t="str">
        <f>+'2-Step Valuation'!G37</f>
        <v>Shares Outstanding (thousands)</v>
      </c>
      <c r="H43" s="75"/>
      <c r="I43" s="75"/>
      <c r="J43" s="63">
        <f>+E43</f>
        <v>213789.71428571429</v>
      </c>
    </row>
    <row r="44" spans="3:22" ht="14.25" thickBot="1" x14ac:dyDescent="0.3">
      <c r="C44" s="57" t="s">
        <v>88</v>
      </c>
      <c r="D44" s="19"/>
      <c r="E44" s="81">
        <f>E42/E43</f>
        <v>23.952933470447324</v>
      </c>
      <c r="F44" s="19"/>
      <c r="G44" s="57" t="s">
        <v>88</v>
      </c>
      <c r="H44" s="19"/>
      <c r="I44" s="19"/>
      <c r="J44" s="81">
        <f>J42/J43</f>
        <v>39.64128763954669</v>
      </c>
    </row>
    <row r="45" spans="3:22" ht="14.25" thickBot="1" x14ac:dyDescent="0.3"/>
    <row r="46" spans="3:22" ht="14.25" thickBot="1" x14ac:dyDescent="0.3">
      <c r="C46" s="57" t="s">
        <v>140</v>
      </c>
      <c r="E46" s="81">
        <f>AVERAGE(E44,J44)</f>
        <v>31.797110554997005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CA85-BE33-47EA-AF28-9D7907B5E3A8}">
  <dimension ref="C3:AB21"/>
  <sheetViews>
    <sheetView showGridLines="0" zoomScale="90" zoomScaleNormal="90" workbookViewId="0">
      <selection activeCell="P26" sqref="P26"/>
    </sheetView>
  </sheetViews>
  <sheetFormatPr defaultRowHeight="13.5" x14ac:dyDescent="0.25"/>
  <cols>
    <col min="7" max="9" width="9.42578125" bestFit="1" customWidth="1"/>
    <col min="10" max="10" width="10.28515625" bestFit="1" customWidth="1"/>
    <col min="11" max="13" width="9.42578125" bestFit="1" customWidth="1"/>
    <col min="14" max="14" width="10.42578125" bestFit="1" customWidth="1"/>
    <col min="27" max="28" width="9.42578125" bestFit="1" customWidth="1"/>
  </cols>
  <sheetData>
    <row r="3" spans="3:28" x14ac:dyDescent="0.25">
      <c r="C3" s="1" t="s">
        <v>0</v>
      </c>
      <c r="D3" s="1"/>
      <c r="E3" s="1"/>
      <c r="F3" s="1"/>
      <c r="G3" s="2" t="s">
        <v>1</v>
      </c>
      <c r="H3" s="2" t="s">
        <v>2</v>
      </c>
      <c r="I3" s="2" t="s">
        <v>3</v>
      </c>
      <c r="J3" s="2" t="s">
        <v>4</v>
      </c>
      <c r="K3" s="2" t="s">
        <v>5</v>
      </c>
      <c r="L3" s="2" t="s">
        <v>6</v>
      </c>
      <c r="M3" s="2" t="s">
        <v>7</v>
      </c>
      <c r="N3" s="2" t="s">
        <v>8</v>
      </c>
      <c r="O3" s="16" t="s">
        <v>92</v>
      </c>
      <c r="P3" s="16" t="s">
        <v>93</v>
      </c>
      <c r="Q3" s="16" t="s">
        <v>94</v>
      </c>
      <c r="R3" s="16" t="s">
        <v>95</v>
      </c>
      <c r="S3" s="16" t="s">
        <v>96</v>
      </c>
      <c r="T3" s="16" t="s">
        <v>97</v>
      </c>
      <c r="U3" s="16" t="s">
        <v>98</v>
      </c>
      <c r="V3" s="16" t="s">
        <v>99</v>
      </c>
      <c r="X3" s="2" t="s">
        <v>55</v>
      </c>
      <c r="Y3" s="2" t="s">
        <v>56</v>
      </c>
      <c r="Z3" s="16" t="s">
        <v>57</v>
      </c>
      <c r="AA3" s="16" t="s">
        <v>58</v>
      </c>
      <c r="AB3" s="16" t="s">
        <v>59</v>
      </c>
    </row>
    <row r="4" spans="3:28" x14ac:dyDescent="0.25">
      <c r="C4" s="3" t="s">
        <v>9</v>
      </c>
      <c r="D4" s="3"/>
      <c r="E4" s="3"/>
      <c r="F4" s="3"/>
      <c r="G4" s="4">
        <v>45016</v>
      </c>
      <c r="H4" s="4">
        <v>45107</v>
      </c>
      <c r="I4" s="4">
        <v>45199</v>
      </c>
      <c r="J4" s="4">
        <v>45291</v>
      </c>
      <c r="K4" s="4">
        <v>45382</v>
      </c>
      <c r="L4" s="4">
        <v>45473</v>
      </c>
      <c r="M4" s="4">
        <v>45565</v>
      </c>
      <c r="N4" s="80">
        <v>45657</v>
      </c>
      <c r="O4" s="4">
        <f>+N4+90</f>
        <v>45747</v>
      </c>
      <c r="P4" s="4">
        <v>45838</v>
      </c>
      <c r="Q4" s="4">
        <v>45930</v>
      </c>
      <c r="R4" s="4">
        <v>46022</v>
      </c>
      <c r="S4" s="4">
        <f t="shared" ref="S4" si="0">+R4+90</f>
        <v>46112</v>
      </c>
      <c r="T4" s="4">
        <v>46203</v>
      </c>
      <c r="U4" s="4">
        <v>46295</v>
      </c>
      <c r="V4" s="4">
        <v>46387</v>
      </c>
    </row>
    <row r="5" spans="3:28" x14ac:dyDescent="0.25">
      <c r="C5" s="6" t="s">
        <v>73</v>
      </c>
      <c r="D5" s="6"/>
      <c r="E5" s="6"/>
      <c r="F5" s="6"/>
      <c r="G5" s="8">
        <f>+Model!F100</f>
        <v>125581</v>
      </c>
      <c r="H5" s="8">
        <f>+Model!G100</f>
        <v>110660</v>
      </c>
      <c r="I5" s="8">
        <f>+Model!H100</f>
        <v>110367</v>
      </c>
      <c r="J5" s="8">
        <f>+Model!I100</f>
        <v>122999</v>
      </c>
      <c r="K5" s="8">
        <f>+Model!J100</f>
        <v>137960</v>
      </c>
      <c r="L5" s="8">
        <f>+Model!K100</f>
        <v>174470</v>
      </c>
      <c r="M5" s="8">
        <f>+Model!L100</f>
        <v>163146</v>
      </c>
      <c r="N5" s="128">
        <f>+Model!M100</f>
        <v>156588</v>
      </c>
      <c r="O5" s="8">
        <f>+Model!N100</f>
        <v>168266.22583282078</v>
      </c>
      <c r="P5" s="8">
        <f>+Model!O100</f>
        <v>205772.37448691874</v>
      </c>
      <c r="Q5" s="8">
        <f>+Model!P100</f>
        <v>193890.36235610914</v>
      </c>
      <c r="R5" s="8">
        <f>+Model!Q100</f>
        <v>186635.2971145233</v>
      </c>
      <c r="S5" s="8">
        <f>+Model!R100</f>
        <v>199825.27640164754</v>
      </c>
      <c r="T5" s="8">
        <f>+Model!S100</f>
        <v>240650.36591214128</v>
      </c>
      <c r="U5" s="8">
        <f>+Model!T100</f>
        <v>229433.2386124279</v>
      </c>
      <c r="V5" s="8">
        <f>+Model!U100</f>
        <v>219174.81445216696</v>
      </c>
      <c r="W5" s="8"/>
      <c r="X5" s="8">
        <f>+Model!W100</f>
        <v>469607</v>
      </c>
      <c r="Y5" s="8">
        <f>+Model!X100</f>
        <v>632164</v>
      </c>
      <c r="Z5" s="8">
        <f>+Model!Y100</f>
        <v>754564.2597903721</v>
      </c>
      <c r="AA5" s="8">
        <f>+Model!Z100</f>
        <v>889083.69537838362</v>
      </c>
      <c r="AB5" s="8">
        <f>+'3-Step Valuation'!W24</f>
        <v>1031337.0866389249</v>
      </c>
    </row>
    <row r="6" spans="3:28" x14ac:dyDescent="0.25">
      <c r="D6" s="6"/>
      <c r="E6" s="6"/>
      <c r="F6" s="6"/>
      <c r="G6" s="8"/>
      <c r="H6" s="8"/>
      <c r="I6" s="8"/>
      <c r="J6" s="8"/>
      <c r="K6" s="8"/>
      <c r="L6" s="8"/>
      <c r="M6" s="8"/>
      <c r="N6" s="45"/>
      <c r="O6" s="8"/>
      <c r="P6" s="8"/>
      <c r="Q6" s="8"/>
      <c r="R6" s="8"/>
      <c r="S6" s="8"/>
      <c r="T6" s="8"/>
      <c r="U6" s="8"/>
      <c r="V6" s="8"/>
      <c r="W6" s="8"/>
      <c r="X6" s="8"/>
      <c r="Y6" s="10">
        <f>+Y5/X5-1</f>
        <v>0.34615540228318564</v>
      </c>
      <c r="Z6" s="10">
        <f t="shared" ref="Z6:AA6" si="1">+Z5/Y5-1</f>
        <v>0.19362105369867955</v>
      </c>
      <c r="AA6" s="10">
        <f t="shared" si="1"/>
        <v>0.1782743269942082</v>
      </c>
    </row>
    <row r="7" spans="3:28" x14ac:dyDescent="0.25">
      <c r="C7" s="6" t="s">
        <v>143</v>
      </c>
      <c r="G7" s="8">
        <f>+Model!F102</f>
        <v>131203</v>
      </c>
      <c r="H7" s="8">
        <f>+Model!G102</f>
        <v>127209</v>
      </c>
      <c r="I7" s="8">
        <f>+Model!H102</f>
        <v>125225</v>
      </c>
      <c r="J7" s="8">
        <f>+Model!I102</f>
        <v>136114</v>
      </c>
      <c r="K7" s="8">
        <f>+Model!J102</f>
        <v>145586</v>
      </c>
      <c r="L7" s="8">
        <f>+Model!K102</f>
        <v>185542</v>
      </c>
      <c r="M7" s="8">
        <f>+Model!L102</f>
        <v>174898</v>
      </c>
      <c r="N7" s="45">
        <f>+Model!M102</f>
        <v>177172</v>
      </c>
      <c r="O7" s="8">
        <f>+Model!N102</f>
        <v>184755.54332059965</v>
      </c>
      <c r="P7" s="8">
        <f>+Model!O102</f>
        <v>229778.28164915289</v>
      </c>
      <c r="Q7" s="8">
        <f>+Model!P102</f>
        <v>219014.64543754034</v>
      </c>
      <c r="R7" s="8">
        <f>+Model!Q102</f>
        <v>232110.43140682488</v>
      </c>
      <c r="S7" s="8">
        <f>+Model!R102</f>
        <v>218664.43736555407</v>
      </c>
      <c r="T7" s="8">
        <f>+Model!S102</f>
        <v>267873.04597378796</v>
      </c>
      <c r="U7" s="8">
        <f>+Model!T102</f>
        <v>258136.2371059398</v>
      </c>
      <c r="V7" s="8">
        <f>+Model!U102</f>
        <v>270715.84516338719</v>
      </c>
      <c r="W7" s="8"/>
      <c r="X7" s="8">
        <f>+Model!W102</f>
        <v>519751</v>
      </c>
      <c r="Y7" s="8">
        <f>+Model!X102</f>
        <v>683198</v>
      </c>
      <c r="Z7" s="8">
        <f>+Model!Y102</f>
        <v>865658.90181411779</v>
      </c>
      <c r="AA7" s="8">
        <f>+Model!Z102</f>
        <v>1015389.5656086691</v>
      </c>
    </row>
    <row r="8" spans="3:28" x14ac:dyDescent="0.25">
      <c r="C8" s="6"/>
      <c r="G8" s="8"/>
      <c r="H8" s="8"/>
      <c r="I8" s="8"/>
      <c r="J8" s="8"/>
      <c r="K8" s="8"/>
      <c r="L8" s="8"/>
      <c r="M8" s="8"/>
      <c r="N8" s="45"/>
      <c r="O8" s="8"/>
      <c r="P8" s="8"/>
      <c r="Q8" s="8"/>
      <c r="R8" s="8"/>
      <c r="S8" s="8"/>
      <c r="T8" s="8"/>
      <c r="U8" s="8"/>
      <c r="V8" s="8"/>
      <c r="X8" s="8"/>
      <c r="Y8" s="10">
        <f>+Y7/X7-1</f>
        <v>0.31447173742811452</v>
      </c>
      <c r="Z8" s="10">
        <f>+Z7/Y7-1</f>
        <v>0.26706884653368101</v>
      </c>
      <c r="AA8" s="10">
        <f>+AA7/Z7-1</f>
        <v>0.17296727785132027</v>
      </c>
    </row>
    <row r="9" spans="3:28" x14ac:dyDescent="0.25">
      <c r="C9" s="6" t="s">
        <v>147</v>
      </c>
      <c r="G9" s="8">
        <v>7757530</v>
      </c>
      <c r="H9" s="8">
        <v>7745910</v>
      </c>
      <c r="I9" s="8">
        <v>6536640</v>
      </c>
      <c r="J9" s="8">
        <v>6951930</v>
      </c>
      <c r="K9" s="8">
        <v>6891630</v>
      </c>
      <c r="L9" s="8">
        <v>8635640</v>
      </c>
      <c r="M9" s="8">
        <v>8807860</v>
      </c>
      <c r="N9" s="45">
        <v>10566650</v>
      </c>
      <c r="O9" s="8"/>
      <c r="P9" s="8"/>
      <c r="Q9" s="8"/>
      <c r="R9" s="8"/>
      <c r="S9" s="8"/>
      <c r="T9" s="8"/>
      <c r="U9" s="8"/>
      <c r="V9" s="8"/>
      <c r="X9" s="8"/>
      <c r="Y9" s="10"/>
      <c r="Z9" s="10"/>
      <c r="AA9" s="10"/>
    </row>
    <row r="10" spans="3:28" x14ac:dyDescent="0.25">
      <c r="C10" s="6"/>
      <c r="G10" s="8"/>
      <c r="H10" s="8"/>
      <c r="I10" s="8"/>
      <c r="J10" s="8"/>
      <c r="K10" s="8"/>
      <c r="L10" s="8"/>
      <c r="M10" s="8"/>
      <c r="N10" s="45"/>
      <c r="O10" s="8"/>
      <c r="P10" s="8"/>
      <c r="Q10" s="8"/>
      <c r="R10" s="8"/>
      <c r="S10" s="8"/>
      <c r="T10" s="8"/>
      <c r="U10" s="8"/>
      <c r="V10" s="8"/>
      <c r="X10" s="8"/>
      <c r="Y10" s="10"/>
      <c r="Z10" s="10"/>
      <c r="AA10" s="10"/>
    </row>
    <row r="11" spans="3:28" x14ac:dyDescent="0.25">
      <c r="C11" t="s">
        <v>141</v>
      </c>
      <c r="G11">
        <v>11.7</v>
      </c>
      <c r="H11">
        <v>10.6</v>
      </c>
      <c r="I11">
        <v>17.5</v>
      </c>
      <c r="J11" s="31">
        <v>14.3</v>
      </c>
      <c r="K11" s="31">
        <f>+K9/SUM(G5:J5)</f>
        <v>14.675313613297927</v>
      </c>
      <c r="L11" s="31">
        <f>+L9/SUM(H5:K5)</f>
        <v>17.916785964737564</v>
      </c>
      <c r="M11" s="31">
        <f>+M9/SUM(I5:L5)</f>
        <v>16.137641169960936</v>
      </c>
      <c r="N11" s="130">
        <f>+N9/SUM(J5:M5)</f>
        <v>17.65300923025519</v>
      </c>
      <c r="O11" s="164">
        <v>16.136549995650324</v>
      </c>
      <c r="P11" s="164">
        <f>+O11-0.75</f>
        <v>15.386549995650324</v>
      </c>
      <c r="Q11" s="164">
        <f t="shared" ref="Q11:V11" si="2">+P11-0.75</f>
        <v>14.636549995650324</v>
      </c>
      <c r="R11" s="164">
        <f t="shared" si="2"/>
        <v>13.886549995650324</v>
      </c>
      <c r="S11" s="164">
        <f t="shared" si="2"/>
        <v>13.136549995650324</v>
      </c>
      <c r="T11" s="164">
        <f t="shared" si="2"/>
        <v>12.386549995650324</v>
      </c>
      <c r="U11" s="164">
        <f t="shared" si="2"/>
        <v>11.636549995650324</v>
      </c>
      <c r="V11" s="194">
        <f t="shared" si="2"/>
        <v>10.886549995650324</v>
      </c>
    </row>
    <row r="12" spans="3:28" x14ac:dyDescent="0.25">
      <c r="C12" t="s">
        <v>69</v>
      </c>
      <c r="J12" s="32">
        <f>(((SUM(G5:J5)*J11)+(J20-J19))/'2-Step Valuation'!$E$37)</f>
        <v>11.419960535319088</v>
      </c>
      <c r="K12" s="32">
        <f>(((SUM(H5:K5)*K11)+(K20-K19))/'2-Step Valuation'!$E$37)</f>
        <v>12.937693080605978</v>
      </c>
      <c r="L12" s="32">
        <f>(((SUM(I5:L5)*L11)+(L20-L19))/'2-Step Valuation'!$E$37)</f>
        <v>25.884454408383483</v>
      </c>
      <c r="M12" s="32">
        <f>(((SUM(J5:M5)*M11)+(M20-M19))/'2-Step Valuation'!$E$37)</f>
        <v>26.472829070465487</v>
      </c>
      <c r="N12" s="127">
        <f>(((SUM(K5:N5)*N11)+(N20-N19))/'2-Step Valuation'!$E$37)</f>
        <v>33.459032165950312</v>
      </c>
      <c r="O12" s="32">
        <f>(((SUM(L5:O5)*O11)+('2-Step Valuation'!$E$31+'2-Step Valuation'!$E$27))/'2-Step Valuation'!$E$37)</f>
        <v>42.869798251998965</v>
      </c>
      <c r="P12" s="32">
        <f>(((SUM(M5:P5)*P11)+('2-Step Valuation'!$E$31+'2-Step Valuation'!$E$27))/'2-Step Valuation'!$E$37)</f>
        <v>42.798620275079386</v>
      </c>
      <c r="Q12" s="32">
        <f>(((SUM(N5:Q5)*Q11)+('2-Step Valuation'!$E$31+'2-Step Valuation'!$E$27))/'2-Step Valuation'!$E$37)</f>
        <v>42.469614486539804</v>
      </c>
      <c r="R12" s="32">
        <f>(((SUM(O5:R5)*R11)+('2-Step Valuation'!$E$31+'2-Step Valuation'!$E$27))/'2-Step Valuation'!$E$37)</f>
        <v>41.879621516984088</v>
      </c>
      <c r="S12" s="32">
        <f>(((SUM(P5:S5)*S11)+('2-Step Valuation'!$E$31+'2-Step Valuation'!$E$27))/'2-Step Valuation'!$E$37)</f>
        <v>41.171700886958526</v>
      </c>
      <c r="T12" s="32">
        <f>(((SUM(Q5:T5)*T11)+('2-Step Valuation'!$E$31+'2-Step Valuation'!$E$27))/'2-Step Valuation'!$E$37)</f>
        <v>40.434647194925276</v>
      </c>
      <c r="U12" s="32">
        <f>(((SUM(R5:U5)*U11)+('2-Step Valuation'!$E$31+'2-Step Valuation'!$E$27))/'2-Step Valuation'!$E$37)</f>
        <v>39.489070741596535</v>
      </c>
      <c r="V12" s="165">
        <f>(((SUM(S5:V5)*V11)+('2-Step Valuation'!$E$31+'2-Step Valuation'!$E$27))/'2-Step Valuation'!$E$37)</f>
        <v>38.141180586250449</v>
      </c>
    </row>
    <row r="13" spans="3:28" x14ac:dyDescent="0.25">
      <c r="N13" s="42"/>
      <c r="O13" s="31"/>
      <c r="P13" s="31"/>
      <c r="Q13" s="31"/>
      <c r="R13" s="31"/>
      <c r="S13" s="31"/>
      <c r="T13" s="31"/>
      <c r="U13" s="31"/>
      <c r="V13" s="31"/>
    </row>
    <row r="14" spans="3:28" x14ac:dyDescent="0.25">
      <c r="C14" t="s">
        <v>142</v>
      </c>
      <c r="G14">
        <v>57.3</v>
      </c>
      <c r="H14">
        <v>44.4</v>
      </c>
      <c r="I14">
        <v>36.700000000000003</v>
      </c>
      <c r="J14">
        <v>37.1</v>
      </c>
      <c r="K14">
        <v>37.1</v>
      </c>
      <c r="L14">
        <v>41.5</v>
      </c>
      <c r="M14">
        <v>34.200000000000003</v>
      </c>
      <c r="N14" s="42">
        <v>42.3</v>
      </c>
      <c r="O14" s="164">
        <v>38.150000000000006</v>
      </c>
      <c r="P14" s="164">
        <v>36.150000000000006</v>
      </c>
      <c r="Q14" s="164">
        <v>34.150000000000006</v>
      </c>
      <c r="R14" s="164">
        <v>32.150000000000006</v>
      </c>
      <c r="S14" s="164">
        <v>30.150000000000006</v>
      </c>
      <c r="T14" s="164">
        <v>28.150000000000006</v>
      </c>
      <c r="U14" s="164">
        <v>26.150000000000006</v>
      </c>
      <c r="V14" s="194">
        <v>24.150000000000006</v>
      </c>
      <c r="Y14" s="7"/>
    </row>
    <row r="15" spans="3:28" x14ac:dyDescent="0.25">
      <c r="C15" t="s">
        <v>69</v>
      </c>
      <c r="N15" s="42"/>
      <c r="O15" s="32">
        <f t="shared" ref="O15:V15" si="3">+O14*SUM(L17:O17)</f>
        <v>32.947270944909093</v>
      </c>
      <c r="P15" s="32">
        <f t="shared" si="3"/>
        <v>32.660193516412555</v>
      </c>
      <c r="Q15" s="32">
        <f t="shared" si="3"/>
        <v>32.337196847660373</v>
      </c>
      <c r="R15" s="32">
        <f t="shared" si="3"/>
        <v>32.247210219886902</v>
      </c>
      <c r="S15" s="32">
        <f t="shared" si="3"/>
        <v>31.998713537523027</v>
      </c>
      <c r="T15" s="32">
        <f t="shared" si="3"/>
        <v>31.79705113119639</v>
      </c>
      <c r="U15" s="32">
        <f t="shared" si="3"/>
        <v>31.23413260148368</v>
      </c>
      <c r="V15" s="165">
        <f t="shared" si="3"/>
        <v>30.310399214055025</v>
      </c>
      <c r="Y15" s="7"/>
    </row>
    <row r="16" spans="3:28" x14ac:dyDescent="0.25">
      <c r="N16" s="151"/>
    </row>
    <row r="17" spans="3:22" x14ac:dyDescent="0.25">
      <c r="C17" t="s">
        <v>155</v>
      </c>
      <c r="G17" s="162">
        <f>+Model!F118</f>
        <v>0.14113027568200975</v>
      </c>
      <c r="H17" s="162">
        <f>+Model!G118</f>
        <v>8.6987660889316337E-2</v>
      </c>
      <c r="I17" s="162">
        <f>+Model!H118</f>
        <v>4.03525944959367E-2</v>
      </c>
      <c r="J17" s="162">
        <f>+Model!I118</f>
        <v>0.12103990882655069</v>
      </c>
      <c r="K17" s="162">
        <f>+Model!J118</f>
        <v>0.12616330291952324</v>
      </c>
      <c r="L17" s="162">
        <f>+Model!K118</f>
        <v>0.26548116418555778</v>
      </c>
      <c r="M17" s="162">
        <f>+Model!L118</f>
        <v>0.20377442164133139</v>
      </c>
      <c r="N17" s="163">
        <f>+Model!M118</f>
        <v>0.18430370958143225</v>
      </c>
      <c r="O17" s="162">
        <f>+Model!N118</f>
        <v>0.21006510681734267</v>
      </c>
      <c r="P17" s="162">
        <f>+Model!O118</f>
        <v>0.30531992977213579</v>
      </c>
      <c r="Q17" s="162">
        <f>+Model!P118</f>
        <v>0.24722770617639137</v>
      </c>
      <c r="R17" s="162">
        <f>+Model!Q118</f>
        <v>0.24041090326482703</v>
      </c>
      <c r="S17" s="162">
        <f>+Model!R118</f>
        <v>0.26835865937779063</v>
      </c>
      <c r="T17" s="162">
        <f>+Model!S118</f>
        <v>0.37356049783095124</v>
      </c>
      <c r="U17" s="162">
        <f>+Model!T118</f>
        <v>0.31209183633269005</v>
      </c>
      <c r="V17" s="162">
        <f>+Model!U118</f>
        <v>0.30107800082937614</v>
      </c>
    </row>
    <row r="18" spans="3:22" x14ac:dyDescent="0.25">
      <c r="N18" s="151"/>
    </row>
    <row r="19" spans="3:22" x14ac:dyDescent="0.25">
      <c r="C19" s="6" t="s">
        <v>126</v>
      </c>
      <c r="G19" s="7">
        <v>4133090</v>
      </c>
      <c r="H19" s="7">
        <v>4128630</v>
      </c>
      <c r="I19" s="7">
        <v>4184340</v>
      </c>
      <c r="J19" s="7">
        <v>4285070</v>
      </c>
      <c r="K19" s="7">
        <v>4325950</v>
      </c>
      <c r="L19" s="7">
        <v>4279610</v>
      </c>
      <c r="M19" s="7">
        <v>4120920</v>
      </c>
      <c r="N19" s="7">
        <v>4017280</v>
      </c>
    </row>
    <row r="20" spans="3:22" x14ac:dyDescent="0.25">
      <c r="C20" s="6" t="s">
        <v>146</v>
      </c>
      <c r="G20" s="7">
        <v>35340</v>
      </c>
      <c r="H20" s="7">
        <v>30860</v>
      </c>
      <c r="I20" s="7">
        <v>25440</v>
      </c>
      <c r="J20" s="7">
        <v>11160</v>
      </c>
      <c r="K20" s="7">
        <v>18600</v>
      </c>
      <c r="L20" s="7">
        <v>34530</v>
      </c>
      <c r="M20" s="7">
        <v>120950</v>
      </c>
      <c r="N20" s="7">
        <v>10880</v>
      </c>
    </row>
    <row r="21" spans="3:22" x14ac:dyDescent="0.25">
      <c r="C21" s="6" t="s">
        <v>148</v>
      </c>
      <c r="G21" s="7">
        <v>3660110</v>
      </c>
      <c r="H21" s="7">
        <v>3648140</v>
      </c>
      <c r="I21" s="7">
        <v>2377740</v>
      </c>
      <c r="J21" s="7">
        <v>2696830</v>
      </c>
      <c r="K21" s="7">
        <v>2584280</v>
      </c>
      <c r="L21" s="7">
        <v>4390560</v>
      </c>
      <c r="M21" s="7">
        <v>4807880</v>
      </c>
      <c r="N21" s="7">
        <v>6560250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7F7F-11D7-4928-BC8D-BDDBB3EED901}">
  <sheetPr filterMode="1"/>
  <dimension ref="B1:S817"/>
  <sheetViews>
    <sheetView workbookViewId="0">
      <selection activeCell="G230" sqref="G230"/>
    </sheetView>
  </sheetViews>
  <sheetFormatPr defaultRowHeight="13.5" x14ac:dyDescent="0.25"/>
  <cols>
    <col min="3" max="3" width="20.42578125" bestFit="1" customWidth="1"/>
    <col min="4" max="5" width="20.42578125" customWidth="1"/>
    <col min="6" max="6" width="50.7109375" bestFit="1" customWidth="1"/>
    <col min="7" max="7" width="12.42578125" bestFit="1" customWidth="1"/>
    <col min="10" max="10" width="11" bestFit="1" customWidth="1"/>
    <col min="16" max="16" width="12.42578125" bestFit="1" customWidth="1"/>
    <col min="17" max="17" width="40.28515625" bestFit="1" customWidth="1"/>
    <col min="18" max="18" width="18.140625" bestFit="1" customWidth="1"/>
    <col min="19" max="19" width="11.85546875" bestFit="1" customWidth="1"/>
    <col min="20" max="20" width="17.42578125" bestFit="1" customWidth="1"/>
    <col min="21" max="22" width="11.85546875" bestFit="1" customWidth="1"/>
    <col min="23" max="23" width="28.7109375" bestFit="1" customWidth="1"/>
    <col min="24" max="24" width="15.42578125" bestFit="1" customWidth="1"/>
    <col min="25" max="25" width="32.42578125" bestFit="1" customWidth="1"/>
    <col min="26" max="26" width="12.42578125" bestFit="1" customWidth="1"/>
    <col min="27" max="27" width="15.42578125" bestFit="1" customWidth="1"/>
    <col min="28" max="28" width="26.42578125" bestFit="1" customWidth="1"/>
    <col min="29" max="29" width="40" bestFit="1" customWidth="1"/>
    <col min="30" max="30" width="24.42578125" bestFit="1" customWidth="1"/>
    <col min="31" max="31" width="35.28515625" bestFit="1" customWidth="1"/>
    <col min="32" max="33" width="11.85546875" bestFit="1" customWidth="1"/>
    <col min="34" max="34" width="12" bestFit="1" customWidth="1"/>
    <col min="35" max="35" width="22.7109375" bestFit="1" customWidth="1"/>
    <col min="36" max="36" width="17.42578125" bestFit="1" customWidth="1"/>
    <col min="37" max="38" width="11.85546875" bestFit="1" customWidth="1"/>
    <col min="39" max="39" width="15.5703125" bestFit="1" customWidth="1"/>
    <col min="40" max="40" width="28.28515625" bestFit="1" customWidth="1"/>
    <col min="41" max="41" width="39" bestFit="1" customWidth="1"/>
    <col min="42" max="42" width="15.28515625" bestFit="1" customWidth="1"/>
    <col min="43" max="43" width="26" bestFit="1" customWidth="1"/>
    <col min="44" max="44" width="17.42578125" bestFit="1" customWidth="1"/>
    <col min="45" max="45" width="32.42578125" bestFit="1" customWidth="1"/>
    <col min="46" max="46" width="43.140625" bestFit="1" customWidth="1"/>
    <col min="47" max="47" width="11.85546875" bestFit="1" customWidth="1"/>
    <col min="48" max="48" width="20.85546875" bestFit="1" customWidth="1"/>
    <col min="49" max="49" width="14.42578125" bestFit="1" customWidth="1"/>
    <col min="50" max="50" width="11" bestFit="1" customWidth="1"/>
    <col min="51" max="51" width="20.7109375" bestFit="1" customWidth="1"/>
    <col min="52" max="53" width="12.42578125" bestFit="1" customWidth="1"/>
    <col min="54" max="54" width="13.42578125" bestFit="1" customWidth="1"/>
    <col min="55" max="56" width="11.85546875" bestFit="1" customWidth="1"/>
    <col min="57" max="57" width="12.42578125" bestFit="1" customWidth="1"/>
    <col min="58" max="58" width="16.5703125" bestFit="1" customWidth="1"/>
    <col min="59" max="59" width="7.85546875" bestFit="1" customWidth="1"/>
    <col min="60" max="60" width="12.42578125" bestFit="1" customWidth="1"/>
    <col min="61" max="61" width="17.5703125" bestFit="1" customWidth="1"/>
    <col min="62" max="62" width="28.28515625" bestFit="1" customWidth="1"/>
    <col min="63" max="63" width="11.42578125" bestFit="1" customWidth="1"/>
    <col min="64" max="64" width="12.28515625" bestFit="1" customWidth="1"/>
    <col min="65" max="65" width="23" bestFit="1" customWidth="1"/>
    <col min="66" max="66" width="6.5703125" bestFit="1" customWidth="1"/>
    <col min="67" max="67" width="12.42578125" bestFit="1" customWidth="1"/>
  </cols>
  <sheetData>
    <row r="1" spans="2:19" ht="15" x14ac:dyDescent="0.25">
      <c r="B1" s="143" t="s">
        <v>161</v>
      </c>
      <c r="C1" s="143" t="s">
        <v>165</v>
      </c>
      <c r="D1" s="143" t="s">
        <v>192</v>
      </c>
      <c r="E1" s="143" t="s">
        <v>164</v>
      </c>
      <c r="F1" s="143" t="s">
        <v>187</v>
      </c>
      <c r="G1" s="143" t="s">
        <v>166</v>
      </c>
      <c r="J1" s="148">
        <v>45747</v>
      </c>
    </row>
    <row r="2" spans="2:19" hidden="1" x14ac:dyDescent="0.25">
      <c r="B2" t="s">
        <v>1</v>
      </c>
      <c r="C2" s="142">
        <v>45016</v>
      </c>
      <c r="D2" s="142" t="str">
        <f>IF(C2&lt;Data!$J$1,"Actual","Forecasted")</f>
        <v>Actual</v>
      </c>
      <c r="E2" s="140"/>
    </row>
    <row r="3" spans="2:19" hidden="1" x14ac:dyDescent="0.25">
      <c r="B3" t="s">
        <v>1</v>
      </c>
      <c r="C3" s="142">
        <v>45016</v>
      </c>
      <c r="D3" s="142" t="str">
        <f>IF(C3&lt;Data!$J$1,"Actual","Forecasted")</f>
        <v>Actual</v>
      </c>
      <c r="E3" s="140"/>
      <c r="P3" s="139" t="s">
        <v>168</v>
      </c>
      <c r="Q3" s="139" t="s">
        <v>167</v>
      </c>
    </row>
    <row r="4" spans="2:19" hidden="1" x14ac:dyDescent="0.25">
      <c r="B4" t="s">
        <v>1</v>
      </c>
      <c r="C4" s="142">
        <v>45016</v>
      </c>
      <c r="D4" s="142" t="str">
        <f>IF(C4&lt;Data!$J$1,"Actual","Forecasted")</f>
        <v>Actual</v>
      </c>
      <c r="E4" s="140" t="s">
        <v>188</v>
      </c>
      <c r="F4" t="s">
        <v>35</v>
      </c>
      <c r="G4">
        <v>164</v>
      </c>
      <c r="P4" s="139" t="s">
        <v>162</v>
      </c>
      <c r="Q4" t="s">
        <v>158</v>
      </c>
      <c r="R4" t="s">
        <v>14</v>
      </c>
      <c r="S4" t="s">
        <v>163</v>
      </c>
    </row>
    <row r="5" spans="2:19" hidden="1" x14ac:dyDescent="0.25">
      <c r="B5" t="s">
        <v>1</v>
      </c>
      <c r="C5" s="142">
        <v>45016</v>
      </c>
      <c r="D5" s="142" t="str">
        <f>IF(C5&lt;Data!$J$1,"Actual","Forecasted")</f>
        <v>Actual</v>
      </c>
      <c r="E5" s="140" t="s">
        <v>188</v>
      </c>
      <c r="F5" t="s">
        <v>37</v>
      </c>
      <c r="G5">
        <v>0</v>
      </c>
      <c r="P5" s="144">
        <v>45016</v>
      </c>
      <c r="Q5">
        <v>467.81029950024413</v>
      </c>
      <c r="R5">
        <v>764173</v>
      </c>
      <c r="S5">
        <v>764640.81029950024</v>
      </c>
    </row>
    <row r="6" spans="2:19" hidden="1" x14ac:dyDescent="0.25">
      <c r="B6" t="s">
        <v>1</v>
      </c>
      <c r="C6" s="142">
        <v>45016</v>
      </c>
      <c r="D6" s="142" t="str">
        <f>IF(C6&lt;Data!$J$1,"Actual","Forecasted")</f>
        <v>Actual</v>
      </c>
      <c r="E6" s="140" t="s">
        <v>188</v>
      </c>
      <c r="F6" t="s">
        <v>36</v>
      </c>
      <c r="G6">
        <v>4659.5914634146338</v>
      </c>
      <c r="P6" s="141" t="s">
        <v>1</v>
      </c>
      <c r="Q6">
        <v>467.81029950024413</v>
      </c>
      <c r="R6">
        <v>764173</v>
      </c>
      <c r="S6">
        <v>764640.81029950024</v>
      </c>
    </row>
    <row r="7" spans="2:19" hidden="1" x14ac:dyDescent="0.25">
      <c r="B7" t="s">
        <v>1</v>
      </c>
      <c r="C7" s="142">
        <v>45016</v>
      </c>
      <c r="D7" s="142" t="str">
        <f>IF(C7&lt;Data!$J$1,"Actual","Forecasted")</f>
        <v>Actual</v>
      </c>
      <c r="E7" s="140" t="s">
        <v>188</v>
      </c>
      <c r="F7" t="s">
        <v>14</v>
      </c>
      <c r="G7">
        <v>764173</v>
      </c>
      <c r="P7" s="144">
        <v>45107</v>
      </c>
      <c r="Q7">
        <v>489.87140582963622</v>
      </c>
      <c r="R7">
        <v>790238</v>
      </c>
      <c r="S7">
        <v>790727.87140582968</v>
      </c>
    </row>
    <row r="8" spans="2:19" hidden="1" x14ac:dyDescent="0.25">
      <c r="B8" t="s">
        <v>1</v>
      </c>
      <c r="C8" s="142">
        <v>45016</v>
      </c>
      <c r="D8" s="142" t="str">
        <f>IF(C8&lt;Data!$J$1,"Actual","Forecasted")</f>
        <v>Actual</v>
      </c>
      <c r="E8" s="140" t="s">
        <v>188</v>
      </c>
      <c r="F8" t="s">
        <v>170</v>
      </c>
      <c r="G8">
        <v>0</v>
      </c>
      <c r="P8" s="141" t="s">
        <v>2</v>
      </c>
      <c r="Q8">
        <v>489.87140582963622</v>
      </c>
      <c r="R8">
        <v>790238</v>
      </c>
      <c r="S8">
        <v>790727.87140582968</v>
      </c>
    </row>
    <row r="9" spans="2:19" hidden="1" x14ac:dyDescent="0.25">
      <c r="B9" t="s">
        <v>1</v>
      </c>
      <c r="C9" s="142">
        <v>45016</v>
      </c>
      <c r="D9" s="142" t="str">
        <f>IF(C9&lt;Data!$J$1,"Actual","Forecasted")</f>
        <v>Actual</v>
      </c>
      <c r="E9" s="140" t="s">
        <v>188</v>
      </c>
      <c r="F9" t="s">
        <v>15</v>
      </c>
      <c r="G9">
        <v>49333</v>
      </c>
      <c r="P9" s="144">
        <v>45199</v>
      </c>
      <c r="Q9">
        <v>520.0648705712257</v>
      </c>
      <c r="R9">
        <v>784331</v>
      </c>
      <c r="S9">
        <v>784851.06487057125</v>
      </c>
    </row>
    <row r="10" spans="2:19" hidden="1" x14ac:dyDescent="0.25">
      <c r="B10" t="s">
        <v>1</v>
      </c>
      <c r="C10" s="142">
        <v>45016</v>
      </c>
      <c r="D10" s="142" t="str">
        <f>IF(C10&lt;Data!$J$1,"Actual","Forecasted")</f>
        <v>Actual</v>
      </c>
      <c r="E10" s="140" t="s">
        <v>188</v>
      </c>
      <c r="F10" t="s">
        <v>171</v>
      </c>
      <c r="G10">
        <v>0</v>
      </c>
      <c r="P10" s="141" t="s">
        <v>3</v>
      </c>
      <c r="Q10">
        <v>520.0648705712257</v>
      </c>
      <c r="R10">
        <v>784331</v>
      </c>
      <c r="S10">
        <v>784851.06487057125</v>
      </c>
    </row>
    <row r="11" spans="2:19" hidden="1" x14ac:dyDescent="0.25">
      <c r="B11" t="s">
        <v>1</v>
      </c>
      <c r="C11" s="142">
        <v>45016</v>
      </c>
      <c r="D11" s="142" t="str">
        <f>IF(C11&lt;Data!$J$1,"Actual","Forecasted")</f>
        <v>Actual</v>
      </c>
      <c r="E11" s="140" t="s">
        <v>188</v>
      </c>
      <c r="F11" t="s">
        <v>159</v>
      </c>
      <c r="G11">
        <v>0</v>
      </c>
      <c r="P11" s="144">
        <v>45291</v>
      </c>
      <c r="Q11">
        <v>530.36492945640555</v>
      </c>
      <c r="R11">
        <v>763216</v>
      </c>
      <c r="S11">
        <v>763746.36492945638</v>
      </c>
    </row>
    <row r="12" spans="2:19" hidden="1" x14ac:dyDescent="0.25">
      <c r="B12" t="s">
        <v>1</v>
      </c>
      <c r="C12" s="142">
        <v>45016</v>
      </c>
      <c r="D12" s="142" t="str">
        <f>IF(C12&lt;Data!$J$1,"Actual","Forecasted")</f>
        <v>Actual</v>
      </c>
      <c r="E12" s="140" t="s">
        <v>188</v>
      </c>
      <c r="F12" t="s">
        <v>160</v>
      </c>
      <c r="G12">
        <v>0</v>
      </c>
      <c r="P12" s="141" t="s">
        <v>4</v>
      </c>
      <c r="Q12">
        <v>530.36492945640555</v>
      </c>
      <c r="R12">
        <v>763216</v>
      </c>
      <c r="S12">
        <v>763746.36492945638</v>
      </c>
    </row>
    <row r="13" spans="2:19" hidden="1" x14ac:dyDescent="0.25">
      <c r="B13" t="s">
        <v>1</v>
      </c>
      <c r="C13" s="142">
        <v>45016</v>
      </c>
      <c r="D13" s="142" t="str">
        <f>IF(C13&lt;Data!$J$1,"Actual","Forecasted")</f>
        <v>Actual</v>
      </c>
      <c r="E13" s="140" t="s">
        <v>188</v>
      </c>
      <c r="F13" t="s">
        <v>158</v>
      </c>
      <c r="G13">
        <v>467.81029950024413</v>
      </c>
      <c r="P13" s="144">
        <v>45382</v>
      </c>
      <c r="Q13">
        <v>530.43104200695757</v>
      </c>
      <c r="R13">
        <v>802010</v>
      </c>
      <c r="S13">
        <v>802540.43104200694</v>
      </c>
    </row>
    <row r="14" spans="2:19" hidden="1" x14ac:dyDescent="0.25">
      <c r="B14" t="s">
        <v>1</v>
      </c>
      <c r="C14" s="142">
        <v>45016</v>
      </c>
      <c r="D14" s="142" t="str">
        <f>IF(C14&lt;Data!$J$1,"Actual","Forecasted")</f>
        <v>Actual</v>
      </c>
      <c r="E14" s="140" t="s">
        <v>188</v>
      </c>
      <c r="F14" t="s">
        <v>172</v>
      </c>
      <c r="G14">
        <v>0</v>
      </c>
      <c r="P14" s="141" t="s">
        <v>5</v>
      </c>
      <c r="Q14">
        <v>530.43104200695757</v>
      </c>
      <c r="R14">
        <v>802010</v>
      </c>
      <c r="S14">
        <v>802540.43104200694</v>
      </c>
    </row>
    <row r="15" spans="2:19" hidden="1" x14ac:dyDescent="0.25">
      <c r="B15" t="s">
        <v>1</v>
      </c>
      <c r="C15" s="142">
        <v>45016</v>
      </c>
      <c r="D15" s="142" t="str">
        <f>IF(C15&lt;Data!$J$1,"Actual","Forecasted")</f>
        <v>Actual</v>
      </c>
      <c r="E15" s="140" t="s">
        <v>188</v>
      </c>
      <c r="F15" t="s">
        <v>17</v>
      </c>
      <c r="G15">
        <v>357488</v>
      </c>
      <c r="P15" s="144">
        <v>45473</v>
      </c>
      <c r="Q15">
        <v>555.70020993567414</v>
      </c>
      <c r="R15">
        <v>832636</v>
      </c>
      <c r="S15">
        <v>833191.70020993566</v>
      </c>
    </row>
    <row r="16" spans="2:19" hidden="1" x14ac:dyDescent="0.25">
      <c r="B16" t="s">
        <v>1</v>
      </c>
      <c r="C16" s="142">
        <v>45016</v>
      </c>
      <c r="D16" s="142" t="str">
        <f>IF(C16&lt;Data!$J$1,"Actual","Forecasted")</f>
        <v>Actual</v>
      </c>
      <c r="E16" s="140" t="s">
        <v>188</v>
      </c>
      <c r="F16" t="s">
        <v>173</v>
      </c>
      <c r="G16">
        <v>0</v>
      </c>
      <c r="P16" s="141" t="s">
        <v>6</v>
      </c>
      <c r="Q16">
        <v>555.70020993567414</v>
      </c>
      <c r="R16">
        <v>832636</v>
      </c>
      <c r="S16">
        <v>833191.70020993566</v>
      </c>
    </row>
    <row r="17" spans="2:19" hidden="1" x14ac:dyDescent="0.25">
      <c r="B17" t="s">
        <v>1</v>
      </c>
      <c r="C17" s="142">
        <v>45016</v>
      </c>
      <c r="D17" s="142" t="str">
        <f>IF(C17&lt;Data!$J$1,"Actual","Forecasted")</f>
        <v>Actual</v>
      </c>
      <c r="E17" s="140" t="s">
        <v>188</v>
      </c>
      <c r="F17" t="s">
        <v>18</v>
      </c>
      <c r="G17">
        <v>140264</v>
      </c>
      <c r="P17" s="144">
        <v>45565</v>
      </c>
      <c r="Q17">
        <v>590.56723395708661</v>
      </c>
      <c r="R17">
        <v>826502</v>
      </c>
      <c r="S17">
        <v>827092.56723395712</v>
      </c>
    </row>
    <row r="18" spans="2:19" hidden="1" x14ac:dyDescent="0.25">
      <c r="B18" t="s">
        <v>1</v>
      </c>
      <c r="C18" s="142">
        <v>45016</v>
      </c>
      <c r="D18" s="142" t="str">
        <f>IF(C18&lt;Data!$J$1,"Actual","Forecasted")</f>
        <v>Actual</v>
      </c>
      <c r="E18" s="140" t="s">
        <v>188</v>
      </c>
      <c r="F18" t="s">
        <v>174</v>
      </c>
      <c r="G18">
        <v>0</v>
      </c>
      <c r="P18" s="141" t="s">
        <v>7</v>
      </c>
      <c r="Q18">
        <v>590.56723395708661</v>
      </c>
      <c r="R18">
        <v>826502</v>
      </c>
      <c r="S18">
        <v>827092.56723395712</v>
      </c>
    </row>
    <row r="19" spans="2:19" hidden="1" x14ac:dyDescent="0.25">
      <c r="B19" t="s">
        <v>1</v>
      </c>
      <c r="C19" s="142">
        <v>45016</v>
      </c>
      <c r="D19" s="142" t="str">
        <f>IF(C19&lt;Data!$J$1,"Actual","Forecasted")</f>
        <v>Actual</v>
      </c>
      <c r="E19" s="140" t="s">
        <v>188</v>
      </c>
      <c r="F19" t="s">
        <v>34</v>
      </c>
      <c r="G19">
        <v>183.55005999950271</v>
      </c>
      <c r="P19" s="144">
        <v>45657</v>
      </c>
      <c r="Q19">
        <v>588.31837963111195</v>
      </c>
      <c r="R19">
        <v>812062</v>
      </c>
      <c r="S19">
        <v>812650.31837963115</v>
      </c>
    </row>
    <row r="20" spans="2:19" hidden="1" x14ac:dyDescent="0.25">
      <c r="B20" t="s">
        <v>1</v>
      </c>
      <c r="C20" s="142">
        <v>45016</v>
      </c>
      <c r="D20" s="142" t="str">
        <f>IF(C20&lt;Data!$J$1,"Actual","Forecasted")</f>
        <v>Actual</v>
      </c>
      <c r="E20" s="140" t="s">
        <v>188</v>
      </c>
      <c r="F20" t="s">
        <v>175</v>
      </c>
      <c r="G20">
        <v>0</v>
      </c>
      <c r="P20" s="141" t="s">
        <v>8</v>
      </c>
      <c r="Q20">
        <v>588.31837963111195</v>
      </c>
      <c r="R20">
        <v>812062</v>
      </c>
      <c r="S20">
        <v>812650.31837963115</v>
      </c>
    </row>
    <row r="21" spans="2:19" hidden="1" x14ac:dyDescent="0.25">
      <c r="B21" t="s">
        <v>1</v>
      </c>
      <c r="C21" s="142">
        <v>45016</v>
      </c>
      <c r="D21" s="142" t="str">
        <f>IF(C21&lt;Data!$J$1,"Actual","Forecasted")</f>
        <v>Actual</v>
      </c>
      <c r="E21" s="140" t="s">
        <v>188</v>
      </c>
      <c r="F21" t="s">
        <v>19</v>
      </c>
      <c r="G21">
        <v>497752</v>
      </c>
      <c r="P21" s="144">
        <v>45747</v>
      </c>
      <c r="Q21">
        <v>586.12630141768807</v>
      </c>
      <c r="R21">
        <v>848342.06735677831</v>
      </c>
      <c r="S21">
        <v>848928.19365819602</v>
      </c>
    </row>
    <row r="22" spans="2:19" hidden="1" x14ac:dyDescent="0.25">
      <c r="B22" t="s">
        <v>1</v>
      </c>
      <c r="C22" s="142">
        <v>45016</v>
      </c>
      <c r="D22" s="142" t="str">
        <f>IF(C22&lt;Data!$J$1,"Actual","Forecasted")</f>
        <v>Actual</v>
      </c>
      <c r="E22" s="140" t="s">
        <v>188</v>
      </c>
      <c r="F22" t="s">
        <v>176</v>
      </c>
      <c r="G22">
        <v>0</v>
      </c>
      <c r="P22" s="141" t="s">
        <v>92</v>
      </c>
      <c r="Q22">
        <v>586.12630141768807</v>
      </c>
      <c r="R22">
        <v>848342.06735677831</v>
      </c>
      <c r="S22">
        <v>848928.19365819602</v>
      </c>
    </row>
    <row r="23" spans="2:19" hidden="1" x14ac:dyDescent="0.25">
      <c r="B23" t="s">
        <v>1</v>
      </c>
      <c r="C23" s="142">
        <v>45016</v>
      </c>
      <c r="D23" s="142" t="str">
        <f>IF(C23&lt;Data!$J$1,"Actual","Forecasted")</f>
        <v>Actual</v>
      </c>
      <c r="E23" s="140" t="s">
        <v>188</v>
      </c>
      <c r="F23" t="s">
        <v>11</v>
      </c>
      <c r="G23">
        <v>13099</v>
      </c>
      <c r="P23" s="144">
        <v>45838</v>
      </c>
      <c r="Q23">
        <v>612.24270629662897</v>
      </c>
      <c r="R23">
        <v>881032.88390243892</v>
      </c>
      <c r="S23">
        <v>881645.12660873553</v>
      </c>
    </row>
    <row r="24" spans="2:19" hidden="1" x14ac:dyDescent="0.25">
      <c r="B24" t="s">
        <v>1</v>
      </c>
      <c r="C24" s="142">
        <v>45016</v>
      </c>
      <c r="D24" s="142" t="str">
        <f>IF(C24&lt;Data!$J$1,"Actual","Forecasted")</f>
        <v>Actual</v>
      </c>
      <c r="E24" s="140" t="s">
        <v>188</v>
      </c>
      <c r="F24" t="s">
        <v>38</v>
      </c>
      <c r="G24">
        <v>2.631631816647648E-2</v>
      </c>
      <c r="P24" s="141" t="s">
        <v>93</v>
      </c>
      <c r="Q24">
        <v>612.24270629662897</v>
      </c>
      <c r="R24">
        <v>881032.88390243892</v>
      </c>
      <c r="S24">
        <v>881645.12660873553</v>
      </c>
    </row>
    <row r="25" spans="2:19" hidden="1" x14ac:dyDescent="0.25">
      <c r="B25" t="s">
        <v>1</v>
      </c>
      <c r="C25" s="142">
        <v>45016</v>
      </c>
      <c r="D25" s="142" t="str">
        <f>IF(C25&lt;Data!$J$1,"Actual","Forecasted")</f>
        <v>Actual</v>
      </c>
      <c r="E25" s="140" t="s">
        <v>188</v>
      </c>
      <c r="F25" t="s">
        <v>10</v>
      </c>
      <c r="G25">
        <v>510851</v>
      </c>
      <c r="P25" s="144">
        <v>45930</v>
      </c>
      <c r="Q25">
        <v>648.73810650185965</v>
      </c>
      <c r="R25">
        <v>863338.95682951144</v>
      </c>
      <c r="S25">
        <v>863987.69493601331</v>
      </c>
    </row>
    <row r="26" spans="2:19" x14ac:dyDescent="0.25">
      <c r="B26" t="s">
        <v>1</v>
      </c>
      <c r="C26" s="142">
        <v>45016</v>
      </c>
      <c r="D26" s="142" t="str">
        <f>IF(C26&lt;Data!$J$1,"Actual","Forecasted")</f>
        <v>Actual</v>
      </c>
      <c r="E26" s="140" t="s">
        <v>188</v>
      </c>
      <c r="F26" t="s">
        <v>177</v>
      </c>
      <c r="G26">
        <v>0.30230000000000001</v>
      </c>
      <c r="P26" s="141" t="s">
        <v>94</v>
      </c>
      <c r="Q26">
        <v>648.73810650185965</v>
      </c>
      <c r="R26">
        <v>863338.95682951144</v>
      </c>
      <c r="S26">
        <v>863987.69493601331</v>
      </c>
    </row>
    <row r="27" spans="2:19" hidden="1" x14ac:dyDescent="0.25">
      <c r="B27" t="s">
        <v>1</v>
      </c>
      <c r="C27" s="142">
        <v>45016</v>
      </c>
      <c r="D27" s="142" t="str">
        <f>IF(C27&lt;Data!$J$1,"Actual","Forecasted")</f>
        <v>Actual</v>
      </c>
      <c r="E27" s="140" t="s">
        <v>189</v>
      </c>
      <c r="F27" t="s">
        <v>12</v>
      </c>
      <c r="G27">
        <v>-274109</v>
      </c>
      <c r="P27" s="144">
        <v>46022</v>
      </c>
      <c r="Q27">
        <v>644.35570529097538</v>
      </c>
      <c r="R27">
        <v>850491.55924728024</v>
      </c>
      <c r="S27">
        <v>851135.91495257127</v>
      </c>
    </row>
    <row r="28" spans="2:19" hidden="1" x14ac:dyDescent="0.25">
      <c r="B28" t="s">
        <v>1</v>
      </c>
      <c r="C28" s="142">
        <v>45016</v>
      </c>
      <c r="D28" s="142" t="str">
        <f>IF(C28&lt;Data!$J$1,"Actual","Forecasted")</f>
        <v>Actual</v>
      </c>
      <c r="E28" s="140" t="s">
        <v>189</v>
      </c>
      <c r="F28" t="s">
        <v>178</v>
      </c>
      <c r="G28">
        <v>0.55069391986370719</v>
      </c>
      <c r="P28" s="141" t="s">
        <v>95</v>
      </c>
      <c r="Q28">
        <v>644.35570529097538</v>
      </c>
      <c r="R28">
        <v>850491.55924728024</v>
      </c>
      <c r="S28">
        <v>851135.91495257127</v>
      </c>
    </row>
    <row r="29" spans="2:19" hidden="1" x14ac:dyDescent="0.25">
      <c r="B29" t="s">
        <v>1</v>
      </c>
      <c r="C29" s="142">
        <v>45016</v>
      </c>
      <c r="D29" s="142" t="str">
        <f>IF(C29&lt;Data!$J$1,"Actual","Forecasted")</f>
        <v>Actual</v>
      </c>
      <c r="E29" s="140" t="s">
        <v>189</v>
      </c>
      <c r="F29" t="s">
        <v>13</v>
      </c>
      <c r="G29">
        <v>-66537</v>
      </c>
      <c r="P29" s="144">
        <v>46112</v>
      </c>
      <c r="Q29">
        <v>640.04992114811546</v>
      </c>
      <c r="R29">
        <v>890448.58830828127</v>
      </c>
      <c r="S29">
        <v>891088.63822942937</v>
      </c>
    </row>
    <row r="30" spans="2:19" hidden="1" x14ac:dyDescent="0.25">
      <c r="B30" t="s">
        <v>1</v>
      </c>
      <c r="C30" s="142">
        <v>45016</v>
      </c>
      <c r="D30" s="142" t="str">
        <f>IF(C30&lt;Data!$J$1,"Actual","Forecasted")</f>
        <v>Actual</v>
      </c>
      <c r="E30" s="140" t="s">
        <v>189</v>
      </c>
      <c r="F30" t="s">
        <v>41</v>
      </c>
      <c r="G30">
        <v>-405.71341463414632</v>
      </c>
      <c r="P30" s="141" t="s">
        <v>96</v>
      </c>
      <c r="Q30">
        <v>640.04992114811546</v>
      </c>
      <c r="R30">
        <v>890448.58830828127</v>
      </c>
      <c r="S30">
        <v>891088.63822942937</v>
      </c>
    </row>
    <row r="31" spans="2:19" hidden="1" x14ac:dyDescent="0.25">
      <c r="B31" t="s">
        <v>1</v>
      </c>
      <c r="C31" s="142">
        <v>45016</v>
      </c>
      <c r="D31" s="142" t="str">
        <f>IF(C31&lt;Data!$J$1,"Actual","Forecasted")</f>
        <v>Actual</v>
      </c>
      <c r="E31" s="140" t="s">
        <v>189</v>
      </c>
      <c r="F31" t="s">
        <v>39</v>
      </c>
      <c r="G31">
        <v>-44624</v>
      </c>
      <c r="P31" s="144">
        <v>46203</v>
      </c>
      <c r="Q31">
        <v>666.57924648045469</v>
      </c>
      <c r="R31">
        <v>921202.72182926827</v>
      </c>
      <c r="S31">
        <v>921869.30107574875</v>
      </c>
    </row>
    <row r="32" spans="2:19" hidden="1" x14ac:dyDescent="0.25">
      <c r="B32" t="s">
        <v>1</v>
      </c>
      <c r="C32" s="142">
        <v>45016</v>
      </c>
      <c r="D32" s="142" t="str">
        <f>IF(C32&lt;Data!$J$1,"Actual","Forecasted")</f>
        <v>Actual</v>
      </c>
      <c r="E32" s="140" t="s">
        <v>189</v>
      </c>
      <c r="F32" t="s">
        <v>179</v>
      </c>
      <c r="G32">
        <v>8.7352280802034249E-2</v>
      </c>
      <c r="P32" s="141" t="s">
        <v>97</v>
      </c>
      <c r="Q32">
        <v>666.57924648045469</v>
      </c>
      <c r="R32">
        <v>921202.72182926827</v>
      </c>
      <c r="S32">
        <v>921869.30107574875</v>
      </c>
    </row>
    <row r="33" spans="2:19" hidden="1" x14ac:dyDescent="0.25">
      <c r="B33" t="s">
        <v>1</v>
      </c>
      <c r="C33" s="142">
        <v>45016</v>
      </c>
      <c r="D33" s="142" t="str">
        <f>IF(C33&lt;Data!$J$1,"Actual","Forecasted")</f>
        <v>Actual</v>
      </c>
      <c r="E33" s="140" t="s">
        <v>189</v>
      </c>
      <c r="F33" t="s">
        <v>40</v>
      </c>
      <c r="G33">
        <v>-58197</v>
      </c>
      <c r="P33" s="144">
        <v>46295</v>
      </c>
      <c r="Q33">
        <v>704.20521460776854</v>
      </c>
      <c r="R33">
        <v>907833.23666500498</v>
      </c>
      <c r="S33">
        <v>908537.44187961274</v>
      </c>
    </row>
    <row r="34" spans="2:19" hidden="1" x14ac:dyDescent="0.25">
      <c r="B34" t="s">
        <v>1</v>
      </c>
      <c r="C34" s="142">
        <v>45016</v>
      </c>
      <c r="D34" s="142" t="str">
        <f>IF(C34&lt;Data!$J$1,"Actual","Forecasted")</f>
        <v>Actual</v>
      </c>
      <c r="E34" s="140" t="s">
        <v>189</v>
      </c>
      <c r="F34" t="s">
        <v>180</v>
      </c>
      <c r="G34">
        <v>0.11392167187692689</v>
      </c>
      <c r="P34" s="141" t="s">
        <v>98</v>
      </c>
      <c r="Q34">
        <v>704.20521460776854</v>
      </c>
      <c r="R34">
        <v>907833.23666500498</v>
      </c>
      <c r="S34">
        <v>908537.44187961274</v>
      </c>
    </row>
    <row r="35" spans="2:19" hidden="1" x14ac:dyDescent="0.25">
      <c r="B35" t="s">
        <v>1</v>
      </c>
      <c r="C35" s="142">
        <v>45016</v>
      </c>
      <c r="D35" s="142" t="str">
        <f>IF(C35&lt;Data!$J$1,"Actual","Forecasted")</f>
        <v>Actual</v>
      </c>
      <c r="E35" s="140" t="s">
        <v>190</v>
      </c>
      <c r="F35" t="s">
        <v>43</v>
      </c>
      <c r="G35">
        <v>67384</v>
      </c>
      <c r="P35" s="144">
        <v>46387</v>
      </c>
      <c r="Q35">
        <v>697.35396205115808</v>
      </c>
      <c r="R35">
        <v>890106.53394426475</v>
      </c>
      <c r="S35">
        <v>890803.88790631585</v>
      </c>
    </row>
    <row r="36" spans="2:19" hidden="1" x14ac:dyDescent="0.25">
      <c r="B36" t="s">
        <v>1</v>
      </c>
      <c r="C36" s="142">
        <v>45016</v>
      </c>
      <c r="D36" s="142" t="str">
        <f>IF(C36&lt;Data!$J$1,"Actual","Forecasted")</f>
        <v>Actual</v>
      </c>
      <c r="E36" s="140" t="s">
        <v>190</v>
      </c>
      <c r="F36" t="s">
        <v>44</v>
      </c>
      <c r="G36">
        <v>0.13190538924265591</v>
      </c>
      <c r="P36" s="141" t="s">
        <v>99</v>
      </c>
      <c r="Q36">
        <v>697.35396205115808</v>
      </c>
      <c r="R36">
        <v>890106.53394426475</v>
      </c>
      <c r="S36">
        <v>890803.88790631585</v>
      </c>
    </row>
    <row r="37" spans="2:19" hidden="1" x14ac:dyDescent="0.25">
      <c r="B37" t="s">
        <v>1</v>
      </c>
      <c r="C37" s="142">
        <v>45016</v>
      </c>
      <c r="D37" s="142" t="str">
        <f>IF(C37&lt;Data!$J$1,"Actual","Forecasted")</f>
        <v>Actual</v>
      </c>
      <c r="E37" s="140" t="s">
        <v>190</v>
      </c>
      <c r="F37" t="s">
        <v>45</v>
      </c>
      <c r="G37">
        <v>-8872</v>
      </c>
      <c r="P37" s="144" t="s">
        <v>163</v>
      </c>
      <c r="Q37">
        <v>9472.7795346829917</v>
      </c>
      <c r="R37">
        <v>13427964.548082827</v>
      </c>
      <c r="S37">
        <v>13437437.327617513</v>
      </c>
    </row>
    <row r="38" spans="2:19" hidden="1" x14ac:dyDescent="0.25">
      <c r="B38" t="s">
        <v>1</v>
      </c>
      <c r="C38" s="142">
        <v>45016</v>
      </c>
      <c r="D38" s="142" t="str">
        <f>IF(C38&lt;Data!$J$1,"Actual","Forecasted")</f>
        <v>Actual</v>
      </c>
      <c r="E38" s="140" t="s">
        <v>189</v>
      </c>
      <c r="F38" t="s">
        <v>89</v>
      </c>
      <c r="G38">
        <v>-170814</v>
      </c>
    </row>
    <row r="39" spans="2:19" hidden="1" x14ac:dyDescent="0.25">
      <c r="B39" t="s">
        <v>1</v>
      </c>
      <c r="C39" s="142">
        <v>45016</v>
      </c>
      <c r="D39" s="142" t="str">
        <f>IF(C39&lt;Data!$J$1,"Actual","Forecasted")</f>
        <v>Actual</v>
      </c>
      <c r="E39" s="140" t="s">
        <v>189</v>
      </c>
      <c r="F39" t="s">
        <v>181</v>
      </c>
      <c r="G39">
        <v>0.33437147035045439</v>
      </c>
    </row>
    <row r="40" spans="2:19" hidden="1" x14ac:dyDescent="0.25">
      <c r="B40" t="s">
        <v>1</v>
      </c>
      <c r="C40" s="142">
        <v>45016</v>
      </c>
      <c r="D40" s="142" t="str">
        <f>IF(C40&lt;Data!$J$1,"Actual","Forecasted")</f>
        <v>Actual</v>
      </c>
      <c r="E40" s="140" t="s">
        <v>189</v>
      </c>
      <c r="F40" t="s">
        <v>90</v>
      </c>
      <c r="G40">
        <v>5622</v>
      </c>
    </row>
    <row r="41" spans="2:19" hidden="1" x14ac:dyDescent="0.25">
      <c r="B41" t="s">
        <v>1</v>
      </c>
      <c r="C41" s="142">
        <v>45016</v>
      </c>
      <c r="D41" s="142" t="str">
        <f>IF(C41&lt;Data!$J$1,"Actual","Forecasted")</f>
        <v>Actual</v>
      </c>
      <c r="E41" s="140" t="s">
        <v>189</v>
      </c>
      <c r="F41" t="s">
        <v>182</v>
      </c>
      <c r="G41">
        <v>2.0510089052165378E-2</v>
      </c>
    </row>
    <row r="42" spans="2:19" hidden="1" x14ac:dyDescent="0.25">
      <c r="B42" t="s">
        <v>1</v>
      </c>
      <c r="C42" s="142">
        <v>45016</v>
      </c>
      <c r="D42" s="142" t="str">
        <f>IF(C42&lt;Data!$J$1,"Actual","Forecasted")</f>
        <v>Actual</v>
      </c>
      <c r="E42" s="140" t="s">
        <v>190</v>
      </c>
      <c r="F42" t="s">
        <v>53</v>
      </c>
      <c r="G42">
        <v>-45070</v>
      </c>
    </row>
    <row r="43" spans="2:19" hidden="1" x14ac:dyDescent="0.25">
      <c r="B43" t="s">
        <v>1</v>
      </c>
      <c r="C43" s="142">
        <v>45016</v>
      </c>
      <c r="D43" s="142" t="str">
        <f>IF(C43&lt;Data!$J$1,"Actual","Forecasted")</f>
        <v>Actual</v>
      </c>
      <c r="E43" s="140" t="s">
        <v>190</v>
      </c>
      <c r="F43" t="s">
        <v>183</v>
      </c>
      <c r="G43">
        <v>0</v>
      </c>
    </row>
    <row r="44" spans="2:19" hidden="1" x14ac:dyDescent="0.25">
      <c r="B44" t="s">
        <v>1</v>
      </c>
      <c r="C44" s="142">
        <v>45016</v>
      </c>
      <c r="D44" s="142" t="str">
        <f>IF(C44&lt;Data!$J$1,"Actual","Forecasted")</f>
        <v>Actual</v>
      </c>
      <c r="E44" s="140" t="s">
        <v>190</v>
      </c>
      <c r="F44" t="s">
        <v>73</v>
      </c>
      <c r="G44">
        <v>125581</v>
      </c>
    </row>
    <row r="45" spans="2:19" hidden="1" x14ac:dyDescent="0.25">
      <c r="B45" t="s">
        <v>1</v>
      </c>
      <c r="C45" s="142">
        <v>45016</v>
      </c>
      <c r="D45" s="142" t="str">
        <f>IF(C45&lt;Data!$J$1,"Actual","Forecasted")</f>
        <v>Actual</v>
      </c>
      <c r="E45" s="140" t="s">
        <v>190</v>
      </c>
      <c r="F45" t="s">
        <v>186</v>
      </c>
      <c r="G45">
        <v>0</v>
      </c>
    </row>
    <row r="46" spans="2:19" hidden="1" x14ac:dyDescent="0.25">
      <c r="B46" t="s">
        <v>1</v>
      </c>
      <c r="C46" s="142">
        <v>45016</v>
      </c>
      <c r="D46" s="142" t="str">
        <f>IF(C46&lt;Data!$J$1,"Actual","Forecasted")</f>
        <v>Actual</v>
      </c>
      <c r="E46" s="140" t="s">
        <v>190</v>
      </c>
      <c r="F46" t="s">
        <v>143</v>
      </c>
      <c r="G46">
        <v>131203</v>
      </c>
    </row>
    <row r="47" spans="2:19" hidden="1" x14ac:dyDescent="0.25">
      <c r="B47" t="s">
        <v>1</v>
      </c>
      <c r="C47" s="142">
        <v>45016</v>
      </c>
      <c r="D47" s="142" t="str">
        <f>IF(C47&lt;Data!$J$1,"Actual","Forecasted")</f>
        <v>Actual</v>
      </c>
      <c r="E47" s="140" t="s">
        <v>190</v>
      </c>
      <c r="F47" t="s">
        <v>185</v>
      </c>
      <c r="G47">
        <v>0</v>
      </c>
    </row>
    <row r="48" spans="2:19" hidden="1" x14ac:dyDescent="0.25">
      <c r="B48" t="s">
        <v>1</v>
      </c>
      <c r="C48" s="142">
        <v>45016</v>
      </c>
      <c r="D48" s="142" t="str">
        <f>IF(C48&lt;Data!$J$1,"Actual","Forecasted")</f>
        <v>Actual</v>
      </c>
      <c r="E48" s="140" t="s">
        <v>190</v>
      </c>
      <c r="F48" t="s">
        <v>153</v>
      </c>
      <c r="G48">
        <v>27460</v>
      </c>
    </row>
    <row r="49" spans="2:7" hidden="1" x14ac:dyDescent="0.25">
      <c r="B49" t="s">
        <v>1</v>
      </c>
      <c r="C49" s="142">
        <v>45016</v>
      </c>
      <c r="D49" s="142" t="str">
        <f>IF(C49&lt;Data!$J$1,"Actual","Forecasted")</f>
        <v>Actual</v>
      </c>
      <c r="E49" s="140" t="s">
        <v>190</v>
      </c>
      <c r="F49" t="s">
        <v>184</v>
      </c>
      <c r="G49">
        <v>0</v>
      </c>
    </row>
    <row r="50" spans="2:7" hidden="1" x14ac:dyDescent="0.25">
      <c r="B50" t="s">
        <v>1</v>
      </c>
      <c r="C50" s="142">
        <v>45016</v>
      </c>
      <c r="D50" s="142" t="str">
        <f>IF(C50&lt;Data!$J$1,"Actual","Forecasted")</f>
        <v>Actual</v>
      </c>
      <c r="E50" s="140" t="s">
        <v>190</v>
      </c>
      <c r="F50" t="s">
        <v>155</v>
      </c>
      <c r="G50">
        <v>0.14113027568200981</v>
      </c>
    </row>
    <row r="51" spans="2:7" hidden="1" x14ac:dyDescent="0.25">
      <c r="B51" t="s">
        <v>1</v>
      </c>
      <c r="C51" s="142">
        <v>45016</v>
      </c>
      <c r="D51" s="142" t="str">
        <f>IF(C51&lt;Data!$J$1,"Actual","Forecasted")</f>
        <v>Actual</v>
      </c>
      <c r="E51" s="140" t="s">
        <v>190</v>
      </c>
      <c r="F51" t="s">
        <v>154</v>
      </c>
      <c r="G51">
        <v>194572</v>
      </c>
    </row>
    <row r="52" spans="2:7" hidden="1" x14ac:dyDescent="0.25">
      <c r="B52" t="s">
        <v>1</v>
      </c>
      <c r="C52" s="142">
        <v>45016</v>
      </c>
      <c r="D52" s="142" t="str">
        <f>IF(C52&lt;Data!$J$1,"Actual","Forecasted")</f>
        <v>Actual</v>
      </c>
      <c r="E52" s="140" t="s">
        <v>190</v>
      </c>
      <c r="F52" t="s">
        <v>194</v>
      </c>
      <c r="G52">
        <v>5.3753442784686731E-2</v>
      </c>
    </row>
    <row r="53" spans="2:7" hidden="1" x14ac:dyDescent="0.25">
      <c r="B53" t="s">
        <v>2</v>
      </c>
      <c r="C53" s="142">
        <v>45107</v>
      </c>
      <c r="D53" s="142" t="str">
        <f>IF(C53&lt;Data!$J$1,"Actual","Forecasted")</f>
        <v>Actual</v>
      </c>
      <c r="E53" s="140"/>
    </row>
    <row r="54" spans="2:7" hidden="1" x14ac:dyDescent="0.25">
      <c r="B54" t="s">
        <v>2</v>
      </c>
      <c r="C54" s="142">
        <v>45107</v>
      </c>
      <c r="D54" s="142" t="str">
        <f>IF(C54&lt;Data!$J$1,"Actual","Forecasted")</f>
        <v>Actual</v>
      </c>
      <c r="E54" s="140"/>
    </row>
    <row r="55" spans="2:7" hidden="1" x14ac:dyDescent="0.25">
      <c r="B55" t="s">
        <v>2</v>
      </c>
      <c r="C55" s="142">
        <v>45107</v>
      </c>
      <c r="D55" s="142" t="str">
        <f>IF(C55&lt;Data!$J$1,"Actual","Forecasted")</f>
        <v>Actual</v>
      </c>
      <c r="E55" s="140" t="s">
        <v>188</v>
      </c>
      <c r="F55" t="s">
        <v>35</v>
      </c>
      <c r="G55">
        <v>164</v>
      </c>
    </row>
    <row r="56" spans="2:7" hidden="1" x14ac:dyDescent="0.25">
      <c r="B56" t="s">
        <v>2</v>
      </c>
      <c r="C56" s="142">
        <v>45107</v>
      </c>
      <c r="D56" s="142" t="str">
        <f>IF(C56&lt;Data!$J$1,"Actual","Forecasted")</f>
        <v>Actual</v>
      </c>
      <c r="E56" s="140" t="s">
        <v>188</v>
      </c>
      <c r="F56" t="s">
        <v>37</v>
      </c>
      <c r="G56">
        <v>0</v>
      </c>
    </row>
    <row r="57" spans="2:7" hidden="1" x14ac:dyDescent="0.25">
      <c r="B57" t="s">
        <v>2</v>
      </c>
      <c r="C57" s="142">
        <v>45107</v>
      </c>
      <c r="D57" s="142" t="str">
        <f>IF(C57&lt;Data!$J$1,"Actual","Forecasted")</f>
        <v>Actual</v>
      </c>
      <c r="E57" s="140" t="s">
        <v>188</v>
      </c>
      <c r="F57" t="s">
        <v>36</v>
      </c>
      <c r="G57">
        <v>4818.5243902439024</v>
      </c>
    </row>
    <row r="58" spans="2:7" hidden="1" x14ac:dyDescent="0.25">
      <c r="B58" t="s">
        <v>2</v>
      </c>
      <c r="C58" s="142">
        <v>45107</v>
      </c>
      <c r="D58" s="142" t="str">
        <f>IF(C58&lt;Data!$J$1,"Actual","Forecasted")</f>
        <v>Actual</v>
      </c>
      <c r="E58" s="140" t="s">
        <v>188</v>
      </c>
      <c r="F58" t="s">
        <v>14</v>
      </c>
      <c r="G58">
        <v>790238</v>
      </c>
    </row>
    <row r="59" spans="2:7" hidden="1" x14ac:dyDescent="0.25">
      <c r="B59" t="s">
        <v>2</v>
      </c>
      <c r="C59" s="142">
        <v>45107</v>
      </c>
      <c r="D59" s="142" t="str">
        <f>IF(C59&lt;Data!$J$1,"Actual","Forecasted")</f>
        <v>Actual</v>
      </c>
      <c r="E59" s="140" t="s">
        <v>188</v>
      </c>
      <c r="F59" t="s">
        <v>170</v>
      </c>
      <c r="G59">
        <v>0</v>
      </c>
    </row>
    <row r="60" spans="2:7" hidden="1" x14ac:dyDescent="0.25">
      <c r="B60" t="s">
        <v>2</v>
      </c>
      <c r="C60" s="142">
        <v>45107</v>
      </c>
      <c r="D60" s="142" t="str">
        <f>IF(C60&lt;Data!$J$1,"Actual","Forecasted")</f>
        <v>Actual</v>
      </c>
      <c r="E60" s="140" t="s">
        <v>188</v>
      </c>
      <c r="F60" t="s">
        <v>15</v>
      </c>
      <c r="G60">
        <v>42401</v>
      </c>
    </row>
    <row r="61" spans="2:7" hidden="1" x14ac:dyDescent="0.25">
      <c r="B61" t="s">
        <v>2</v>
      </c>
      <c r="C61" s="142">
        <v>45107</v>
      </c>
      <c r="D61" s="142" t="str">
        <f>IF(C61&lt;Data!$J$1,"Actual","Forecasted")</f>
        <v>Actual</v>
      </c>
      <c r="E61" s="140" t="s">
        <v>188</v>
      </c>
      <c r="F61" t="s">
        <v>171</v>
      </c>
      <c r="G61">
        <v>0</v>
      </c>
    </row>
    <row r="62" spans="2:7" hidden="1" x14ac:dyDescent="0.25">
      <c r="B62" t="s">
        <v>2</v>
      </c>
      <c r="C62" s="142">
        <v>45107</v>
      </c>
      <c r="D62" s="142" t="str">
        <f>IF(C62&lt;Data!$J$1,"Actual","Forecasted")</f>
        <v>Actual</v>
      </c>
      <c r="E62" s="140" t="s">
        <v>188</v>
      </c>
      <c r="F62" t="s">
        <v>159</v>
      </c>
      <c r="G62">
        <v>0</v>
      </c>
    </row>
    <row r="63" spans="2:7" hidden="1" x14ac:dyDescent="0.25">
      <c r="B63" t="s">
        <v>2</v>
      </c>
      <c r="C63" s="142">
        <v>45107</v>
      </c>
      <c r="D63" s="142" t="str">
        <f>IF(C63&lt;Data!$J$1,"Actual","Forecasted")</f>
        <v>Actual</v>
      </c>
      <c r="E63" s="140" t="s">
        <v>188</v>
      </c>
      <c r="F63" t="s">
        <v>160</v>
      </c>
      <c r="G63">
        <v>0</v>
      </c>
    </row>
    <row r="64" spans="2:7" hidden="1" x14ac:dyDescent="0.25">
      <c r="B64" t="s">
        <v>2</v>
      </c>
      <c r="C64" s="142">
        <v>45107</v>
      </c>
      <c r="D64" s="142" t="str">
        <f>IF(C64&lt;Data!$J$1,"Actual","Forecasted")</f>
        <v>Actual</v>
      </c>
      <c r="E64" s="140" t="s">
        <v>188</v>
      </c>
      <c r="F64" t="s">
        <v>158</v>
      </c>
      <c r="G64">
        <v>489.87140582963622</v>
      </c>
    </row>
    <row r="65" spans="2:7" hidden="1" x14ac:dyDescent="0.25">
      <c r="B65" t="s">
        <v>2</v>
      </c>
      <c r="C65" s="142">
        <v>45107</v>
      </c>
      <c r="D65" s="142" t="str">
        <f>IF(C65&lt;Data!$J$1,"Actual","Forecasted")</f>
        <v>Actual</v>
      </c>
      <c r="E65" s="140" t="s">
        <v>188</v>
      </c>
      <c r="F65" t="s">
        <v>172</v>
      </c>
      <c r="G65">
        <v>0</v>
      </c>
    </row>
    <row r="66" spans="2:7" hidden="1" x14ac:dyDescent="0.25">
      <c r="B66" t="s">
        <v>2</v>
      </c>
      <c r="C66" s="142">
        <v>45107</v>
      </c>
      <c r="D66" s="142" t="str">
        <f>IF(C66&lt;Data!$J$1,"Actual","Forecasted")</f>
        <v>Actual</v>
      </c>
      <c r="E66" s="140" t="s">
        <v>188</v>
      </c>
      <c r="F66" t="s">
        <v>17</v>
      </c>
      <c r="G66">
        <v>387115</v>
      </c>
    </row>
    <row r="67" spans="2:7" hidden="1" x14ac:dyDescent="0.25">
      <c r="B67" t="s">
        <v>2</v>
      </c>
      <c r="C67" s="142">
        <v>45107</v>
      </c>
      <c r="D67" s="142" t="str">
        <f>IF(C67&lt;Data!$J$1,"Actual","Forecasted")</f>
        <v>Actual</v>
      </c>
      <c r="E67" s="140" t="s">
        <v>188</v>
      </c>
      <c r="F67" t="s">
        <v>173</v>
      </c>
      <c r="G67">
        <v>0</v>
      </c>
    </row>
    <row r="68" spans="2:7" hidden="1" x14ac:dyDescent="0.25">
      <c r="B68" t="s">
        <v>2</v>
      </c>
      <c r="C68" s="142">
        <v>45107</v>
      </c>
      <c r="D68" s="142" t="str">
        <f>IF(C68&lt;Data!$J$1,"Actual","Forecasted")</f>
        <v>Actual</v>
      </c>
      <c r="E68" s="140" t="s">
        <v>188</v>
      </c>
      <c r="F68" t="s">
        <v>18</v>
      </c>
      <c r="G68">
        <v>155010</v>
      </c>
    </row>
    <row r="69" spans="2:7" hidden="1" x14ac:dyDescent="0.25">
      <c r="B69" t="s">
        <v>2</v>
      </c>
      <c r="C69" s="142">
        <v>45107</v>
      </c>
      <c r="D69" s="142" t="str">
        <f>IF(C69&lt;Data!$J$1,"Actual","Forecasted")</f>
        <v>Actual</v>
      </c>
      <c r="E69" s="140" t="s">
        <v>188</v>
      </c>
      <c r="F69" t="s">
        <v>174</v>
      </c>
      <c r="G69">
        <v>0</v>
      </c>
    </row>
    <row r="70" spans="2:7" hidden="1" x14ac:dyDescent="0.25">
      <c r="B70" t="s">
        <v>2</v>
      </c>
      <c r="C70" s="142">
        <v>45107</v>
      </c>
      <c r="D70" s="142" t="str">
        <f>IF(C70&lt;Data!$J$1,"Actual","Forecasted")</f>
        <v>Actual</v>
      </c>
      <c r="E70" s="140" t="s">
        <v>188</v>
      </c>
      <c r="F70" t="s">
        <v>34</v>
      </c>
      <c r="G70">
        <v>196.15609474613979</v>
      </c>
    </row>
    <row r="71" spans="2:7" hidden="1" x14ac:dyDescent="0.25">
      <c r="B71" t="s">
        <v>2</v>
      </c>
      <c r="C71" s="142">
        <v>45107</v>
      </c>
      <c r="D71" s="142" t="str">
        <f>IF(C71&lt;Data!$J$1,"Actual","Forecasted")</f>
        <v>Actual</v>
      </c>
      <c r="E71" s="140" t="s">
        <v>188</v>
      </c>
      <c r="F71" t="s">
        <v>175</v>
      </c>
      <c r="G71">
        <v>0</v>
      </c>
    </row>
    <row r="72" spans="2:7" hidden="1" x14ac:dyDescent="0.25">
      <c r="B72" t="s">
        <v>2</v>
      </c>
      <c r="C72" s="142">
        <v>45107</v>
      </c>
      <c r="D72" s="142" t="str">
        <f>IF(C72&lt;Data!$J$1,"Actual","Forecasted")</f>
        <v>Actual</v>
      </c>
      <c r="E72" s="140" t="s">
        <v>188</v>
      </c>
      <c r="F72" t="s">
        <v>19</v>
      </c>
      <c r="G72">
        <v>542125</v>
      </c>
    </row>
    <row r="73" spans="2:7" hidden="1" x14ac:dyDescent="0.25">
      <c r="B73" t="s">
        <v>2</v>
      </c>
      <c r="C73" s="142">
        <v>45107</v>
      </c>
      <c r="D73" s="142" t="str">
        <f>IF(C73&lt;Data!$J$1,"Actual","Forecasted")</f>
        <v>Actual</v>
      </c>
      <c r="E73" s="140" t="s">
        <v>188</v>
      </c>
      <c r="F73" t="s">
        <v>176</v>
      </c>
      <c r="G73">
        <v>0</v>
      </c>
    </row>
    <row r="74" spans="2:7" hidden="1" x14ac:dyDescent="0.25">
      <c r="B74" t="s">
        <v>2</v>
      </c>
      <c r="C74" s="142">
        <v>45107</v>
      </c>
      <c r="D74" s="142" t="str">
        <f>IF(C74&lt;Data!$J$1,"Actual","Forecasted")</f>
        <v>Actual</v>
      </c>
      <c r="E74" s="140" t="s">
        <v>188</v>
      </c>
      <c r="F74" t="s">
        <v>11</v>
      </c>
      <c r="G74">
        <v>19606</v>
      </c>
    </row>
    <row r="75" spans="2:7" hidden="1" x14ac:dyDescent="0.25">
      <c r="B75" t="s">
        <v>2</v>
      </c>
      <c r="C75" s="142">
        <v>45107</v>
      </c>
      <c r="D75" s="142" t="str">
        <f>IF(C75&lt;Data!$J$1,"Actual","Forecasted")</f>
        <v>Actual</v>
      </c>
      <c r="E75" s="140" t="s">
        <v>188</v>
      </c>
      <c r="F75" t="s">
        <v>38</v>
      </c>
      <c r="G75">
        <v>3.6165091076781182E-2</v>
      </c>
    </row>
    <row r="76" spans="2:7" hidden="1" x14ac:dyDescent="0.25">
      <c r="B76" t="s">
        <v>2</v>
      </c>
      <c r="C76" s="142">
        <v>45107</v>
      </c>
      <c r="D76" s="142" t="str">
        <f>IF(C76&lt;Data!$J$1,"Actual","Forecasted")</f>
        <v>Actual</v>
      </c>
      <c r="E76" s="140" t="s">
        <v>188</v>
      </c>
      <c r="F76" t="s">
        <v>10</v>
      </c>
      <c r="G76">
        <v>561731</v>
      </c>
    </row>
    <row r="77" spans="2:7" x14ac:dyDescent="0.25">
      <c r="B77" t="s">
        <v>2</v>
      </c>
      <c r="C77" s="142">
        <v>45107</v>
      </c>
      <c r="D77" s="142" t="str">
        <f>IF(C77&lt;Data!$J$1,"Actual","Forecasted")</f>
        <v>Actual</v>
      </c>
      <c r="E77" s="140" t="s">
        <v>188</v>
      </c>
      <c r="F77" t="s">
        <v>177</v>
      </c>
      <c r="G77">
        <v>0.21779999999999999</v>
      </c>
    </row>
    <row r="78" spans="2:7" hidden="1" x14ac:dyDescent="0.25">
      <c r="B78" t="s">
        <v>2</v>
      </c>
      <c r="C78" s="142">
        <v>45107</v>
      </c>
      <c r="D78" s="142" t="str">
        <f>IF(C78&lt;Data!$J$1,"Actual","Forecasted")</f>
        <v>Actual</v>
      </c>
      <c r="E78" s="140" t="s">
        <v>189</v>
      </c>
      <c r="F78" t="s">
        <v>12</v>
      </c>
      <c r="G78">
        <v>-302603</v>
      </c>
    </row>
    <row r="79" spans="2:7" hidden="1" x14ac:dyDescent="0.25">
      <c r="B79" t="s">
        <v>2</v>
      </c>
      <c r="C79" s="142">
        <v>45107</v>
      </c>
      <c r="D79" s="142" t="str">
        <f>IF(C79&lt;Data!$J$1,"Actual","Forecasted")</f>
        <v>Actual</v>
      </c>
      <c r="E79" s="140" t="s">
        <v>189</v>
      </c>
      <c r="F79" t="s">
        <v>178</v>
      </c>
      <c r="G79">
        <v>0.5581793866728153</v>
      </c>
    </row>
    <row r="80" spans="2:7" hidden="1" x14ac:dyDescent="0.25">
      <c r="B80" t="s">
        <v>2</v>
      </c>
      <c r="C80" s="142">
        <v>45107</v>
      </c>
      <c r="D80" s="142" t="str">
        <f>IF(C80&lt;Data!$J$1,"Actual","Forecasted")</f>
        <v>Actual</v>
      </c>
      <c r="E80" s="140" t="s">
        <v>189</v>
      </c>
      <c r="F80" t="s">
        <v>13</v>
      </c>
      <c r="G80">
        <v>-67434</v>
      </c>
    </row>
    <row r="81" spans="2:7" hidden="1" x14ac:dyDescent="0.25">
      <c r="B81" t="s">
        <v>2</v>
      </c>
      <c r="C81" s="142">
        <v>45107</v>
      </c>
      <c r="D81" s="142" t="str">
        <f>IF(C81&lt;Data!$J$1,"Actual","Forecasted")</f>
        <v>Actual</v>
      </c>
      <c r="E81" s="140" t="s">
        <v>189</v>
      </c>
      <c r="F81" t="s">
        <v>41</v>
      </c>
      <c r="G81">
        <v>-411.1829268292683</v>
      </c>
    </row>
    <row r="82" spans="2:7" hidden="1" x14ac:dyDescent="0.25">
      <c r="B82" t="s">
        <v>2</v>
      </c>
      <c r="C82" s="142">
        <v>45107</v>
      </c>
      <c r="D82" s="142" t="str">
        <f>IF(C82&lt;Data!$J$1,"Actual","Forecasted")</f>
        <v>Actual</v>
      </c>
      <c r="E82" s="140" t="s">
        <v>189</v>
      </c>
      <c r="F82" t="s">
        <v>39</v>
      </c>
      <c r="G82">
        <v>-81034</v>
      </c>
    </row>
    <row r="83" spans="2:7" hidden="1" x14ac:dyDescent="0.25">
      <c r="B83" t="s">
        <v>2</v>
      </c>
      <c r="C83" s="142">
        <v>45107</v>
      </c>
      <c r="D83" s="142" t="str">
        <f>IF(C83&lt;Data!$J$1,"Actual","Forecasted")</f>
        <v>Actual</v>
      </c>
      <c r="E83" s="140" t="s">
        <v>189</v>
      </c>
      <c r="F83" t="s">
        <v>179</v>
      </c>
      <c r="G83">
        <v>0.14425766069524379</v>
      </c>
    </row>
    <row r="84" spans="2:7" hidden="1" x14ac:dyDescent="0.25">
      <c r="B84" t="s">
        <v>2</v>
      </c>
      <c r="C84" s="142">
        <v>45107</v>
      </c>
      <c r="D84" s="142" t="str">
        <f>IF(C84&lt;Data!$J$1,"Actual","Forecasted")</f>
        <v>Actual</v>
      </c>
      <c r="E84" s="140" t="s">
        <v>189</v>
      </c>
      <c r="F84" t="s">
        <v>40</v>
      </c>
      <c r="G84">
        <v>-58252</v>
      </c>
    </row>
    <row r="85" spans="2:7" hidden="1" x14ac:dyDescent="0.25">
      <c r="B85" t="s">
        <v>2</v>
      </c>
      <c r="C85" s="142">
        <v>45107</v>
      </c>
      <c r="D85" s="142" t="str">
        <f>IF(C85&lt;Data!$J$1,"Actual","Forecasted")</f>
        <v>Actual</v>
      </c>
      <c r="E85" s="140" t="s">
        <v>189</v>
      </c>
      <c r="F85" t="s">
        <v>180</v>
      </c>
      <c r="G85">
        <v>0.10370088173876819</v>
      </c>
    </row>
    <row r="86" spans="2:7" hidden="1" x14ac:dyDescent="0.25">
      <c r="B86" t="s">
        <v>2</v>
      </c>
      <c r="C86" s="142">
        <v>45107</v>
      </c>
      <c r="D86" s="142" t="str">
        <f>IF(C86&lt;Data!$J$1,"Actual","Forecasted")</f>
        <v>Actual</v>
      </c>
      <c r="E86" s="140" t="s">
        <v>190</v>
      </c>
      <c r="F86" t="s">
        <v>43</v>
      </c>
      <c r="G86">
        <v>52408</v>
      </c>
    </row>
    <row r="87" spans="2:7" hidden="1" x14ac:dyDescent="0.25">
      <c r="B87" t="s">
        <v>2</v>
      </c>
      <c r="C87" s="142">
        <v>45107</v>
      </c>
      <c r="D87" s="142" t="str">
        <f>IF(C87&lt;Data!$J$1,"Actual","Forecasted")</f>
        <v>Actual</v>
      </c>
      <c r="E87" s="140" t="s">
        <v>190</v>
      </c>
      <c r="F87" t="s">
        <v>44</v>
      </c>
      <c r="G87">
        <v>9.3297325588226399E-2</v>
      </c>
    </row>
    <row r="88" spans="2:7" hidden="1" x14ac:dyDescent="0.25">
      <c r="B88" t="s">
        <v>2</v>
      </c>
      <c r="C88" s="142">
        <v>45107</v>
      </c>
      <c r="D88" s="142" t="str">
        <f>IF(C88&lt;Data!$J$1,"Actual","Forecasted")</f>
        <v>Actual</v>
      </c>
      <c r="E88" s="140" t="s">
        <v>190</v>
      </c>
      <c r="F88" t="s">
        <v>45</v>
      </c>
      <c r="G88">
        <v>-3513</v>
      </c>
    </row>
    <row r="89" spans="2:7" hidden="1" x14ac:dyDescent="0.25">
      <c r="B89" t="s">
        <v>2</v>
      </c>
      <c r="C89" s="142">
        <v>45107</v>
      </c>
      <c r="D89" s="142" t="str">
        <f>IF(C89&lt;Data!$J$1,"Actual","Forecasted")</f>
        <v>Actual</v>
      </c>
      <c r="E89" s="140" t="s">
        <v>189</v>
      </c>
      <c r="F89" t="s">
        <v>89</v>
      </c>
      <c r="G89">
        <v>-166262</v>
      </c>
    </row>
    <row r="90" spans="2:7" hidden="1" x14ac:dyDescent="0.25">
      <c r="B90" t="s">
        <v>2</v>
      </c>
      <c r="C90" s="142">
        <v>45107</v>
      </c>
      <c r="D90" s="142" t="str">
        <f>IF(C90&lt;Data!$J$1,"Actual","Forecasted")</f>
        <v>Actual</v>
      </c>
      <c r="E90" s="140" t="s">
        <v>189</v>
      </c>
      <c r="F90" t="s">
        <v>181</v>
      </c>
      <c r="G90">
        <v>0.29598152852521942</v>
      </c>
    </row>
    <row r="91" spans="2:7" hidden="1" x14ac:dyDescent="0.25">
      <c r="B91" t="s">
        <v>2</v>
      </c>
      <c r="C91" s="142">
        <v>45107</v>
      </c>
      <c r="D91" s="142" t="str">
        <f>IF(C91&lt;Data!$J$1,"Actual","Forecasted")</f>
        <v>Actual</v>
      </c>
      <c r="E91" s="140" t="s">
        <v>189</v>
      </c>
      <c r="F91" t="s">
        <v>90</v>
      </c>
      <c r="G91">
        <v>16549</v>
      </c>
    </row>
    <row r="92" spans="2:7" hidden="1" x14ac:dyDescent="0.25">
      <c r="B92" t="s">
        <v>2</v>
      </c>
      <c r="C92" s="142">
        <v>45107</v>
      </c>
      <c r="D92" s="142" t="str">
        <f>IF(C92&lt;Data!$J$1,"Actual","Forecasted")</f>
        <v>Actual</v>
      </c>
      <c r="E92" s="140" t="s">
        <v>189</v>
      </c>
      <c r="F92" t="s">
        <v>182</v>
      </c>
      <c r="G92">
        <v>5.4688816700429278E-2</v>
      </c>
    </row>
    <row r="93" spans="2:7" hidden="1" x14ac:dyDescent="0.25">
      <c r="B93" t="s">
        <v>2</v>
      </c>
      <c r="C93" s="142">
        <v>45107</v>
      </c>
      <c r="D93" s="142" t="str">
        <f>IF(C93&lt;Data!$J$1,"Actual","Forecasted")</f>
        <v>Actual</v>
      </c>
      <c r="E93" s="140" t="s">
        <v>190</v>
      </c>
      <c r="F93" t="s">
        <v>53</v>
      </c>
      <c r="G93">
        <v>20767</v>
      </c>
    </row>
    <row r="94" spans="2:7" hidden="1" x14ac:dyDescent="0.25">
      <c r="B94" t="s">
        <v>2</v>
      </c>
      <c r="C94" s="142">
        <v>45107</v>
      </c>
      <c r="D94" s="142" t="str">
        <f>IF(C94&lt;Data!$J$1,"Actual","Forecasted")</f>
        <v>Actual</v>
      </c>
      <c r="E94" s="140" t="s">
        <v>190</v>
      </c>
      <c r="F94" t="s">
        <v>183</v>
      </c>
      <c r="G94">
        <v>0</v>
      </c>
    </row>
    <row r="95" spans="2:7" hidden="1" x14ac:dyDescent="0.25">
      <c r="B95" t="s">
        <v>2</v>
      </c>
      <c r="C95" s="142">
        <v>45107</v>
      </c>
      <c r="D95" s="142" t="str">
        <f>IF(C95&lt;Data!$J$1,"Actual","Forecasted")</f>
        <v>Actual</v>
      </c>
      <c r="E95" s="140" t="s">
        <v>190</v>
      </c>
      <c r="F95" t="s">
        <v>73</v>
      </c>
      <c r="G95">
        <v>110660</v>
      </c>
    </row>
    <row r="96" spans="2:7" hidden="1" x14ac:dyDescent="0.25">
      <c r="B96" t="s">
        <v>2</v>
      </c>
      <c r="C96" s="142">
        <v>45107</v>
      </c>
      <c r="D96" s="142" t="str">
        <f>IF(C96&lt;Data!$J$1,"Actual","Forecasted")</f>
        <v>Actual</v>
      </c>
      <c r="E96" s="140" t="s">
        <v>190</v>
      </c>
      <c r="F96" t="s">
        <v>186</v>
      </c>
      <c r="G96">
        <v>0</v>
      </c>
    </row>
    <row r="97" spans="2:7" hidden="1" x14ac:dyDescent="0.25">
      <c r="B97" t="s">
        <v>2</v>
      </c>
      <c r="C97" s="142">
        <v>45107</v>
      </c>
      <c r="D97" s="142" t="str">
        <f>IF(C97&lt;Data!$J$1,"Actual","Forecasted")</f>
        <v>Actual</v>
      </c>
      <c r="E97" s="140" t="s">
        <v>190</v>
      </c>
      <c r="F97" t="s">
        <v>143</v>
      </c>
      <c r="G97">
        <v>127209</v>
      </c>
    </row>
    <row r="98" spans="2:7" hidden="1" x14ac:dyDescent="0.25">
      <c r="B98" t="s">
        <v>2</v>
      </c>
      <c r="C98" s="142">
        <v>45107</v>
      </c>
      <c r="D98" s="142" t="str">
        <f>IF(C98&lt;Data!$J$1,"Actual","Forecasted")</f>
        <v>Actual</v>
      </c>
      <c r="E98" s="140" t="s">
        <v>190</v>
      </c>
      <c r="F98" t="s">
        <v>185</v>
      </c>
      <c r="G98">
        <v>0</v>
      </c>
    </row>
    <row r="99" spans="2:7" hidden="1" x14ac:dyDescent="0.25">
      <c r="B99" t="s">
        <v>2</v>
      </c>
      <c r="C99" s="142">
        <v>45107</v>
      </c>
      <c r="D99" s="142" t="str">
        <f>IF(C99&lt;Data!$J$1,"Actual","Forecasted")</f>
        <v>Actual</v>
      </c>
      <c r="E99" s="140" t="s">
        <v>190</v>
      </c>
      <c r="F99" t="s">
        <v>153</v>
      </c>
      <c r="G99">
        <v>17004</v>
      </c>
    </row>
    <row r="100" spans="2:7" hidden="1" x14ac:dyDescent="0.25">
      <c r="B100" t="s">
        <v>2</v>
      </c>
      <c r="C100" s="142">
        <v>45107</v>
      </c>
      <c r="D100" s="142" t="str">
        <f>IF(C100&lt;Data!$J$1,"Actual","Forecasted")</f>
        <v>Actual</v>
      </c>
      <c r="E100" s="140" t="s">
        <v>190</v>
      </c>
      <c r="F100" t="s">
        <v>184</v>
      </c>
      <c r="G100">
        <v>0</v>
      </c>
    </row>
    <row r="101" spans="2:7" hidden="1" x14ac:dyDescent="0.25">
      <c r="B101" t="s">
        <v>2</v>
      </c>
      <c r="C101" s="142">
        <v>45107</v>
      </c>
      <c r="D101" s="142" t="str">
        <f>IF(C101&lt;Data!$J$1,"Actual","Forecasted")</f>
        <v>Actual</v>
      </c>
      <c r="E101" s="140" t="s">
        <v>190</v>
      </c>
      <c r="F101" t="s">
        <v>155</v>
      </c>
      <c r="G101">
        <v>8.6987660889316337E-2</v>
      </c>
    </row>
    <row r="102" spans="2:7" hidden="1" x14ac:dyDescent="0.25">
      <c r="B102" t="s">
        <v>2</v>
      </c>
      <c r="C102" s="142">
        <v>45107</v>
      </c>
      <c r="D102" s="142" t="str">
        <f>IF(C102&lt;Data!$J$1,"Actual","Forecasted")</f>
        <v>Actual</v>
      </c>
      <c r="E102" s="140" t="s">
        <v>190</v>
      </c>
      <c r="F102" t="s">
        <v>154</v>
      </c>
      <c r="G102">
        <v>195476</v>
      </c>
    </row>
    <row r="103" spans="2:7" hidden="1" x14ac:dyDescent="0.25">
      <c r="B103" t="s">
        <v>2</v>
      </c>
      <c r="C103" s="142">
        <v>45107</v>
      </c>
      <c r="D103" s="142" t="str">
        <f>IF(C103&lt;Data!$J$1,"Actual","Forecasted")</f>
        <v>Actual</v>
      </c>
      <c r="E103" s="140" t="s">
        <v>190</v>
      </c>
      <c r="F103" t="s">
        <v>194</v>
      </c>
      <c r="G103">
        <v>3.0270716766566199E-2</v>
      </c>
    </row>
    <row r="104" spans="2:7" hidden="1" x14ac:dyDescent="0.25">
      <c r="B104" t="s">
        <v>3</v>
      </c>
      <c r="C104" s="142">
        <v>45199</v>
      </c>
      <c r="D104" s="142" t="str">
        <f>IF(C104&lt;Data!$J$1,"Actual","Forecasted")</f>
        <v>Actual</v>
      </c>
      <c r="E104" s="140"/>
    </row>
    <row r="105" spans="2:7" hidden="1" x14ac:dyDescent="0.25">
      <c r="B105" t="s">
        <v>3</v>
      </c>
      <c r="C105" s="142">
        <v>45199</v>
      </c>
      <c r="D105" s="142" t="str">
        <f>IF(C105&lt;Data!$J$1,"Actual","Forecasted")</f>
        <v>Actual</v>
      </c>
      <c r="E105" s="140"/>
    </row>
    <row r="106" spans="2:7" hidden="1" x14ac:dyDescent="0.25">
      <c r="B106" t="s">
        <v>3</v>
      </c>
      <c r="C106" s="142">
        <v>45199</v>
      </c>
      <c r="D106" s="142" t="str">
        <f>IF(C106&lt;Data!$J$1,"Actual","Forecasted")</f>
        <v>Actual</v>
      </c>
      <c r="E106" s="140" t="s">
        <v>188</v>
      </c>
      <c r="F106" t="s">
        <v>35</v>
      </c>
      <c r="G106">
        <v>170</v>
      </c>
    </row>
    <row r="107" spans="2:7" hidden="1" x14ac:dyDescent="0.25">
      <c r="B107" t="s">
        <v>3</v>
      </c>
      <c r="C107" s="142">
        <v>45199</v>
      </c>
      <c r="D107" s="142" t="str">
        <f>IF(C107&lt;Data!$J$1,"Actual","Forecasted")</f>
        <v>Actual</v>
      </c>
      <c r="E107" s="140" t="s">
        <v>188</v>
      </c>
      <c r="F107" t="s">
        <v>37</v>
      </c>
      <c r="G107">
        <v>6</v>
      </c>
    </row>
    <row r="108" spans="2:7" hidden="1" x14ac:dyDescent="0.25">
      <c r="B108" t="s">
        <v>3</v>
      </c>
      <c r="C108" s="142">
        <v>45199</v>
      </c>
      <c r="D108" s="142" t="str">
        <f>IF(C108&lt;Data!$J$1,"Actual","Forecasted")</f>
        <v>Actual</v>
      </c>
      <c r="E108" s="140" t="s">
        <v>188</v>
      </c>
      <c r="F108" t="s">
        <v>36</v>
      </c>
      <c r="G108">
        <v>4613.7117647058822</v>
      </c>
    </row>
    <row r="109" spans="2:7" hidden="1" x14ac:dyDescent="0.25">
      <c r="B109" t="s">
        <v>3</v>
      </c>
      <c r="C109" s="142">
        <v>45199</v>
      </c>
      <c r="D109" s="142" t="str">
        <f>IF(C109&lt;Data!$J$1,"Actual","Forecasted")</f>
        <v>Actual</v>
      </c>
      <c r="E109" s="140" t="s">
        <v>188</v>
      </c>
      <c r="F109" t="s">
        <v>14</v>
      </c>
      <c r="G109">
        <v>784331</v>
      </c>
    </row>
    <row r="110" spans="2:7" hidden="1" x14ac:dyDescent="0.25">
      <c r="B110" t="s">
        <v>3</v>
      </c>
      <c r="C110" s="142">
        <v>45199</v>
      </c>
      <c r="D110" s="142" t="str">
        <f>IF(C110&lt;Data!$J$1,"Actual","Forecasted")</f>
        <v>Actual</v>
      </c>
      <c r="E110" s="140" t="s">
        <v>188</v>
      </c>
      <c r="F110" t="s">
        <v>170</v>
      </c>
      <c r="G110">
        <v>0</v>
      </c>
    </row>
    <row r="111" spans="2:7" hidden="1" x14ac:dyDescent="0.25">
      <c r="B111" t="s">
        <v>3</v>
      </c>
      <c r="C111" s="142">
        <v>45199</v>
      </c>
      <c r="D111" s="142" t="str">
        <f>IF(C111&lt;Data!$J$1,"Actual","Forecasted")</f>
        <v>Actual</v>
      </c>
      <c r="E111" s="140" t="s">
        <v>188</v>
      </c>
      <c r="F111" t="s">
        <v>15</v>
      </c>
      <c r="G111">
        <v>45708</v>
      </c>
    </row>
    <row r="112" spans="2:7" hidden="1" x14ac:dyDescent="0.25">
      <c r="B112" t="s">
        <v>3</v>
      </c>
      <c r="C112" s="142">
        <v>45199</v>
      </c>
      <c r="D112" s="142" t="str">
        <f>IF(C112&lt;Data!$J$1,"Actual","Forecasted")</f>
        <v>Actual</v>
      </c>
      <c r="E112" s="140" t="s">
        <v>188</v>
      </c>
      <c r="F112" t="s">
        <v>171</v>
      </c>
      <c r="G112">
        <v>0</v>
      </c>
    </row>
    <row r="113" spans="2:7" hidden="1" x14ac:dyDescent="0.25">
      <c r="B113" t="s">
        <v>3</v>
      </c>
      <c r="C113" s="142">
        <v>45199</v>
      </c>
      <c r="D113" s="142" t="str">
        <f>IF(C113&lt;Data!$J$1,"Actual","Forecasted")</f>
        <v>Actual</v>
      </c>
      <c r="E113" s="140" t="s">
        <v>188</v>
      </c>
      <c r="F113" t="s">
        <v>159</v>
      </c>
      <c r="G113">
        <v>0</v>
      </c>
    </row>
    <row r="114" spans="2:7" hidden="1" x14ac:dyDescent="0.25">
      <c r="B114" t="s">
        <v>3</v>
      </c>
      <c r="C114" s="142">
        <v>45199</v>
      </c>
      <c r="D114" s="142" t="str">
        <f>IF(C114&lt;Data!$J$1,"Actual","Forecasted")</f>
        <v>Actual</v>
      </c>
      <c r="E114" s="140" t="s">
        <v>188</v>
      </c>
      <c r="F114" t="s">
        <v>160</v>
      </c>
      <c r="G114">
        <v>0</v>
      </c>
    </row>
    <row r="115" spans="2:7" hidden="1" x14ac:dyDescent="0.25">
      <c r="B115" t="s">
        <v>3</v>
      </c>
      <c r="C115" s="142">
        <v>45199</v>
      </c>
      <c r="D115" s="142" t="str">
        <f>IF(C115&lt;Data!$J$1,"Actual","Forecasted")</f>
        <v>Actual</v>
      </c>
      <c r="E115" s="140" t="s">
        <v>188</v>
      </c>
      <c r="F115" t="s">
        <v>158</v>
      </c>
      <c r="G115">
        <v>520.0648705712257</v>
      </c>
    </row>
    <row r="116" spans="2:7" hidden="1" x14ac:dyDescent="0.25">
      <c r="B116" t="s">
        <v>3</v>
      </c>
      <c r="C116" s="142">
        <v>45199</v>
      </c>
      <c r="D116" s="142" t="str">
        <f>IF(C116&lt;Data!$J$1,"Actual","Forecasted")</f>
        <v>Actual</v>
      </c>
      <c r="E116" s="140" t="s">
        <v>188</v>
      </c>
      <c r="F116" t="s">
        <v>172</v>
      </c>
      <c r="G116">
        <v>0</v>
      </c>
    </row>
    <row r="117" spans="2:7" hidden="1" x14ac:dyDescent="0.25">
      <c r="B117" t="s">
        <v>3</v>
      </c>
      <c r="C117" s="142">
        <v>45199</v>
      </c>
      <c r="D117" s="142" t="str">
        <f>IF(C117&lt;Data!$J$1,"Actual","Forecasted")</f>
        <v>Actual</v>
      </c>
      <c r="E117" s="140" t="s">
        <v>188</v>
      </c>
      <c r="F117" t="s">
        <v>17</v>
      </c>
      <c r="G117">
        <v>407903</v>
      </c>
    </row>
    <row r="118" spans="2:7" hidden="1" x14ac:dyDescent="0.25">
      <c r="B118" t="s">
        <v>3</v>
      </c>
      <c r="C118" s="142">
        <v>45199</v>
      </c>
      <c r="D118" s="142" t="str">
        <f>IF(C118&lt;Data!$J$1,"Actual","Forecasted")</f>
        <v>Actual</v>
      </c>
      <c r="E118" s="140" t="s">
        <v>188</v>
      </c>
      <c r="F118" t="s">
        <v>173</v>
      </c>
      <c r="G118">
        <v>0</v>
      </c>
    </row>
    <row r="119" spans="2:7" hidden="1" x14ac:dyDescent="0.25">
      <c r="B119" t="s">
        <v>3</v>
      </c>
      <c r="C119" s="142">
        <v>45199</v>
      </c>
      <c r="D119" s="142" t="str">
        <f>IF(C119&lt;Data!$J$1,"Actual","Forecasted")</f>
        <v>Actual</v>
      </c>
      <c r="E119" s="140" t="s">
        <v>188</v>
      </c>
      <c r="F119" t="s">
        <v>18</v>
      </c>
      <c r="G119">
        <v>160499</v>
      </c>
    </row>
    <row r="120" spans="2:7" hidden="1" x14ac:dyDescent="0.25">
      <c r="B120" t="s">
        <v>3</v>
      </c>
      <c r="C120" s="142">
        <v>45199</v>
      </c>
      <c r="D120" s="142" t="str">
        <f>IF(C120&lt;Data!$J$1,"Actual","Forecasted")</f>
        <v>Actual</v>
      </c>
      <c r="E120" s="140" t="s">
        <v>188</v>
      </c>
      <c r="F120" t="s">
        <v>174</v>
      </c>
      <c r="G120">
        <v>0</v>
      </c>
    </row>
    <row r="121" spans="2:7" hidden="1" x14ac:dyDescent="0.25">
      <c r="B121" t="s">
        <v>3</v>
      </c>
      <c r="C121" s="142">
        <v>45199</v>
      </c>
      <c r="D121" s="142" t="str">
        <f>IF(C121&lt;Data!$J$1,"Actual","Forecasted")</f>
        <v>Actual</v>
      </c>
      <c r="E121" s="140" t="s">
        <v>188</v>
      </c>
      <c r="F121" t="s">
        <v>34</v>
      </c>
      <c r="G121">
        <v>204.63171798641139</v>
      </c>
    </row>
    <row r="122" spans="2:7" hidden="1" x14ac:dyDescent="0.25">
      <c r="B122" t="s">
        <v>3</v>
      </c>
      <c r="C122" s="142">
        <v>45199</v>
      </c>
      <c r="D122" s="142" t="str">
        <f>IF(C122&lt;Data!$J$1,"Actual","Forecasted")</f>
        <v>Actual</v>
      </c>
      <c r="E122" s="140" t="s">
        <v>188</v>
      </c>
      <c r="F122" t="s">
        <v>175</v>
      </c>
      <c r="G122">
        <v>0</v>
      </c>
    </row>
    <row r="123" spans="2:7" hidden="1" x14ac:dyDescent="0.25">
      <c r="B123" t="s">
        <v>3</v>
      </c>
      <c r="C123" s="142">
        <v>45199</v>
      </c>
      <c r="D123" s="142" t="str">
        <f>IF(C123&lt;Data!$J$1,"Actual","Forecasted")</f>
        <v>Actual</v>
      </c>
      <c r="E123" s="140" t="s">
        <v>188</v>
      </c>
      <c r="F123" t="s">
        <v>19</v>
      </c>
      <c r="G123">
        <v>568402</v>
      </c>
    </row>
    <row r="124" spans="2:7" hidden="1" x14ac:dyDescent="0.25">
      <c r="B124" t="s">
        <v>3</v>
      </c>
      <c r="C124" s="142">
        <v>45199</v>
      </c>
      <c r="D124" s="142" t="str">
        <f>IF(C124&lt;Data!$J$1,"Actual","Forecasted")</f>
        <v>Actual</v>
      </c>
      <c r="E124" s="140" t="s">
        <v>188</v>
      </c>
      <c r="F124" t="s">
        <v>176</v>
      </c>
      <c r="G124">
        <v>0</v>
      </c>
    </row>
    <row r="125" spans="2:7" hidden="1" x14ac:dyDescent="0.25">
      <c r="B125" t="s">
        <v>3</v>
      </c>
      <c r="C125" s="142">
        <v>45199</v>
      </c>
      <c r="D125" s="142" t="str">
        <f>IF(C125&lt;Data!$J$1,"Actual","Forecasted")</f>
        <v>Actual</v>
      </c>
      <c r="E125" s="140" t="s">
        <v>188</v>
      </c>
      <c r="F125" t="s">
        <v>11</v>
      </c>
      <c r="G125">
        <v>16775</v>
      </c>
    </row>
    <row r="126" spans="2:7" hidden="1" x14ac:dyDescent="0.25">
      <c r="B126" t="s">
        <v>3</v>
      </c>
      <c r="C126" s="142">
        <v>45199</v>
      </c>
      <c r="D126" s="142" t="str">
        <f>IF(C126&lt;Data!$J$1,"Actual","Forecasted")</f>
        <v>Actual</v>
      </c>
      <c r="E126" s="140" t="s">
        <v>188</v>
      </c>
      <c r="F126" t="s">
        <v>38</v>
      </c>
      <c r="G126">
        <v>2.9512563291473289E-2</v>
      </c>
    </row>
    <row r="127" spans="2:7" hidden="1" x14ac:dyDescent="0.25">
      <c r="B127" t="s">
        <v>3</v>
      </c>
      <c r="C127" s="142">
        <v>45199</v>
      </c>
      <c r="D127" s="142" t="str">
        <f>IF(C127&lt;Data!$J$1,"Actual","Forecasted")</f>
        <v>Actual</v>
      </c>
      <c r="E127" s="140" t="s">
        <v>188</v>
      </c>
      <c r="F127" t="s">
        <v>10</v>
      </c>
      <c r="G127">
        <v>585177</v>
      </c>
    </row>
    <row r="128" spans="2:7" x14ac:dyDescent="0.25">
      <c r="B128" t="s">
        <v>3</v>
      </c>
      <c r="C128" s="142">
        <v>45199</v>
      </c>
      <c r="D128" s="142" t="str">
        <f>IF(C128&lt;Data!$J$1,"Actual","Forecasted")</f>
        <v>Actual</v>
      </c>
      <c r="E128" s="140" t="s">
        <v>188</v>
      </c>
      <c r="F128" t="s">
        <v>177</v>
      </c>
      <c r="G128">
        <v>0.1789</v>
      </c>
    </row>
    <row r="129" spans="2:7" hidden="1" x14ac:dyDescent="0.25">
      <c r="B129" t="s">
        <v>3</v>
      </c>
      <c r="C129" s="142">
        <v>45199</v>
      </c>
      <c r="D129" s="142" t="str">
        <f>IF(C129&lt;Data!$J$1,"Actual","Forecasted")</f>
        <v>Actual</v>
      </c>
      <c r="E129" s="140" t="s">
        <v>189</v>
      </c>
      <c r="F129" t="s">
        <v>12</v>
      </c>
      <c r="G129">
        <v>-319401</v>
      </c>
    </row>
    <row r="130" spans="2:7" hidden="1" x14ac:dyDescent="0.25">
      <c r="B130" t="s">
        <v>3</v>
      </c>
      <c r="C130" s="142">
        <v>45199</v>
      </c>
      <c r="D130" s="142" t="str">
        <f>IF(C130&lt;Data!$J$1,"Actual","Forecasted")</f>
        <v>Actual</v>
      </c>
      <c r="E130" s="140" t="s">
        <v>189</v>
      </c>
      <c r="F130" t="s">
        <v>178</v>
      </c>
      <c r="G130">
        <v>0.56192800166079637</v>
      </c>
    </row>
    <row r="131" spans="2:7" hidden="1" x14ac:dyDescent="0.25">
      <c r="B131" t="s">
        <v>3</v>
      </c>
      <c r="C131" s="142">
        <v>45199</v>
      </c>
      <c r="D131" s="142" t="str">
        <f>IF(C131&lt;Data!$J$1,"Actual","Forecasted")</f>
        <v>Actual</v>
      </c>
      <c r="E131" s="140" t="s">
        <v>189</v>
      </c>
      <c r="F131" t="s">
        <v>13</v>
      </c>
      <c r="G131">
        <v>-69225</v>
      </c>
    </row>
    <row r="132" spans="2:7" hidden="1" x14ac:dyDescent="0.25">
      <c r="B132" t="s">
        <v>3</v>
      </c>
      <c r="C132" s="142">
        <v>45199</v>
      </c>
      <c r="D132" s="142" t="str">
        <f>IF(C132&lt;Data!$J$1,"Actual","Forecasted")</f>
        <v>Actual</v>
      </c>
      <c r="E132" s="140" t="s">
        <v>189</v>
      </c>
      <c r="F132" t="s">
        <v>41</v>
      </c>
      <c r="G132">
        <v>-407.20588235294122</v>
      </c>
    </row>
    <row r="133" spans="2:7" hidden="1" x14ac:dyDescent="0.25">
      <c r="B133" t="s">
        <v>3</v>
      </c>
      <c r="C133" s="142">
        <v>45199</v>
      </c>
      <c r="D133" s="142" t="str">
        <f>IF(C133&lt;Data!$J$1,"Actual","Forecasted")</f>
        <v>Actual</v>
      </c>
      <c r="E133" s="140" t="s">
        <v>189</v>
      </c>
      <c r="F133" t="s">
        <v>39</v>
      </c>
      <c r="G133">
        <v>-86184</v>
      </c>
    </row>
    <row r="134" spans="2:7" hidden="1" x14ac:dyDescent="0.25">
      <c r="B134" t="s">
        <v>3</v>
      </c>
      <c r="C134" s="142">
        <v>45199</v>
      </c>
      <c r="D134" s="142" t="str">
        <f>IF(C134&lt;Data!$J$1,"Actual","Forecasted")</f>
        <v>Actual</v>
      </c>
      <c r="E134" s="140" t="s">
        <v>189</v>
      </c>
      <c r="F134" t="s">
        <v>179</v>
      </c>
      <c r="G134">
        <v>0.14727851573113779</v>
      </c>
    </row>
    <row r="135" spans="2:7" hidden="1" x14ac:dyDescent="0.25">
      <c r="B135" t="s">
        <v>3</v>
      </c>
      <c r="C135" s="142">
        <v>45199</v>
      </c>
      <c r="D135" s="142" t="str">
        <f>IF(C135&lt;Data!$J$1,"Actual","Forecasted")</f>
        <v>Actual</v>
      </c>
      <c r="E135" s="140" t="s">
        <v>189</v>
      </c>
      <c r="F135" t="s">
        <v>40</v>
      </c>
      <c r="G135">
        <v>-63618</v>
      </c>
    </row>
    <row r="136" spans="2:7" hidden="1" x14ac:dyDescent="0.25">
      <c r="B136" t="s">
        <v>3</v>
      </c>
      <c r="C136" s="142">
        <v>45199</v>
      </c>
      <c r="D136" s="142" t="str">
        <f>IF(C136&lt;Data!$J$1,"Actual","Forecasted")</f>
        <v>Actual</v>
      </c>
      <c r="E136" s="140" t="s">
        <v>189</v>
      </c>
      <c r="F136" t="s">
        <v>180</v>
      </c>
      <c r="G136">
        <v>0.1087158244428609</v>
      </c>
    </row>
    <row r="137" spans="2:7" hidden="1" x14ac:dyDescent="0.25">
      <c r="B137" t="s">
        <v>3</v>
      </c>
      <c r="C137" s="142">
        <v>45199</v>
      </c>
      <c r="D137" s="142" t="str">
        <f>IF(C137&lt;Data!$J$1,"Actual","Forecasted")</f>
        <v>Actual</v>
      </c>
      <c r="E137" s="140" t="s">
        <v>190</v>
      </c>
      <c r="F137" t="s">
        <v>43</v>
      </c>
      <c r="G137">
        <v>46749</v>
      </c>
    </row>
    <row r="138" spans="2:7" hidden="1" x14ac:dyDescent="0.25">
      <c r="B138" t="s">
        <v>3</v>
      </c>
      <c r="C138" s="142">
        <v>45199</v>
      </c>
      <c r="D138" s="142" t="str">
        <f>IF(C138&lt;Data!$J$1,"Actual","Forecasted")</f>
        <v>Actual</v>
      </c>
      <c r="E138" s="140" t="s">
        <v>190</v>
      </c>
      <c r="F138" t="s">
        <v>44</v>
      </c>
      <c r="G138">
        <v>7.988864907540795E-2</v>
      </c>
    </row>
    <row r="139" spans="2:7" hidden="1" x14ac:dyDescent="0.25">
      <c r="B139" t="s">
        <v>3</v>
      </c>
      <c r="C139" s="142">
        <v>45199</v>
      </c>
      <c r="D139" s="142" t="str">
        <f>IF(C139&lt;Data!$J$1,"Actual","Forecasted")</f>
        <v>Actual</v>
      </c>
      <c r="E139" s="140" t="s">
        <v>190</v>
      </c>
      <c r="F139" t="s">
        <v>45</v>
      </c>
      <c r="G139">
        <v>-5815</v>
      </c>
    </row>
    <row r="140" spans="2:7" hidden="1" x14ac:dyDescent="0.25">
      <c r="B140" t="s">
        <v>3</v>
      </c>
      <c r="C140" s="142">
        <v>45199</v>
      </c>
      <c r="D140" s="142" t="str">
        <f>IF(C140&lt;Data!$J$1,"Actual","Forecasted")</f>
        <v>Actual</v>
      </c>
      <c r="E140" s="140" t="s">
        <v>189</v>
      </c>
      <c r="F140" t="s">
        <v>89</v>
      </c>
      <c r="G140">
        <v>-192889</v>
      </c>
    </row>
    <row r="141" spans="2:7" hidden="1" x14ac:dyDescent="0.25">
      <c r="B141" t="s">
        <v>3</v>
      </c>
      <c r="C141" s="142">
        <v>45199</v>
      </c>
      <c r="D141" s="142" t="str">
        <f>IF(C141&lt;Data!$J$1,"Actual","Forecasted")</f>
        <v>Actual</v>
      </c>
      <c r="E141" s="140" t="s">
        <v>189</v>
      </c>
      <c r="F141" t="s">
        <v>181</v>
      </c>
      <c r="G141">
        <v>0.32962505361625632</v>
      </c>
    </row>
    <row r="142" spans="2:7" hidden="1" x14ac:dyDescent="0.25">
      <c r="B142" t="s">
        <v>3</v>
      </c>
      <c r="C142" s="142">
        <v>45199</v>
      </c>
      <c r="D142" s="142" t="str">
        <f>IF(C142&lt;Data!$J$1,"Actual","Forecasted")</f>
        <v>Actual</v>
      </c>
      <c r="E142" s="140" t="s">
        <v>189</v>
      </c>
      <c r="F142" t="s">
        <v>90</v>
      </c>
      <c r="G142">
        <v>14858</v>
      </c>
    </row>
    <row r="143" spans="2:7" hidden="1" x14ac:dyDescent="0.25">
      <c r="B143" t="s">
        <v>3</v>
      </c>
      <c r="C143" s="142">
        <v>45199</v>
      </c>
      <c r="D143" s="142" t="str">
        <f>IF(C143&lt;Data!$J$1,"Actual","Forecasted")</f>
        <v>Actual</v>
      </c>
      <c r="E143" s="140" t="s">
        <v>189</v>
      </c>
      <c r="F143" t="s">
        <v>182</v>
      </c>
      <c r="G143">
        <v>4.6518326492402957E-2</v>
      </c>
    </row>
    <row r="144" spans="2:7" hidden="1" x14ac:dyDescent="0.25">
      <c r="B144" t="s">
        <v>3</v>
      </c>
      <c r="C144" s="142">
        <v>45199</v>
      </c>
      <c r="D144" s="142" t="str">
        <f>IF(C144&lt;Data!$J$1,"Actual","Forecasted")</f>
        <v>Actual</v>
      </c>
      <c r="E144" s="140" t="s">
        <v>190</v>
      </c>
      <c r="F144" t="s">
        <v>53</v>
      </c>
      <c r="G144">
        <v>-86591</v>
      </c>
    </row>
    <row r="145" spans="2:7" hidden="1" x14ac:dyDescent="0.25">
      <c r="B145" t="s">
        <v>3</v>
      </c>
      <c r="C145" s="142">
        <v>45199</v>
      </c>
      <c r="D145" s="142" t="str">
        <f>IF(C145&lt;Data!$J$1,"Actual","Forecasted")</f>
        <v>Actual</v>
      </c>
      <c r="E145" s="140" t="s">
        <v>190</v>
      </c>
      <c r="F145" t="s">
        <v>183</v>
      </c>
      <c r="G145">
        <v>0</v>
      </c>
    </row>
    <row r="146" spans="2:7" hidden="1" x14ac:dyDescent="0.25">
      <c r="B146" t="s">
        <v>3</v>
      </c>
      <c r="C146" s="142">
        <v>45199</v>
      </c>
      <c r="D146" s="142" t="str">
        <f>IF(C146&lt;Data!$J$1,"Actual","Forecasted")</f>
        <v>Actual</v>
      </c>
      <c r="E146" s="140" t="s">
        <v>190</v>
      </c>
      <c r="F146" t="s">
        <v>73</v>
      </c>
      <c r="G146">
        <v>110367</v>
      </c>
    </row>
    <row r="147" spans="2:7" hidden="1" x14ac:dyDescent="0.25">
      <c r="B147" t="s">
        <v>3</v>
      </c>
      <c r="C147" s="142">
        <v>45199</v>
      </c>
      <c r="D147" s="142" t="str">
        <f>IF(C147&lt;Data!$J$1,"Actual","Forecasted")</f>
        <v>Actual</v>
      </c>
      <c r="E147" s="140" t="s">
        <v>190</v>
      </c>
      <c r="F147" t="s">
        <v>186</v>
      </c>
      <c r="G147">
        <v>0</v>
      </c>
    </row>
    <row r="148" spans="2:7" hidden="1" x14ac:dyDescent="0.25">
      <c r="B148" t="s">
        <v>3</v>
      </c>
      <c r="C148" s="142">
        <v>45199</v>
      </c>
      <c r="D148" s="142" t="str">
        <f>IF(C148&lt;Data!$J$1,"Actual","Forecasted")</f>
        <v>Actual</v>
      </c>
      <c r="E148" s="140" t="s">
        <v>190</v>
      </c>
      <c r="F148" t="s">
        <v>143</v>
      </c>
      <c r="G148">
        <v>125225</v>
      </c>
    </row>
    <row r="149" spans="2:7" hidden="1" x14ac:dyDescent="0.25">
      <c r="B149" t="s">
        <v>3</v>
      </c>
      <c r="C149" s="142">
        <v>45199</v>
      </c>
      <c r="D149" s="142" t="str">
        <f>IF(C149&lt;Data!$J$1,"Actual","Forecasted")</f>
        <v>Actual</v>
      </c>
      <c r="E149" s="140" t="s">
        <v>190</v>
      </c>
      <c r="F149" t="s">
        <v>185</v>
      </c>
      <c r="G149">
        <v>0</v>
      </c>
    </row>
    <row r="150" spans="2:7" hidden="1" x14ac:dyDescent="0.25">
      <c r="B150" t="s">
        <v>3</v>
      </c>
      <c r="C150" s="142">
        <v>45199</v>
      </c>
      <c r="D150" s="142" t="str">
        <f>IF(C150&lt;Data!$J$1,"Actual","Forecasted")</f>
        <v>Actual</v>
      </c>
      <c r="E150" s="140" t="s">
        <v>190</v>
      </c>
      <c r="F150" t="s">
        <v>153</v>
      </c>
      <c r="G150">
        <v>7915</v>
      </c>
    </row>
    <row r="151" spans="2:7" hidden="1" x14ac:dyDescent="0.25">
      <c r="B151" t="s">
        <v>3</v>
      </c>
      <c r="C151" s="142">
        <v>45199</v>
      </c>
      <c r="D151" s="142" t="str">
        <f>IF(C151&lt;Data!$J$1,"Actual","Forecasted")</f>
        <v>Actual</v>
      </c>
      <c r="E151" s="140" t="s">
        <v>190</v>
      </c>
      <c r="F151" t="s">
        <v>184</v>
      </c>
      <c r="G151">
        <v>0</v>
      </c>
    </row>
    <row r="152" spans="2:7" hidden="1" x14ac:dyDescent="0.25">
      <c r="B152" t="s">
        <v>3</v>
      </c>
      <c r="C152" s="142">
        <v>45199</v>
      </c>
      <c r="D152" s="142" t="str">
        <f>IF(C152&lt;Data!$J$1,"Actual","Forecasted")</f>
        <v>Actual</v>
      </c>
      <c r="E152" s="140" t="s">
        <v>190</v>
      </c>
      <c r="F152" t="s">
        <v>155</v>
      </c>
      <c r="G152">
        <v>4.03525944959367E-2</v>
      </c>
    </row>
    <row r="153" spans="2:7" hidden="1" x14ac:dyDescent="0.25">
      <c r="B153" t="s">
        <v>3</v>
      </c>
      <c r="C153" s="142">
        <v>45199</v>
      </c>
      <c r="D153" s="142" t="str">
        <f>IF(C153&lt;Data!$J$1,"Actual","Forecasted")</f>
        <v>Actual</v>
      </c>
      <c r="E153" s="140" t="s">
        <v>190</v>
      </c>
      <c r="F153" t="s">
        <v>154</v>
      </c>
      <c r="G153">
        <v>196146</v>
      </c>
    </row>
    <row r="154" spans="2:7" hidden="1" x14ac:dyDescent="0.25">
      <c r="B154" t="s">
        <v>3</v>
      </c>
      <c r="C154" s="142">
        <v>45199</v>
      </c>
      <c r="D154" s="142" t="str">
        <f>IF(C154&lt;Data!$J$1,"Actual","Forecasted")</f>
        <v>Actual</v>
      </c>
      <c r="E154" s="140" t="s">
        <v>190</v>
      </c>
      <c r="F154" t="s">
        <v>194</v>
      </c>
      <c r="G154">
        <v>1.352582210168889E-2</v>
      </c>
    </row>
    <row r="155" spans="2:7" hidden="1" x14ac:dyDescent="0.25">
      <c r="B155" t="s">
        <v>4</v>
      </c>
      <c r="C155" s="142">
        <v>45291</v>
      </c>
      <c r="D155" s="142" t="str">
        <f>IF(C155&lt;Data!$J$1,"Actual","Forecasted")</f>
        <v>Actual</v>
      </c>
      <c r="E155" s="140"/>
    </row>
    <row r="156" spans="2:7" hidden="1" x14ac:dyDescent="0.25">
      <c r="B156" t="s">
        <v>4</v>
      </c>
      <c r="C156" s="142">
        <v>45291</v>
      </c>
      <c r="D156" s="142" t="str">
        <f>IF(C156&lt;Data!$J$1,"Actual","Forecasted")</f>
        <v>Actual</v>
      </c>
      <c r="E156" s="140"/>
    </row>
    <row r="157" spans="2:7" hidden="1" x14ac:dyDescent="0.25">
      <c r="B157" t="s">
        <v>4</v>
      </c>
      <c r="C157" s="142">
        <v>45291</v>
      </c>
      <c r="D157" s="142" t="str">
        <f>IF(C157&lt;Data!$J$1,"Actual","Forecasted")</f>
        <v>Actual</v>
      </c>
      <c r="E157" s="140" t="s">
        <v>188</v>
      </c>
      <c r="F157" t="s">
        <v>35</v>
      </c>
      <c r="G157">
        <v>171</v>
      </c>
    </row>
    <row r="158" spans="2:7" hidden="1" x14ac:dyDescent="0.25">
      <c r="B158" t="s">
        <v>4</v>
      </c>
      <c r="C158" s="142">
        <v>45291</v>
      </c>
      <c r="D158" s="142" t="str">
        <f>IF(C158&lt;Data!$J$1,"Actual","Forecasted")</f>
        <v>Actual</v>
      </c>
      <c r="E158" s="140" t="s">
        <v>188</v>
      </c>
      <c r="F158" t="s">
        <v>37</v>
      </c>
      <c r="G158">
        <v>1</v>
      </c>
    </row>
    <row r="159" spans="2:7" hidden="1" x14ac:dyDescent="0.25">
      <c r="B159" t="s">
        <v>4</v>
      </c>
      <c r="C159" s="142">
        <v>45291</v>
      </c>
      <c r="D159" s="142" t="str">
        <f>IF(C159&lt;Data!$J$1,"Actual","Forecasted")</f>
        <v>Actual</v>
      </c>
      <c r="E159" s="140" t="s">
        <v>188</v>
      </c>
      <c r="F159" t="s">
        <v>36</v>
      </c>
      <c r="G159">
        <v>4463.2514619883041</v>
      </c>
    </row>
    <row r="160" spans="2:7" hidden="1" x14ac:dyDescent="0.25">
      <c r="B160" t="s">
        <v>4</v>
      </c>
      <c r="C160" s="142">
        <v>45291</v>
      </c>
      <c r="D160" s="142" t="str">
        <f>IF(C160&lt;Data!$J$1,"Actual","Forecasted")</f>
        <v>Actual</v>
      </c>
      <c r="E160" s="140" t="s">
        <v>188</v>
      </c>
      <c r="F160" t="s">
        <v>14</v>
      </c>
      <c r="G160">
        <v>763216</v>
      </c>
    </row>
    <row r="161" spans="2:7" hidden="1" x14ac:dyDescent="0.25">
      <c r="B161" t="s">
        <v>4</v>
      </c>
      <c r="C161" s="142">
        <v>45291</v>
      </c>
      <c r="D161" s="142" t="str">
        <f>IF(C161&lt;Data!$J$1,"Actual","Forecasted")</f>
        <v>Actual</v>
      </c>
      <c r="E161" s="140" t="s">
        <v>188</v>
      </c>
      <c r="F161" t="s">
        <v>170</v>
      </c>
      <c r="G161">
        <v>0</v>
      </c>
    </row>
    <row r="162" spans="2:7" hidden="1" x14ac:dyDescent="0.25">
      <c r="B162" t="s">
        <v>4</v>
      </c>
      <c r="C162" s="142">
        <v>45291</v>
      </c>
      <c r="D162" s="142" t="str">
        <f>IF(C162&lt;Data!$J$1,"Actual","Forecasted")</f>
        <v>Actual</v>
      </c>
      <c r="E162" s="140" t="s">
        <v>188</v>
      </c>
      <c r="F162" t="s">
        <v>15</v>
      </c>
      <c r="G162">
        <v>51720</v>
      </c>
    </row>
    <row r="163" spans="2:7" hidden="1" x14ac:dyDescent="0.25">
      <c r="B163" t="s">
        <v>4</v>
      </c>
      <c r="C163" s="142">
        <v>45291</v>
      </c>
      <c r="D163" s="142" t="str">
        <f>IF(C163&lt;Data!$J$1,"Actual","Forecasted")</f>
        <v>Actual</v>
      </c>
      <c r="E163" s="140" t="s">
        <v>188</v>
      </c>
      <c r="F163" t="s">
        <v>171</v>
      </c>
      <c r="G163">
        <v>0</v>
      </c>
    </row>
    <row r="164" spans="2:7" hidden="1" x14ac:dyDescent="0.25">
      <c r="B164" t="s">
        <v>4</v>
      </c>
      <c r="C164" s="142">
        <v>45291</v>
      </c>
      <c r="D164" s="142" t="str">
        <f>IF(C164&lt;Data!$J$1,"Actual","Forecasted")</f>
        <v>Actual</v>
      </c>
      <c r="E164" s="140" t="s">
        <v>188</v>
      </c>
      <c r="F164" t="s">
        <v>159</v>
      </c>
      <c r="G164">
        <v>0</v>
      </c>
    </row>
    <row r="165" spans="2:7" hidden="1" x14ac:dyDescent="0.25">
      <c r="B165" t="s">
        <v>4</v>
      </c>
      <c r="C165" s="142">
        <v>45291</v>
      </c>
      <c r="D165" s="142" t="str">
        <f>IF(C165&lt;Data!$J$1,"Actual","Forecasted")</f>
        <v>Actual</v>
      </c>
      <c r="E165" s="140" t="s">
        <v>188</v>
      </c>
      <c r="F165" t="s">
        <v>160</v>
      </c>
      <c r="G165">
        <v>0</v>
      </c>
    </row>
    <row r="166" spans="2:7" hidden="1" x14ac:dyDescent="0.25">
      <c r="B166" t="s">
        <v>4</v>
      </c>
      <c r="C166" s="142">
        <v>45291</v>
      </c>
      <c r="D166" s="142" t="str">
        <f>IF(C166&lt;Data!$J$1,"Actual","Forecasted")</f>
        <v>Actual</v>
      </c>
      <c r="E166" s="140" t="s">
        <v>188</v>
      </c>
      <c r="F166" t="s">
        <v>158</v>
      </c>
      <c r="G166">
        <v>530.36492945640555</v>
      </c>
    </row>
    <row r="167" spans="2:7" hidden="1" x14ac:dyDescent="0.25">
      <c r="B167" t="s">
        <v>4</v>
      </c>
      <c r="C167" s="142">
        <v>45291</v>
      </c>
      <c r="D167" s="142" t="str">
        <f>IF(C167&lt;Data!$J$1,"Actual","Forecasted")</f>
        <v>Actual</v>
      </c>
      <c r="E167" s="140" t="s">
        <v>188</v>
      </c>
      <c r="F167" t="s">
        <v>172</v>
      </c>
      <c r="G167">
        <v>0</v>
      </c>
    </row>
    <row r="168" spans="2:7" hidden="1" x14ac:dyDescent="0.25">
      <c r="B168" t="s">
        <v>4</v>
      </c>
      <c r="C168" s="142">
        <v>45291</v>
      </c>
      <c r="D168" s="142" t="str">
        <f>IF(C168&lt;Data!$J$1,"Actual","Forecasted")</f>
        <v>Actual</v>
      </c>
      <c r="E168" s="140" t="s">
        <v>188</v>
      </c>
      <c r="F168" t="s">
        <v>17</v>
      </c>
      <c r="G168">
        <v>404783</v>
      </c>
    </row>
    <row r="169" spans="2:7" hidden="1" x14ac:dyDescent="0.25">
      <c r="B169" t="s">
        <v>4</v>
      </c>
      <c r="C169" s="142">
        <v>45291</v>
      </c>
      <c r="D169" s="142" t="str">
        <f>IF(C169&lt;Data!$J$1,"Actual","Forecasted")</f>
        <v>Actual</v>
      </c>
      <c r="E169" s="140" t="s">
        <v>188</v>
      </c>
      <c r="F169" t="s">
        <v>173</v>
      </c>
      <c r="G169">
        <v>0</v>
      </c>
    </row>
    <row r="170" spans="2:7" hidden="1" x14ac:dyDescent="0.25">
      <c r="B170" t="s">
        <v>4</v>
      </c>
      <c r="C170" s="142">
        <v>45291</v>
      </c>
      <c r="D170" s="142" t="str">
        <f>IF(C170&lt;Data!$J$1,"Actual","Forecasted")</f>
        <v>Actual</v>
      </c>
      <c r="E170" s="140" t="s">
        <v>188</v>
      </c>
      <c r="F170" t="s">
        <v>18</v>
      </c>
      <c r="G170">
        <v>141267</v>
      </c>
    </row>
    <row r="171" spans="2:7" hidden="1" x14ac:dyDescent="0.25">
      <c r="B171" t="s">
        <v>4</v>
      </c>
      <c r="C171" s="142">
        <v>45291</v>
      </c>
      <c r="D171" s="142" t="str">
        <f>IF(C171&lt;Data!$J$1,"Actual","Forecasted")</f>
        <v>Actual</v>
      </c>
      <c r="E171" s="140" t="s">
        <v>188</v>
      </c>
      <c r="F171" t="s">
        <v>174</v>
      </c>
      <c r="G171">
        <v>0</v>
      </c>
    </row>
    <row r="172" spans="2:7" hidden="1" x14ac:dyDescent="0.25">
      <c r="B172" t="s">
        <v>4</v>
      </c>
      <c r="C172" s="142">
        <v>45291</v>
      </c>
      <c r="D172" s="142" t="str">
        <f>IF(C172&lt;Data!$J$1,"Actual","Forecasted")</f>
        <v>Actual</v>
      </c>
      <c r="E172" s="140" t="s">
        <v>188</v>
      </c>
      <c r="F172" t="s">
        <v>34</v>
      </c>
      <c r="G172">
        <v>185.0943900547158</v>
      </c>
    </row>
    <row r="173" spans="2:7" hidden="1" x14ac:dyDescent="0.25">
      <c r="B173" t="s">
        <v>4</v>
      </c>
      <c r="C173" s="142">
        <v>45291</v>
      </c>
      <c r="D173" s="142" t="str">
        <f>IF(C173&lt;Data!$J$1,"Actual","Forecasted")</f>
        <v>Actual</v>
      </c>
      <c r="E173" s="140" t="s">
        <v>188</v>
      </c>
      <c r="F173" t="s">
        <v>175</v>
      </c>
      <c r="G173">
        <v>0</v>
      </c>
    </row>
    <row r="174" spans="2:7" hidden="1" x14ac:dyDescent="0.25">
      <c r="B174" t="s">
        <v>4</v>
      </c>
      <c r="C174" s="142">
        <v>45291</v>
      </c>
      <c r="D174" s="142" t="str">
        <f>IF(C174&lt;Data!$J$1,"Actual","Forecasted")</f>
        <v>Actual</v>
      </c>
      <c r="E174" s="140" t="s">
        <v>188</v>
      </c>
      <c r="F174" t="s">
        <v>19</v>
      </c>
      <c r="G174">
        <v>546050</v>
      </c>
    </row>
    <row r="175" spans="2:7" hidden="1" x14ac:dyDescent="0.25">
      <c r="B175" t="s">
        <v>4</v>
      </c>
      <c r="C175" s="142">
        <v>45291</v>
      </c>
      <c r="D175" s="142" t="str">
        <f>IF(C175&lt;Data!$J$1,"Actual","Forecasted")</f>
        <v>Actual</v>
      </c>
      <c r="E175" s="140" t="s">
        <v>188</v>
      </c>
      <c r="F175" t="s">
        <v>176</v>
      </c>
      <c r="G175">
        <v>0</v>
      </c>
    </row>
    <row r="176" spans="2:7" hidden="1" x14ac:dyDescent="0.25">
      <c r="B176" t="s">
        <v>4</v>
      </c>
      <c r="C176" s="142">
        <v>45291</v>
      </c>
      <c r="D176" s="142" t="str">
        <f>IF(C176&lt;Data!$J$1,"Actual","Forecasted")</f>
        <v>Actual</v>
      </c>
      <c r="E176" s="140" t="s">
        <v>188</v>
      </c>
      <c r="F176" t="s">
        <v>11</v>
      </c>
      <c r="G176">
        <v>12784</v>
      </c>
    </row>
    <row r="177" spans="2:7" hidden="1" x14ac:dyDescent="0.25">
      <c r="B177" t="s">
        <v>4</v>
      </c>
      <c r="C177" s="142">
        <v>45291</v>
      </c>
      <c r="D177" s="142" t="str">
        <f>IF(C177&lt;Data!$J$1,"Actual","Forecasted")</f>
        <v>Actual</v>
      </c>
      <c r="E177" s="140" t="s">
        <v>188</v>
      </c>
      <c r="F177" t="s">
        <v>38</v>
      </c>
      <c r="G177">
        <v>2.341177547843604E-2</v>
      </c>
    </row>
    <row r="178" spans="2:7" hidden="1" x14ac:dyDescent="0.25">
      <c r="B178" t="s">
        <v>4</v>
      </c>
      <c r="C178" s="142">
        <v>45291</v>
      </c>
      <c r="D178" s="142" t="str">
        <f>IF(C178&lt;Data!$J$1,"Actual","Forecasted")</f>
        <v>Actual</v>
      </c>
      <c r="E178" s="140" t="s">
        <v>188</v>
      </c>
      <c r="F178" t="s">
        <v>10</v>
      </c>
      <c r="G178">
        <v>558834</v>
      </c>
    </row>
    <row r="179" spans="2:7" x14ac:dyDescent="0.25">
      <c r="B179" t="s">
        <v>4</v>
      </c>
      <c r="C179" s="142">
        <v>45291</v>
      </c>
      <c r="D179" s="142" t="str">
        <f>IF(C179&lt;Data!$J$1,"Actual","Forecasted")</f>
        <v>Actual</v>
      </c>
      <c r="E179" s="140" t="s">
        <v>188</v>
      </c>
      <c r="F179" t="s">
        <v>177</v>
      </c>
      <c r="G179">
        <v>0.18229999999999999</v>
      </c>
    </row>
    <row r="180" spans="2:7" hidden="1" x14ac:dyDescent="0.25">
      <c r="B180" t="s">
        <v>4</v>
      </c>
      <c r="C180" s="142">
        <v>45291</v>
      </c>
      <c r="D180" s="142" t="str">
        <f>IF(C180&lt;Data!$J$1,"Actual","Forecasted")</f>
        <v>Actual</v>
      </c>
      <c r="E180" s="140" t="s">
        <v>189</v>
      </c>
      <c r="F180" t="s">
        <v>12</v>
      </c>
      <c r="G180">
        <v>-288257</v>
      </c>
    </row>
    <row r="181" spans="2:7" hidden="1" x14ac:dyDescent="0.25">
      <c r="B181" t="s">
        <v>4</v>
      </c>
      <c r="C181" s="142">
        <v>45291</v>
      </c>
      <c r="D181" s="142" t="str">
        <f>IF(C181&lt;Data!$J$1,"Actual","Forecasted")</f>
        <v>Actual</v>
      </c>
      <c r="E181" s="140" t="s">
        <v>189</v>
      </c>
      <c r="F181" t="s">
        <v>178</v>
      </c>
      <c r="G181">
        <v>0.52789488142111529</v>
      </c>
    </row>
    <row r="182" spans="2:7" hidden="1" x14ac:dyDescent="0.25">
      <c r="B182" t="s">
        <v>4</v>
      </c>
      <c r="C182" s="142">
        <v>45291</v>
      </c>
      <c r="D182" s="142" t="str">
        <f>IF(C182&lt;Data!$J$1,"Actual","Forecasted")</f>
        <v>Actual</v>
      </c>
      <c r="E182" s="140" t="s">
        <v>189</v>
      </c>
      <c r="F182" t="s">
        <v>13</v>
      </c>
      <c r="G182">
        <v>-71926</v>
      </c>
    </row>
    <row r="183" spans="2:7" hidden="1" x14ac:dyDescent="0.25">
      <c r="B183" t="s">
        <v>4</v>
      </c>
      <c r="C183" s="142">
        <v>45291</v>
      </c>
      <c r="D183" s="142" t="str">
        <f>IF(C183&lt;Data!$J$1,"Actual","Forecasted")</f>
        <v>Actual</v>
      </c>
      <c r="E183" s="140" t="s">
        <v>189</v>
      </c>
      <c r="F183" t="s">
        <v>41</v>
      </c>
      <c r="G183">
        <v>-420.61988304093569</v>
      </c>
    </row>
    <row r="184" spans="2:7" hidden="1" x14ac:dyDescent="0.25">
      <c r="B184" t="s">
        <v>4</v>
      </c>
      <c r="C184" s="142">
        <v>45291</v>
      </c>
      <c r="D184" s="142" t="str">
        <f>IF(C184&lt;Data!$J$1,"Actual","Forecasted")</f>
        <v>Actual</v>
      </c>
      <c r="E184" s="140" t="s">
        <v>189</v>
      </c>
      <c r="F184" t="s">
        <v>39</v>
      </c>
      <c r="G184">
        <v>-75652</v>
      </c>
    </row>
    <row r="185" spans="2:7" hidden="1" x14ac:dyDescent="0.25">
      <c r="B185" t="s">
        <v>4</v>
      </c>
      <c r="C185" s="142">
        <v>45291</v>
      </c>
      <c r="D185" s="142" t="str">
        <f>IF(C185&lt;Data!$J$1,"Actual","Forecasted")</f>
        <v>Actual</v>
      </c>
      <c r="E185" s="140" t="s">
        <v>189</v>
      </c>
      <c r="F185" t="s">
        <v>179</v>
      </c>
      <c r="G185">
        <v>0.1353747266630162</v>
      </c>
    </row>
    <row r="186" spans="2:7" hidden="1" x14ac:dyDescent="0.25">
      <c r="B186" t="s">
        <v>4</v>
      </c>
      <c r="C186" s="142">
        <v>45291</v>
      </c>
      <c r="D186" s="142" t="str">
        <f>IF(C186&lt;Data!$J$1,"Actual","Forecasted")</f>
        <v>Actual</v>
      </c>
      <c r="E186" s="140" t="s">
        <v>189</v>
      </c>
      <c r="F186" t="s">
        <v>40</v>
      </c>
      <c r="G186">
        <v>-64330</v>
      </c>
    </row>
    <row r="187" spans="2:7" hidden="1" x14ac:dyDescent="0.25">
      <c r="B187" t="s">
        <v>4</v>
      </c>
      <c r="C187" s="142">
        <v>45291</v>
      </c>
      <c r="D187" s="142" t="str">
        <f>IF(C187&lt;Data!$J$1,"Actual","Forecasted")</f>
        <v>Actual</v>
      </c>
      <c r="E187" s="140" t="s">
        <v>189</v>
      </c>
      <c r="F187" t="s">
        <v>180</v>
      </c>
      <c r="G187">
        <v>0.11511468521958219</v>
      </c>
    </row>
    <row r="188" spans="2:7" hidden="1" x14ac:dyDescent="0.25">
      <c r="B188" t="s">
        <v>4</v>
      </c>
      <c r="C188" s="142">
        <v>45291</v>
      </c>
      <c r="D188" s="142" t="str">
        <f>IF(C188&lt;Data!$J$1,"Actual","Forecasted")</f>
        <v>Actual</v>
      </c>
      <c r="E188" s="140" t="s">
        <v>190</v>
      </c>
      <c r="F188" t="s">
        <v>43</v>
      </c>
      <c r="G188">
        <v>58669</v>
      </c>
    </row>
    <row r="189" spans="2:7" hidden="1" x14ac:dyDescent="0.25">
      <c r="B189" t="s">
        <v>4</v>
      </c>
      <c r="C189" s="142">
        <v>45291</v>
      </c>
      <c r="D189" s="142" t="str">
        <f>IF(C189&lt;Data!$J$1,"Actual","Forecasted")</f>
        <v>Actual</v>
      </c>
      <c r="E189" s="140" t="s">
        <v>190</v>
      </c>
      <c r="F189" t="s">
        <v>44</v>
      </c>
      <c r="G189">
        <v>0.1049846644978652</v>
      </c>
    </row>
    <row r="190" spans="2:7" hidden="1" x14ac:dyDescent="0.25">
      <c r="B190" t="s">
        <v>4</v>
      </c>
      <c r="C190" s="142">
        <v>45291</v>
      </c>
      <c r="D190" s="142" t="str">
        <f>IF(C190&lt;Data!$J$1,"Actual","Forecasted")</f>
        <v>Actual</v>
      </c>
      <c r="E190" s="140" t="s">
        <v>190</v>
      </c>
      <c r="F190" t="s">
        <v>45</v>
      </c>
      <c r="G190">
        <v>-527</v>
      </c>
    </row>
    <row r="191" spans="2:7" hidden="1" x14ac:dyDescent="0.25">
      <c r="B191" t="s">
        <v>4</v>
      </c>
      <c r="C191" s="142">
        <v>45291</v>
      </c>
      <c r="D191" s="142" t="str">
        <f>IF(C191&lt;Data!$J$1,"Actual","Forecasted")</f>
        <v>Actual</v>
      </c>
      <c r="E191" s="140" t="s">
        <v>189</v>
      </c>
      <c r="F191" t="s">
        <v>89</v>
      </c>
      <c r="G191">
        <v>-168028</v>
      </c>
    </row>
    <row r="192" spans="2:7" hidden="1" x14ac:dyDescent="0.25">
      <c r="B192" t="s">
        <v>4</v>
      </c>
      <c r="C192" s="142">
        <v>45291</v>
      </c>
      <c r="D192" s="142" t="str">
        <f>IF(C192&lt;Data!$J$1,"Actual","Forecasted")</f>
        <v>Actual</v>
      </c>
      <c r="E192" s="140" t="s">
        <v>189</v>
      </c>
      <c r="F192" t="s">
        <v>181</v>
      </c>
      <c r="G192">
        <v>0.30067605049084339</v>
      </c>
    </row>
    <row r="193" spans="2:7" hidden="1" x14ac:dyDescent="0.25">
      <c r="B193" t="s">
        <v>4</v>
      </c>
      <c r="C193" s="142">
        <v>45291</v>
      </c>
      <c r="D193" s="142" t="str">
        <f>IF(C193&lt;Data!$J$1,"Actual","Forecasted")</f>
        <v>Actual</v>
      </c>
      <c r="E193" s="140" t="s">
        <v>189</v>
      </c>
      <c r="F193" t="s">
        <v>90</v>
      </c>
      <c r="G193">
        <v>13115</v>
      </c>
    </row>
    <row r="194" spans="2:7" hidden="1" x14ac:dyDescent="0.25">
      <c r="B194" t="s">
        <v>4</v>
      </c>
      <c r="C194" s="142">
        <v>45291</v>
      </c>
      <c r="D194" s="142" t="str">
        <f>IF(C194&lt;Data!$J$1,"Actual","Forecasted")</f>
        <v>Actual</v>
      </c>
      <c r="E194" s="140" t="s">
        <v>189</v>
      </c>
      <c r="F194" t="s">
        <v>182</v>
      </c>
      <c r="G194">
        <v>4.5497594160766257E-2</v>
      </c>
    </row>
    <row r="195" spans="2:7" hidden="1" x14ac:dyDescent="0.25">
      <c r="B195" t="s">
        <v>4</v>
      </c>
      <c r="C195" s="142">
        <v>45291</v>
      </c>
      <c r="D195" s="142" t="str">
        <f>IF(C195&lt;Data!$J$1,"Actual","Forecasted")</f>
        <v>Actual</v>
      </c>
      <c r="E195" s="140" t="s">
        <v>190</v>
      </c>
      <c r="F195" t="s">
        <v>53</v>
      </c>
      <c r="G195">
        <v>-29028</v>
      </c>
    </row>
    <row r="196" spans="2:7" hidden="1" x14ac:dyDescent="0.25">
      <c r="B196" t="s">
        <v>4</v>
      </c>
      <c r="C196" s="142">
        <v>45291</v>
      </c>
      <c r="D196" s="142" t="str">
        <f>IF(C196&lt;Data!$J$1,"Actual","Forecasted")</f>
        <v>Actual</v>
      </c>
      <c r="E196" s="140" t="s">
        <v>190</v>
      </c>
      <c r="F196" t="s">
        <v>183</v>
      </c>
      <c r="G196">
        <v>0</v>
      </c>
    </row>
    <row r="197" spans="2:7" hidden="1" x14ac:dyDescent="0.25">
      <c r="B197" t="s">
        <v>4</v>
      </c>
      <c r="C197" s="142">
        <v>45291</v>
      </c>
      <c r="D197" s="142" t="str">
        <f>IF(C197&lt;Data!$J$1,"Actual","Forecasted")</f>
        <v>Actual</v>
      </c>
      <c r="E197" s="140" t="s">
        <v>190</v>
      </c>
      <c r="F197" t="s">
        <v>73</v>
      </c>
      <c r="G197">
        <v>122999</v>
      </c>
    </row>
    <row r="198" spans="2:7" hidden="1" x14ac:dyDescent="0.25">
      <c r="B198" t="s">
        <v>4</v>
      </c>
      <c r="C198" s="142">
        <v>45291</v>
      </c>
      <c r="D198" s="142" t="str">
        <f>IF(C198&lt;Data!$J$1,"Actual","Forecasted")</f>
        <v>Actual</v>
      </c>
      <c r="E198" s="140" t="s">
        <v>190</v>
      </c>
      <c r="F198" t="s">
        <v>186</v>
      </c>
      <c r="G198">
        <v>0</v>
      </c>
    </row>
    <row r="199" spans="2:7" hidden="1" x14ac:dyDescent="0.25">
      <c r="B199" t="s">
        <v>4</v>
      </c>
      <c r="C199" s="142">
        <v>45291</v>
      </c>
      <c r="D199" s="142" t="str">
        <f>IF(C199&lt;Data!$J$1,"Actual","Forecasted")</f>
        <v>Actual</v>
      </c>
      <c r="E199" s="140" t="s">
        <v>190</v>
      </c>
      <c r="F199" t="s">
        <v>143</v>
      </c>
      <c r="G199">
        <v>136114</v>
      </c>
    </row>
    <row r="200" spans="2:7" hidden="1" x14ac:dyDescent="0.25">
      <c r="B200" t="s">
        <v>4</v>
      </c>
      <c r="C200" s="142">
        <v>45291</v>
      </c>
      <c r="D200" s="142" t="str">
        <f>IF(C200&lt;Data!$J$1,"Actual","Forecasted")</f>
        <v>Actual</v>
      </c>
      <c r="E200" s="140" t="s">
        <v>190</v>
      </c>
      <c r="F200" t="s">
        <v>185</v>
      </c>
      <c r="G200">
        <v>0</v>
      </c>
    </row>
    <row r="201" spans="2:7" hidden="1" x14ac:dyDescent="0.25">
      <c r="B201" t="s">
        <v>4</v>
      </c>
      <c r="C201" s="142">
        <v>45291</v>
      </c>
      <c r="D201" s="142" t="str">
        <f>IF(C201&lt;Data!$J$1,"Actual","Forecasted")</f>
        <v>Actual</v>
      </c>
      <c r="E201" s="140" t="s">
        <v>190</v>
      </c>
      <c r="F201" t="s">
        <v>153</v>
      </c>
      <c r="G201">
        <v>23684</v>
      </c>
    </row>
    <row r="202" spans="2:7" hidden="1" x14ac:dyDescent="0.25">
      <c r="B202" t="s">
        <v>4</v>
      </c>
      <c r="C202" s="142">
        <v>45291</v>
      </c>
      <c r="D202" s="142" t="str">
        <f>IF(C202&lt;Data!$J$1,"Actual","Forecasted")</f>
        <v>Actual</v>
      </c>
      <c r="E202" s="140" t="s">
        <v>190</v>
      </c>
      <c r="F202" t="s">
        <v>184</v>
      </c>
      <c r="G202">
        <v>0</v>
      </c>
    </row>
    <row r="203" spans="2:7" hidden="1" x14ac:dyDescent="0.25">
      <c r="B203" t="s">
        <v>4</v>
      </c>
      <c r="C203" s="142">
        <v>45291</v>
      </c>
      <c r="D203" s="142" t="str">
        <f>IF(C203&lt;Data!$J$1,"Actual","Forecasted")</f>
        <v>Actual</v>
      </c>
      <c r="E203" s="140" t="s">
        <v>190</v>
      </c>
      <c r="F203" t="s">
        <v>155</v>
      </c>
      <c r="G203">
        <v>0.1210399088265507</v>
      </c>
    </row>
    <row r="204" spans="2:7" hidden="1" x14ac:dyDescent="0.25">
      <c r="B204" t="s">
        <v>4</v>
      </c>
      <c r="C204" s="142">
        <v>45291</v>
      </c>
      <c r="D204" s="142" t="str">
        <f>IF(C204&lt;Data!$J$1,"Actual","Forecasted")</f>
        <v>Actual</v>
      </c>
      <c r="E204" s="140" t="s">
        <v>190</v>
      </c>
      <c r="F204" t="s">
        <v>154</v>
      </c>
      <c r="G204">
        <v>195671</v>
      </c>
    </row>
    <row r="205" spans="2:7" hidden="1" x14ac:dyDescent="0.25">
      <c r="B205" t="s">
        <v>4</v>
      </c>
      <c r="C205" s="142">
        <v>45291</v>
      </c>
      <c r="D205" s="142" t="str">
        <f>IF(C205&lt;Data!$J$1,"Actual","Forecasted")</f>
        <v>Actual</v>
      </c>
      <c r="E205" s="140" t="s">
        <v>190</v>
      </c>
      <c r="F205" t="s">
        <v>194</v>
      </c>
      <c r="G205">
        <v>4.2381100648850999E-2</v>
      </c>
    </row>
    <row r="206" spans="2:7" hidden="1" x14ac:dyDescent="0.25">
      <c r="B206" t="s">
        <v>5</v>
      </c>
      <c r="C206" s="142">
        <v>45382</v>
      </c>
      <c r="D206" s="142" t="str">
        <f>IF(C206&lt;Data!$J$1,"Actual","Forecasted")</f>
        <v>Actual</v>
      </c>
      <c r="E206" s="140"/>
    </row>
    <row r="207" spans="2:7" hidden="1" x14ac:dyDescent="0.25">
      <c r="B207" t="s">
        <v>5</v>
      </c>
      <c r="C207" s="142">
        <v>45382</v>
      </c>
      <c r="D207" s="142" t="str">
        <f>IF(C207&lt;Data!$J$1,"Actual","Forecasted")</f>
        <v>Actual</v>
      </c>
      <c r="E207" s="140"/>
    </row>
    <row r="208" spans="2:7" hidden="1" x14ac:dyDescent="0.25">
      <c r="B208" t="s">
        <v>5</v>
      </c>
      <c r="C208" s="142">
        <v>45382</v>
      </c>
      <c r="D208" s="142" t="str">
        <f>IF(C208&lt;Data!$J$1,"Actual","Forecasted")</f>
        <v>Actual</v>
      </c>
      <c r="E208" s="140" t="s">
        <v>188</v>
      </c>
      <c r="F208" t="s">
        <v>35</v>
      </c>
      <c r="G208">
        <v>172</v>
      </c>
    </row>
    <row r="209" spans="2:7" hidden="1" x14ac:dyDescent="0.25">
      <c r="B209" t="s">
        <v>5</v>
      </c>
      <c r="C209" s="142">
        <v>45382</v>
      </c>
      <c r="D209" s="142" t="str">
        <f>IF(C209&lt;Data!$J$1,"Actual","Forecasted")</f>
        <v>Actual</v>
      </c>
      <c r="E209" s="140" t="s">
        <v>188</v>
      </c>
      <c r="F209" t="s">
        <v>37</v>
      </c>
      <c r="G209">
        <v>1</v>
      </c>
    </row>
    <row r="210" spans="2:7" hidden="1" x14ac:dyDescent="0.25">
      <c r="B210" t="s">
        <v>5</v>
      </c>
      <c r="C210" s="142">
        <v>45382</v>
      </c>
      <c r="D210" s="142" t="str">
        <f>IF(C210&lt;Data!$J$1,"Actual","Forecasted")</f>
        <v>Actual</v>
      </c>
      <c r="E210" s="140" t="s">
        <v>188</v>
      </c>
      <c r="F210" t="s">
        <v>36</v>
      </c>
      <c r="G210">
        <v>4662.8488372093016</v>
      </c>
    </row>
    <row r="211" spans="2:7" hidden="1" x14ac:dyDescent="0.25">
      <c r="B211" t="s">
        <v>5</v>
      </c>
      <c r="C211" s="142">
        <v>45382</v>
      </c>
      <c r="D211" s="142" t="str">
        <f>IF(C211&lt;Data!$J$1,"Actual","Forecasted")</f>
        <v>Actual</v>
      </c>
      <c r="E211" s="140" t="s">
        <v>188</v>
      </c>
      <c r="F211" t="s">
        <v>14</v>
      </c>
      <c r="G211">
        <v>802010</v>
      </c>
    </row>
    <row r="212" spans="2:7" hidden="1" x14ac:dyDescent="0.25">
      <c r="B212" t="s">
        <v>5</v>
      </c>
      <c r="C212" s="142">
        <v>45382</v>
      </c>
      <c r="D212" s="142" t="str">
        <f>IF(C212&lt;Data!$J$1,"Actual","Forecasted")</f>
        <v>Actual</v>
      </c>
      <c r="E212" s="140" t="s">
        <v>188</v>
      </c>
      <c r="F212" t="s">
        <v>170</v>
      </c>
      <c r="G212">
        <v>4.9513657247769897E-2</v>
      </c>
    </row>
    <row r="213" spans="2:7" hidden="1" x14ac:dyDescent="0.25">
      <c r="B213" t="s">
        <v>5</v>
      </c>
      <c r="C213" s="142">
        <v>45382</v>
      </c>
      <c r="D213" s="142" t="str">
        <f>IF(C213&lt;Data!$J$1,"Actual","Forecasted")</f>
        <v>Actual</v>
      </c>
      <c r="E213" s="140" t="s">
        <v>188</v>
      </c>
      <c r="F213" t="s">
        <v>15</v>
      </c>
      <c r="G213">
        <v>51062</v>
      </c>
    </row>
    <row r="214" spans="2:7" hidden="1" x14ac:dyDescent="0.25">
      <c r="B214" t="s">
        <v>5</v>
      </c>
      <c r="C214" s="142">
        <v>45382</v>
      </c>
      <c r="D214" s="142" t="str">
        <f>IF(C214&lt;Data!$J$1,"Actual","Forecasted")</f>
        <v>Actual</v>
      </c>
      <c r="E214" s="140" t="s">
        <v>188</v>
      </c>
      <c r="F214" t="s">
        <v>171</v>
      </c>
      <c r="G214">
        <v>3.5047534104960087E-2</v>
      </c>
    </row>
    <row r="215" spans="2:7" hidden="1" x14ac:dyDescent="0.25">
      <c r="B215" t="s">
        <v>5</v>
      </c>
      <c r="C215" s="142">
        <v>45382</v>
      </c>
      <c r="D215" s="142" t="str">
        <f>IF(C215&lt;Data!$J$1,"Actual","Forecasted")</f>
        <v>Actual</v>
      </c>
      <c r="E215" s="140" t="s">
        <v>188</v>
      </c>
      <c r="F215" t="s">
        <v>159</v>
      </c>
      <c r="G215">
        <v>0</v>
      </c>
    </row>
    <row r="216" spans="2:7" hidden="1" x14ac:dyDescent="0.25">
      <c r="B216" t="s">
        <v>5</v>
      </c>
      <c r="C216" s="142">
        <v>45382</v>
      </c>
      <c r="D216" s="142" t="str">
        <f>IF(C216&lt;Data!$J$1,"Actual","Forecasted")</f>
        <v>Actual</v>
      </c>
      <c r="E216" s="140" t="s">
        <v>188</v>
      </c>
      <c r="F216" t="s">
        <v>160</v>
      </c>
      <c r="G216">
        <v>0</v>
      </c>
    </row>
    <row r="217" spans="2:7" hidden="1" x14ac:dyDescent="0.25">
      <c r="B217" t="s">
        <v>5</v>
      </c>
      <c r="C217" s="142">
        <v>45382</v>
      </c>
      <c r="D217" s="142" t="str">
        <f>IF(C217&lt;Data!$J$1,"Actual","Forecasted")</f>
        <v>Actual</v>
      </c>
      <c r="E217" s="140" t="s">
        <v>188</v>
      </c>
      <c r="F217" t="s">
        <v>158</v>
      </c>
      <c r="G217">
        <v>530.43104200695757</v>
      </c>
    </row>
    <row r="218" spans="2:7" hidden="1" x14ac:dyDescent="0.25">
      <c r="B218" t="s">
        <v>5</v>
      </c>
      <c r="C218" s="142">
        <v>45382</v>
      </c>
      <c r="D218" s="142" t="str">
        <f>IF(C218&lt;Data!$J$1,"Actual","Forecasted")</f>
        <v>Actual</v>
      </c>
      <c r="E218" s="140" t="s">
        <v>188</v>
      </c>
      <c r="F218" t="s">
        <v>172</v>
      </c>
      <c r="G218">
        <v>0.13385926426504599</v>
      </c>
    </row>
    <row r="219" spans="2:7" hidden="1" x14ac:dyDescent="0.25">
      <c r="B219" t="s">
        <v>5</v>
      </c>
      <c r="C219" s="142">
        <v>45382</v>
      </c>
      <c r="D219" s="142" t="str">
        <f>IF(C219&lt;Data!$J$1,"Actual","Forecasted")</f>
        <v>Actual</v>
      </c>
      <c r="E219" s="140" t="s">
        <v>188</v>
      </c>
      <c r="F219" t="s">
        <v>17</v>
      </c>
      <c r="G219">
        <v>425411</v>
      </c>
    </row>
    <row r="220" spans="2:7" hidden="1" x14ac:dyDescent="0.25">
      <c r="B220" t="s">
        <v>5</v>
      </c>
      <c r="C220" s="142">
        <v>45382</v>
      </c>
      <c r="D220" s="142" t="str">
        <f>IF(C220&lt;Data!$J$1,"Actual","Forecasted")</f>
        <v>Actual</v>
      </c>
      <c r="E220" s="140" t="s">
        <v>188</v>
      </c>
      <c r="F220" t="s">
        <v>173</v>
      </c>
      <c r="G220">
        <v>0.1900007832430739</v>
      </c>
    </row>
    <row r="221" spans="2:7" hidden="1" x14ac:dyDescent="0.25">
      <c r="B221" t="s">
        <v>5</v>
      </c>
      <c r="C221" s="142">
        <v>45382</v>
      </c>
      <c r="D221" s="142" t="str">
        <f>IF(C221&lt;Data!$J$1,"Actual","Forecasted")</f>
        <v>Actual</v>
      </c>
      <c r="E221" s="140" t="s">
        <v>188</v>
      </c>
      <c r="F221" t="s">
        <v>18</v>
      </c>
      <c r="G221">
        <v>155074</v>
      </c>
    </row>
    <row r="222" spans="2:7" hidden="1" x14ac:dyDescent="0.25">
      <c r="B222" t="s">
        <v>5</v>
      </c>
      <c r="C222" s="142">
        <v>45382</v>
      </c>
      <c r="D222" s="142" t="str">
        <f>IF(C222&lt;Data!$J$1,"Actual","Forecasted")</f>
        <v>Actual</v>
      </c>
      <c r="E222" s="140" t="s">
        <v>188</v>
      </c>
      <c r="F222" t="s">
        <v>174</v>
      </c>
      <c r="G222">
        <v>0.10558660811042039</v>
      </c>
    </row>
    <row r="223" spans="2:7" hidden="1" x14ac:dyDescent="0.25">
      <c r="B223" t="s">
        <v>5</v>
      </c>
      <c r="C223" s="142">
        <v>45382</v>
      </c>
      <c r="D223" s="142" t="str">
        <f>IF(C223&lt;Data!$J$1,"Actual","Forecasted")</f>
        <v>Actual</v>
      </c>
      <c r="E223" s="140" t="s">
        <v>188</v>
      </c>
      <c r="F223" t="s">
        <v>34</v>
      </c>
      <c r="G223">
        <v>193.35669131307591</v>
      </c>
    </row>
    <row r="224" spans="2:7" hidden="1" x14ac:dyDescent="0.25">
      <c r="B224" t="s">
        <v>5</v>
      </c>
      <c r="C224" s="142">
        <v>45382</v>
      </c>
      <c r="D224" s="142" t="str">
        <f>IF(C224&lt;Data!$J$1,"Actual","Forecasted")</f>
        <v>Actual</v>
      </c>
      <c r="E224" s="140" t="s">
        <v>188</v>
      </c>
      <c r="F224" t="s">
        <v>175</v>
      </c>
      <c r="G224">
        <v>5.3427557112210922E-2</v>
      </c>
    </row>
    <row r="225" spans="2:7" hidden="1" x14ac:dyDescent="0.25">
      <c r="B225" t="s">
        <v>5</v>
      </c>
      <c r="C225" s="142">
        <v>45382</v>
      </c>
      <c r="D225" s="142" t="str">
        <f>IF(C225&lt;Data!$J$1,"Actual","Forecasted")</f>
        <v>Actual</v>
      </c>
      <c r="E225" s="140" t="s">
        <v>188</v>
      </c>
      <c r="F225" t="s">
        <v>19</v>
      </c>
      <c r="G225">
        <v>580485</v>
      </c>
    </row>
    <row r="226" spans="2:7" hidden="1" x14ac:dyDescent="0.25">
      <c r="B226" t="s">
        <v>5</v>
      </c>
      <c r="C226" s="142">
        <v>45382</v>
      </c>
      <c r="D226" s="142" t="str">
        <f>IF(C226&lt;Data!$J$1,"Actual","Forecasted")</f>
        <v>Actual</v>
      </c>
      <c r="E226" s="140" t="s">
        <v>188</v>
      </c>
      <c r="F226" t="s">
        <v>176</v>
      </c>
      <c r="G226">
        <v>0.16621329497420409</v>
      </c>
    </row>
    <row r="227" spans="2:7" hidden="1" x14ac:dyDescent="0.25">
      <c r="B227" t="s">
        <v>5</v>
      </c>
      <c r="C227" s="142">
        <v>45382</v>
      </c>
      <c r="D227" s="142" t="str">
        <f>IF(C227&lt;Data!$J$1,"Actual","Forecasted")</f>
        <v>Actual</v>
      </c>
      <c r="E227" s="140" t="s">
        <v>188</v>
      </c>
      <c r="F227" t="s">
        <v>11</v>
      </c>
      <c r="G227">
        <v>16232</v>
      </c>
    </row>
    <row r="228" spans="2:7" hidden="1" x14ac:dyDescent="0.25">
      <c r="B228" t="s">
        <v>5</v>
      </c>
      <c r="C228" s="142">
        <v>45382</v>
      </c>
      <c r="D228" s="142" t="str">
        <f>IF(C228&lt;Data!$J$1,"Actual","Forecasted")</f>
        <v>Actual</v>
      </c>
      <c r="E228" s="140" t="s">
        <v>188</v>
      </c>
      <c r="F228" t="s">
        <v>38</v>
      </c>
      <c r="G228">
        <v>2.7962824190116881E-2</v>
      </c>
    </row>
    <row r="229" spans="2:7" hidden="1" x14ac:dyDescent="0.25">
      <c r="B229" t="s">
        <v>5</v>
      </c>
      <c r="C229" s="142">
        <v>45382</v>
      </c>
      <c r="D229" s="142" t="str">
        <f>IF(C229&lt;Data!$J$1,"Actual","Forecasted")</f>
        <v>Actual</v>
      </c>
      <c r="E229" s="140" t="s">
        <v>188</v>
      </c>
      <c r="F229" t="s">
        <v>10</v>
      </c>
      <c r="G229">
        <v>596717</v>
      </c>
    </row>
    <row r="230" spans="2:7" x14ac:dyDescent="0.25">
      <c r="B230" t="s">
        <v>5</v>
      </c>
      <c r="C230" s="142">
        <v>45382</v>
      </c>
      <c r="D230" s="142" t="str">
        <f>IF(C230&lt;Data!$J$1,"Actual","Forecasted")</f>
        <v>Actual</v>
      </c>
      <c r="E230" s="140" t="s">
        <v>188</v>
      </c>
      <c r="F230" t="s">
        <v>177</v>
      </c>
      <c r="G230">
        <v>0.16808423591223279</v>
      </c>
    </row>
    <row r="231" spans="2:7" hidden="1" x14ac:dyDescent="0.25">
      <c r="B231" t="s">
        <v>5</v>
      </c>
      <c r="C231" s="142">
        <v>45382</v>
      </c>
      <c r="D231" s="142" t="str">
        <f>IF(C231&lt;Data!$J$1,"Actual","Forecasted")</f>
        <v>Actual</v>
      </c>
      <c r="E231" s="140" t="s">
        <v>189</v>
      </c>
      <c r="F231" t="s">
        <v>12</v>
      </c>
      <c r="G231">
        <v>-321900</v>
      </c>
    </row>
    <row r="232" spans="2:7" hidden="1" x14ac:dyDescent="0.25">
      <c r="B232" t="s">
        <v>5</v>
      </c>
      <c r="C232" s="142">
        <v>45382</v>
      </c>
      <c r="D232" s="142" t="str">
        <f>IF(C232&lt;Data!$J$1,"Actual","Forecasted")</f>
        <v>Actual</v>
      </c>
      <c r="E232" s="140" t="s">
        <v>189</v>
      </c>
      <c r="F232" t="s">
        <v>178</v>
      </c>
      <c r="G232">
        <v>0.55453629292746587</v>
      </c>
    </row>
    <row r="233" spans="2:7" hidden="1" x14ac:dyDescent="0.25">
      <c r="B233" t="s">
        <v>5</v>
      </c>
      <c r="C233" s="142">
        <v>45382</v>
      </c>
      <c r="D233" s="142" t="str">
        <f>IF(C233&lt;Data!$J$1,"Actual","Forecasted")</f>
        <v>Actual</v>
      </c>
      <c r="E233" s="140" t="s">
        <v>189</v>
      </c>
      <c r="F233" t="s">
        <v>13</v>
      </c>
      <c r="G233">
        <v>-72282</v>
      </c>
    </row>
    <row r="234" spans="2:7" hidden="1" x14ac:dyDescent="0.25">
      <c r="B234" t="s">
        <v>5</v>
      </c>
      <c r="C234" s="142">
        <v>45382</v>
      </c>
      <c r="D234" s="142" t="str">
        <f>IF(C234&lt;Data!$J$1,"Actual","Forecasted")</f>
        <v>Actual</v>
      </c>
      <c r="E234" s="140" t="s">
        <v>189</v>
      </c>
      <c r="F234" t="s">
        <v>41</v>
      </c>
      <c r="G234">
        <v>-420.24418604651157</v>
      </c>
    </row>
    <row r="235" spans="2:7" hidden="1" x14ac:dyDescent="0.25">
      <c r="B235" t="s">
        <v>5</v>
      </c>
      <c r="C235" s="142">
        <v>45382</v>
      </c>
      <c r="D235" s="142" t="str">
        <f>IF(C235&lt;Data!$J$1,"Actual","Forecasted")</f>
        <v>Actual</v>
      </c>
      <c r="E235" s="140" t="s">
        <v>189</v>
      </c>
      <c r="F235" t="s">
        <v>39</v>
      </c>
      <c r="G235">
        <v>-64575</v>
      </c>
    </row>
    <row r="236" spans="2:7" hidden="1" x14ac:dyDescent="0.25">
      <c r="B236" t="s">
        <v>5</v>
      </c>
      <c r="C236" s="142">
        <v>45382</v>
      </c>
      <c r="D236" s="142" t="str">
        <f>IF(C236&lt;Data!$J$1,"Actual","Forecasted")</f>
        <v>Actual</v>
      </c>
      <c r="E236" s="140" t="s">
        <v>189</v>
      </c>
      <c r="F236" t="s">
        <v>179</v>
      </c>
      <c r="G236">
        <v>0.10821712805232631</v>
      </c>
    </row>
    <row r="237" spans="2:7" hidden="1" x14ac:dyDescent="0.25">
      <c r="B237" t="s">
        <v>5</v>
      </c>
      <c r="C237" s="142">
        <v>45382</v>
      </c>
      <c r="D237" s="142" t="str">
        <f>IF(C237&lt;Data!$J$1,"Actual","Forecasted")</f>
        <v>Actual</v>
      </c>
      <c r="E237" s="140" t="s">
        <v>189</v>
      </c>
      <c r="F237" t="s">
        <v>40</v>
      </c>
      <c r="G237">
        <v>-65903</v>
      </c>
    </row>
    <row r="238" spans="2:7" hidden="1" x14ac:dyDescent="0.25">
      <c r="B238" t="s">
        <v>5</v>
      </c>
      <c r="C238" s="142">
        <v>45382</v>
      </c>
      <c r="D238" s="142" t="str">
        <f>IF(C238&lt;Data!$J$1,"Actual","Forecasted")</f>
        <v>Actual</v>
      </c>
      <c r="E238" s="140" t="s">
        <v>189</v>
      </c>
      <c r="F238" t="s">
        <v>180</v>
      </c>
      <c r="G238">
        <v>0.1104426386377462</v>
      </c>
    </row>
    <row r="239" spans="2:7" hidden="1" x14ac:dyDescent="0.25">
      <c r="B239" t="s">
        <v>5</v>
      </c>
      <c r="C239" s="142">
        <v>45382</v>
      </c>
      <c r="D239" s="142" t="str">
        <f>IF(C239&lt;Data!$J$1,"Actual","Forecasted")</f>
        <v>Actual</v>
      </c>
      <c r="E239" s="140" t="s">
        <v>190</v>
      </c>
      <c r="F239" t="s">
        <v>43</v>
      </c>
      <c r="G239">
        <v>72057</v>
      </c>
    </row>
    <row r="240" spans="2:7" hidden="1" x14ac:dyDescent="0.25">
      <c r="B240" t="s">
        <v>5</v>
      </c>
      <c r="C240" s="142">
        <v>45382</v>
      </c>
      <c r="D240" s="142" t="str">
        <f>IF(C240&lt;Data!$J$1,"Actual","Forecasted")</f>
        <v>Actual</v>
      </c>
      <c r="E240" s="140" t="s">
        <v>190</v>
      </c>
      <c r="F240" t="s">
        <v>44</v>
      </c>
      <c r="G240">
        <v>0.1207557351307236</v>
      </c>
    </row>
    <row r="241" spans="2:7" hidden="1" x14ac:dyDescent="0.25">
      <c r="B241" t="s">
        <v>5</v>
      </c>
      <c r="C241" s="142">
        <v>45382</v>
      </c>
      <c r="D241" s="142" t="str">
        <f>IF(C241&lt;Data!$J$1,"Actual","Forecasted")</f>
        <v>Actual</v>
      </c>
      <c r="E241" s="140" t="s">
        <v>190</v>
      </c>
      <c r="F241" t="s">
        <v>45</v>
      </c>
      <c r="G241">
        <v>-9914</v>
      </c>
    </row>
    <row r="242" spans="2:7" hidden="1" x14ac:dyDescent="0.25">
      <c r="B242" t="s">
        <v>5</v>
      </c>
      <c r="C242" s="142">
        <v>45382</v>
      </c>
      <c r="D242" s="142" t="str">
        <f>IF(C242&lt;Data!$J$1,"Actual","Forecasted")</f>
        <v>Actual</v>
      </c>
      <c r="E242" s="140" t="s">
        <v>189</v>
      </c>
      <c r="F242" t="s">
        <v>89</v>
      </c>
      <c r="G242">
        <v>-156801</v>
      </c>
    </row>
    <row r="243" spans="2:7" hidden="1" x14ac:dyDescent="0.25">
      <c r="B243" t="s">
        <v>5</v>
      </c>
      <c r="C243" s="142">
        <v>45382</v>
      </c>
      <c r="D243" s="142" t="str">
        <f>IF(C243&lt;Data!$J$1,"Actual","Forecasted")</f>
        <v>Actual</v>
      </c>
      <c r="E243" s="140" t="s">
        <v>189</v>
      </c>
      <c r="F243" t="s">
        <v>181</v>
      </c>
      <c r="G243">
        <v>0.2627728051991145</v>
      </c>
    </row>
    <row r="244" spans="2:7" hidden="1" x14ac:dyDescent="0.25">
      <c r="B244" t="s">
        <v>5</v>
      </c>
      <c r="C244" s="142">
        <v>45382</v>
      </c>
      <c r="D244" s="142" t="str">
        <f>IF(C244&lt;Data!$J$1,"Actual","Forecasted")</f>
        <v>Actual</v>
      </c>
      <c r="E244" s="140" t="s">
        <v>189</v>
      </c>
      <c r="F244" t="s">
        <v>90</v>
      </c>
      <c r="G244">
        <v>7626</v>
      </c>
    </row>
    <row r="245" spans="2:7" hidden="1" x14ac:dyDescent="0.25">
      <c r="B245" t="s">
        <v>5</v>
      </c>
      <c r="C245" s="142">
        <v>45382</v>
      </c>
      <c r="D245" s="142" t="str">
        <f>IF(C245&lt;Data!$J$1,"Actual","Forecasted")</f>
        <v>Actual</v>
      </c>
      <c r="E245" s="140" t="s">
        <v>189</v>
      </c>
      <c r="F245" t="s">
        <v>182</v>
      </c>
      <c r="G245">
        <v>2.3690587138863E-2</v>
      </c>
    </row>
    <row r="246" spans="2:7" hidden="1" x14ac:dyDescent="0.25">
      <c r="B246" t="s">
        <v>5</v>
      </c>
      <c r="C246" s="142">
        <v>45382</v>
      </c>
      <c r="D246" s="142" t="str">
        <f>IF(C246&lt;Data!$J$1,"Actual","Forecasted")</f>
        <v>Actual</v>
      </c>
      <c r="E246" s="140" t="s">
        <v>190</v>
      </c>
      <c r="F246" t="s">
        <v>53</v>
      </c>
      <c r="G246">
        <v>-92766</v>
      </c>
    </row>
    <row r="247" spans="2:7" hidden="1" x14ac:dyDescent="0.25">
      <c r="B247" t="s">
        <v>5</v>
      </c>
      <c r="C247" s="142">
        <v>45382</v>
      </c>
      <c r="D247" s="142" t="str">
        <f>IF(C247&lt;Data!$J$1,"Actual","Forecasted")</f>
        <v>Actual</v>
      </c>
      <c r="E247" s="140" t="s">
        <v>190</v>
      </c>
      <c r="F247" t="s">
        <v>183</v>
      </c>
      <c r="G247">
        <v>0</v>
      </c>
    </row>
    <row r="248" spans="2:7" hidden="1" x14ac:dyDescent="0.25">
      <c r="B248" t="s">
        <v>5</v>
      </c>
      <c r="C248" s="142">
        <v>45382</v>
      </c>
      <c r="D248" s="142" t="str">
        <f>IF(C248&lt;Data!$J$1,"Actual","Forecasted")</f>
        <v>Actual</v>
      </c>
      <c r="E248" s="140" t="s">
        <v>190</v>
      </c>
      <c r="F248" t="s">
        <v>73</v>
      </c>
      <c r="G248">
        <v>137960</v>
      </c>
    </row>
    <row r="249" spans="2:7" hidden="1" x14ac:dyDescent="0.25">
      <c r="B249" t="s">
        <v>5</v>
      </c>
      <c r="C249" s="142">
        <v>45382</v>
      </c>
      <c r="D249" s="142" t="str">
        <f>IF(C249&lt;Data!$J$1,"Actual","Forecasted")</f>
        <v>Actual</v>
      </c>
      <c r="E249" s="140" t="s">
        <v>190</v>
      </c>
      <c r="F249" t="s">
        <v>186</v>
      </c>
      <c r="G249">
        <v>0</v>
      </c>
    </row>
    <row r="250" spans="2:7" hidden="1" x14ac:dyDescent="0.25">
      <c r="B250" t="s">
        <v>5</v>
      </c>
      <c r="C250" s="142">
        <v>45382</v>
      </c>
      <c r="D250" s="142" t="str">
        <f>IF(C250&lt;Data!$J$1,"Actual","Forecasted")</f>
        <v>Actual</v>
      </c>
      <c r="E250" s="140" t="s">
        <v>190</v>
      </c>
      <c r="F250" t="s">
        <v>143</v>
      </c>
      <c r="G250">
        <v>145586</v>
      </c>
    </row>
    <row r="251" spans="2:7" hidden="1" x14ac:dyDescent="0.25">
      <c r="B251" t="s">
        <v>5</v>
      </c>
      <c r="C251" s="142">
        <v>45382</v>
      </c>
      <c r="D251" s="142" t="str">
        <f>IF(C251&lt;Data!$J$1,"Actual","Forecasted")</f>
        <v>Actual</v>
      </c>
      <c r="E251" s="140" t="s">
        <v>190</v>
      </c>
      <c r="F251" t="s">
        <v>185</v>
      </c>
      <c r="G251">
        <v>0</v>
      </c>
    </row>
    <row r="252" spans="2:7" hidden="1" x14ac:dyDescent="0.25">
      <c r="B252" t="s">
        <v>5</v>
      </c>
      <c r="C252" s="142">
        <v>45382</v>
      </c>
      <c r="D252" s="142" t="str">
        <f>IF(C252&lt;Data!$J$1,"Actual","Forecasted")</f>
        <v>Actual</v>
      </c>
      <c r="E252" s="140" t="s">
        <v>190</v>
      </c>
      <c r="F252" t="s">
        <v>153</v>
      </c>
      <c r="G252">
        <v>24917</v>
      </c>
    </row>
    <row r="253" spans="2:7" hidden="1" x14ac:dyDescent="0.25">
      <c r="B253" t="s">
        <v>5</v>
      </c>
      <c r="C253" s="142">
        <v>45382</v>
      </c>
      <c r="D253" s="142" t="str">
        <f>IF(C253&lt;Data!$J$1,"Actual","Forecasted")</f>
        <v>Actual</v>
      </c>
      <c r="E253" s="140" t="s">
        <v>190</v>
      </c>
      <c r="F253" t="s">
        <v>184</v>
      </c>
      <c r="G253">
        <v>0</v>
      </c>
    </row>
    <row r="254" spans="2:7" hidden="1" x14ac:dyDescent="0.25">
      <c r="B254" t="s">
        <v>5</v>
      </c>
      <c r="C254" s="142">
        <v>45382</v>
      </c>
      <c r="D254" s="142" t="str">
        <f>IF(C254&lt;Data!$J$1,"Actual","Forecasted")</f>
        <v>Actual</v>
      </c>
      <c r="E254" s="140" t="s">
        <v>190</v>
      </c>
      <c r="F254" t="s">
        <v>155</v>
      </c>
      <c r="G254">
        <v>0.12616330291952321</v>
      </c>
    </row>
    <row r="255" spans="2:7" hidden="1" x14ac:dyDescent="0.25">
      <c r="B255" t="s">
        <v>5</v>
      </c>
      <c r="C255" s="142">
        <v>45382</v>
      </c>
      <c r="D255" s="142" t="str">
        <f>IF(C255&lt;Data!$J$1,"Actual","Forecasted")</f>
        <v>Actual</v>
      </c>
      <c r="E255" s="140" t="s">
        <v>190</v>
      </c>
      <c r="F255" t="s">
        <v>154</v>
      </c>
      <c r="G255">
        <v>197498</v>
      </c>
    </row>
    <row r="256" spans="2:7" hidden="1" x14ac:dyDescent="0.25">
      <c r="B256" t="s">
        <v>5</v>
      </c>
      <c r="C256" s="142">
        <v>45382</v>
      </c>
      <c r="D256" s="142" t="str">
        <f>IF(C256&lt;Data!$J$1,"Actual","Forecasted")</f>
        <v>Actual</v>
      </c>
      <c r="E256" s="140" t="s">
        <v>190</v>
      </c>
      <c r="F256" t="s">
        <v>194</v>
      </c>
      <c r="G256">
        <v>4.1756812693454347E-2</v>
      </c>
    </row>
    <row r="257" spans="2:7" hidden="1" x14ac:dyDescent="0.25">
      <c r="B257" t="s">
        <v>6</v>
      </c>
      <c r="C257" s="142">
        <v>45473</v>
      </c>
      <c r="D257" s="142" t="str">
        <f>IF(C257&lt;Data!$J$1,"Actual","Forecasted")</f>
        <v>Actual</v>
      </c>
      <c r="E257" s="140"/>
    </row>
    <row r="258" spans="2:7" hidden="1" x14ac:dyDescent="0.25">
      <c r="B258" t="s">
        <v>6</v>
      </c>
      <c r="C258" s="142">
        <v>45473</v>
      </c>
      <c r="D258" s="142" t="str">
        <f>IF(C258&lt;Data!$J$1,"Actual","Forecasted")</f>
        <v>Actual</v>
      </c>
      <c r="E258" s="140"/>
    </row>
    <row r="259" spans="2:7" hidden="1" x14ac:dyDescent="0.25">
      <c r="B259" t="s">
        <v>6</v>
      </c>
      <c r="C259" s="142">
        <v>45473</v>
      </c>
      <c r="D259" s="142" t="str">
        <f>IF(C259&lt;Data!$J$1,"Actual","Forecasted")</f>
        <v>Actual</v>
      </c>
      <c r="E259" s="140" t="s">
        <v>188</v>
      </c>
      <c r="F259" t="s">
        <v>35</v>
      </c>
      <c r="G259">
        <v>175</v>
      </c>
    </row>
    <row r="260" spans="2:7" hidden="1" x14ac:dyDescent="0.25">
      <c r="B260" t="s">
        <v>6</v>
      </c>
      <c r="C260" s="142">
        <v>45473</v>
      </c>
      <c r="D260" s="142" t="str">
        <f>IF(C260&lt;Data!$J$1,"Actual","Forecasted")</f>
        <v>Actual</v>
      </c>
      <c r="E260" s="140" t="s">
        <v>188</v>
      </c>
      <c r="F260" t="s">
        <v>37</v>
      </c>
      <c r="G260">
        <v>3</v>
      </c>
    </row>
    <row r="261" spans="2:7" hidden="1" x14ac:dyDescent="0.25">
      <c r="B261" t="s">
        <v>6</v>
      </c>
      <c r="C261" s="142">
        <v>45473</v>
      </c>
      <c r="D261" s="142" t="str">
        <f>IF(C261&lt;Data!$J$1,"Actual","Forecasted")</f>
        <v>Actual</v>
      </c>
      <c r="E261" s="140" t="s">
        <v>188</v>
      </c>
      <c r="F261" t="s">
        <v>36</v>
      </c>
      <c r="G261">
        <v>4757.92</v>
      </c>
    </row>
    <row r="262" spans="2:7" hidden="1" x14ac:dyDescent="0.25">
      <c r="B262" t="s">
        <v>6</v>
      </c>
      <c r="C262" s="142">
        <v>45473</v>
      </c>
      <c r="D262" s="142" t="str">
        <f>IF(C262&lt;Data!$J$1,"Actual","Forecasted")</f>
        <v>Actual</v>
      </c>
      <c r="E262" s="140" t="s">
        <v>188</v>
      </c>
      <c r="F262" t="s">
        <v>14</v>
      </c>
      <c r="G262">
        <v>832636</v>
      </c>
    </row>
    <row r="263" spans="2:7" hidden="1" x14ac:dyDescent="0.25">
      <c r="B263" t="s">
        <v>6</v>
      </c>
      <c r="C263" s="142">
        <v>45473</v>
      </c>
      <c r="D263" s="142" t="str">
        <f>IF(C263&lt;Data!$J$1,"Actual","Forecasted")</f>
        <v>Actual</v>
      </c>
      <c r="E263" s="140" t="s">
        <v>188</v>
      </c>
      <c r="F263" t="s">
        <v>170</v>
      </c>
      <c r="G263">
        <v>5.365219085895645E-2</v>
      </c>
    </row>
    <row r="264" spans="2:7" hidden="1" x14ac:dyDescent="0.25">
      <c r="B264" t="s">
        <v>6</v>
      </c>
      <c r="C264" s="142">
        <v>45473</v>
      </c>
      <c r="D264" s="142" t="str">
        <f>IF(C264&lt;Data!$J$1,"Actual","Forecasted")</f>
        <v>Actual</v>
      </c>
      <c r="E264" s="140" t="s">
        <v>188</v>
      </c>
      <c r="F264" t="s">
        <v>15</v>
      </c>
      <c r="G264">
        <v>46131</v>
      </c>
    </row>
    <row r="265" spans="2:7" hidden="1" x14ac:dyDescent="0.25">
      <c r="B265" t="s">
        <v>6</v>
      </c>
      <c r="C265" s="142">
        <v>45473</v>
      </c>
      <c r="D265" s="142" t="str">
        <f>IF(C265&lt;Data!$J$1,"Actual","Forecasted")</f>
        <v>Actual</v>
      </c>
      <c r="E265" s="140" t="s">
        <v>188</v>
      </c>
      <c r="F265" t="s">
        <v>171</v>
      </c>
      <c r="G265">
        <v>8.7969623357939675E-2</v>
      </c>
    </row>
    <row r="266" spans="2:7" hidden="1" x14ac:dyDescent="0.25">
      <c r="B266" t="s">
        <v>6</v>
      </c>
      <c r="C266" s="142">
        <v>45473</v>
      </c>
      <c r="D266" s="142" t="str">
        <f>IF(C266&lt;Data!$J$1,"Actual","Forecasted")</f>
        <v>Actual</v>
      </c>
      <c r="E266" s="140" t="s">
        <v>188</v>
      </c>
      <c r="F266" t="s">
        <v>159</v>
      </c>
      <c r="G266">
        <v>0</v>
      </c>
    </row>
    <row r="267" spans="2:7" hidden="1" x14ac:dyDescent="0.25">
      <c r="B267" t="s">
        <v>6</v>
      </c>
      <c r="C267" s="142">
        <v>45473</v>
      </c>
      <c r="D267" s="142" t="str">
        <f>IF(C267&lt;Data!$J$1,"Actual","Forecasted")</f>
        <v>Actual</v>
      </c>
      <c r="E267" s="140" t="s">
        <v>188</v>
      </c>
      <c r="F267" t="s">
        <v>160</v>
      </c>
      <c r="G267">
        <v>0</v>
      </c>
    </row>
    <row r="268" spans="2:7" hidden="1" x14ac:dyDescent="0.25">
      <c r="B268" t="s">
        <v>6</v>
      </c>
      <c r="C268" s="142">
        <v>45473</v>
      </c>
      <c r="D268" s="142" t="str">
        <f>IF(C268&lt;Data!$J$1,"Actual","Forecasted")</f>
        <v>Actual</v>
      </c>
      <c r="E268" s="140" t="s">
        <v>188</v>
      </c>
      <c r="F268" t="s">
        <v>158</v>
      </c>
      <c r="G268">
        <v>555.70020993567414</v>
      </c>
    </row>
    <row r="269" spans="2:7" hidden="1" x14ac:dyDescent="0.25">
      <c r="B269" t="s">
        <v>6</v>
      </c>
      <c r="C269" s="142">
        <v>45473</v>
      </c>
      <c r="D269" s="142" t="str">
        <f>IF(C269&lt;Data!$J$1,"Actual","Forecasted")</f>
        <v>Actual</v>
      </c>
      <c r="E269" s="140" t="s">
        <v>188</v>
      </c>
      <c r="F269" t="s">
        <v>172</v>
      </c>
      <c r="G269">
        <v>0.13437976440888949</v>
      </c>
    </row>
    <row r="270" spans="2:7" hidden="1" x14ac:dyDescent="0.25">
      <c r="B270" t="s">
        <v>6</v>
      </c>
      <c r="C270" s="142">
        <v>45473</v>
      </c>
      <c r="D270" s="142" t="str">
        <f>IF(C270&lt;Data!$J$1,"Actual","Forecasted")</f>
        <v>Actual</v>
      </c>
      <c r="E270" s="140" t="s">
        <v>188</v>
      </c>
      <c r="F270" t="s">
        <v>17</v>
      </c>
      <c r="G270">
        <v>462696</v>
      </c>
    </row>
    <row r="271" spans="2:7" hidden="1" x14ac:dyDescent="0.25">
      <c r="B271" t="s">
        <v>6</v>
      </c>
      <c r="C271" s="142">
        <v>45473</v>
      </c>
      <c r="D271" s="142" t="str">
        <f>IF(C271&lt;Data!$J$1,"Actual","Forecasted")</f>
        <v>Actual</v>
      </c>
      <c r="E271" s="140" t="s">
        <v>188</v>
      </c>
      <c r="F271" t="s">
        <v>173</v>
      </c>
      <c r="G271">
        <v>0.19524172403549331</v>
      </c>
    </row>
    <row r="272" spans="2:7" hidden="1" x14ac:dyDescent="0.25">
      <c r="B272" t="s">
        <v>6</v>
      </c>
      <c r="C272" s="142">
        <v>45473</v>
      </c>
      <c r="D272" s="142" t="str">
        <f>IF(C272&lt;Data!$J$1,"Actual","Forecasted")</f>
        <v>Actual</v>
      </c>
      <c r="E272" s="140" t="s">
        <v>188</v>
      </c>
      <c r="F272" t="s">
        <v>18</v>
      </c>
      <c r="G272">
        <v>182311</v>
      </c>
    </row>
    <row r="273" spans="2:7" hidden="1" x14ac:dyDescent="0.25">
      <c r="B273" t="s">
        <v>6</v>
      </c>
      <c r="C273" s="142">
        <v>45473</v>
      </c>
      <c r="D273" s="142" t="str">
        <f>IF(C273&lt;Data!$J$1,"Actual","Forecasted")</f>
        <v>Actual</v>
      </c>
      <c r="E273" s="140" t="s">
        <v>188</v>
      </c>
      <c r="F273" t="s">
        <v>174</v>
      </c>
      <c r="G273">
        <v>0.17612412102444999</v>
      </c>
    </row>
    <row r="274" spans="2:7" hidden="1" x14ac:dyDescent="0.25">
      <c r="B274" t="s">
        <v>6</v>
      </c>
      <c r="C274" s="142">
        <v>45473</v>
      </c>
      <c r="D274" s="142" t="str">
        <f>IF(C274&lt;Data!$J$1,"Actual","Forecasted")</f>
        <v>Actual</v>
      </c>
      <c r="E274" s="140" t="s">
        <v>188</v>
      </c>
      <c r="F274" t="s">
        <v>34</v>
      </c>
      <c r="G274">
        <v>218.9564227345443</v>
      </c>
    </row>
    <row r="275" spans="2:7" hidden="1" x14ac:dyDescent="0.25">
      <c r="B275" t="s">
        <v>6</v>
      </c>
      <c r="C275" s="142">
        <v>45473</v>
      </c>
      <c r="D275" s="142" t="str">
        <f>IF(C275&lt;Data!$J$1,"Actual","Forecasted")</f>
        <v>Actual</v>
      </c>
      <c r="E275" s="140" t="s">
        <v>188</v>
      </c>
      <c r="F275" t="s">
        <v>175</v>
      </c>
      <c r="G275">
        <v>0.1162356337584725</v>
      </c>
    </row>
    <row r="276" spans="2:7" hidden="1" x14ac:dyDescent="0.25">
      <c r="B276" t="s">
        <v>6</v>
      </c>
      <c r="C276" s="142">
        <v>45473</v>
      </c>
      <c r="D276" s="142" t="str">
        <f>IF(C276&lt;Data!$J$1,"Actual","Forecasted")</f>
        <v>Actual</v>
      </c>
      <c r="E276" s="140" t="s">
        <v>188</v>
      </c>
      <c r="F276" t="s">
        <v>19</v>
      </c>
      <c r="G276">
        <v>645007</v>
      </c>
    </row>
    <row r="277" spans="2:7" hidden="1" x14ac:dyDescent="0.25">
      <c r="B277" t="s">
        <v>6</v>
      </c>
      <c r="C277" s="142">
        <v>45473</v>
      </c>
      <c r="D277" s="142" t="str">
        <f>IF(C277&lt;Data!$J$1,"Actual","Forecasted")</f>
        <v>Actual</v>
      </c>
      <c r="E277" s="140" t="s">
        <v>188</v>
      </c>
      <c r="F277" t="s">
        <v>176</v>
      </c>
      <c r="G277">
        <v>0.18977542079778639</v>
      </c>
    </row>
    <row r="278" spans="2:7" hidden="1" x14ac:dyDescent="0.25">
      <c r="B278" t="s">
        <v>6</v>
      </c>
      <c r="C278" s="142">
        <v>45473</v>
      </c>
      <c r="D278" s="142" t="str">
        <f>IF(C278&lt;Data!$J$1,"Actual","Forecasted")</f>
        <v>Actual</v>
      </c>
      <c r="E278" s="140" t="s">
        <v>188</v>
      </c>
      <c r="F278" t="s">
        <v>11</v>
      </c>
      <c r="G278">
        <v>22754</v>
      </c>
    </row>
    <row r="279" spans="2:7" hidden="1" x14ac:dyDescent="0.25">
      <c r="B279" t="s">
        <v>6</v>
      </c>
      <c r="C279" s="142">
        <v>45473</v>
      </c>
      <c r="D279" s="142" t="str">
        <f>IF(C279&lt;Data!$J$1,"Actual","Forecasted")</f>
        <v>Actual</v>
      </c>
      <c r="E279" s="140" t="s">
        <v>188</v>
      </c>
      <c r="F279" t="s">
        <v>38</v>
      </c>
      <c r="G279">
        <v>3.5277136527200478E-2</v>
      </c>
    </row>
    <row r="280" spans="2:7" hidden="1" x14ac:dyDescent="0.25">
      <c r="B280" t="s">
        <v>6</v>
      </c>
      <c r="C280" s="142">
        <v>45473</v>
      </c>
      <c r="D280" s="142" t="str">
        <f>IF(C280&lt;Data!$J$1,"Actual","Forecasted")</f>
        <v>Actual</v>
      </c>
      <c r="E280" s="140" t="s">
        <v>188</v>
      </c>
      <c r="F280" t="s">
        <v>10</v>
      </c>
      <c r="G280">
        <v>667761</v>
      </c>
    </row>
    <row r="281" spans="2:7" x14ac:dyDescent="0.25">
      <c r="B281" t="s">
        <v>6</v>
      </c>
      <c r="C281" s="142">
        <v>45473</v>
      </c>
      <c r="D281" s="142" t="str">
        <f>IF(C281&lt;Data!$J$1,"Actual","Forecasted")</f>
        <v>Actual</v>
      </c>
      <c r="E281" s="140" t="s">
        <v>188</v>
      </c>
      <c r="F281" t="s">
        <v>177</v>
      </c>
      <c r="G281">
        <v>0.188755827967479</v>
      </c>
    </row>
    <row r="282" spans="2:7" hidden="1" x14ac:dyDescent="0.25">
      <c r="B282" t="s">
        <v>6</v>
      </c>
      <c r="C282" s="142">
        <v>45473</v>
      </c>
      <c r="D282" s="142" t="str">
        <f>IF(C282&lt;Data!$J$1,"Actual","Forecasted")</f>
        <v>Actual</v>
      </c>
      <c r="E282" s="140" t="s">
        <v>189</v>
      </c>
      <c r="F282" t="s">
        <v>12</v>
      </c>
      <c r="G282">
        <v>-355510</v>
      </c>
    </row>
    <row r="283" spans="2:7" hidden="1" x14ac:dyDescent="0.25">
      <c r="B283" t="s">
        <v>6</v>
      </c>
      <c r="C283" s="142">
        <v>45473</v>
      </c>
      <c r="D283" s="142" t="str">
        <f>IF(C283&lt;Data!$J$1,"Actual","Forecasted")</f>
        <v>Actual</v>
      </c>
      <c r="E283" s="140" t="s">
        <v>189</v>
      </c>
      <c r="F283" t="s">
        <v>178</v>
      </c>
      <c r="G283">
        <v>0.55117231285862012</v>
      </c>
    </row>
    <row r="284" spans="2:7" hidden="1" x14ac:dyDescent="0.25">
      <c r="B284" t="s">
        <v>6</v>
      </c>
      <c r="C284" s="142">
        <v>45473</v>
      </c>
      <c r="D284" s="142" t="str">
        <f>IF(C284&lt;Data!$J$1,"Actual","Forecasted")</f>
        <v>Actual</v>
      </c>
      <c r="E284" s="140" t="s">
        <v>189</v>
      </c>
      <c r="F284" t="s">
        <v>13</v>
      </c>
      <c r="G284">
        <v>-74947</v>
      </c>
    </row>
    <row r="285" spans="2:7" hidden="1" x14ac:dyDescent="0.25">
      <c r="B285" t="s">
        <v>6</v>
      </c>
      <c r="C285" s="142">
        <v>45473</v>
      </c>
      <c r="D285" s="142" t="str">
        <f>IF(C285&lt;Data!$J$1,"Actual","Forecasted")</f>
        <v>Actual</v>
      </c>
      <c r="E285" s="140" t="s">
        <v>189</v>
      </c>
      <c r="F285" t="s">
        <v>41</v>
      </c>
      <c r="G285">
        <v>-428.26857142857142</v>
      </c>
    </row>
    <row r="286" spans="2:7" hidden="1" x14ac:dyDescent="0.25">
      <c r="B286" t="s">
        <v>6</v>
      </c>
      <c r="C286" s="142">
        <v>45473</v>
      </c>
      <c r="D286" s="142" t="str">
        <f>IF(C286&lt;Data!$J$1,"Actual","Forecasted")</f>
        <v>Actual</v>
      </c>
      <c r="E286" s="140" t="s">
        <v>189</v>
      </c>
      <c r="F286" t="s">
        <v>39</v>
      </c>
      <c r="G286">
        <v>-62834</v>
      </c>
    </row>
    <row r="287" spans="2:7" hidden="1" x14ac:dyDescent="0.25">
      <c r="B287" t="s">
        <v>6</v>
      </c>
      <c r="C287" s="142">
        <v>45473</v>
      </c>
      <c r="D287" s="142" t="str">
        <f>IF(C287&lt;Data!$J$1,"Actual","Forecasted")</f>
        <v>Actual</v>
      </c>
      <c r="E287" s="140" t="s">
        <v>189</v>
      </c>
      <c r="F287" t="s">
        <v>179</v>
      </c>
      <c r="G287">
        <v>9.40965405287221E-2</v>
      </c>
    </row>
    <row r="288" spans="2:7" hidden="1" x14ac:dyDescent="0.25">
      <c r="B288" t="s">
        <v>6</v>
      </c>
      <c r="C288" s="142">
        <v>45473</v>
      </c>
      <c r="D288" s="142" t="str">
        <f>IF(C288&lt;Data!$J$1,"Actual","Forecasted")</f>
        <v>Actual</v>
      </c>
      <c r="E288" s="140" t="s">
        <v>189</v>
      </c>
      <c r="F288" t="s">
        <v>40</v>
      </c>
      <c r="G288">
        <v>-69714</v>
      </c>
    </row>
    <row r="289" spans="2:7" hidden="1" x14ac:dyDescent="0.25">
      <c r="B289" t="s">
        <v>6</v>
      </c>
      <c r="C289" s="142">
        <v>45473</v>
      </c>
      <c r="D289" s="142" t="str">
        <f>IF(C289&lt;Data!$J$1,"Actual","Forecasted")</f>
        <v>Actual</v>
      </c>
      <c r="E289" s="140" t="s">
        <v>189</v>
      </c>
      <c r="F289" t="s">
        <v>180</v>
      </c>
      <c r="G289">
        <v>0.1043996280106206</v>
      </c>
    </row>
    <row r="290" spans="2:7" hidden="1" x14ac:dyDescent="0.25">
      <c r="B290" t="s">
        <v>6</v>
      </c>
      <c r="C290" s="142">
        <v>45473</v>
      </c>
      <c r="D290" s="142" t="str">
        <f>IF(C290&lt;Data!$J$1,"Actual","Forecasted")</f>
        <v>Actual</v>
      </c>
      <c r="E290" s="140" t="s">
        <v>190</v>
      </c>
      <c r="F290" t="s">
        <v>43</v>
      </c>
      <c r="G290">
        <v>104756</v>
      </c>
    </row>
    <row r="291" spans="2:7" hidden="1" x14ac:dyDescent="0.25">
      <c r="B291" t="s">
        <v>6</v>
      </c>
      <c r="C291" s="142">
        <v>45473</v>
      </c>
      <c r="D291" s="142" t="str">
        <f>IF(C291&lt;Data!$J$1,"Actual","Forecasted")</f>
        <v>Actual</v>
      </c>
      <c r="E291" s="140" t="s">
        <v>190</v>
      </c>
      <c r="F291" t="s">
        <v>44</v>
      </c>
      <c r="G291">
        <v>0.15687648724618539</v>
      </c>
    </row>
    <row r="292" spans="2:7" hidden="1" x14ac:dyDescent="0.25">
      <c r="B292" t="s">
        <v>6</v>
      </c>
      <c r="C292" s="142">
        <v>45473</v>
      </c>
      <c r="D292" s="142" t="str">
        <f>IF(C292&lt;Data!$J$1,"Actual","Forecasted")</f>
        <v>Actual</v>
      </c>
      <c r="E292" s="140" t="s">
        <v>190</v>
      </c>
      <c r="F292" t="s">
        <v>45</v>
      </c>
      <c r="G292">
        <v>-13818</v>
      </c>
    </row>
    <row r="293" spans="2:7" hidden="1" x14ac:dyDescent="0.25">
      <c r="B293" t="s">
        <v>6</v>
      </c>
      <c r="C293" s="142">
        <v>45473</v>
      </c>
      <c r="D293" s="142" t="str">
        <f>IF(C293&lt;Data!$J$1,"Actual","Forecasted")</f>
        <v>Actual</v>
      </c>
      <c r="E293" s="140" t="s">
        <v>189</v>
      </c>
      <c r="F293" t="s">
        <v>89</v>
      </c>
      <c r="G293">
        <v>-144306</v>
      </c>
    </row>
    <row r="294" spans="2:7" hidden="1" x14ac:dyDescent="0.25">
      <c r="B294" t="s">
        <v>6</v>
      </c>
      <c r="C294" s="142">
        <v>45473</v>
      </c>
      <c r="D294" s="142" t="str">
        <f>IF(C294&lt;Data!$J$1,"Actual","Forecasted")</f>
        <v>Actual</v>
      </c>
      <c r="E294" s="140" t="s">
        <v>189</v>
      </c>
      <c r="F294" t="s">
        <v>181</v>
      </c>
      <c r="G294">
        <v>0.21610426484924999</v>
      </c>
    </row>
    <row r="295" spans="2:7" hidden="1" x14ac:dyDescent="0.25">
      <c r="B295" t="s">
        <v>6</v>
      </c>
      <c r="C295" s="142">
        <v>45473</v>
      </c>
      <c r="D295" s="142" t="str">
        <f>IF(C295&lt;Data!$J$1,"Actual","Forecasted")</f>
        <v>Actual</v>
      </c>
      <c r="E295" s="140" t="s">
        <v>189</v>
      </c>
      <c r="F295" t="s">
        <v>90</v>
      </c>
      <c r="G295">
        <v>11072</v>
      </c>
    </row>
    <row r="296" spans="2:7" hidden="1" x14ac:dyDescent="0.25">
      <c r="B296" t="s">
        <v>6</v>
      </c>
      <c r="C296" s="142">
        <v>45473</v>
      </c>
      <c r="D296" s="142" t="str">
        <f>IF(C296&lt;Data!$J$1,"Actual","Forecasted")</f>
        <v>Actual</v>
      </c>
      <c r="E296" s="140" t="s">
        <v>189</v>
      </c>
      <c r="F296" t="s">
        <v>182</v>
      </c>
      <c r="G296">
        <v>3.114399032376023E-2</v>
      </c>
    </row>
    <row r="297" spans="2:7" hidden="1" x14ac:dyDescent="0.25">
      <c r="B297" t="s">
        <v>6</v>
      </c>
      <c r="C297" s="142">
        <v>45473</v>
      </c>
      <c r="D297" s="142" t="str">
        <f>IF(C297&lt;Data!$J$1,"Actual","Forecasted")</f>
        <v>Actual</v>
      </c>
      <c r="E297" s="140" t="s">
        <v>190</v>
      </c>
      <c r="F297" t="s">
        <v>53</v>
      </c>
      <c r="G297">
        <v>37089</v>
      </c>
    </row>
    <row r="298" spans="2:7" hidden="1" x14ac:dyDescent="0.25">
      <c r="B298" t="s">
        <v>6</v>
      </c>
      <c r="C298" s="142">
        <v>45473</v>
      </c>
      <c r="D298" s="142" t="str">
        <f>IF(C298&lt;Data!$J$1,"Actual","Forecasted")</f>
        <v>Actual</v>
      </c>
      <c r="E298" s="140" t="s">
        <v>190</v>
      </c>
      <c r="F298" t="s">
        <v>183</v>
      </c>
      <c r="G298">
        <v>0.78595849183801225</v>
      </c>
    </row>
    <row r="299" spans="2:7" hidden="1" x14ac:dyDescent="0.25">
      <c r="B299" t="s">
        <v>6</v>
      </c>
      <c r="C299" s="142">
        <v>45473</v>
      </c>
      <c r="D299" s="142" t="str">
        <f>IF(C299&lt;Data!$J$1,"Actual","Forecasted")</f>
        <v>Actual</v>
      </c>
      <c r="E299" s="140" t="s">
        <v>190</v>
      </c>
      <c r="F299" t="s">
        <v>73</v>
      </c>
      <c r="G299">
        <v>174470</v>
      </c>
    </row>
    <row r="300" spans="2:7" hidden="1" x14ac:dyDescent="0.25">
      <c r="B300" t="s">
        <v>6</v>
      </c>
      <c r="C300" s="142">
        <v>45473</v>
      </c>
      <c r="D300" s="142" t="str">
        <f>IF(C300&lt;Data!$J$1,"Actual","Forecasted")</f>
        <v>Actual</v>
      </c>
      <c r="E300" s="140" t="s">
        <v>190</v>
      </c>
      <c r="F300" t="s">
        <v>186</v>
      </c>
      <c r="G300">
        <v>0.57663112235676839</v>
      </c>
    </row>
    <row r="301" spans="2:7" hidden="1" x14ac:dyDescent="0.25">
      <c r="B301" t="s">
        <v>6</v>
      </c>
      <c r="C301" s="142">
        <v>45473</v>
      </c>
      <c r="D301" s="142" t="str">
        <f>IF(C301&lt;Data!$J$1,"Actual","Forecasted")</f>
        <v>Actual</v>
      </c>
      <c r="E301" s="140" t="s">
        <v>190</v>
      </c>
      <c r="F301" t="s">
        <v>143</v>
      </c>
      <c r="G301">
        <v>185542</v>
      </c>
    </row>
    <row r="302" spans="2:7" hidden="1" x14ac:dyDescent="0.25">
      <c r="B302" t="s">
        <v>6</v>
      </c>
      <c r="C302" s="142">
        <v>45473</v>
      </c>
      <c r="D302" s="142" t="str">
        <f>IF(C302&lt;Data!$J$1,"Actual","Forecasted")</f>
        <v>Actual</v>
      </c>
      <c r="E302" s="140" t="s">
        <v>190</v>
      </c>
      <c r="F302" t="s">
        <v>185</v>
      </c>
      <c r="G302">
        <v>0.45856032198979618</v>
      </c>
    </row>
    <row r="303" spans="2:7" hidden="1" x14ac:dyDescent="0.25">
      <c r="B303" t="s">
        <v>6</v>
      </c>
      <c r="C303" s="142">
        <v>45473</v>
      </c>
      <c r="D303" s="142" t="str">
        <f>IF(C303&lt;Data!$J$1,"Actual","Forecasted")</f>
        <v>Actual</v>
      </c>
      <c r="E303" s="140" t="s">
        <v>190</v>
      </c>
      <c r="F303" t="s">
        <v>153</v>
      </c>
      <c r="G303">
        <v>52805</v>
      </c>
    </row>
    <row r="304" spans="2:7" hidden="1" x14ac:dyDescent="0.25">
      <c r="B304" t="s">
        <v>6</v>
      </c>
      <c r="C304" s="142">
        <v>45473</v>
      </c>
      <c r="D304" s="142" t="str">
        <f>IF(C304&lt;Data!$J$1,"Actual","Forecasted")</f>
        <v>Actual</v>
      </c>
      <c r="E304" s="140" t="s">
        <v>190</v>
      </c>
      <c r="F304" t="s">
        <v>184</v>
      </c>
      <c r="G304">
        <v>2.105445777464126</v>
      </c>
    </row>
    <row r="305" spans="2:7" hidden="1" x14ac:dyDescent="0.25">
      <c r="B305" t="s">
        <v>6</v>
      </c>
      <c r="C305" s="142">
        <v>45473</v>
      </c>
      <c r="D305" s="142" t="str">
        <f>IF(C305&lt;Data!$J$1,"Actual","Forecasted")</f>
        <v>Actual</v>
      </c>
      <c r="E305" s="140" t="s">
        <v>190</v>
      </c>
      <c r="F305" t="s">
        <v>155</v>
      </c>
      <c r="G305">
        <v>0.26548116418555778</v>
      </c>
    </row>
    <row r="306" spans="2:7" hidden="1" x14ac:dyDescent="0.25">
      <c r="B306" t="s">
        <v>6</v>
      </c>
      <c r="C306" s="142">
        <v>45473</v>
      </c>
      <c r="D306" s="142" t="str">
        <f>IF(C306&lt;Data!$J$1,"Actual","Forecasted")</f>
        <v>Actual</v>
      </c>
      <c r="E306" s="140" t="s">
        <v>190</v>
      </c>
      <c r="F306" t="s">
        <v>154</v>
      </c>
      <c r="G306">
        <v>198903</v>
      </c>
    </row>
    <row r="307" spans="2:7" hidden="1" x14ac:dyDescent="0.25">
      <c r="B307" t="s">
        <v>6</v>
      </c>
      <c r="C307" s="142">
        <v>45473</v>
      </c>
      <c r="D307" s="142" t="str">
        <f>IF(C307&lt;Data!$J$1,"Actual","Forecasted")</f>
        <v>Actual</v>
      </c>
      <c r="E307" s="140" t="s">
        <v>190</v>
      </c>
      <c r="F307" t="s">
        <v>194</v>
      </c>
      <c r="G307">
        <v>7.9077693965355869E-2</v>
      </c>
    </row>
    <row r="308" spans="2:7" hidden="1" x14ac:dyDescent="0.25">
      <c r="B308" t="s">
        <v>7</v>
      </c>
      <c r="C308" s="142">
        <v>45565</v>
      </c>
      <c r="D308" s="142" t="str">
        <f>IF(C308&lt;Data!$J$1,"Actual","Forecasted")</f>
        <v>Actual</v>
      </c>
      <c r="E308" s="140"/>
    </row>
    <row r="309" spans="2:7" hidden="1" x14ac:dyDescent="0.25">
      <c r="B309" t="s">
        <v>7</v>
      </c>
      <c r="C309" s="142">
        <v>45565</v>
      </c>
      <c r="D309" s="142" t="str">
        <f>IF(C309&lt;Data!$J$1,"Actual","Forecasted")</f>
        <v>Actual</v>
      </c>
      <c r="E309" s="140"/>
    </row>
    <row r="310" spans="2:7" hidden="1" x14ac:dyDescent="0.25">
      <c r="B310" t="s">
        <v>7</v>
      </c>
      <c r="C310" s="142">
        <v>45565</v>
      </c>
      <c r="D310" s="142" t="str">
        <f>IF(C310&lt;Data!$J$1,"Actual","Forecasted")</f>
        <v>Actual</v>
      </c>
      <c r="E310" s="140" t="s">
        <v>188</v>
      </c>
      <c r="F310" t="s">
        <v>35</v>
      </c>
      <c r="G310">
        <v>177</v>
      </c>
    </row>
    <row r="311" spans="2:7" hidden="1" x14ac:dyDescent="0.25">
      <c r="B311" t="s">
        <v>7</v>
      </c>
      <c r="C311" s="142">
        <v>45565</v>
      </c>
      <c r="D311" s="142" t="str">
        <f>IF(C311&lt;Data!$J$1,"Actual","Forecasted")</f>
        <v>Actual</v>
      </c>
      <c r="E311" s="140" t="s">
        <v>188</v>
      </c>
      <c r="F311" t="s">
        <v>37</v>
      </c>
      <c r="G311">
        <v>2</v>
      </c>
    </row>
    <row r="312" spans="2:7" hidden="1" x14ac:dyDescent="0.25">
      <c r="B312" t="s">
        <v>7</v>
      </c>
      <c r="C312" s="142">
        <v>45565</v>
      </c>
      <c r="D312" s="142" t="str">
        <f>IF(C312&lt;Data!$J$1,"Actual","Forecasted")</f>
        <v>Actual</v>
      </c>
      <c r="E312" s="140" t="s">
        <v>188</v>
      </c>
      <c r="F312" t="s">
        <v>36</v>
      </c>
      <c r="G312">
        <v>4669.5028248587569</v>
      </c>
    </row>
    <row r="313" spans="2:7" hidden="1" x14ac:dyDescent="0.25">
      <c r="B313" t="s">
        <v>7</v>
      </c>
      <c r="C313" s="142">
        <v>45565</v>
      </c>
      <c r="D313" s="142" t="str">
        <f>IF(C313&lt;Data!$J$1,"Actual","Forecasted")</f>
        <v>Actual</v>
      </c>
      <c r="E313" s="140" t="s">
        <v>188</v>
      </c>
      <c r="F313" t="s">
        <v>14</v>
      </c>
      <c r="G313">
        <v>826502</v>
      </c>
    </row>
    <row r="314" spans="2:7" hidden="1" x14ac:dyDescent="0.25">
      <c r="B314" t="s">
        <v>7</v>
      </c>
      <c r="C314" s="142">
        <v>45565</v>
      </c>
      <c r="D314" s="142" t="str">
        <f>IF(C314&lt;Data!$J$1,"Actual","Forecasted")</f>
        <v>Actual</v>
      </c>
      <c r="E314" s="140" t="s">
        <v>188</v>
      </c>
      <c r="F314" t="s">
        <v>170</v>
      </c>
      <c r="G314">
        <v>5.3766840785331782E-2</v>
      </c>
    </row>
    <row r="315" spans="2:7" hidden="1" x14ac:dyDescent="0.25">
      <c r="B315" t="s">
        <v>7</v>
      </c>
      <c r="C315" s="142">
        <v>45565</v>
      </c>
      <c r="D315" s="142" t="str">
        <f>IF(C315&lt;Data!$J$1,"Actual","Forecasted")</f>
        <v>Actual</v>
      </c>
      <c r="E315" s="140" t="s">
        <v>188</v>
      </c>
      <c r="F315" t="s">
        <v>15</v>
      </c>
      <c r="G315">
        <v>50007</v>
      </c>
    </row>
    <row r="316" spans="2:7" hidden="1" x14ac:dyDescent="0.25">
      <c r="B316" t="s">
        <v>7</v>
      </c>
      <c r="C316" s="142">
        <v>45565</v>
      </c>
      <c r="D316" s="142" t="str">
        <f>IF(C316&lt;Data!$J$1,"Actual","Forecasted")</f>
        <v>Actual</v>
      </c>
      <c r="E316" s="140" t="s">
        <v>188</v>
      </c>
      <c r="F316" t="s">
        <v>171</v>
      </c>
      <c r="G316">
        <v>9.4053557364137674E-2</v>
      </c>
    </row>
    <row r="317" spans="2:7" hidden="1" x14ac:dyDescent="0.25">
      <c r="B317" t="s">
        <v>7</v>
      </c>
      <c r="C317" s="142">
        <v>45565</v>
      </c>
      <c r="D317" s="142" t="str">
        <f>IF(C317&lt;Data!$J$1,"Actual","Forecasted")</f>
        <v>Actual</v>
      </c>
      <c r="E317" s="140" t="s">
        <v>188</v>
      </c>
      <c r="F317" t="s">
        <v>159</v>
      </c>
      <c r="G317">
        <v>0</v>
      </c>
    </row>
    <row r="318" spans="2:7" hidden="1" x14ac:dyDescent="0.25">
      <c r="B318" t="s">
        <v>7</v>
      </c>
      <c r="C318" s="142">
        <v>45565</v>
      </c>
      <c r="D318" s="142" t="str">
        <f>IF(C318&lt;Data!$J$1,"Actual","Forecasted")</f>
        <v>Actual</v>
      </c>
      <c r="E318" s="140" t="s">
        <v>188</v>
      </c>
      <c r="F318" t="s">
        <v>160</v>
      </c>
      <c r="G318">
        <v>0</v>
      </c>
    </row>
    <row r="319" spans="2:7" hidden="1" x14ac:dyDescent="0.25">
      <c r="B319" t="s">
        <v>7</v>
      </c>
      <c r="C319" s="142">
        <v>45565</v>
      </c>
      <c r="D319" s="142" t="str">
        <f>IF(C319&lt;Data!$J$1,"Actual","Forecasted")</f>
        <v>Actual</v>
      </c>
      <c r="E319" s="140" t="s">
        <v>188</v>
      </c>
      <c r="F319" t="s">
        <v>158</v>
      </c>
      <c r="G319">
        <v>590.56723395708661</v>
      </c>
    </row>
    <row r="320" spans="2:7" hidden="1" x14ac:dyDescent="0.25">
      <c r="B320" t="s">
        <v>7</v>
      </c>
      <c r="C320" s="142">
        <v>45565</v>
      </c>
      <c r="D320" s="142" t="str">
        <f>IF(C320&lt;Data!$J$1,"Actual","Forecasted")</f>
        <v>Actual</v>
      </c>
      <c r="E320" s="140" t="s">
        <v>188</v>
      </c>
      <c r="F320" t="s">
        <v>172</v>
      </c>
      <c r="G320">
        <v>0.13556455622242461</v>
      </c>
    </row>
    <row r="321" spans="2:7" hidden="1" x14ac:dyDescent="0.25">
      <c r="B321" t="s">
        <v>7</v>
      </c>
      <c r="C321" s="142">
        <v>45565</v>
      </c>
      <c r="D321" s="142" t="str">
        <f>IF(C321&lt;Data!$J$1,"Actual","Forecasted")</f>
        <v>Actual</v>
      </c>
      <c r="E321" s="140" t="s">
        <v>188</v>
      </c>
      <c r="F321" t="s">
        <v>17</v>
      </c>
      <c r="G321">
        <v>488105</v>
      </c>
    </row>
    <row r="322" spans="2:7" hidden="1" x14ac:dyDescent="0.25">
      <c r="B322" t="s">
        <v>7</v>
      </c>
      <c r="C322" s="142">
        <v>45565</v>
      </c>
      <c r="D322" s="142" t="str">
        <f>IF(C322&lt;Data!$J$1,"Actual","Forecasted")</f>
        <v>Actual</v>
      </c>
      <c r="E322" s="140" t="s">
        <v>188</v>
      </c>
      <c r="F322" t="s">
        <v>173</v>
      </c>
      <c r="G322">
        <v>0.1966202749183017</v>
      </c>
    </row>
    <row r="323" spans="2:7" hidden="1" x14ac:dyDescent="0.25">
      <c r="B323" t="s">
        <v>7</v>
      </c>
      <c r="C323" s="142">
        <v>45565</v>
      </c>
      <c r="D323" s="142" t="str">
        <f>IF(C323&lt;Data!$J$1,"Actual","Forecasted")</f>
        <v>Actual</v>
      </c>
      <c r="E323" s="140" t="s">
        <v>188</v>
      </c>
      <c r="F323" t="s">
        <v>18</v>
      </c>
      <c r="G323">
        <v>186670</v>
      </c>
    </row>
    <row r="324" spans="2:7" hidden="1" x14ac:dyDescent="0.25">
      <c r="B324" t="s">
        <v>7</v>
      </c>
      <c r="C324" s="142">
        <v>45565</v>
      </c>
      <c r="D324" s="142" t="str">
        <f>IF(C324&lt;Data!$J$1,"Actual","Forecasted")</f>
        <v>Actual</v>
      </c>
      <c r="E324" s="140" t="s">
        <v>188</v>
      </c>
      <c r="F324" t="s">
        <v>174</v>
      </c>
      <c r="G324">
        <v>0.16306020598259191</v>
      </c>
    </row>
    <row r="325" spans="2:7" hidden="1" x14ac:dyDescent="0.25">
      <c r="B325" t="s">
        <v>7</v>
      </c>
      <c r="C325" s="142">
        <v>45565</v>
      </c>
      <c r="D325" s="142" t="str">
        <f>IF(C325&lt;Data!$J$1,"Actual","Forecasted")</f>
        <v>Actual</v>
      </c>
      <c r="E325" s="140" t="s">
        <v>188</v>
      </c>
      <c r="F325" t="s">
        <v>34</v>
      </c>
      <c r="G325">
        <v>225.8554728240222</v>
      </c>
    </row>
    <row r="326" spans="2:7" hidden="1" x14ac:dyDescent="0.25">
      <c r="B326" t="s">
        <v>7</v>
      </c>
      <c r="C326" s="142">
        <v>45565</v>
      </c>
      <c r="D326" s="142" t="str">
        <f>IF(C326&lt;Data!$J$1,"Actual","Forecasted")</f>
        <v>Actual</v>
      </c>
      <c r="E326" s="140" t="s">
        <v>188</v>
      </c>
      <c r="F326" t="s">
        <v>175</v>
      </c>
      <c r="G326">
        <v>0.10371683845717521</v>
      </c>
    </row>
    <row r="327" spans="2:7" hidden="1" x14ac:dyDescent="0.25">
      <c r="B327" t="s">
        <v>7</v>
      </c>
      <c r="C327" s="142">
        <v>45565</v>
      </c>
      <c r="D327" s="142" t="str">
        <f>IF(C327&lt;Data!$J$1,"Actual","Forecasted")</f>
        <v>Actual</v>
      </c>
      <c r="E327" s="140" t="s">
        <v>188</v>
      </c>
      <c r="F327" t="s">
        <v>19</v>
      </c>
      <c r="G327">
        <v>674775</v>
      </c>
    </row>
    <row r="328" spans="2:7" hidden="1" x14ac:dyDescent="0.25">
      <c r="B328" t="s">
        <v>7</v>
      </c>
      <c r="C328" s="142">
        <v>45565</v>
      </c>
      <c r="D328" s="142" t="str">
        <f>IF(C328&lt;Data!$J$1,"Actual","Forecasted")</f>
        <v>Actual</v>
      </c>
      <c r="E328" s="140" t="s">
        <v>188</v>
      </c>
      <c r="F328" t="s">
        <v>176</v>
      </c>
      <c r="G328">
        <v>0.18714395797340619</v>
      </c>
    </row>
    <row r="329" spans="2:7" hidden="1" x14ac:dyDescent="0.25">
      <c r="B329" t="s">
        <v>7</v>
      </c>
      <c r="C329" s="142">
        <v>45565</v>
      </c>
      <c r="D329" s="142" t="str">
        <f>IF(C329&lt;Data!$J$1,"Actual","Forecasted")</f>
        <v>Actual</v>
      </c>
      <c r="E329" s="140" t="s">
        <v>188</v>
      </c>
      <c r="F329" t="s">
        <v>11</v>
      </c>
      <c r="G329">
        <v>18459</v>
      </c>
    </row>
    <row r="330" spans="2:7" hidden="1" x14ac:dyDescent="0.25">
      <c r="B330" t="s">
        <v>7</v>
      </c>
      <c r="C330" s="142">
        <v>45565</v>
      </c>
      <c r="D330" s="142" t="str">
        <f>IF(C330&lt;Data!$J$1,"Actual","Forecasted")</f>
        <v>Actual</v>
      </c>
      <c r="E330" s="140" t="s">
        <v>188</v>
      </c>
      <c r="F330" t="s">
        <v>38</v>
      </c>
      <c r="G330">
        <v>2.7355785261753921E-2</v>
      </c>
    </row>
    <row r="331" spans="2:7" hidden="1" x14ac:dyDescent="0.25">
      <c r="B331" t="s">
        <v>7</v>
      </c>
      <c r="C331" s="142">
        <v>45565</v>
      </c>
      <c r="D331" s="142" t="str">
        <f>IF(C331&lt;Data!$J$1,"Actual","Forecasted")</f>
        <v>Actual</v>
      </c>
      <c r="E331" s="140" t="s">
        <v>188</v>
      </c>
      <c r="F331" t="s">
        <v>10</v>
      </c>
      <c r="G331">
        <v>693234</v>
      </c>
    </row>
    <row r="332" spans="2:7" x14ac:dyDescent="0.25">
      <c r="B332" t="s">
        <v>7</v>
      </c>
      <c r="C332" s="142">
        <v>45565</v>
      </c>
      <c r="D332" s="142" t="str">
        <f>IF(C332&lt;Data!$J$1,"Actual","Forecasted")</f>
        <v>Actual</v>
      </c>
      <c r="E332" s="140" t="s">
        <v>188</v>
      </c>
      <c r="F332" t="s">
        <v>177</v>
      </c>
      <c r="G332">
        <v>0.18465694994847709</v>
      </c>
    </row>
    <row r="333" spans="2:7" hidden="1" x14ac:dyDescent="0.25">
      <c r="B333" t="s">
        <v>7</v>
      </c>
      <c r="C333" s="142">
        <v>45565</v>
      </c>
      <c r="D333" s="142" t="str">
        <f>IF(C333&lt;Data!$J$1,"Actual","Forecasted")</f>
        <v>Actual</v>
      </c>
      <c r="E333" s="140" t="s">
        <v>189</v>
      </c>
      <c r="F333" t="s">
        <v>12</v>
      </c>
      <c r="G333">
        <v>-371134</v>
      </c>
    </row>
    <row r="334" spans="2:7" hidden="1" x14ac:dyDescent="0.25">
      <c r="B334" t="s">
        <v>7</v>
      </c>
      <c r="C334" s="142">
        <v>45565</v>
      </c>
      <c r="D334" s="142" t="str">
        <f>IF(C334&lt;Data!$J$1,"Actual","Forecasted")</f>
        <v>Actual</v>
      </c>
      <c r="E334" s="140" t="s">
        <v>189</v>
      </c>
      <c r="F334" t="s">
        <v>178</v>
      </c>
      <c r="G334">
        <v>0.55001148530991817</v>
      </c>
    </row>
    <row r="335" spans="2:7" hidden="1" x14ac:dyDescent="0.25">
      <c r="B335" t="s">
        <v>7</v>
      </c>
      <c r="C335" s="142">
        <v>45565</v>
      </c>
      <c r="D335" s="142" t="str">
        <f>IF(C335&lt;Data!$J$1,"Actual","Forecasted")</f>
        <v>Actual</v>
      </c>
      <c r="E335" s="140" t="s">
        <v>189</v>
      </c>
      <c r="F335" t="s">
        <v>13</v>
      </c>
      <c r="G335">
        <v>-78575</v>
      </c>
    </row>
    <row r="336" spans="2:7" hidden="1" x14ac:dyDescent="0.25">
      <c r="B336" t="s">
        <v>7</v>
      </c>
      <c r="C336" s="142">
        <v>45565</v>
      </c>
      <c r="D336" s="142" t="str">
        <f>IF(C336&lt;Data!$J$1,"Actual","Forecasted")</f>
        <v>Actual</v>
      </c>
      <c r="E336" s="140" t="s">
        <v>189</v>
      </c>
      <c r="F336" t="s">
        <v>41</v>
      </c>
      <c r="G336">
        <v>-443.9265536723164</v>
      </c>
    </row>
    <row r="337" spans="2:7" hidden="1" x14ac:dyDescent="0.25">
      <c r="B337" t="s">
        <v>7</v>
      </c>
      <c r="C337" s="142">
        <v>45565</v>
      </c>
      <c r="D337" s="142" t="str">
        <f>IF(C337&lt;Data!$J$1,"Actual","Forecasted")</f>
        <v>Actual</v>
      </c>
      <c r="E337" s="140" t="s">
        <v>189</v>
      </c>
      <c r="F337" t="s">
        <v>39</v>
      </c>
      <c r="G337">
        <v>-80379</v>
      </c>
    </row>
    <row r="338" spans="2:7" hidden="1" x14ac:dyDescent="0.25">
      <c r="B338" t="s">
        <v>7</v>
      </c>
      <c r="C338" s="142">
        <v>45565</v>
      </c>
      <c r="D338" s="142" t="str">
        <f>IF(C338&lt;Data!$J$1,"Actual","Forecasted")</f>
        <v>Actual</v>
      </c>
      <c r="E338" s="140" t="s">
        <v>189</v>
      </c>
      <c r="F338" t="s">
        <v>179</v>
      </c>
      <c r="G338">
        <v>0.11594786176096381</v>
      </c>
    </row>
    <row r="339" spans="2:7" hidden="1" x14ac:dyDescent="0.25">
      <c r="B339" t="s">
        <v>7</v>
      </c>
      <c r="C339" s="142">
        <v>45565</v>
      </c>
      <c r="D339" s="142" t="str">
        <f>IF(C339&lt;Data!$J$1,"Actual","Forecasted")</f>
        <v>Actual</v>
      </c>
      <c r="E339" s="140" t="s">
        <v>189</v>
      </c>
      <c r="F339" t="s">
        <v>40</v>
      </c>
      <c r="G339">
        <v>-69451</v>
      </c>
    </row>
    <row r="340" spans="2:7" hidden="1" x14ac:dyDescent="0.25">
      <c r="B340" t="s">
        <v>7</v>
      </c>
      <c r="C340" s="142">
        <v>45565</v>
      </c>
      <c r="D340" s="142" t="str">
        <f>IF(C340&lt;Data!$J$1,"Actual","Forecasted")</f>
        <v>Actual</v>
      </c>
      <c r="E340" s="140" t="s">
        <v>189</v>
      </c>
      <c r="F340" t="s">
        <v>180</v>
      </c>
      <c r="G340">
        <v>0.1001840648323654</v>
      </c>
    </row>
    <row r="341" spans="2:7" hidden="1" x14ac:dyDescent="0.25">
      <c r="B341" t="s">
        <v>7</v>
      </c>
      <c r="C341" s="142">
        <v>45565</v>
      </c>
      <c r="D341" s="142" t="str">
        <f>IF(C341&lt;Data!$J$1,"Actual","Forecasted")</f>
        <v>Actual</v>
      </c>
      <c r="E341" s="140" t="s">
        <v>190</v>
      </c>
      <c r="F341" t="s">
        <v>43</v>
      </c>
      <c r="G341">
        <v>93695</v>
      </c>
    </row>
    <row r="342" spans="2:7" hidden="1" x14ac:dyDescent="0.25">
      <c r="B342" t="s">
        <v>7</v>
      </c>
      <c r="C342" s="142">
        <v>45565</v>
      </c>
      <c r="D342" s="142" t="str">
        <f>IF(C342&lt;Data!$J$1,"Actual","Forecasted")</f>
        <v>Actual</v>
      </c>
      <c r="E342" s="140" t="s">
        <v>190</v>
      </c>
      <c r="F342" t="s">
        <v>44</v>
      </c>
      <c r="G342">
        <v>0.13515638298179261</v>
      </c>
    </row>
    <row r="343" spans="2:7" hidden="1" x14ac:dyDescent="0.25">
      <c r="B343" t="s">
        <v>7</v>
      </c>
      <c r="C343" s="142">
        <v>45565</v>
      </c>
      <c r="D343" s="142" t="str">
        <f>IF(C343&lt;Data!$J$1,"Actual","Forecasted")</f>
        <v>Actual</v>
      </c>
      <c r="E343" s="140" t="s">
        <v>190</v>
      </c>
      <c r="F343" t="s">
        <v>45</v>
      </c>
      <c r="G343">
        <v>-16213</v>
      </c>
    </row>
    <row r="344" spans="2:7" hidden="1" x14ac:dyDescent="0.25">
      <c r="B344" t="s">
        <v>7</v>
      </c>
      <c r="C344" s="142">
        <v>45565</v>
      </c>
      <c r="D344" s="142" t="str">
        <f>IF(C344&lt;Data!$J$1,"Actual","Forecasted")</f>
        <v>Actual</v>
      </c>
      <c r="E344" s="140" t="s">
        <v>189</v>
      </c>
      <c r="F344" t="s">
        <v>89</v>
      </c>
      <c r="G344">
        <v>-87106</v>
      </c>
    </row>
    <row r="345" spans="2:7" hidden="1" x14ac:dyDescent="0.25">
      <c r="B345" t="s">
        <v>7</v>
      </c>
      <c r="C345" s="142">
        <v>45565</v>
      </c>
      <c r="D345" s="142" t="str">
        <f>IF(C345&lt;Data!$J$1,"Actual","Forecasted")</f>
        <v>Actual</v>
      </c>
      <c r="E345" s="140" t="s">
        <v>189</v>
      </c>
      <c r="F345" t="s">
        <v>181</v>
      </c>
      <c r="G345">
        <v>0.12565165586223409</v>
      </c>
    </row>
    <row r="346" spans="2:7" hidden="1" x14ac:dyDescent="0.25">
      <c r="B346" t="s">
        <v>7</v>
      </c>
      <c r="C346" s="142">
        <v>45565</v>
      </c>
      <c r="D346" s="142" t="str">
        <f>IF(C346&lt;Data!$J$1,"Actual","Forecasted")</f>
        <v>Actual</v>
      </c>
      <c r="E346" s="140" t="s">
        <v>189</v>
      </c>
      <c r="F346" t="s">
        <v>90</v>
      </c>
      <c r="G346">
        <v>11752</v>
      </c>
    </row>
    <row r="347" spans="2:7" hidden="1" x14ac:dyDescent="0.25">
      <c r="B347" t="s">
        <v>7</v>
      </c>
      <c r="C347" s="142">
        <v>45565</v>
      </c>
      <c r="D347" s="142" t="str">
        <f>IF(C347&lt;Data!$J$1,"Actual","Forecasted")</f>
        <v>Actual</v>
      </c>
      <c r="E347" s="140" t="s">
        <v>189</v>
      </c>
      <c r="F347" t="s">
        <v>182</v>
      </c>
      <c r="G347">
        <v>3.1665112870284048E-2</v>
      </c>
    </row>
    <row r="348" spans="2:7" hidden="1" x14ac:dyDescent="0.25">
      <c r="B348" t="s">
        <v>7</v>
      </c>
      <c r="C348" s="142">
        <v>45565</v>
      </c>
      <c r="D348" s="142" t="str">
        <f>IF(C348&lt;Data!$J$1,"Actual","Forecasted")</f>
        <v>Actual</v>
      </c>
      <c r="E348" s="140" t="s">
        <v>190</v>
      </c>
      <c r="F348" t="s">
        <v>53</v>
      </c>
      <c r="G348">
        <v>93855</v>
      </c>
    </row>
    <row r="349" spans="2:7" hidden="1" x14ac:dyDescent="0.25">
      <c r="B349" t="s">
        <v>7</v>
      </c>
      <c r="C349" s="142">
        <v>45565</v>
      </c>
      <c r="D349" s="142" t="str">
        <f>IF(C349&lt;Data!$J$1,"Actual","Forecasted")</f>
        <v>Actual</v>
      </c>
      <c r="E349" s="140" t="s">
        <v>190</v>
      </c>
      <c r="F349" t="s">
        <v>183</v>
      </c>
      <c r="G349">
        <v>-2.0838886258387128</v>
      </c>
    </row>
    <row r="350" spans="2:7" hidden="1" x14ac:dyDescent="0.25">
      <c r="B350" t="s">
        <v>7</v>
      </c>
      <c r="C350" s="142">
        <v>45565</v>
      </c>
      <c r="D350" s="142" t="str">
        <f>IF(C350&lt;Data!$J$1,"Actual","Forecasted")</f>
        <v>Actual</v>
      </c>
      <c r="E350" s="140" t="s">
        <v>190</v>
      </c>
      <c r="F350" t="s">
        <v>73</v>
      </c>
      <c r="G350">
        <v>163146</v>
      </c>
    </row>
    <row r="351" spans="2:7" hidden="1" x14ac:dyDescent="0.25">
      <c r="B351" t="s">
        <v>7</v>
      </c>
      <c r="C351" s="142">
        <v>45565</v>
      </c>
      <c r="D351" s="142" t="str">
        <f>IF(C351&lt;Data!$J$1,"Actual","Forecasted")</f>
        <v>Actual</v>
      </c>
      <c r="E351" s="140" t="s">
        <v>190</v>
      </c>
      <c r="F351" t="s">
        <v>186</v>
      </c>
      <c r="G351">
        <v>0.47821359645546208</v>
      </c>
    </row>
    <row r="352" spans="2:7" hidden="1" x14ac:dyDescent="0.25">
      <c r="B352" t="s">
        <v>7</v>
      </c>
      <c r="C352" s="142">
        <v>45565</v>
      </c>
      <c r="D352" s="142" t="str">
        <f>IF(C352&lt;Data!$J$1,"Actual","Forecasted")</f>
        <v>Actual</v>
      </c>
      <c r="E352" s="140" t="s">
        <v>190</v>
      </c>
      <c r="F352" t="s">
        <v>143</v>
      </c>
      <c r="G352">
        <v>174898</v>
      </c>
    </row>
    <row r="353" spans="2:7" hidden="1" x14ac:dyDescent="0.25">
      <c r="B353" t="s">
        <v>7</v>
      </c>
      <c r="C353" s="142">
        <v>45565</v>
      </c>
      <c r="D353" s="142" t="str">
        <f>IF(C353&lt;Data!$J$1,"Actual","Forecasted")</f>
        <v>Actual</v>
      </c>
      <c r="E353" s="140" t="s">
        <v>190</v>
      </c>
      <c r="F353" t="s">
        <v>185</v>
      </c>
      <c r="G353">
        <v>0.39666999401078051</v>
      </c>
    </row>
    <row r="354" spans="2:7" hidden="1" x14ac:dyDescent="0.25">
      <c r="B354" t="s">
        <v>7</v>
      </c>
      <c r="C354" s="142">
        <v>45565</v>
      </c>
      <c r="D354" s="142" t="str">
        <f>IF(C354&lt;Data!$J$1,"Actual","Forecasted")</f>
        <v>Actual</v>
      </c>
      <c r="E354" s="140" t="s">
        <v>190</v>
      </c>
      <c r="F354" t="s">
        <v>153</v>
      </c>
      <c r="G354">
        <v>41355</v>
      </c>
    </row>
    <row r="355" spans="2:7" hidden="1" x14ac:dyDescent="0.25">
      <c r="B355" t="s">
        <v>7</v>
      </c>
      <c r="C355" s="142">
        <v>45565</v>
      </c>
      <c r="D355" s="142" t="str">
        <f>IF(C355&lt;Data!$J$1,"Actual","Forecasted")</f>
        <v>Actual</v>
      </c>
      <c r="E355" s="140" t="s">
        <v>190</v>
      </c>
      <c r="F355" t="s">
        <v>184</v>
      </c>
      <c r="G355">
        <v>4.2248894504106129</v>
      </c>
    </row>
    <row r="356" spans="2:7" hidden="1" x14ac:dyDescent="0.25">
      <c r="B356" t="s">
        <v>7</v>
      </c>
      <c r="C356" s="142">
        <v>45565</v>
      </c>
      <c r="D356" s="142" t="str">
        <f>IF(C356&lt;Data!$J$1,"Actual","Forecasted")</f>
        <v>Actual</v>
      </c>
      <c r="E356" s="140" t="s">
        <v>190</v>
      </c>
      <c r="F356" t="s">
        <v>155</v>
      </c>
      <c r="G356">
        <v>0.20377442164133139</v>
      </c>
    </row>
    <row r="357" spans="2:7" hidden="1" x14ac:dyDescent="0.25">
      <c r="B357" t="s">
        <v>7</v>
      </c>
      <c r="C357" s="142">
        <v>45565</v>
      </c>
      <c r="D357" s="142" t="str">
        <f>IF(C357&lt;Data!$J$1,"Actual","Forecasted")</f>
        <v>Actual</v>
      </c>
      <c r="E357" s="140" t="s">
        <v>190</v>
      </c>
      <c r="F357" t="s">
        <v>154</v>
      </c>
      <c r="G357">
        <v>202945</v>
      </c>
    </row>
    <row r="358" spans="2:7" hidden="1" x14ac:dyDescent="0.25">
      <c r="B358" t="s">
        <v>7</v>
      </c>
      <c r="C358" s="142">
        <v>45565</v>
      </c>
      <c r="D358" s="142" t="str">
        <f>IF(C358&lt;Data!$J$1,"Actual","Forecasted")</f>
        <v>Actual</v>
      </c>
      <c r="E358" s="140" t="s">
        <v>190</v>
      </c>
      <c r="F358" t="s">
        <v>194</v>
      </c>
      <c r="G358">
        <v>5.9655181367330508E-2</v>
      </c>
    </row>
    <row r="359" spans="2:7" hidden="1" x14ac:dyDescent="0.25">
      <c r="B359" t="s">
        <v>8</v>
      </c>
      <c r="C359" s="142">
        <v>45657</v>
      </c>
      <c r="D359" s="142" t="str">
        <f>IF(C359&lt;Data!$J$1,"Actual","Forecasted")</f>
        <v>Actual</v>
      </c>
      <c r="E359" s="140"/>
    </row>
    <row r="360" spans="2:7" hidden="1" x14ac:dyDescent="0.25">
      <c r="B360" t="s">
        <v>8</v>
      </c>
      <c r="C360" s="142">
        <v>45657</v>
      </c>
      <c r="D360" s="142" t="str">
        <f>IF(C360&lt;Data!$J$1,"Actual","Forecasted")</f>
        <v>Actual</v>
      </c>
      <c r="E360" s="140"/>
    </row>
    <row r="361" spans="2:7" hidden="1" x14ac:dyDescent="0.25">
      <c r="B361" t="s">
        <v>8</v>
      </c>
      <c r="C361" s="142">
        <v>45657</v>
      </c>
      <c r="D361" s="142" t="str">
        <f>IF(C361&lt;Data!$J$1,"Actual","Forecasted")</f>
        <v>Actual</v>
      </c>
      <c r="E361" s="140" t="s">
        <v>188</v>
      </c>
      <c r="F361" t="s">
        <v>35</v>
      </c>
      <c r="G361">
        <v>179</v>
      </c>
    </row>
    <row r="362" spans="2:7" hidden="1" x14ac:dyDescent="0.25">
      <c r="B362" t="s">
        <v>8</v>
      </c>
      <c r="C362" s="142">
        <v>45657</v>
      </c>
      <c r="D362" s="142" t="str">
        <f>IF(C362&lt;Data!$J$1,"Actual","Forecasted")</f>
        <v>Actual</v>
      </c>
      <c r="E362" s="140" t="s">
        <v>188</v>
      </c>
      <c r="F362" t="s">
        <v>37</v>
      </c>
      <c r="G362">
        <v>2</v>
      </c>
    </row>
    <row r="363" spans="2:7" hidden="1" x14ac:dyDescent="0.25">
      <c r="B363" t="s">
        <v>8</v>
      </c>
      <c r="C363" s="142">
        <v>45657</v>
      </c>
      <c r="D363" s="142" t="str">
        <f>IF(C363&lt;Data!$J$1,"Actual","Forecasted")</f>
        <v>Actual</v>
      </c>
      <c r="E363" s="140" t="s">
        <v>188</v>
      </c>
      <c r="F363" t="s">
        <v>36</v>
      </c>
      <c r="G363">
        <v>4536.6592178770952</v>
      </c>
    </row>
    <row r="364" spans="2:7" hidden="1" x14ac:dyDescent="0.25">
      <c r="B364" t="s">
        <v>8</v>
      </c>
      <c r="C364" s="142">
        <v>45657</v>
      </c>
      <c r="D364" s="142" t="str">
        <f>IF(C364&lt;Data!$J$1,"Actual","Forecasted")</f>
        <v>Actual</v>
      </c>
      <c r="E364" s="140" t="s">
        <v>188</v>
      </c>
      <c r="F364" t="s">
        <v>14</v>
      </c>
      <c r="G364">
        <v>812062</v>
      </c>
    </row>
    <row r="365" spans="2:7" hidden="1" x14ac:dyDescent="0.25">
      <c r="B365" t="s">
        <v>8</v>
      </c>
      <c r="C365" s="142">
        <v>45657</v>
      </c>
      <c r="D365" s="142" t="str">
        <f>IF(C365&lt;Data!$J$1,"Actual","Forecasted")</f>
        <v>Actual</v>
      </c>
      <c r="E365" s="140" t="s">
        <v>188</v>
      </c>
      <c r="F365" t="s">
        <v>170</v>
      </c>
      <c r="G365">
        <v>6.400023060313198E-2</v>
      </c>
    </row>
    <row r="366" spans="2:7" hidden="1" x14ac:dyDescent="0.25">
      <c r="B366" t="s">
        <v>8</v>
      </c>
      <c r="C366" s="142">
        <v>45657</v>
      </c>
      <c r="D366" s="142" t="str">
        <f>IF(C366&lt;Data!$J$1,"Actual","Forecasted")</f>
        <v>Actual</v>
      </c>
      <c r="E366" s="140" t="s">
        <v>188</v>
      </c>
      <c r="F366" t="s">
        <v>15</v>
      </c>
      <c r="G366">
        <v>54023</v>
      </c>
    </row>
    <row r="367" spans="2:7" hidden="1" x14ac:dyDescent="0.25">
      <c r="B367" t="s">
        <v>8</v>
      </c>
      <c r="C367" s="142">
        <v>45657</v>
      </c>
      <c r="D367" s="142" t="str">
        <f>IF(C367&lt;Data!$J$1,"Actual","Forecasted")</f>
        <v>Actual</v>
      </c>
      <c r="E367" s="140" t="s">
        <v>188</v>
      </c>
      <c r="F367" t="s">
        <v>171</v>
      </c>
      <c r="G367">
        <v>4.4528228924980651E-2</v>
      </c>
    </row>
    <row r="368" spans="2:7" hidden="1" x14ac:dyDescent="0.25">
      <c r="B368" t="s">
        <v>8</v>
      </c>
      <c r="C368" s="142">
        <v>45657</v>
      </c>
      <c r="D368" s="142" t="str">
        <f>IF(C368&lt;Data!$J$1,"Actual","Forecasted")</f>
        <v>Actual</v>
      </c>
      <c r="E368" s="140" t="s">
        <v>188</v>
      </c>
      <c r="F368" t="s">
        <v>159</v>
      </c>
      <c r="G368">
        <v>15</v>
      </c>
    </row>
    <row r="369" spans="2:7" hidden="1" x14ac:dyDescent="0.25">
      <c r="B369" t="s">
        <v>8</v>
      </c>
      <c r="C369" s="142">
        <v>45657</v>
      </c>
      <c r="D369" s="142" t="str">
        <f>IF(C369&lt;Data!$J$1,"Actual","Forecasted")</f>
        <v>Actual</v>
      </c>
      <c r="E369" s="140" t="s">
        <v>188</v>
      </c>
      <c r="F369" t="s">
        <v>160</v>
      </c>
      <c r="G369">
        <v>0</v>
      </c>
    </row>
    <row r="370" spans="2:7" hidden="1" x14ac:dyDescent="0.25">
      <c r="B370" t="s">
        <v>8</v>
      </c>
      <c r="C370" s="142">
        <v>45657</v>
      </c>
      <c r="D370" s="142" t="str">
        <f>IF(C370&lt;Data!$J$1,"Actual","Forecasted")</f>
        <v>Actual</v>
      </c>
      <c r="E370" s="140" t="s">
        <v>188</v>
      </c>
      <c r="F370" t="s">
        <v>158</v>
      </c>
      <c r="G370">
        <v>588.31837963111195</v>
      </c>
    </row>
    <row r="371" spans="2:7" hidden="1" x14ac:dyDescent="0.25">
      <c r="B371" t="s">
        <v>8</v>
      </c>
      <c r="C371" s="142">
        <v>45657</v>
      </c>
      <c r="D371" s="142" t="str">
        <f>IF(C371&lt;Data!$J$1,"Actual","Forecasted")</f>
        <v>Actual</v>
      </c>
      <c r="E371" s="140" t="s">
        <v>188</v>
      </c>
      <c r="F371" t="s">
        <v>172</v>
      </c>
      <c r="G371">
        <v>0.10927089435213121</v>
      </c>
    </row>
    <row r="372" spans="2:7" hidden="1" x14ac:dyDescent="0.25">
      <c r="B372" t="s">
        <v>8</v>
      </c>
      <c r="C372" s="142">
        <v>45657</v>
      </c>
      <c r="D372" s="142" t="str">
        <f>IF(C372&lt;Data!$J$1,"Actual","Forecasted")</f>
        <v>Actual</v>
      </c>
      <c r="E372" s="140" t="s">
        <v>188</v>
      </c>
      <c r="F372" t="s">
        <v>17</v>
      </c>
      <c r="G372">
        <v>477751</v>
      </c>
    </row>
    <row r="373" spans="2:7" hidden="1" x14ac:dyDescent="0.25">
      <c r="B373" t="s">
        <v>8</v>
      </c>
      <c r="C373" s="142">
        <v>45657</v>
      </c>
      <c r="D373" s="142" t="str">
        <f>IF(C373&lt;Data!$J$1,"Actual","Forecasted")</f>
        <v>Actual</v>
      </c>
      <c r="E373" s="140" t="s">
        <v>188</v>
      </c>
      <c r="F373" t="s">
        <v>173</v>
      </c>
      <c r="G373">
        <v>0.18026448739201009</v>
      </c>
    </row>
    <row r="374" spans="2:7" hidden="1" x14ac:dyDescent="0.25">
      <c r="B374" t="s">
        <v>8</v>
      </c>
      <c r="C374" s="142">
        <v>45657</v>
      </c>
      <c r="D374" s="142" t="str">
        <f>IF(C374&lt;Data!$J$1,"Actual","Forecasted")</f>
        <v>Actual</v>
      </c>
      <c r="E374" s="140" t="s">
        <v>188</v>
      </c>
      <c r="F374" t="s">
        <v>18</v>
      </c>
      <c r="G374">
        <v>168633</v>
      </c>
    </row>
    <row r="375" spans="2:7" hidden="1" x14ac:dyDescent="0.25">
      <c r="B375" t="s">
        <v>8</v>
      </c>
      <c r="C375" s="142">
        <v>45657</v>
      </c>
      <c r="D375" s="142" t="str">
        <f>IF(C375&lt;Data!$J$1,"Actual","Forecasted")</f>
        <v>Actual</v>
      </c>
      <c r="E375" s="140" t="s">
        <v>188</v>
      </c>
      <c r="F375" t="s">
        <v>174</v>
      </c>
      <c r="G375">
        <v>0.19371827815413359</v>
      </c>
    </row>
    <row r="376" spans="2:7" hidden="1" x14ac:dyDescent="0.25">
      <c r="B376" t="s">
        <v>8</v>
      </c>
      <c r="C376" s="142">
        <v>45657</v>
      </c>
      <c r="D376" s="142" t="str">
        <f>IF(C376&lt;Data!$J$1,"Actual","Forecasted")</f>
        <v>Actual</v>
      </c>
      <c r="E376" s="140" t="s">
        <v>188</v>
      </c>
      <c r="F376" t="s">
        <v>34</v>
      </c>
      <c r="G376">
        <v>207.66025254229359</v>
      </c>
    </row>
    <row r="377" spans="2:7" hidden="1" x14ac:dyDescent="0.25">
      <c r="B377" t="s">
        <v>8</v>
      </c>
      <c r="C377" s="142">
        <v>45657</v>
      </c>
      <c r="D377" s="142" t="str">
        <f>IF(C377&lt;Data!$J$1,"Actual","Forecasted")</f>
        <v>Actual</v>
      </c>
      <c r="E377" s="140" t="s">
        <v>188</v>
      </c>
      <c r="F377" t="s">
        <v>175</v>
      </c>
      <c r="G377">
        <v>0.1219154318016178</v>
      </c>
    </row>
    <row r="378" spans="2:7" hidden="1" x14ac:dyDescent="0.25">
      <c r="B378" t="s">
        <v>8</v>
      </c>
      <c r="C378" s="142">
        <v>45657</v>
      </c>
      <c r="D378" s="142" t="str">
        <f>IF(C378&lt;Data!$J$1,"Actual","Forecasted")</f>
        <v>Actual</v>
      </c>
      <c r="E378" s="140" t="s">
        <v>188</v>
      </c>
      <c r="F378" t="s">
        <v>19</v>
      </c>
      <c r="G378">
        <v>646384</v>
      </c>
    </row>
    <row r="379" spans="2:7" hidden="1" x14ac:dyDescent="0.25">
      <c r="B379" t="s">
        <v>8</v>
      </c>
      <c r="C379" s="142">
        <v>45657</v>
      </c>
      <c r="D379" s="142" t="str">
        <f>IF(C379&lt;Data!$J$1,"Actual","Forecasted")</f>
        <v>Actual</v>
      </c>
      <c r="E379" s="140" t="s">
        <v>188</v>
      </c>
      <c r="F379" t="s">
        <v>176</v>
      </c>
      <c r="G379">
        <v>0.18374507828953399</v>
      </c>
    </row>
    <row r="380" spans="2:7" hidden="1" x14ac:dyDescent="0.25">
      <c r="B380" t="s">
        <v>8</v>
      </c>
      <c r="C380" s="142">
        <v>45657</v>
      </c>
      <c r="D380" s="142" t="str">
        <f>IF(C380&lt;Data!$J$1,"Actual","Forecasted")</f>
        <v>Actual</v>
      </c>
      <c r="E380" s="140" t="s">
        <v>188</v>
      </c>
      <c r="F380" t="s">
        <v>11</v>
      </c>
      <c r="G380">
        <v>16899</v>
      </c>
    </row>
    <row r="381" spans="2:7" hidden="1" x14ac:dyDescent="0.25">
      <c r="B381" t="s">
        <v>8</v>
      </c>
      <c r="C381" s="142">
        <v>45657</v>
      </c>
      <c r="D381" s="142" t="str">
        <f>IF(C381&lt;Data!$J$1,"Actual","Forecasted")</f>
        <v>Actual</v>
      </c>
      <c r="E381" s="140" t="s">
        <v>188</v>
      </c>
      <c r="F381" t="s">
        <v>38</v>
      </c>
      <c r="G381">
        <v>2.6143902076784079E-2</v>
      </c>
    </row>
    <row r="382" spans="2:7" hidden="1" x14ac:dyDescent="0.25">
      <c r="B382" t="s">
        <v>8</v>
      </c>
      <c r="C382" s="142">
        <v>45657</v>
      </c>
      <c r="D382" s="142" t="str">
        <f>IF(C382&lt;Data!$J$1,"Actual","Forecasted")</f>
        <v>Actual</v>
      </c>
      <c r="E382" s="140" t="s">
        <v>188</v>
      </c>
      <c r="F382" t="s">
        <v>10</v>
      </c>
      <c r="G382">
        <v>663283</v>
      </c>
    </row>
    <row r="383" spans="2:7" x14ac:dyDescent="0.25">
      <c r="B383" t="s">
        <v>8</v>
      </c>
      <c r="C383" s="142">
        <v>45657</v>
      </c>
      <c r="D383" s="142" t="str">
        <f>IF(C383&lt;Data!$J$1,"Actual","Forecasted")</f>
        <v>Actual</v>
      </c>
      <c r="E383" s="140" t="s">
        <v>188</v>
      </c>
      <c r="F383" t="s">
        <v>177</v>
      </c>
      <c r="G383">
        <v>0.1869052348282316</v>
      </c>
    </row>
    <row r="384" spans="2:7" hidden="1" x14ac:dyDescent="0.25">
      <c r="B384" t="s">
        <v>8</v>
      </c>
      <c r="C384" s="142">
        <v>45657</v>
      </c>
      <c r="D384" s="142" t="str">
        <f>IF(C384&lt;Data!$J$1,"Actual","Forecasted")</f>
        <v>Actual</v>
      </c>
      <c r="E384" s="140" t="s">
        <v>189</v>
      </c>
      <c r="F384" t="s">
        <v>12</v>
      </c>
      <c r="G384">
        <v>-343877</v>
      </c>
    </row>
    <row r="385" spans="2:7" hidden="1" x14ac:dyDescent="0.25">
      <c r="B385" t="s">
        <v>8</v>
      </c>
      <c r="C385" s="142">
        <v>45657</v>
      </c>
      <c r="D385" s="142" t="str">
        <f>IF(C385&lt;Data!$J$1,"Actual","Forecasted")</f>
        <v>Actual</v>
      </c>
      <c r="E385" s="140" t="s">
        <v>189</v>
      </c>
      <c r="F385" t="s">
        <v>178</v>
      </c>
      <c r="G385">
        <v>0.53200110151241364</v>
      </c>
    </row>
    <row r="386" spans="2:7" hidden="1" x14ac:dyDescent="0.25">
      <c r="B386" t="s">
        <v>8</v>
      </c>
      <c r="C386" s="142">
        <v>45657</v>
      </c>
      <c r="D386" s="142" t="str">
        <f>IF(C386&lt;Data!$J$1,"Actual","Forecasted")</f>
        <v>Actual</v>
      </c>
      <c r="E386" s="140" t="s">
        <v>189</v>
      </c>
      <c r="F386" t="s">
        <v>13</v>
      </c>
      <c r="G386">
        <v>-79141</v>
      </c>
    </row>
    <row r="387" spans="2:7" hidden="1" x14ac:dyDescent="0.25">
      <c r="B387" t="s">
        <v>8</v>
      </c>
      <c r="C387" s="142">
        <v>45657</v>
      </c>
      <c r="D387" s="142" t="str">
        <f>IF(C387&lt;Data!$J$1,"Actual","Forecasted")</f>
        <v>Actual</v>
      </c>
      <c r="E387" s="140" t="s">
        <v>189</v>
      </c>
      <c r="F387" t="s">
        <v>41</v>
      </c>
      <c r="G387">
        <v>-442.12849162011167</v>
      </c>
    </row>
    <row r="388" spans="2:7" hidden="1" x14ac:dyDescent="0.25">
      <c r="B388" t="s">
        <v>8</v>
      </c>
      <c r="C388" s="142">
        <v>45657</v>
      </c>
      <c r="D388" s="142" t="str">
        <f>IF(C388&lt;Data!$J$1,"Actual","Forecasted")</f>
        <v>Actual</v>
      </c>
      <c r="E388" s="140" t="s">
        <v>189</v>
      </c>
      <c r="F388" t="s">
        <v>39</v>
      </c>
      <c r="G388">
        <v>-83677</v>
      </c>
    </row>
    <row r="389" spans="2:7" hidden="1" x14ac:dyDescent="0.25">
      <c r="B389" t="s">
        <v>8</v>
      </c>
      <c r="C389" s="142">
        <v>45657</v>
      </c>
      <c r="D389" s="142" t="str">
        <f>IF(C389&lt;Data!$J$1,"Actual","Forecasted")</f>
        <v>Actual</v>
      </c>
      <c r="E389" s="140" t="s">
        <v>189</v>
      </c>
      <c r="F389" t="s">
        <v>179</v>
      </c>
      <c r="G389">
        <v>0.12615580378209601</v>
      </c>
    </row>
    <row r="390" spans="2:7" hidden="1" x14ac:dyDescent="0.25">
      <c r="B390" t="s">
        <v>8</v>
      </c>
      <c r="C390" s="142">
        <v>45657</v>
      </c>
      <c r="D390" s="142" t="str">
        <f>IF(C390&lt;Data!$J$1,"Actual","Forecasted")</f>
        <v>Actual</v>
      </c>
      <c r="E390" s="140" t="s">
        <v>189</v>
      </c>
      <c r="F390" t="s">
        <v>40</v>
      </c>
      <c r="G390">
        <v>-69613</v>
      </c>
    </row>
    <row r="391" spans="2:7" hidden="1" x14ac:dyDescent="0.25">
      <c r="B391" t="s">
        <v>8</v>
      </c>
      <c r="C391" s="142">
        <v>45657</v>
      </c>
      <c r="D391" s="142" t="str">
        <f>IF(C391&lt;Data!$J$1,"Actual","Forecasted")</f>
        <v>Actual</v>
      </c>
      <c r="E391" s="140" t="s">
        <v>189</v>
      </c>
      <c r="F391" t="s">
        <v>180</v>
      </c>
      <c r="G391">
        <v>0.1049521848140236</v>
      </c>
    </row>
    <row r="392" spans="2:7" hidden="1" x14ac:dyDescent="0.25">
      <c r="B392" t="s">
        <v>8</v>
      </c>
      <c r="C392" s="142">
        <v>45657</v>
      </c>
      <c r="D392" s="142" t="str">
        <f>IF(C392&lt;Data!$J$1,"Actual","Forecasted")</f>
        <v>Actual</v>
      </c>
      <c r="E392" s="140" t="s">
        <v>190</v>
      </c>
      <c r="F392" t="s">
        <v>43</v>
      </c>
      <c r="G392">
        <v>86975</v>
      </c>
    </row>
    <row r="393" spans="2:7" hidden="1" x14ac:dyDescent="0.25">
      <c r="B393" t="s">
        <v>8</v>
      </c>
      <c r="C393" s="142">
        <v>45657</v>
      </c>
      <c r="D393" s="142" t="str">
        <f>IF(C393&lt;Data!$J$1,"Actual","Forecasted")</f>
        <v>Actual</v>
      </c>
      <c r="E393" s="140" t="s">
        <v>190</v>
      </c>
      <c r="F393" t="s">
        <v>44</v>
      </c>
      <c r="G393">
        <v>0.13112804036889231</v>
      </c>
    </row>
    <row r="394" spans="2:7" hidden="1" x14ac:dyDescent="0.25">
      <c r="B394" t="s">
        <v>8</v>
      </c>
      <c r="C394" s="142">
        <v>45657</v>
      </c>
      <c r="D394" s="142" t="str">
        <f>IF(C394&lt;Data!$J$1,"Actual","Forecasted")</f>
        <v>Actual</v>
      </c>
      <c r="E394" s="140" t="s">
        <v>190</v>
      </c>
      <c r="F394" t="s">
        <v>45</v>
      </c>
      <c r="G394">
        <v>-12583</v>
      </c>
    </row>
    <row r="395" spans="2:7" hidden="1" x14ac:dyDescent="0.25">
      <c r="B395" t="s">
        <v>8</v>
      </c>
      <c r="C395" s="142">
        <v>45657</v>
      </c>
      <c r="D395" s="142" t="str">
        <f>IF(C395&lt;Data!$J$1,"Actual","Forecasted")</f>
        <v>Actual</v>
      </c>
      <c r="E395" s="140" t="s">
        <v>189</v>
      </c>
      <c r="F395" t="s">
        <v>89</v>
      </c>
      <c r="G395">
        <v>-136322</v>
      </c>
    </row>
    <row r="396" spans="2:7" hidden="1" x14ac:dyDescent="0.25">
      <c r="B396" t="s">
        <v>8</v>
      </c>
      <c r="C396" s="142">
        <v>45657</v>
      </c>
      <c r="D396" s="142" t="str">
        <f>IF(C396&lt;Data!$J$1,"Actual","Forecasted")</f>
        <v>Actual</v>
      </c>
      <c r="E396" s="140" t="s">
        <v>189</v>
      </c>
      <c r="F396" t="s">
        <v>181</v>
      </c>
      <c r="G396">
        <v>0.20552614796399121</v>
      </c>
    </row>
    <row r="397" spans="2:7" hidden="1" x14ac:dyDescent="0.25">
      <c r="B397" t="s">
        <v>8</v>
      </c>
      <c r="C397" s="142">
        <v>45657</v>
      </c>
      <c r="D397" s="142" t="str">
        <f>IF(C397&lt;Data!$J$1,"Actual","Forecasted")</f>
        <v>Actual</v>
      </c>
      <c r="E397" s="140" t="s">
        <v>189</v>
      </c>
      <c r="F397" t="s">
        <v>90</v>
      </c>
      <c r="G397">
        <v>20584</v>
      </c>
    </row>
    <row r="398" spans="2:7" hidden="1" x14ac:dyDescent="0.25">
      <c r="B398" t="s">
        <v>8</v>
      </c>
      <c r="C398" s="142">
        <v>45657</v>
      </c>
      <c r="D398" s="142" t="str">
        <f>IF(C398&lt;Data!$J$1,"Actual","Forecasted")</f>
        <v>Actual</v>
      </c>
      <c r="E398" s="140" t="s">
        <v>189</v>
      </c>
      <c r="F398" t="s">
        <v>182</v>
      </c>
      <c r="G398">
        <v>5.985861223635195E-2</v>
      </c>
    </row>
    <row r="399" spans="2:7" hidden="1" x14ac:dyDescent="0.25">
      <c r="B399" t="s">
        <v>8</v>
      </c>
      <c r="C399" s="142">
        <v>45657</v>
      </c>
      <c r="D399" s="142" t="str">
        <f>IF(C399&lt;Data!$J$1,"Actual","Forecasted")</f>
        <v>Actual</v>
      </c>
      <c r="E399" s="140" t="s">
        <v>190</v>
      </c>
      <c r="F399" t="s">
        <v>53</v>
      </c>
      <c r="G399">
        <v>66706</v>
      </c>
    </row>
    <row r="400" spans="2:7" hidden="1" x14ac:dyDescent="0.25">
      <c r="B400" t="s">
        <v>8</v>
      </c>
      <c r="C400" s="142">
        <v>45657</v>
      </c>
      <c r="D400" s="142" t="str">
        <f>IF(C400&lt;Data!$J$1,"Actual","Forecasted")</f>
        <v>Actual</v>
      </c>
      <c r="E400" s="140" t="s">
        <v>190</v>
      </c>
      <c r="F400" t="s">
        <v>183</v>
      </c>
      <c r="G400">
        <v>-3.297988149373019</v>
      </c>
    </row>
    <row r="401" spans="2:7" hidden="1" x14ac:dyDescent="0.25">
      <c r="B401" t="s">
        <v>8</v>
      </c>
      <c r="C401" s="142">
        <v>45657</v>
      </c>
      <c r="D401" s="142" t="str">
        <f>IF(C401&lt;Data!$J$1,"Actual","Forecasted")</f>
        <v>Actual</v>
      </c>
      <c r="E401" s="140" t="s">
        <v>190</v>
      </c>
      <c r="F401" t="s">
        <v>73</v>
      </c>
      <c r="G401">
        <v>156588</v>
      </c>
    </row>
    <row r="402" spans="2:7" hidden="1" x14ac:dyDescent="0.25">
      <c r="B402" t="s">
        <v>8</v>
      </c>
      <c r="C402" s="142">
        <v>45657</v>
      </c>
      <c r="D402" s="142" t="str">
        <f>IF(C402&lt;Data!$J$1,"Actual","Forecasted")</f>
        <v>Actual</v>
      </c>
      <c r="E402" s="140" t="s">
        <v>190</v>
      </c>
      <c r="F402" t="s">
        <v>186</v>
      </c>
      <c r="G402">
        <v>0.27308352100423572</v>
      </c>
    </row>
    <row r="403" spans="2:7" hidden="1" x14ac:dyDescent="0.25">
      <c r="B403" t="s">
        <v>8</v>
      </c>
      <c r="C403" s="142">
        <v>45657</v>
      </c>
      <c r="D403" s="142" t="str">
        <f>IF(C403&lt;Data!$J$1,"Actual","Forecasted")</f>
        <v>Actual</v>
      </c>
      <c r="E403" s="140" t="s">
        <v>190</v>
      </c>
      <c r="F403" t="s">
        <v>143</v>
      </c>
      <c r="G403">
        <v>177172</v>
      </c>
    </row>
    <row r="404" spans="2:7" hidden="1" x14ac:dyDescent="0.25">
      <c r="B404" t="s">
        <v>8</v>
      </c>
      <c r="C404" s="142">
        <v>45657</v>
      </c>
      <c r="D404" s="142" t="str">
        <f>IF(C404&lt;Data!$J$1,"Actual","Forecasted")</f>
        <v>Actual</v>
      </c>
      <c r="E404" s="140" t="s">
        <v>190</v>
      </c>
      <c r="F404" t="s">
        <v>185</v>
      </c>
      <c r="G404">
        <v>0.30164421000044078</v>
      </c>
    </row>
    <row r="405" spans="2:7" hidden="1" x14ac:dyDescent="0.25">
      <c r="B405" t="s">
        <v>8</v>
      </c>
      <c r="C405" s="142">
        <v>45657</v>
      </c>
      <c r="D405" s="142" t="str">
        <f>IF(C405&lt;Data!$J$1,"Actual","Forecasted")</f>
        <v>Actual</v>
      </c>
      <c r="E405" s="140" t="s">
        <v>190</v>
      </c>
      <c r="F405" t="s">
        <v>153</v>
      </c>
      <c r="G405">
        <v>37163</v>
      </c>
    </row>
    <row r="406" spans="2:7" hidden="1" x14ac:dyDescent="0.25">
      <c r="B406" t="s">
        <v>8</v>
      </c>
      <c r="C406" s="142">
        <v>45657</v>
      </c>
      <c r="D406" s="142" t="str">
        <f>IF(C406&lt;Data!$J$1,"Actual","Forecasted")</f>
        <v>Actual</v>
      </c>
      <c r="E406" s="140" t="s">
        <v>190</v>
      </c>
      <c r="F406" t="s">
        <v>184</v>
      </c>
      <c r="G406">
        <v>0.56911839216348592</v>
      </c>
    </row>
    <row r="407" spans="2:7" hidden="1" x14ac:dyDescent="0.25">
      <c r="B407" t="s">
        <v>8</v>
      </c>
      <c r="C407" s="142">
        <v>45657</v>
      </c>
      <c r="D407" s="142" t="str">
        <f>IF(C407&lt;Data!$J$1,"Actual","Forecasted")</f>
        <v>Actual</v>
      </c>
      <c r="E407" s="140" t="s">
        <v>190</v>
      </c>
      <c r="F407" t="s">
        <v>155</v>
      </c>
      <c r="G407">
        <v>0.18430370958143219</v>
      </c>
    </row>
    <row r="408" spans="2:7" hidden="1" x14ac:dyDescent="0.25">
      <c r="B408" t="s">
        <v>8</v>
      </c>
      <c r="C408" s="142">
        <v>45657</v>
      </c>
      <c r="D408" s="142" t="str">
        <f>IF(C408&lt;Data!$J$1,"Actual","Forecasted")</f>
        <v>Actual</v>
      </c>
      <c r="E408" s="140" t="s">
        <v>190</v>
      </c>
      <c r="F408" t="s">
        <v>154</v>
      </c>
      <c r="G408">
        <v>201640</v>
      </c>
    </row>
    <row r="409" spans="2:7" hidden="1" x14ac:dyDescent="0.25">
      <c r="B409" t="s">
        <v>8</v>
      </c>
      <c r="C409" s="142">
        <v>45657</v>
      </c>
      <c r="D409" s="142" t="str">
        <f>IF(C409&lt;Data!$J$1,"Actual","Forecasted")</f>
        <v>Actual</v>
      </c>
      <c r="E409" s="140" t="s">
        <v>190</v>
      </c>
      <c r="F409" t="s">
        <v>194</v>
      </c>
      <c r="G409">
        <v>5.60288745527927E-2</v>
      </c>
    </row>
    <row r="410" spans="2:7" hidden="1" x14ac:dyDescent="0.25">
      <c r="B410" t="s">
        <v>92</v>
      </c>
      <c r="C410" s="142">
        <v>45747</v>
      </c>
      <c r="D410" s="142" t="str">
        <f>IF(C410&lt;Data!$J$1,"Actual","Forecasted")</f>
        <v>Forecasted</v>
      </c>
      <c r="E410" s="140"/>
    </row>
    <row r="411" spans="2:7" hidden="1" x14ac:dyDescent="0.25">
      <c r="B411" t="s">
        <v>92</v>
      </c>
      <c r="C411" s="142">
        <v>45747</v>
      </c>
      <c r="D411" s="142" t="str">
        <f>IF(C411&lt;Data!$J$1,"Actual","Forecasted")</f>
        <v>Forecasted</v>
      </c>
      <c r="E411" s="140"/>
    </row>
    <row r="412" spans="2:7" hidden="1" x14ac:dyDescent="0.25">
      <c r="B412" t="s">
        <v>92</v>
      </c>
      <c r="C412" s="142">
        <v>45747</v>
      </c>
      <c r="D412" s="142" t="str">
        <f>IF(C412&lt;Data!$J$1,"Actual","Forecasted")</f>
        <v>Forecasted</v>
      </c>
      <c r="E412" s="140" t="s">
        <v>188</v>
      </c>
      <c r="F412" t="s">
        <v>35</v>
      </c>
      <c r="G412">
        <v>182</v>
      </c>
    </row>
    <row r="413" spans="2:7" hidden="1" x14ac:dyDescent="0.25">
      <c r="B413" t="s">
        <v>92</v>
      </c>
      <c r="C413" s="142">
        <v>45747</v>
      </c>
      <c r="D413" s="142" t="str">
        <f>IF(C413&lt;Data!$J$1,"Actual","Forecasted")</f>
        <v>Forecasted</v>
      </c>
      <c r="E413" s="140" t="s">
        <v>188</v>
      </c>
      <c r="F413" t="s">
        <v>37</v>
      </c>
      <c r="G413">
        <v>3</v>
      </c>
    </row>
    <row r="414" spans="2:7" hidden="1" x14ac:dyDescent="0.25">
      <c r="B414" t="s">
        <v>92</v>
      </c>
      <c r="C414" s="142">
        <v>45747</v>
      </c>
      <c r="D414" s="142" t="str">
        <f>IF(C414&lt;Data!$J$1,"Actual","Forecasted")</f>
        <v>Forecasted</v>
      </c>
      <c r="E414" s="140" t="s">
        <v>188</v>
      </c>
      <c r="F414" t="s">
        <v>36</v>
      </c>
      <c r="G414">
        <v>4661.2201503119686</v>
      </c>
    </row>
    <row r="415" spans="2:7" hidden="1" x14ac:dyDescent="0.25">
      <c r="B415" t="s">
        <v>92</v>
      </c>
      <c r="C415" s="142">
        <v>45747</v>
      </c>
      <c r="D415" s="142" t="str">
        <f>IF(C415&lt;Data!$J$1,"Actual","Forecasted")</f>
        <v>Forecasted</v>
      </c>
      <c r="E415" s="140" t="s">
        <v>188</v>
      </c>
      <c r="F415" t="s">
        <v>14</v>
      </c>
      <c r="G415">
        <v>848342.06735677831</v>
      </c>
    </row>
    <row r="416" spans="2:7" hidden="1" x14ac:dyDescent="0.25">
      <c r="B416" t="s">
        <v>92</v>
      </c>
      <c r="C416" s="142">
        <v>45747</v>
      </c>
      <c r="D416" s="142" t="str">
        <f>IF(C416&lt;Data!$J$1,"Actual","Forecasted")</f>
        <v>Forecasted</v>
      </c>
      <c r="E416" s="140" t="s">
        <v>188</v>
      </c>
      <c r="F416" t="s">
        <v>170</v>
      </c>
      <c r="G416">
        <v>5.776993722868573E-2</v>
      </c>
    </row>
    <row r="417" spans="2:7" hidden="1" x14ac:dyDescent="0.25">
      <c r="B417" t="s">
        <v>92</v>
      </c>
      <c r="C417" s="142">
        <v>45747</v>
      </c>
      <c r="D417" s="142" t="str">
        <f>IF(C417&lt;Data!$J$1,"Actual","Forecasted")</f>
        <v>Forecasted</v>
      </c>
      <c r="E417" s="140" t="s">
        <v>188</v>
      </c>
      <c r="F417" t="s">
        <v>15</v>
      </c>
      <c r="G417">
        <v>53335.700425367359</v>
      </c>
    </row>
    <row r="418" spans="2:7" hidden="1" x14ac:dyDescent="0.25">
      <c r="B418" t="s">
        <v>92</v>
      </c>
      <c r="C418" s="142">
        <v>45747</v>
      </c>
      <c r="D418" s="142" t="str">
        <f>IF(C418&lt;Data!$J$1,"Actual","Forecasted")</f>
        <v>Forecasted</v>
      </c>
      <c r="E418" s="140" t="s">
        <v>188</v>
      </c>
      <c r="F418" t="s">
        <v>171</v>
      </c>
      <c r="G418">
        <v>4.4528228924980651E-2</v>
      </c>
    </row>
    <row r="419" spans="2:7" hidden="1" x14ac:dyDescent="0.25">
      <c r="B419" t="s">
        <v>92</v>
      </c>
      <c r="C419" s="142">
        <v>45747</v>
      </c>
      <c r="D419" s="142" t="str">
        <f>IF(C419&lt;Data!$J$1,"Actual","Forecasted")</f>
        <v>Forecasted</v>
      </c>
      <c r="E419" s="140" t="s">
        <v>188</v>
      </c>
      <c r="F419" t="s">
        <v>159</v>
      </c>
      <c r="G419">
        <v>15.3</v>
      </c>
    </row>
    <row r="420" spans="2:7" hidden="1" x14ac:dyDescent="0.25">
      <c r="B420" t="s">
        <v>92</v>
      </c>
      <c r="C420" s="142">
        <v>45747</v>
      </c>
      <c r="D420" s="142" t="str">
        <f>IF(C420&lt;Data!$J$1,"Actual","Forecasted")</f>
        <v>Forecasted</v>
      </c>
      <c r="E420" s="140" t="s">
        <v>188</v>
      </c>
      <c r="F420" t="s">
        <v>160</v>
      </c>
      <c r="G420">
        <v>816.03621650812067</v>
      </c>
    </row>
    <row r="421" spans="2:7" hidden="1" x14ac:dyDescent="0.25">
      <c r="B421" t="s">
        <v>92</v>
      </c>
      <c r="C421" s="142">
        <v>45747</v>
      </c>
      <c r="D421" s="142" t="str">
        <f>IF(C421&lt;Data!$J$1,"Actual","Forecasted")</f>
        <v>Forecasted</v>
      </c>
      <c r="E421" s="140" t="s">
        <v>188</v>
      </c>
      <c r="F421" t="s">
        <v>158</v>
      </c>
      <c r="G421">
        <v>586.12630141768807</v>
      </c>
    </row>
    <row r="422" spans="2:7" hidden="1" x14ac:dyDescent="0.25">
      <c r="B422" t="s">
        <v>92</v>
      </c>
      <c r="C422" s="142">
        <v>45747</v>
      </c>
      <c r="D422" s="142" t="str">
        <f>IF(C422&lt;Data!$J$1,"Actual","Forecasted")</f>
        <v>Forecasted</v>
      </c>
      <c r="E422" s="140" t="s">
        <v>188</v>
      </c>
      <c r="F422" t="s">
        <v>172</v>
      </c>
      <c r="G422">
        <v>0.105</v>
      </c>
    </row>
    <row r="423" spans="2:7" hidden="1" x14ac:dyDescent="0.25">
      <c r="B423" t="s">
        <v>92</v>
      </c>
      <c r="C423" s="142">
        <v>45747</v>
      </c>
      <c r="D423" s="142" t="str">
        <f>IF(C423&lt;Data!$J$1,"Actual","Forecasted")</f>
        <v>Forecasted</v>
      </c>
      <c r="E423" s="140" t="s">
        <v>188</v>
      </c>
      <c r="F423" t="s">
        <v>17</v>
      </c>
      <c r="G423">
        <v>497235.59827686369</v>
      </c>
    </row>
    <row r="424" spans="2:7" hidden="1" x14ac:dyDescent="0.25">
      <c r="B424" t="s">
        <v>92</v>
      </c>
      <c r="C424" s="142">
        <v>45747</v>
      </c>
      <c r="D424" s="142" t="str">
        <f>IF(C424&lt;Data!$J$1,"Actual","Forecasted")</f>
        <v>Forecasted</v>
      </c>
      <c r="E424" s="140" t="s">
        <v>188</v>
      </c>
      <c r="F424" t="s">
        <v>173</v>
      </c>
      <c r="G424">
        <v>0.16883578063769791</v>
      </c>
    </row>
    <row r="425" spans="2:7" hidden="1" x14ac:dyDescent="0.25">
      <c r="B425" t="s">
        <v>92</v>
      </c>
      <c r="C425" s="142">
        <v>45747</v>
      </c>
      <c r="D425" s="142" t="str">
        <f>IF(C425&lt;Data!$J$1,"Actual","Forecasted")</f>
        <v>Forecasted</v>
      </c>
      <c r="E425" s="140" t="s">
        <v>188</v>
      </c>
      <c r="F425" t="s">
        <v>18</v>
      </c>
      <c r="G425">
        <v>180242.95231676701</v>
      </c>
    </row>
    <row r="426" spans="2:7" hidden="1" x14ac:dyDescent="0.25">
      <c r="B426" t="s">
        <v>92</v>
      </c>
      <c r="C426" s="142">
        <v>45747</v>
      </c>
      <c r="D426" s="142" t="str">
        <f>IF(C426&lt;Data!$J$1,"Actual","Forecasted")</f>
        <v>Forecasted</v>
      </c>
      <c r="E426" s="140" t="s">
        <v>188</v>
      </c>
      <c r="F426" t="s">
        <v>174</v>
      </c>
      <c r="G426">
        <v>0.16230285100511341</v>
      </c>
    </row>
    <row r="427" spans="2:7" hidden="1" x14ac:dyDescent="0.25">
      <c r="B427" t="s">
        <v>92</v>
      </c>
      <c r="C427" s="142">
        <v>45747</v>
      </c>
      <c r="D427" s="142" t="str">
        <f>IF(C427&lt;Data!$J$1,"Actual","Forecasted")</f>
        <v>Forecasted</v>
      </c>
      <c r="E427" s="140" t="s">
        <v>188</v>
      </c>
      <c r="F427" t="s">
        <v>34</v>
      </c>
      <c r="G427">
        <v>212.46494692684391</v>
      </c>
    </row>
    <row r="428" spans="2:7" hidden="1" x14ac:dyDescent="0.25">
      <c r="B428" t="s">
        <v>92</v>
      </c>
      <c r="C428" s="142">
        <v>45747</v>
      </c>
      <c r="D428" s="142" t="str">
        <f>IF(C428&lt;Data!$J$1,"Actual","Forecasted")</f>
        <v>Forecasted</v>
      </c>
      <c r="E428" s="140" t="s">
        <v>188</v>
      </c>
      <c r="F428" t="s">
        <v>175</v>
      </c>
      <c r="G428">
        <v>9.8823865282369083E-2</v>
      </c>
    </row>
    <row r="429" spans="2:7" hidden="1" x14ac:dyDescent="0.25">
      <c r="B429" t="s">
        <v>92</v>
      </c>
      <c r="C429" s="142">
        <v>45747</v>
      </c>
      <c r="D429" s="142" t="str">
        <f>IF(C429&lt;Data!$J$1,"Actual","Forecasted")</f>
        <v>Forecasted</v>
      </c>
      <c r="E429" s="140" t="s">
        <v>188</v>
      </c>
      <c r="F429" t="s">
        <v>19</v>
      </c>
      <c r="G429">
        <v>678294.58681013878</v>
      </c>
    </row>
    <row r="430" spans="2:7" hidden="1" x14ac:dyDescent="0.25">
      <c r="B430" t="s">
        <v>92</v>
      </c>
      <c r="C430" s="142">
        <v>45747</v>
      </c>
      <c r="D430" s="142" t="str">
        <f>IF(C430&lt;Data!$J$1,"Actual","Forecasted")</f>
        <v>Forecasted</v>
      </c>
      <c r="E430" s="140" t="s">
        <v>188</v>
      </c>
      <c r="F430" t="s">
        <v>176</v>
      </c>
      <c r="G430">
        <v>0.16849632085262981</v>
      </c>
    </row>
    <row r="431" spans="2:7" hidden="1" x14ac:dyDescent="0.25">
      <c r="B431" t="s">
        <v>92</v>
      </c>
      <c r="C431" s="142">
        <v>45747</v>
      </c>
      <c r="D431" s="142" t="str">
        <f>IF(C431&lt;Data!$J$1,"Actual","Forecasted")</f>
        <v>Forecasted</v>
      </c>
      <c r="E431" s="140" t="s">
        <v>188</v>
      </c>
      <c r="F431" t="s">
        <v>11</v>
      </c>
      <c r="G431">
        <v>17733.267256776991</v>
      </c>
    </row>
    <row r="432" spans="2:7" hidden="1" x14ac:dyDescent="0.25">
      <c r="B432" t="s">
        <v>92</v>
      </c>
      <c r="C432" s="142">
        <v>45747</v>
      </c>
      <c r="D432" s="142" t="str">
        <f>IF(C432&lt;Data!$J$1,"Actual","Forecasted")</f>
        <v>Forecasted</v>
      </c>
      <c r="E432" s="140" t="s">
        <v>188</v>
      </c>
      <c r="F432" t="s">
        <v>38</v>
      </c>
      <c r="G432">
        <v>2.6143902076784079E-2</v>
      </c>
    </row>
    <row r="433" spans="2:7" hidden="1" x14ac:dyDescent="0.25">
      <c r="B433" t="s">
        <v>92</v>
      </c>
      <c r="C433" s="142">
        <v>45747</v>
      </c>
      <c r="D433" s="142" t="str">
        <f>IF(C433&lt;Data!$J$1,"Actual","Forecasted")</f>
        <v>Forecasted</v>
      </c>
      <c r="E433" s="140" t="s">
        <v>188</v>
      </c>
      <c r="F433" t="s">
        <v>10</v>
      </c>
      <c r="G433">
        <v>696027.85406691581</v>
      </c>
    </row>
    <row r="434" spans="2:7" x14ac:dyDescent="0.25">
      <c r="B434" t="s">
        <v>92</v>
      </c>
      <c r="C434" s="142">
        <v>45747</v>
      </c>
      <c r="D434" s="142" t="str">
        <f>IF(C434&lt;Data!$J$1,"Actual","Forecasted")</f>
        <v>Forecasted</v>
      </c>
      <c r="E434" s="140" t="s">
        <v>188</v>
      </c>
      <c r="F434" t="s">
        <v>177</v>
      </c>
      <c r="G434">
        <v>0.1664287326603999</v>
      </c>
    </row>
    <row r="435" spans="2:7" hidden="1" x14ac:dyDescent="0.25">
      <c r="B435" t="s">
        <v>92</v>
      </c>
      <c r="C435" s="142">
        <v>45747</v>
      </c>
      <c r="D435" s="142" t="str">
        <f>IF(C435&lt;Data!$J$1,"Actual","Forecasted")</f>
        <v>Forecasted</v>
      </c>
      <c r="E435" s="140" t="s">
        <v>189</v>
      </c>
      <c r="F435" t="s">
        <v>12</v>
      </c>
      <c r="G435">
        <v>-375121.52380224637</v>
      </c>
    </row>
    <row r="436" spans="2:7" hidden="1" x14ac:dyDescent="0.25">
      <c r="B436" t="s">
        <v>92</v>
      </c>
      <c r="C436" s="142">
        <v>45747</v>
      </c>
      <c r="D436" s="142" t="str">
        <f>IF(C436&lt;Data!$J$1,"Actual","Forecasted")</f>
        <v>Forecasted</v>
      </c>
      <c r="E436" s="140" t="s">
        <v>189</v>
      </c>
      <c r="F436" t="s">
        <v>178</v>
      </c>
      <c r="G436">
        <v>0.55303629292746592</v>
      </c>
    </row>
    <row r="437" spans="2:7" hidden="1" x14ac:dyDescent="0.25">
      <c r="B437" t="s">
        <v>92</v>
      </c>
      <c r="C437" s="142">
        <v>45747</v>
      </c>
      <c r="D437" s="142" t="str">
        <f>IF(C437&lt;Data!$J$1,"Actual","Forecasted")</f>
        <v>Forecasted</v>
      </c>
      <c r="E437" s="140" t="s">
        <v>189</v>
      </c>
      <c r="F437" t="s">
        <v>13</v>
      </c>
      <c r="G437">
        <v>-78014.130697674424</v>
      </c>
    </row>
    <row r="438" spans="2:7" hidden="1" x14ac:dyDescent="0.25">
      <c r="B438" t="s">
        <v>92</v>
      </c>
      <c r="C438" s="142">
        <v>45747</v>
      </c>
      <c r="D438" s="142" t="str">
        <f>IF(C438&lt;Data!$J$1,"Actual","Forecasted")</f>
        <v>Forecasted</v>
      </c>
      <c r="E438" s="140" t="s">
        <v>189</v>
      </c>
      <c r="F438" t="s">
        <v>41</v>
      </c>
      <c r="G438">
        <v>-428.64906976744192</v>
      </c>
    </row>
    <row r="439" spans="2:7" hidden="1" x14ac:dyDescent="0.25">
      <c r="B439" t="s">
        <v>92</v>
      </c>
      <c r="C439" s="142">
        <v>45747</v>
      </c>
      <c r="D439" s="142" t="str">
        <f>IF(C439&lt;Data!$J$1,"Actual","Forecasted")</f>
        <v>Forecasted</v>
      </c>
      <c r="E439" s="140" t="s">
        <v>189</v>
      </c>
      <c r="F439" t="s">
        <v>39</v>
      </c>
      <c r="G439">
        <v>-75322.135411545314</v>
      </c>
    </row>
    <row r="440" spans="2:7" hidden="1" x14ac:dyDescent="0.25">
      <c r="B440" t="s">
        <v>92</v>
      </c>
      <c r="C440" s="142">
        <v>45747</v>
      </c>
      <c r="D440" s="142" t="str">
        <f>IF(C440&lt;Data!$J$1,"Actual","Forecasted")</f>
        <v>Forecasted</v>
      </c>
      <c r="E440" s="140" t="s">
        <v>189</v>
      </c>
      <c r="F440" t="s">
        <v>179</v>
      </c>
      <c r="G440">
        <v>0.10821712805232631</v>
      </c>
    </row>
    <row r="441" spans="2:7" hidden="1" x14ac:dyDescent="0.25">
      <c r="B441" t="s">
        <v>92</v>
      </c>
      <c r="C441" s="142">
        <v>45747</v>
      </c>
      <c r="D441" s="142" t="str">
        <f>IF(C441&lt;Data!$J$1,"Actual","Forecasted")</f>
        <v>Forecasted</v>
      </c>
      <c r="E441" s="140" t="s">
        <v>189</v>
      </c>
      <c r="F441" t="s">
        <v>40</v>
      </c>
      <c r="G441">
        <v>-73049.643975739178</v>
      </c>
    </row>
    <row r="442" spans="2:7" hidden="1" x14ac:dyDescent="0.25">
      <c r="B442" t="s">
        <v>92</v>
      </c>
      <c r="C442" s="142">
        <v>45747</v>
      </c>
      <c r="D442" s="142" t="str">
        <f>IF(C442&lt;Data!$J$1,"Actual","Forecasted")</f>
        <v>Forecasted</v>
      </c>
      <c r="E442" s="140" t="s">
        <v>189</v>
      </c>
      <c r="F442" t="s">
        <v>180</v>
      </c>
      <c r="G442">
        <v>0.1049521848140236</v>
      </c>
    </row>
    <row r="443" spans="2:7" hidden="1" x14ac:dyDescent="0.25">
      <c r="B443" t="s">
        <v>92</v>
      </c>
      <c r="C443" s="142">
        <v>45747</v>
      </c>
      <c r="D443" s="142" t="str">
        <f>IF(C443&lt;Data!$J$1,"Actual","Forecasted")</f>
        <v>Forecasted</v>
      </c>
      <c r="E443" s="140" t="s">
        <v>190</v>
      </c>
      <c r="F443" t="s">
        <v>43</v>
      </c>
      <c r="G443">
        <v>94520.420179710534</v>
      </c>
    </row>
    <row r="444" spans="2:7" hidden="1" x14ac:dyDescent="0.25">
      <c r="B444" t="s">
        <v>92</v>
      </c>
      <c r="C444" s="142">
        <v>45747</v>
      </c>
      <c r="D444" s="142" t="str">
        <f>IF(C444&lt;Data!$J$1,"Actual","Forecasted")</f>
        <v>Forecasted</v>
      </c>
      <c r="E444" s="140" t="s">
        <v>190</v>
      </c>
      <c r="F444" t="s">
        <v>44</v>
      </c>
      <c r="G444">
        <v>0.1357997666723024</v>
      </c>
    </row>
    <row r="445" spans="2:7" hidden="1" x14ac:dyDescent="0.25">
      <c r="B445" t="s">
        <v>92</v>
      </c>
      <c r="C445" s="142">
        <v>45747</v>
      </c>
      <c r="D445" s="142" t="str">
        <f>IF(C445&lt;Data!$J$1,"Actual","Forecasted")</f>
        <v>Forecasted</v>
      </c>
      <c r="E445" s="140" t="s">
        <v>190</v>
      </c>
      <c r="F445" t="s">
        <v>45</v>
      </c>
      <c r="G445">
        <v>-19849.288237739209</v>
      </c>
    </row>
    <row r="446" spans="2:7" hidden="1" x14ac:dyDescent="0.25">
      <c r="B446" t="s">
        <v>92</v>
      </c>
      <c r="C446" s="142">
        <v>45747</v>
      </c>
      <c r="D446" s="142" t="str">
        <f>IF(C446&lt;Data!$J$1,"Actual","Forecasted")</f>
        <v>Forecasted</v>
      </c>
      <c r="E446" s="140" t="s">
        <v>189</v>
      </c>
      <c r="F446" t="s">
        <v>89</v>
      </c>
      <c r="G446">
        <v>-139571.78445168171</v>
      </c>
    </row>
    <row r="447" spans="2:7" hidden="1" x14ac:dyDescent="0.25">
      <c r="B447" t="s">
        <v>92</v>
      </c>
      <c r="C447" s="142">
        <v>45747</v>
      </c>
      <c r="D447" s="142" t="str">
        <f>IF(C447&lt;Data!$J$1,"Actual","Forecasted")</f>
        <v>Forecasted</v>
      </c>
      <c r="E447" s="140" t="s">
        <v>189</v>
      </c>
      <c r="F447" t="s">
        <v>181</v>
      </c>
      <c r="G447">
        <v>0.20052614796399121</v>
      </c>
    </row>
    <row r="448" spans="2:7" hidden="1" x14ac:dyDescent="0.25">
      <c r="B448" t="s">
        <v>92</v>
      </c>
      <c r="C448" s="142">
        <v>45747</v>
      </c>
      <c r="D448" s="142" t="str">
        <f>IF(C448&lt;Data!$J$1,"Actual","Forecasted")</f>
        <v>Forecasted</v>
      </c>
      <c r="E448" s="140" t="s">
        <v>189</v>
      </c>
      <c r="F448" t="s">
        <v>90</v>
      </c>
      <c r="G448">
        <v>16489.30852784809</v>
      </c>
    </row>
    <row r="449" spans="2:7" hidden="1" x14ac:dyDescent="0.25">
      <c r="B449" t="s">
        <v>92</v>
      </c>
      <c r="C449" s="142">
        <v>45747</v>
      </c>
      <c r="D449" s="142" t="str">
        <f>IF(C449&lt;Data!$J$1,"Actual","Forecasted")</f>
        <v>Forecasted</v>
      </c>
      <c r="E449" s="140" t="s">
        <v>189</v>
      </c>
      <c r="F449" t="s">
        <v>182</v>
      </c>
      <c r="G449">
        <v>2.3690587138863E-2</v>
      </c>
    </row>
    <row r="450" spans="2:7" hidden="1" x14ac:dyDescent="0.25">
      <c r="B450" t="s">
        <v>92</v>
      </c>
      <c r="C450" s="142">
        <v>45747</v>
      </c>
      <c r="D450" s="142" t="str">
        <f>IF(C450&lt;Data!$J$1,"Actual","Forecasted")</f>
        <v>Forecasted</v>
      </c>
      <c r="E450" s="140" t="s">
        <v>190</v>
      </c>
      <c r="F450" t="s">
        <v>53</v>
      </c>
      <c r="G450">
        <v>-9384.3533496869895</v>
      </c>
    </row>
    <row r="451" spans="2:7" hidden="1" x14ac:dyDescent="0.25">
      <c r="B451" t="s">
        <v>92</v>
      </c>
      <c r="C451" s="142">
        <v>45747</v>
      </c>
      <c r="D451" s="142" t="str">
        <f>IF(C451&lt;Data!$J$1,"Actual","Forecasted")</f>
        <v>Forecasted</v>
      </c>
      <c r="E451" s="140" t="s">
        <v>190</v>
      </c>
      <c r="F451" t="s">
        <v>183</v>
      </c>
      <c r="G451">
        <v>-0.89883843919445716</v>
      </c>
    </row>
    <row r="452" spans="2:7" hidden="1" x14ac:dyDescent="0.25">
      <c r="B452" t="s">
        <v>92</v>
      </c>
      <c r="C452" s="142">
        <v>45747</v>
      </c>
      <c r="D452" s="142" t="str">
        <f>IF(C452&lt;Data!$J$1,"Actual","Forecasted")</f>
        <v>Forecasted</v>
      </c>
      <c r="E452" s="140" t="s">
        <v>190</v>
      </c>
      <c r="F452" t="s">
        <v>73</v>
      </c>
      <c r="G452">
        <v>167570.06415544971</v>
      </c>
    </row>
    <row r="453" spans="2:7" hidden="1" x14ac:dyDescent="0.25">
      <c r="B453" t="s">
        <v>92</v>
      </c>
      <c r="C453" s="142">
        <v>45747</v>
      </c>
      <c r="D453" s="142" t="str">
        <f>IF(C453&lt;Data!$J$1,"Actual","Forecasted")</f>
        <v>Forecasted</v>
      </c>
      <c r="E453" s="140" t="s">
        <v>190</v>
      </c>
      <c r="F453" t="s">
        <v>186</v>
      </c>
      <c r="G453">
        <v>0.21462789326942389</v>
      </c>
    </row>
    <row r="454" spans="2:7" hidden="1" x14ac:dyDescent="0.25">
      <c r="B454" t="s">
        <v>92</v>
      </c>
      <c r="C454" s="142">
        <v>45747</v>
      </c>
      <c r="D454" s="142" t="str">
        <f>IF(C454&lt;Data!$J$1,"Actual","Forecasted")</f>
        <v>Forecasted</v>
      </c>
      <c r="E454" s="140" t="s">
        <v>190</v>
      </c>
      <c r="F454" t="s">
        <v>143</v>
      </c>
      <c r="G454">
        <v>184059.37268329781</v>
      </c>
    </row>
    <row r="455" spans="2:7" hidden="1" x14ac:dyDescent="0.25">
      <c r="B455" t="s">
        <v>92</v>
      </c>
      <c r="C455" s="142">
        <v>45747</v>
      </c>
      <c r="D455" s="142" t="str">
        <f>IF(C455&lt;Data!$J$1,"Actual","Forecasted")</f>
        <v>Forecasted</v>
      </c>
      <c r="E455" s="140" t="s">
        <v>190</v>
      </c>
      <c r="F455" t="s">
        <v>185</v>
      </c>
      <c r="G455">
        <v>0.26426560715520592</v>
      </c>
    </row>
    <row r="456" spans="2:7" hidden="1" x14ac:dyDescent="0.25">
      <c r="B456" t="s">
        <v>92</v>
      </c>
      <c r="C456" s="142">
        <v>45747</v>
      </c>
      <c r="D456" s="142" t="str">
        <f>IF(C456&lt;Data!$J$1,"Actual","Forecasted")</f>
        <v>Forecasted</v>
      </c>
      <c r="E456" s="140" t="s">
        <v>190</v>
      </c>
      <c r="F456" t="s">
        <v>153</v>
      </c>
      <c r="G456">
        <v>43808.268618992763</v>
      </c>
    </row>
    <row r="457" spans="2:7" hidden="1" x14ac:dyDescent="0.25">
      <c r="B457" t="s">
        <v>92</v>
      </c>
      <c r="C457" s="142">
        <v>45747</v>
      </c>
      <c r="D457" s="142" t="str">
        <f>IF(C457&lt;Data!$J$1,"Actual","Forecasted")</f>
        <v>Forecasted</v>
      </c>
      <c r="E457" s="140" t="s">
        <v>190</v>
      </c>
      <c r="F457" t="s">
        <v>184</v>
      </c>
      <c r="G457">
        <v>0.75816786206175535</v>
      </c>
    </row>
    <row r="458" spans="2:7" hidden="1" x14ac:dyDescent="0.25">
      <c r="B458" t="s">
        <v>92</v>
      </c>
      <c r="C458" s="142">
        <v>45747</v>
      </c>
      <c r="D458" s="142" t="str">
        <f>IF(C458&lt;Data!$J$1,"Actual","Forecasted")</f>
        <v>Forecasted</v>
      </c>
      <c r="E458" s="140" t="s">
        <v>190</v>
      </c>
      <c r="F458" t="s">
        <v>155</v>
      </c>
      <c r="G458">
        <v>0.20746087694395229</v>
      </c>
    </row>
    <row r="459" spans="2:7" hidden="1" x14ac:dyDescent="0.25">
      <c r="B459" t="s">
        <v>92</v>
      </c>
      <c r="C459" s="142">
        <v>45747</v>
      </c>
      <c r="D459" s="142" t="str">
        <f>IF(C459&lt;Data!$J$1,"Actual","Forecasted")</f>
        <v>Forecasted</v>
      </c>
      <c r="E459" s="140" t="s">
        <v>190</v>
      </c>
      <c r="F459" t="s">
        <v>154</v>
      </c>
      <c r="G459">
        <v>211164</v>
      </c>
    </row>
    <row r="460" spans="2:7" hidden="1" x14ac:dyDescent="0.25">
      <c r="B460" t="s">
        <v>92</v>
      </c>
      <c r="C460" s="142">
        <v>45747</v>
      </c>
      <c r="D460" s="142" t="str">
        <f>IF(C460&lt;Data!$J$1,"Actual","Forecasted")</f>
        <v>Forecasted</v>
      </c>
      <c r="E460" s="140" t="s">
        <v>190</v>
      </c>
      <c r="F460" t="s">
        <v>194</v>
      </c>
      <c r="G460">
        <v>6.2940395794535323E-2</v>
      </c>
    </row>
    <row r="461" spans="2:7" hidden="1" x14ac:dyDescent="0.25">
      <c r="B461" t="s">
        <v>93</v>
      </c>
      <c r="C461" s="142">
        <v>45838</v>
      </c>
      <c r="D461" s="142" t="str">
        <f>IF(C461&lt;Data!$J$1,"Actual","Forecasted")</f>
        <v>Forecasted</v>
      </c>
      <c r="E461" s="140"/>
    </row>
    <row r="462" spans="2:7" hidden="1" x14ac:dyDescent="0.25">
      <c r="B462" t="s">
        <v>93</v>
      </c>
      <c r="C462" s="142">
        <v>45838</v>
      </c>
      <c r="D462" s="142" t="str">
        <f>IF(C462&lt;Data!$J$1,"Actual","Forecasted")</f>
        <v>Forecasted</v>
      </c>
      <c r="E462" s="140"/>
    </row>
    <row r="463" spans="2:7" hidden="1" x14ac:dyDescent="0.25">
      <c r="B463" t="s">
        <v>93</v>
      </c>
      <c r="C463" s="142">
        <v>45838</v>
      </c>
      <c r="D463" s="142" t="str">
        <f>IF(C463&lt;Data!$J$1,"Actual","Forecasted")</f>
        <v>Forecasted</v>
      </c>
      <c r="E463" s="140" t="s">
        <v>188</v>
      </c>
      <c r="F463" t="s">
        <v>35</v>
      </c>
      <c r="G463">
        <v>184</v>
      </c>
    </row>
    <row r="464" spans="2:7" hidden="1" x14ac:dyDescent="0.25">
      <c r="B464" t="s">
        <v>93</v>
      </c>
      <c r="C464" s="142">
        <v>45838</v>
      </c>
      <c r="D464" s="142" t="str">
        <f>IF(C464&lt;Data!$J$1,"Actual","Forecasted")</f>
        <v>Forecasted</v>
      </c>
      <c r="E464" s="140" t="s">
        <v>188</v>
      </c>
      <c r="F464" t="s">
        <v>37</v>
      </c>
      <c r="G464">
        <v>2</v>
      </c>
    </row>
    <row r="465" spans="2:7" hidden="1" x14ac:dyDescent="0.25">
      <c r="B465" t="s">
        <v>93</v>
      </c>
      <c r="C465" s="142">
        <v>45838</v>
      </c>
      <c r="D465" s="142" t="str">
        <f>IF(C465&lt;Data!$J$1,"Actual","Forecasted")</f>
        <v>Forecasted</v>
      </c>
      <c r="E465" s="140" t="s">
        <v>188</v>
      </c>
      <c r="F465" t="s">
        <v>36</v>
      </c>
      <c r="G465">
        <v>4788.2221951219508</v>
      </c>
    </row>
    <row r="466" spans="2:7" hidden="1" x14ac:dyDescent="0.25">
      <c r="B466" t="s">
        <v>93</v>
      </c>
      <c r="C466" s="142">
        <v>45838</v>
      </c>
      <c r="D466" s="142" t="str">
        <f>IF(C466&lt;Data!$J$1,"Actual","Forecasted")</f>
        <v>Forecasted</v>
      </c>
      <c r="E466" s="140" t="s">
        <v>188</v>
      </c>
      <c r="F466" t="s">
        <v>14</v>
      </c>
      <c r="G466">
        <v>881032.88390243892</v>
      </c>
    </row>
    <row r="467" spans="2:7" hidden="1" x14ac:dyDescent="0.25">
      <c r="B467" t="s">
        <v>93</v>
      </c>
      <c r="C467" s="142">
        <v>45838</v>
      </c>
      <c r="D467" s="142" t="str">
        <f>IF(C467&lt;Data!$J$1,"Actual","Forecasted")</f>
        <v>Forecasted</v>
      </c>
      <c r="E467" s="140" t="s">
        <v>188</v>
      </c>
      <c r="F467" t="s">
        <v>170</v>
      </c>
      <c r="G467">
        <v>5.8124899598910977E-2</v>
      </c>
    </row>
    <row r="468" spans="2:7" hidden="1" x14ac:dyDescent="0.25">
      <c r="B468" t="s">
        <v>93</v>
      </c>
      <c r="C468" s="142">
        <v>45838</v>
      </c>
      <c r="D468" s="142" t="str">
        <f>IF(C468&lt;Data!$J$1,"Actual","Forecasted")</f>
        <v>Forecasted</v>
      </c>
      <c r="E468" s="140" t="s">
        <v>188</v>
      </c>
      <c r="F468" t="s">
        <v>15</v>
      </c>
      <c r="G468">
        <v>48185.131728538283</v>
      </c>
    </row>
    <row r="469" spans="2:7" hidden="1" x14ac:dyDescent="0.25">
      <c r="B469" t="s">
        <v>93</v>
      </c>
      <c r="C469" s="142">
        <v>45838</v>
      </c>
      <c r="D469" s="142" t="str">
        <f>IF(C469&lt;Data!$J$1,"Actual","Forecasted")</f>
        <v>Forecasted</v>
      </c>
      <c r="E469" s="140" t="s">
        <v>188</v>
      </c>
      <c r="F469" t="s">
        <v>171</v>
      </c>
      <c r="G469">
        <v>4.4528228924980651E-2</v>
      </c>
    </row>
    <row r="470" spans="2:7" hidden="1" x14ac:dyDescent="0.25">
      <c r="B470" t="s">
        <v>93</v>
      </c>
      <c r="C470" s="142">
        <v>45838</v>
      </c>
      <c r="D470" s="142" t="str">
        <f>IF(C470&lt;Data!$J$1,"Actual","Forecasted")</f>
        <v>Forecasted</v>
      </c>
      <c r="E470" s="140" t="s">
        <v>188</v>
      </c>
      <c r="F470" t="s">
        <v>159</v>
      </c>
      <c r="G470">
        <v>15.606</v>
      </c>
    </row>
    <row r="471" spans="2:7" hidden="1" x14ac:dyDescent="0.25">
      <c r="B471" t="s">
        <v>93</v>
      </c>
      <c r="C471" s="142">
        <v>45838</v>
      </c>
      <c r="D471" s="142" t="str">
        <f>IF(C471&lt;Data!$J$1,"Actual","Forecasted")</f>
        <v>Forecasted</v>
      </c>
      <c r="E471" s="140" t="s">
        <v>188</v>
      </c>
      <c r="F471" t="s">
        <v>160</v>
      </c>
      <c r="G471">
        <v>751.97716575556854</v>
      </c>
    </row>
    <row r="472" spans="2:7" hidden="1" x14ac:dyDescent="0.25">
      <c r="B472" t="s">
        <v>93</v>
      </c>
      <c r="C472" s="142">
        <v>45838</v>
      </c>
      <c r="D472" s="142" t="str">
        <f>IF(C472&lt;Data!$J$1,"Actual","Forecasted")</f>
        <v>Forecasted</v>
      </c>
      <c r="E472" s="140" t="s">
        <v>188</v>
      </c>
      <c r="F472" t="s">
        <v>158</v>
      </c>
      <c r="G472">
        <v>612.24270629662897</v>
      </c>
    </row>
    <row r="473" spans="2:7" hidden="1" x14ac:dyDescent="0.25">
      <c r="B473" t="s">
        <v>93</v>
      </c>
      <c r="C473" s="142">
        <v>45838</v>
      </c>
      <c r="D473" s="142" t="str">
        <f>IF(C473&lt;Data!$J$1,"Actual","Forecasted")</f>
        <v>Forecasted</v>
      </c>
      <c r="E473" s="140" t="s">
        <v>188</v>
      </c>
      <c r="F473" t="s">
        <v>172</v>
      </c>
      <c r="G473">
        <v>0.10174999999999999</v>
      </c>
    </row>
    <row r="474" spans="2:7" hidden="1" x14ac:dyDescent="0.25">
      <c r="B474" t="s">
        <v>93</v>
      </c>
      <c r="C474" s="142">
        <v>45838</v>
      </c>
      <c r="D474" s="142" t="str">
        <f>IF(C474&lt;Data!$J$1,"Actual","Forecasted")</f>
        <v>Forecasted</v>
      </c>
      <c r="E474" s="140" t="s">
        <v>188</v>
      </c>
      <c r="F474" t="s">
        <v>17</v>
      </c>
      <c r="G474">
        <v>539405.95717675285</v>
      </c>
    </row>
    <row r="475" spans="2:7" hidden="1" x14ac:dyDescent="0.25">
      <c r="B475" t="s">
        <v>93</v>
      </c>
      <c r="C475" s="142">
        <v>45838</v>
      </c>
      <c r="D475" s="142" t="str">
        <f>IF(C475&lt;Data!$J$1,"Actual","Forecasted")</f>
        <v>Forecasted</v>
      </c>
      <c r="E475" s="140" t="s">
        <v>188</v>
      </c>
      <c r="F475" t="s">
        <v>173</v>
      </c>
      <c r="G475">
        <v>0.16578910813309999</v>
      </c>
    </row>
    <row r="476" spans="2:7" hidden="1" x14ac:dyDescent="0.25">
      <c r="B476" t="s">
        <v>93</v>
      </c>
      <c r="C476" s="142">
        <v>45838</v>
      </c>
      <c r="D476" s="142" t="str">
        <f>IF(C476&lt;Data!$J$1,"Actual","Forecasted")</f>
        <v>Forecasted</v>
      </c>
      <c r="E476" s="140" t="s">
        <v>188</v>
      </c>
      <c r="F476" t="s">
        <v>18</v>
      </c>
      <c r="G476">
        <v>211007.1648140387</v>
      </c>
    </row>
    <row r="477" spans="2:7" hidden="1" x14ac:dyDescent="0.25">
      <c r="B477" t="s">
        <v>93</v>
      </c>
      <c r="C477" s="142">
        <v>45838</v>
      </c>
      <c r="D477" s="142" t="str">
        <f>IF(C477&lt;Data!$J$1,"Actual","Forecasted")</f>
        <v>Forecasted</v>
      </c>
      <c r="E477" s="140" t="s">
        <v>188</v>
      </c>
      <c r="F477" t="s">
        <v>174</v>
      </c>
      <c r="G477">
        <v>0.15740226763079959</v>
      </c>
    </row>
    <row r="478" spans="2:7" hidden="1" x14ac:dyDescent="0.25">
      <c r="B478" t="s">
        <v>93</v>
      </c>
      <c r="C478" s="142">
        <v>45838</v>
      </c>
      <c r="D478" s="142" t="str">
        <f>IF(C478&lt;Data!$J$1,"Actual","Forecasted")</f>
        <v>Forecasted</v>
      </c>
      <c r="E478" s="140" t="s">
        <v>188</v>
      </c>
      <c r="F478" t="s">
        <v>34</v>
      </c>
      <c r="G478">
        <v>239.49976064389961</v>
      </c>
    </row>
    <row r="479" spans="2:7" hidden="1" x14ac:dyDescent="0.25">
      <c r="B479" t="s">
        <v>93</v>
      </c>
      <c r="C479" s="142">
        <v>45838</v>
      </c>
      <c r="D479" s="142" t="str">
        <f>IF(C479&lt;Data!$J$1,"Actual","Forecasted")</f>
        <v>Forecasted</v>
      </c>
      <c r="E479" s="140" t="s">
        <v>188</v>
      </c>
      <c r="F479" t="s">
        <v>175</v>
      </c>
      <c r="G479">
        <v>9.3823865282369079E-2</v>
      </c>
    </row>
    <row r="480" spans="2:7" hidden="1" x14ac:dyDescent="0.25">
      <c r="B480" t="s">
        <v>93</v>
      </c>
      <c r="C480" s="142">
        <v>45838</v>
      </c>
      <c r="D480" s="142" t="str">
        <f>IF(C480&lt;Data!$J$1,"Actual","Forecasted")</f>
        <v>Forecasted</v>
      </c>
      <c r="E480" s="140" t="s">
        <v>188</v>
      </c>
      <c r="F480" t="s">
        <v>19</v>
      </c>
      <c r="G480">
        <v>751165.0991565471</v>
      </c>
    </row>
    <row r="481" spans="2:7" hidden="1" x14ac:dyDescent="0.25">
      <c r="B481" t="s">
        <v>93</v>
      </c>
      <c r="C481" s="142">
        <v>45838</v>
      </c>
      <c r="D481" s="142" t="str">
        <f>IF(C481&lt;Data!$J$1,"Actual","Forecasted")</f>
        <v>Forecasted</v>
      </c>
      <c r="E481" s="140" t="s">
        <v>188</v>
      </c>
      <c r="F481" t="s">
        <v>176</v>
      </c>
      <c r="G481">
        <v>0.16458441405526919</v>
      </c>
    </row>
    <row r="482" spans="2:7" hidden="1" x14ac:dyDescent="0.25">
      <c r="B482" t="s">
        <v>93</v>
      </c>
      <c r="C482" s="142">
        <v>45838</v>
      </c>
      <c r="D482" s="142" t="str">
        <f>IF(C482&lt;Data!$J$1,"Actual","Forecasted")</f>
        <v>Forecasted</v>
      </c>
      <c r="E482" s="140" t="s">
        <v>188</v>
      </c>
      <c r="F482" t="s">
        <v>11</v>
      </c>
      <c r="G482">
        <v>19638.386795846571</v>
      </c>
    </row>
    <row r="483" spans="2:7" hidden="1" x14ac:dyDescent="0.25">
      <c r="B483" t="s">
        <v>93</v>
      </c>
      <c r="C483" s="142">
        <v>45838</v>
      </c>
      <c r="D483" s="142" t="str">
        <f>IF(C483&lt;Data!$J$1,"Actual","Forecasted")</f>
        <v>Forecasted</v>
      </c>
      <c r="E483" s="140" t="s">
        <v>188</v>
      </c>
      <c r="F483" t="s">
        <v>38</v>
      </c>
      <c r="G483">
        <v>2.6143902076784079E-2</v>
      </c>
    </row>
    <row r="484" spans="2:7" hidden="1" x14ac:dyDescent="0.25">
      <c r="B484" t="s">
        <v>93</v>
      </c>
      <c r="C484" s="142">
        <v>45838</v>
      </c>
      <c r="D484" s="142" t="str">
        <f>IF(C484&lt;Data!$J$1,"Actual","Forecasted")</f>
        <v>Forecasted</v>
      </c>
      <c r="E484" s="140" t="s">
        <v>188</v>
      </c>
      <c r="F484" t="s">
        <v>10</v>
      </c>
      <c r="G484">
        <v>770803.48595239362</v>
      </c>
    </row>
    <row r="485" spans="2:7" x14ac:dyDescent="0.25">
      <c r="B485" t="s">
        <v>93</v>
      </c>
      <c r="C485" s="142">
        <v>45838</v>
      </c>
      <c r="D485" s="142" t="str">
        <f>IF(C485&lt;Data!$J$1,"Actual","Forecasted")</f>
        <v>Forecasted</v>
      </c>
      <c r="E485" s="140" t="s">
        <v>188</v>
      </c>
      <c r="F485" t="s">
        <v>177</v>
      </c>
      <c r="G485">
        <v>0.15431042836043679</v>
      </c>
    </row>
    <row r="486" spans="2:7" hidden="1" x14ac:dyDescent="0.25">
      <c r="B486" t="s">
        <v>93</v>
      </c>
      <c r="C486" s="142">
        <v>45838</v>
      </c>
      <c r="D486" s="142" t="str">
        <f>IF(C486&lt;Data!$J$1,"Actual","Forecasted")</f>
        <v>Forecasted</v>
      </c>
      <c r="E486" s="140" t="s">
        <v>189</v>
      </c>
      <c r="F486" t="s">
        <v>12</v>
      </c>
      <c r="G486">
        <v>-412894.65739205398</v>
      </c>
    </row>
    <row r="487" spans="2:7" hidden="1" x14ac:dyDescent="0.25">
      <c r="B487" t="s">
        <v>93</v>
      </c>
      <c r="C487" s="142">
        <v>45838</v>
      </c>
      <c r="D487" s="142" t="str">
        <f>IF(C487&lt;Data!$J$1,"Actual","Forecasted")</f>
        <v>Forecasted</v>
      </c>
      <c r="E487" s="140" t="s">
        <v>189</v>
      </c>
      <c r="F487" t="s">
        <v>178</v>
      </c>
      <c r="G487">
        <v>0.54967231285862017</v>
      </c>
    </row>
    <row r="488" spans="2:7" hidden="1" x14ac:dyDescent="0.25">
      <c r="B488" t="s">
        <v>93</v>
      </c>
      <c r="C488" s="142">
        <v>45838</v>
      </c>
      <c r="D488" s="142" t="str">
        <f>IF(C488&lt;Data!$J$1,"Actual","Forecasted")</f>
        <v>Forecasted</v>
      </c>
      <c r="E488" s="140" t="s">
        <v>189</v>
      </c>
      <c r="F488" t="s">
        <v>13</v>
      </c>
      <c r="G488">
        <v>-80377.445485714285</v>
      </c>
    </row>
    <row r="489" spans="2:7" hidden="1" x14ac:dyDescent="0.25">
      <c r="B489" t="s">
        <v>93</v>
      </c>
      <c r="C489" s="142">
        <v>45838</v>
      </c>
      <c r="D489" s="142" t="str">
        <f>IF(C489&lt;Data!$J$1,"Actual","Forecasted")</f>
        <v>Forecasted</v>
      </c>
      <c r="E489" s="140" t="s">
        <v>189</v>
      </c>
      <c r="F489" t="s">
        <v>41</v>
      </c>
      <c r="G489">
        <v>-436.83394285714292</v>
      </c>
    </row>
    <row r="490" spans="2:7" hidden="1" x14ac:dyDescent="0.25">
      <c r="B490" t="s">
        <v>93</v>
      </c>
      <c r="C490" s="142">
        <v>45838</v>
      </c>
      <c r="D490" s="142" t="str">
        <f>IF(C490&lt;Data!$J$1,"Actual","Forecasted")</f>
        <v>Forecasted</v>
      </c>
      <c r="E490" s="140" t="s">
        <v>189</v>
      </c>
      <c r="F490" t="s">
        <v>39</v>
      </c>
      <c r="G490">
        <v>-72529.941455599677</v>
      </c>
    </row>
    <row r="491" spans="2:7" hidden="1" x14ac:dyDescent="0.25">
      <c r="B491" t="s">
        <v>93</v>
      </c>
      <c r="C491" s="142">
        <v>45838</v>
      </c>
      <c r="D491" s="142" t="str">
        <f>IF(C491&lt;Data!$J$1,"Actual","Forecasted")</f>
        <v>Forecasted</v>
      </c>
      <c r="E491" s="140" t="s">
        <v>189</v>
      </c>
      <c r="F491" t="s">
        <v>179</v>
      </c>
      <c r="G491">
        <v>9.40965405287221E-2</v>
      </c>
    </row>
    <row r="492" spans="2:7" hidden="1" x14ac:dyDescent="0.25">
      <c r="B492" t="s">
        <v>93</v>
      </c>
      <c r="C492" s="142">
        <v>45838</v>
      </c>
      <c r="D492" s="142" t="str">
        <f>IF(C492&lt;Data!$J$1,"Actual","Forecasted")</f>
        <v>Forecasted</v>
      </c>
      <c r="E492" s="140" t="s">
        <v>189</v>
      </c>
      <c r="F492" t="s">
        <v>40</v>
      </c>
      <c r="G492">
        <v>-80897.509912969239</v>
      </c>
    </row>
    <row r="493" spans="2:7" hidden="1" x14ac:dyDescent="0.25">
      <c r="B493" t="s">
        <v>93</v>
      </c>
      <c r="C493" s="142">
        <v>45838</v>
      </c>
      <c r="D493" s="142" t="str">
        <f>IF(C493&lt;Data!$J$1,"Actual","Forecasted")</f>
        <v>Forecasted</v>
      </c>
      <c r="E493" s="140" t="s">
        <v>189</v>
      </c>
      <c r="F493" t="s">
        <v>180</v>
      </c>
      <c r="G493">
        <v>0.1049521848140236</v>
      </c>
    </row>
    <row r="494" spans="2:7" hidden="1" x14ac:dyDescent="0.25">
      <c r="B494" t="s">
        <v>93</v>
      </c>
      <c r="C494" s="142">
        <v>45838</v>
      </c>
      <c r="D494" s="142" t="str">
        <f>IF(C494&lt;Data!$J$1,"Actual","Forecasted")</f>
        <v>Forecasted</v>
      </c>
      <c r="E494" s="140" t="s">
        <v>190</v>
      </c>
      <c r="F494" t="s">
        <v>43</v>
      </c>
      <c r="G494">
        <v>124103.93170605641</v>
      </c>
    </row>
    <row r="495" spans="2:7" hidden="1" x14ac:dyDescent="0.25">
      <c r="B495" t="s">
        <v>93</v>
      </c>
      <c r="C495" s="142">
        <v>45838</v>
      </c>
      <c r="D495" s="142" t="str">
        <f>IF(C495&lt;Data!$J$1,"Actual","Forecasted")</f>
        <v>Forecasted</v>
      </c>
      <c r="E495" s="140" t="s">
        <v>190</v>
      </c>
      <c r="F495" t="s">
        <v>44</v>
      </c>
      <c r="G495">
        <v>0.16100592948501699</v>
      </c>
    </row>
    <row r="496" spans="2:7" hidden="1" x14ac:dyDescent="0.25">
      <c r="B496" t="s">
        <v>93</v>
      </c>
      <c r="C496" s="142">
        <v>45838</v>
      </c>
      <c r="D496" s="142" t="str">
        <f>IF(C496&lt;Data!$J$1,"Actual","Forecasted")</f>
        <v>Forecasted</v>
      </c>
      <c r="E496" s="140" t="s">
        <v>190</v>
      </c>
      <c r="F496" t="s">
        <v>45</v>
      </c>
      <c r="G496">
        <v>-26061.82565827185</v>
      </c>
    </row>
    <row r="497" spans="2:7" hidden="1" x14ac:dyDescent="0.25">
      <c r="B497" t="s">
        <v>93</v>
      </c>
      <c r="C497" s="142">
        <v>45838</v>
      </c>
      <c r="D497" s="142" t="str">
        <f>IF(C497&lt;Data!$J$1,"Actual","Forecasted")</f>
        <v>Forecasted</v>
      </c>
      <c r="E497" s="140" t="s">
        <v>189</v>
      </c>
      <c r="F497" t="s">
        <v>89</v>
      </c>
      <c r="G497">
        <v>-150712.23644548791</v>
      </c>
    </row>
    <row r="498" spans="2:7" hidden="1" x14ac:dyDescent="0.25">
      <c r="B498" t="s">
        <v>93</v>
      </c>
      <c r="C498" s="142">
        <v>45838</v>
      </c>
      <c r="D498" s="142" t="str">
        <f>IF(C498&lt;Data!$J$1,"Actual","Forecasted")</f>
        <v>Forecasted</v>
      </c>
      <c r="E498" s="140" t="s">
        <v>189</v>
      </c>
      <c r="F498" t="s">
        <v>181</v>
      </c>
      <c r="G498">
        <v>0.1955261479639912</v>
      </c>
    </row>
    <row r="499" spans="2:7" hidden="1" x14ac:dyDescent="0.25">
      <c r="B499" t="s">
        <v>93</v>
      </c>
      <c r="C499" s="142">
        <v>45838</v>
      </c>
      <c r="D499" s="142" t="str">
        <f>IF(C499&lt;Data!$J$1,"Actual","Forecasted")</f>
        <v>Forecasted</v>
      </c>
      <c r="E499" s="140" t="s">
        <v>189</v>
      </c>
      <c r="F499" t="s">
        <v>90</v>
      </c>
      <c r="G499">
        <v>24005.896308021998</v>
      </c>
    </row>
    <row r="500" spans="2:7" hidden="1" x14ac:dyDescent="0.25">
      <c r="B500" t="s">
        <v>93</v>
      </c>
      <c r="C500" s="142">
        <v>45838</v>
      </c>
      <c r="D500" s="142" t="str">
        <f>IF(C500&lt;Data!$J$1,"Actual","Forecasted")</f>
        <v>Forecasted</v>
      </c>
      <c r="E500" s="140" t="s">
        <v>189</v>
      </c>
      <c r="F500" t="s">
        <v>182</v>
      </c>
      <c r="G500">
        <v>3.114399032376023E-2</v>
      </c>
    </row>
    <row r="501" spans="2:7" hidden="1" x14ac:dyDescent="0.25">
      <c r="B501" t="s">
        <v>93</v>
      </c>
      <c r="C501" s="142">
        <v>45838</v>
      </c>
      <c r="D501" s="142" t="str">
        <f>IF(C501&lt;Data!$J$1,"Actual","Forecasted")</f>
        <v>Forecasted</v>
      </c>
      <c r="E501" s="140" t="s">
        <v>190</v>
      </c>
      <c r="F501" t="s">
        <v>53</v>
      </c>
      <c r="G501">
        <v>60748.859432854173</v>
      </c>
    </row>
    <row r="502" spans="2:7" hidden="1" x14ac:dyDescent="0.25">
      <c r="B502" t="s">
        <v>93</v>
      </c>
      <c r="C502" s="142">
        <v>45838</v>
      </c>
      <c r="D502" s="142" t="str">
        <f>IF(C502&lt;Data!$J$1,"Actual","Forecasted")</f>
        <v>Forecasted</v>
      </c>
      <c r="E502" s="140" t="s">
        <v>190</v>
      </c>
      <c r="F502" t="s">
        <v>183</v>
      </c>
      <c r="G502">
        <v>0.63792120124172036</v>
      </c>
    </row>
    <row r="503" spans="2:7" hidden="1" x14ac:dyDescent="0.25">
      <c r="B503" t="s">
        <v>93</v>
      </c>
      <c r="C503" s="142">
        <v>45838</v>
      </c>
      <c r="D503" s="142" t="str">
        <f>IF(C503&lt;Data!$J$1,"Actual","Forecasted")</f>
        <v>Forecasted</v>
      </c>
      <c r="E503" s="140" t="s">
        <v>190</v>
      </c>
      <c r="F503" t="s">
        <v>73</v>
      </c>
      <c r="G503">
        <v>205001.44161902569</v>
      </c>
    </row>
    <row r="504" spans="2:7" hidden="1" x14ac:dyDescent="0.25">
      <c r="B504" t="s">
        <v>93</v>
      </c>
      <c r="C504" s="142">
        <v>45838</v>
      </c>
      <c r="D504" s="142" t="str">
        <f>IF(C504&lt;Data!$J$1,"Actual","Forecasted")</f>
        <v>Forecasted</v>
      </c>
      <c r="E504" s="140" t="s">
        <v>190</v>
      </c>
      <c r="F504" t="s">
        <v>186</v>
      </c>
      <c r="G504">
        <v>0.17499536664770821</v>
      </c>
    </row>
    <row r="505" spans="2:7" hidden="1" x14ac:dyDescent="0.25">
      <c r="B505" t="s">
        <v>93</v>
      </c>
      <c r="C505" s="142">
        <v>45838</v>
      </c>
      <c r="D505" s="142" t="str">
        <f>IF(C505&lt;Data!$J$1,"Actual","Forecasted")</f>
        <v>Forecasted</v>
      </c>
      <c r="E505" s="140" t="s">
        <v>190</v>
      </c>
      <c r="F505" t="s">
        <v>143</v>
      </c>
      <c r="G505">
        <v>229007.33792704769</v>
      </c>
    </row>
    <row r="506" spans="2:7" hidden="1" x14ac:dyDescent="0.25">
      <c r="B506" t="s">
        <v>93</v>
      </c>
      <c r="C506" s="142">
        <v>45838</v>
      </c>
      <c r="D506" s="142" t="str">
        <f>IF(C506&lt;Data!$J$1,"Actual","Forecasted")</f>
        <v>Forecasted</v>
      </c>
      <c r="E506" s="140" t="s">
        <v>190</v>
      </c>
      <c r="F506" t="s">
        <v>185</v>
      </c>
      <c r="G506">
        <v>0.23426144984449701</v>
      </c>
    </row>
    <row r="507" spans="2:7" hidden="1" x14ac:dyDescent="0.25">
      <c r="B507" t="s">
        <v>93</v>
      </c>
      <c r="C507" s="142">
        <v>45838</v>
      </c>
      <c r="D507" s="142" t="str">
        <f>IF(C507&lt;Data!$J$1,"Actual","Forecasted")</f>
        <v>Forecasted</v>
      </c>
      <c r="E507" s="140" t="s">
        <v>190</v>
      </c>
      <c r="F507" t="s">
        <v>153</v>
      </c>
      <c r="G507">
        <v>63863.585034835189</v>
      </c>
    </row>
    <row r="508" spans="2:7" hidden="1" x14ac:dyDescent="0.25">
      <c r="B508" t="s">
        <v>93</v>
      </c>
      <c r="C508" s="142">
        <v>45838</v>
      </c>
      <c r="D508" s="142" t="str">
        <f>IF(C508&lt;Data!$J$1,"Actual","Forecasted")</f>
        <v>Forecasted</v>
      </c>
      <c r="E508" s="140" t="s">
        <v>190</v>
      </c>
      <c r="F508" t="s">
        <v>184</v>
      </c>
      <c r="G508">
        <v>0.20942306665723301</v>
      </c>
    </row>
    <row r="509" spans="2:7" hidden="1" x14ac:dyDescent="0.25">
      <c r="B509" t="s">
        <v>93</v>
      </c>
      <c r="C509" s="142">
        <v>45838</v>
      </c>
      <c r="D509" s="142" t="str">
        <f>IF(C509&lt;Data!$J$1,"Actual","Forecasted")</f>
        <v>Forecasted</v>
      </c>
      <c r="E509" s="140" t="s">
        <v>190</v>
      </c>
      <c r="F509" t="s">
        <v>155</v>
      </c>
      <c r="G509">
        <v>0.30243595042164001</v>
      </c>
    </row>
    <row r="510" spans="2:7" hidden="1" x14ac:dyDescent="0.25">
      <c r="B510" t="s">
        <v>93</v>
      </c>
      <c r="C510" s="142">
        <v>45838</v>
      </c>
      <c r="D510" s="142" t="str">
        <f>IF(C510&lt;Data!$J$1,"Actual","Forecasted")</f>
        <v>Forecasted</v>
      </c>
      <c r="E510" s="140" t="s">
        <v>190</v>
      </c>
      <c r="F510" t="s">
        <v>154</v>
      </c>
      <c r="G510">
        <v>211164</v>
      </c>
    </row>
    <row r="511" spans="2:7" hidden="1" x14ac:dyDescent="0.25">
      <c r="B511" t="s">
        <v>93</v>
      </c>
      <c r="C511" s="142">
        <v>45838</v>
      </c>
      <c r="D511" s="142" t="str">
        <f>IF(C511&lt;Data!$J$1,"Actual","Forecasted")</f>
        <v>Forecasted</v>
      </c>
      <c r="E511" s="140" t="s">
        <v>190</v>
      </c>
      <c r="F511" t="s">
        <v>194</v>
      </c>
      <c r="G511">
        <v>8.2853264416579891E-2</v>
      </c>
    </row>
    <row r="512" spans="2:7" hidden="1" x14ac:dyDescent="0.25">
      <c r="B512" t="s">
        <v>94</v>
      </c>
      <c r="C512" s="142">
        <v>45930</v>
      </c>
      <c r="D512" s="142" t="str">
        <f>IF(C512&lt;Data!$J$1,"Actual","Forecasted")</f>
        <v>Forecasted</v>
      </c>
      <c r="E512" s="140"/>
    </row>
    <row r="513" spans="2:7" hidden="1" x14ac:dyDescent="0.25">
      <c r="B513" t="s">
        <v>94</v>
      </c>
      <c r="C513" s="142">
        <v>45930</v>
      </c>
      <c r="D513" s="142" t="str">
        <f>IF(C513&lt;Data!$J$1,"Actual","Forecasted")</f>
        <v>Forecasted</v>
      </c>
      <c r="E513" s="140"/>
    </row>
    <row r="514" spans="2:7" hidden="1" x14ac:dyDescent="0.25">
      <c r="B514" t="s">
        <v>94</v>
      </c>
      <c r="C514" s="142">
        <v>45930</v>
      </c>
      <c r="D514" s="142" t="str">
        <f>IF(C514&lt;Data!$J$1,"Actual","Forecasted")</f>
        <v>Forecasted</v>
      </c>
      <c r="E514" s="140" t="s">
        <v>188</v>
      </c>
      <c r="F514" t="s">
        <v>35</v>
      </c>
      <c r="G514">
        <v>186</v>
      </c>
    </row>
    <row r="515" spans="2:7" hidden="1" x14ac:dyDescent="0.25">
      <c r="B515" t="s">
        <v>94</v>
      </c>
      <c r="C515" s="142">
        <v>45930</v>
      </c>
      <c r="D515" s="142" t="str">
        <f>IF(C515&lt;Data!$J$1,"Actual","Forecasted")</f>
        <v>Forecasted</v>
      </c>
      <c r="E515" s="140" t="s">
        <v>188</v>
      </c>
      <c r="F515" t="s">
        <v>37</v>
      </c>
      <c r="G515">
        <v>2</v>
      </c>
    </row>
    <row r="516" spans="2:7" hidden="1" x14ac:dyDescent="0.25">
      <c r="B516" t="s">
        <v>94</v>
      </c>
      <c r="C516" s="142">
        <v>45930</v>
      </c>
      <c r="D516" s="142" t="str">
        <f>IF(C516&lt;Data!$J$1,"Actual","Forecasted")</f>
        <v>Forecasted</v>
      </c>
      <c r="E516" s="140" t="s">
        <v>188</v>
      </c>
      <c r="F516" t="s">
        <v>36</v>
      </c>
      <c r="G516">
        <v>4641.6072947823204</v>
      </c>
    </row>
    <row r="517" spans="2:7" hidden="1" x14ac:dyDescent="0.25">
      <c r="B517" t="s">
        <v>94</v>
      </c>
      <c r="C517" s="142">
        <v>45930</v>
      </c>
      <c r="D517" s="142" t="str">
        <f>IF(C517&lt;Data!$J$1,"Actual","Forecasted")</f>
        <v>Forecasted</v>
      </c>
      <c r="E517" s="140" t="s">
        <v>188</v>
      </c>
      <c r="F517" t="s">
        <v>14</v>
      </c>
      <c r="G517">
        <v>863338.95682951144</v>
      </c>
    </row>
    <row r="518" spans="2:7" hidden="1" x14ac:dyDescent="0.25">
      <c r="B518" t="s">
        <v>94</v>
      </c>
      <c r="C518" s="142">
        <v>45930</v>
      </c>
      <c r="D518" s="142" t="str">
        <f>IF(C518&lt;Data!$J$1,"Actual","Forecasted")</f>
        <v>Forecasted</v>
      </c>
      <c r="E518" s="140" t="s">
        <v>188</v>
      </c>
      <c r="F518" t="s">
        <v>170</v>
      </c>
      <c r="G518">
        <v>4.4569712873666838E-2</v>
      </c>
    </row>
    <row r="519" spans="2:7" hidden="1" x14ac:dyDescent="0.25">
      <c r="B519" t="s">
        <v>94</v>
      </c>
      <c r="C519" s="142">
        <v>45930</v>
      </c>
      <c r="D519" s="142" t="str">
        <f>IF(C519&lt;Data!$J$1,"Actual","Forecasted")</f>
        <v>Forecasted</v>
      </c>
      <c r="E519" s="140" t="s">
        <v>188</v>
      </c>
      <c r="F519" t="s">
        <v>15</v>
      </c>
      <c r="G519">
        <v>52233.723143851508</v>
      </c>
    </row>
    <row r="520" spans="2:7" hidden="1" x14ac:dyDescent="0.25">
      <c r="B520" t="s">
        <v>94</v>
      </c>
      <c r="C520" s="142">
        <v>45930</v>
      </c>
      <c r="D520" s="142" t="str">
        <f>IF(C520&lt;Data!$J$1,"Actual","Forecasted")</f>
        <v>Forecasted</v>
      </c>
      <c r="E520" s="140" t="s">
        <v>188</v>
      </c>
      <c r="F520" t="s">
        <v>171</v>
      </c>
      <c r="G520">
        <v>4.4528228924980651E-2</v>
      </c>
    </row>
    <row r="521" spans="2:7" hidden="1" x14ac:dyDescent="0.25">
      <c r="B521" t="s">
        <v>94</v>
      </c>
      <c r="C521" s="142">
        <v>45930</v>
      </c>
      <c r="D521" s="142" t="str">
        <f>IF(C521&lt;Data!$J$1,"Actual","Forecasted")</f>
        <v>Forecasted</v>
      </c>
      <c r="E521" s="140" t="s">
        <v>188</v>
      </c>
      <c r="F521" t="s">
        <v>159</v>
      </c>
      <c r="G521">
        <v>15.91812</v>
      </c>
    </row>
    <row r="522" spans="2:7" hidden="1" x14ac:dyDescent="0.25">
      <c r="B522" t="s">
        <v>94</v>
      </c>
      <c r="C522" s="142">
        <v>45930</v>
      </c>
      <c r="D522" s="142" t="str">
        <f>IF(C522&lt;Data!$J$1,"Actual","Forecasted")</f>
        <v>Forecasted</v>
      </c>
      <c r="E522" s="140" t="s">
        <v>188</v>
      </c>
      <c r="F522" t="s">
        <v>160</v>
      </c>
      <c r="G522">
        <v>831.46267305060564</v>
      </c>
    </row>
    <row r="523" spans="2:7" hidden="1" x14ac:dyDescent="0.25">
      <c r="B523" t="s">
        <v>94</v>
      </c>
      <c r="C523" s="142">
        <v>45930</v>
      </c>
      <c r="D523" s="142" t="str">
        <f>IF(C523&lt;Data!$J$1,"Actual","Forecasted")</f>
        <v>Forecasted</v>
      </c>
      <c r="E523" s="140" t="s">
        <v>188</v>
      </c>
      <c r="F523" t="s">
        <v>158</v>
      </c>
      <c r="G523">
        <v>648.73810650185965</v>
      </c>
    </row>
    <row r="524" spans="2:7" hidden="1" x14ac:dyDescent="0.25">
      <c r="B524" t="s">
        <v>94</v>
      </c>
      <c r="C524" s="142">
        <v>45930</v>
      </c>
      <c r="D524" s="142" t="str">
        <f>IF(C524&lt;Data!$J$1,"Actual","Forecasted")</f>
        <v>Forecasted</v>
      </c>
      <c r="E524" s="140" t="s">
        <v>188</v>
      </c>
      <c r="F524" t="s">
        <v>172</v>
      </c>
      <c r="G524">
        <v>9.849999999999999E-2</v>
      </c>
    </row>
    <row r="525" spans="2:7" hidden="1" x14ac:dyDescent="0.25">
      <c r="B525" t="s">
        <v>94</v>
      </c>
      <c r="C525" s="142">
        <v>45930</v>
      </c>
      <c r="D525" s="142" t="str">
        <f>IF(C525&lt;Data!$J$1,"Actual","Forecasted")</f>
        <v>Forecasted</v>
      </c>
      <c r="E525" s="140" t="s">
        <v>188</v>
      </c>
      <c r="F525" t="s">
        <v>17</v>
      </c>
      <c r="G525">
        <v>560080.88012286799</v>
      </c>
    </row>
    <row r="526" spans="2:7" hidden="1" x14ac:dyDescent="0.25">
      <c r="B526" t="s">
        <v>94</v>
      </c>
      <c r="C526" s="142">
        <v>45930</v>
      </c>
      <c r="D526" s="142" t="str">
        <f>IF(C526&lt;Data!$J$1,"Actual","Forecasted")</f>
        <v>Forecasted</v>
      </c>
      <c r="E526" s="140" t="s">
        <v>188</v>
      </c>
      <c r="F526" t="s">
        <v>173</v>
      </c>
      <c r="G526">
        <v>0.1474598295917231</v>
      </c>
    </row>
    <row r="527" spans="2:7" hidden="1" x14ac:dyDescent="0.25">
      <c r="B527" t="s">
        <v>94</v>
      </c>
      <c r="C527" s="142">
        <v>45930</v>
      </c>
      <c r="D527" s="142" t="str">
        <f>IF(C527&lt;Data!$J$1,"Actual","Forecasted")</f>
        <v>Forecasted</v>
      </c>
      <c r="E527" s="140" t="s">
        <v>188</v>
      </c>
      <c r="F527" t="s">
        <v>18</v>
      </c>
      <c r="G527">
        <v>212309.57854266779</v>
      </c>
    </row>
    <row r="528" spans="2:7" hidden="1" x14ac:dyDescent="0.25">
      <c r="B528" t="s">
        <v>94</v>
      </c>
      <c r="C528" s="142">
        <v>45930</v>
      </c>
      <c r="D528" s="142" t="str">
        <f>IF(C528&lt;Data!$J$1,"Actual","Forecasted")</f>
        <v>Forecasted</v>
      </c>
      <c r="E528" s="140" t="s">
        <v>188</v>
      </c>
      <c r="F528" t="s">
        <v>174</v>
      </c>
      <c r="G528">
        <v>0.13735243232800021</v>
      </c>
    </row>
    <row r="529" spans="2:7" hidden="1" x14ac:dyDescent="0.25">
      <c r="B529" t="s">
        <v>94</v>
      </c>
      <c r="C529" s="142">
        <v>45930</v>
      </c>
      <c r="D529" s="142" t="str">
        <f>IF(C529&lt;Data!$J$1,"Actual","Forecasted")</f>
        <v>Forecasted</v>
      </c>
      <c r="E529" s="140" t="s">
        <v>188</v>
      </c>
      <c r="F529" t="s">
        <v>34</v>
      </c>
      <c r="G529">
        <v>245.91682891542891</v>
      </c>
    </row>
    <row r="530" spans="2:7" hidden="1" x14ac:dyDescent="0.25">
      <c r="B530" t="s">
        <v>94</v>
      </c>
      <c r="C530" s="142">
        <v>45930</v>
      </c>
      <c r="D530" s="142" t="str">
        <f>IF(C530&lt;Data!$J$1,"Actual","Forecasted")</f>
        <v>Forecasted</v>
      </c>
      <c r="E530" s="140" t="s">
        <v>188</v>
      </c>
      <c r="F530" t="s">
        <v>175</v>
      </c>
      <c r="G530">
        <v>8.8823865282369074E-2</v>
      </c>
    </row>
    <row r="531" spans="2:7" hidden="1" x14ac:dyDescent="0.25">
      <c r="B531" t="s">
        <v>94</v>
      </c>
      <c r="C531" s="142">
        <v>45930</v>
      </c>
      <c r="D531" s="142" t="str">
        <f>IF(C531&lt;Data!$J$1,"Actual","Forecasted")</f>
        <v>Forecasted</v>
      </c>
      <c r="E531" s="140" t="s">
        <v>188</v>
      </c>
      <c r="F531" t="s">
        <v>19</v>
      </c>
      <c r="G531">
        <v>773221.92133858637</v>
      </c>
    </row>
    <row r="532" spans="2:7" hidden="1" x14ac:dyDescent="0.25">
      <c r="B532" t="s">
        <v>94</v>
      </c>
      <c r="C532" s="142">
        <v>45930</v>
      </c>
      <c r="D532" s="142" t="str">
        <f>IF(C532&lt;Data!$J$1,"Actual","Forecasted")</f>
        <v>Forecasted</v>
      </c>
      <c r="E532" s="140" t="s">
        <v>188</v>
      </c>
      <c r="F532" t="s">
        <v>176</v>
      </c>
      <c r="G532">
        <v>0.14589592284626199</v>
      </c>
    </row>
    <row r="533" spans="2:7" hidden="1" x14ac:dyDescent="0.25">
      <c r="B533" t="s">
        <v>94</v>
      </c>
      <c r="C533" s="142">
        <v>45930</v>
      </c>
      <c r="D533" s="142" t="str">
        <f>IF(C533&lt;Data!$J$1,"Actual","Forecasted")</f>
        <v>Forecasted</v>
      </c>
      <c r="E533" s="140" t="s">
        <v>188</v>
      </c>
      <c r="F533" t="s">
        <v>11</v>
      </c>
      <c r="G533">
        <v>20215.038195098841</v>
      </c>
    </row>
    <row r="534" spans="2:7" hidden="1" x14ac:dyDescent="0.25">
      <c r="B534" t="s">
        <v>94</v>
      </c>
      <c r="C534" s="142">
        <v>45930</v>
      </c>
      <c r="D534" s="142" t="str">
        <f>IF(C534&lt;Data!$J$1,"Actual","Forecasted")</f>
        <v>Forecasted</v>
      </c>
      <c r="E534" s="140" t="s">
        <v>188</v>
      </c>
      <c r="F534" t="s">
        <v>38</v>
      </c>
      <c r="G534">
        <v>2.6143902076784079E-2</v>
      </c>
    </row>
    <row r="535" spans="2:7" hidden="1" x14ac:dyDescent="0.25">
      <c r="B535" t="s">
        <v>94</v>
      </c>
      <c r="C535" s="142">
        <v>45930</v>
      </c>
      <c r="D535" s="142" t="str">
        <f>IF(C535&lt;Data!$J$1,"Actual","Forecasted")</f>
        <v>Forecasted</v>
      </c>
      <c r="E535" s="140" t="s">
        <v>188</v>
      </c>
      <c r="F535" t="s">
        <v>10</v>
      </c>
      <c r="G535">
        <v>793436.95953368524</v>
      </c>
    </row>
    <row r="536" spans="2:7" x14ac:dyDescent="0.25">
      <c r="B536" t="s">
        <v>94</v>
      </c>
      <c r="C536" s="142">
        <v>45930</v>
      </c>
      <c r="D536" s="142" t="str">
        <f>IF(C536&lt;Data!$J$1,"Actual","Forecasted")</f>
        <v>Forecasted</v>
      </c>
      <c r="E536" s="140" t="s">
        <v>188</v>
      </c>
      <c r="F536" t="s">
        <v>177</v>
      </c>
      <c r="G536">
        <v>0.14454420806493221</v>
      </c>
    </row>
    <row r="537" spans="2:7" hidden="1" x14ac:dyDescent="0.25">
      <c r="B537" t="s">
        <v>94</v>
      </c>
      <c r="C537" s="142">
        <v>45930</v>
      </c>
      <c r="D537" s="142" t="str">
        <f>IF(C537&lt;Data!$J$1,"Actual","Forecasted")</f>
        <v>Forecasted</v>
      </c>
      <c r="E537" s="140" t="s">
        <v>189</v>
      </c>
      <c r="F537" t="s">
        <v>12</v>
      </c>
      <c r="G537">
        <v>-424121.10454761668</v>
      </c>
    </row>
    <row r="538" spans="2:7" hidden="1" x14ac:dyDescent="0.25">
      <c r="B538" t="s">
        <v>94</v>
      </c>
      <c r="C538" s="142">
        <v>45930</v>
      </c>
      <c r="D538" s="142" t="str">
        <f>IF(C538&lt;Data!$J$1,"Actual","Forecasted")</f>
        <v>Forecasted</v>
      </c>
      <c r="E538" s="140" t="s">
        <v>189</v>
      </c>
      <c r="F538" t="s">
        <v>178</v>
      </c>
      <c r="G538">
        <v>0.54851148530991822</v>
      </c>
    </row>
    <row r="539" spans="2:7" hidden="1" x14ac:dyDescent="0.25">
      <c r="B539" t="s">
        <v>94</v>
      </c>
      <c r="C539" s="142">
        <v>45930</v>
      </c>
      <c r="D539" s="142" t="str">
        <f>IF(C539&lt;Data!$J$1,"Actual","Forecasted")</f>
        <v>Forecasted</v>
      </c>
      <c r="E539" s="140" t="s">
        <v>189</v>
      </c>
      <c r="F539" t="s">
        <v>13</v>
      </c>
      <c r="G539">
        <v>-84221.745762711871</v>
      </c>
    </row>
    <row r="540" spans="2:7" hidden="1" x14ac:dyDescent="0.25">
      <c r="B540" t="s">
        <v>94</v>
      </c>
      <c r="C540" s="142">
        <v>45930</v>
      </c>
      <c r="D540" s="142" t="str">
        <f>IF(C540&lt;Data!$J$1,"Actual","Forecasted")</f>
        <v>Forecasted</v>
      </c>
      <c r="E540" s="140" t="s">
        <v>189</v>
      </c>
      <c r="F540" t="s">
        <v>41</v>
      </c>
      <c r="G540">
        <v>-452.80508474576271</v>
      </c>
    </row>
    <row r="541" spans="2:7" hidden="1" x14ac:dyDescent="0.25">
      <c r="B541" t="s">
        <v>94</v>
      </c>
      <c r="C541" s="142">
        <v>45930</v>
      </c>
      <c r="D541" s="142" t="str">
        <f>IF(C541&lt;Data!$J$1,"Actual","Forecasted")</f>
        <v>Forecasted</v>
      </c>
      <c r="E541" s="140" t="s">
        <v>189</v>
      </c>
      <c r="F541" t="s">
        <v>39</v>
      </c>
      <c r="G541">
        <v>-91997.318900051192</v>
      </c>
    </row>
    <row r="542" spans="2:7" hidden="1" x14ac:dyDescent="0.25">
      <c r="B542" t="s">
        <v>94</v>
      </c>
      <c r="C542" s="142">
        <v>45930</v>
      </c>
      <c r="D542" s="142" t="str">
        <f>IF(C542&lt;Data!$J$1,"Actual","Forecasted")</f>
        <v>Forecasted</v>
      </c>
      <c r="E542" s="140" t="s">
        <v>189</v>
      </c>
      <c r="F542" t="s">
        <v>179</v>
      </c>
      <c r="G542">
        <v>0.11594786176096381</v>
      </c>
    </row>
    <row r="543" spans="2:7" hidden="1" x14ac:dyDescent="0.25">
      <c r="B543" t="s">
        <v>94</v>
      </c>
      <c r="C543" s="142">
        <v>45930</v>
      </c>
      <c r="D543" s="142" t="str">
        <f>IF(C543&lt;Data!$J$1,"Actual","Forecasted")</f>
        <v>Forecasted</v>
      </c>
      <c r="E543" s="140" t="s">
        <v>189</v>
      </c>
      <c r="F543" t="s">
        <v>40</v>
      </c>
      <c r="G543">
        <v>-83272.942415256271</v>
      </c>
    </row>
    <row r="544" spans="2:7" hidden="1" x14ac:dyDescent="0.25">
      <c r="B544" t="s">
        <v>94</v>
      </c>
      <c r="C544" s="142">
        <v>45930</v>
      </c>
      <c r="D544" s="142" t="str">
        <f>IF(C544&lt;Data!$J$1,"Actual","Forecasted")</f>
        <v>Forecasted</v>
      </c>
      <c r="E544" s="140" t="s">
        <v>189</v>
      </c>
      <c r="F544" t="s">
        <v>180</v>
      </c>
      <c r="G544">
        <v>0.1049521848140236</v>
      </c>
    </row>
    <row r="545" spans="2:7" hidden="1" x14ac:dyDescent="0.25">
      <c r="B545" t="s">
        <v>94</v>
      </c>
      <c r="C545" s="142">
        <v>45930</v>
      </c>
      <c r="D545" s="142" t="str">
        <f>IF(C545&lt;Data!$J$1,"Actual","Forecasted")</f>
        <v>Forecasted</v>
      </c>
      <c r="E545" s="140" t="s">
        <v>190</v>
      </c>
      <c r="F545" t="s">
        <v>43</v>
      </c>
      <c r="G545">
        <v>109823.8479080492</v>
      </c>
    </row>
    <row r="546" spans="2:7" hidden="1" x14ac:dyDescent="0.25">
      <c r="B546" t="s">
        <v>94</v>
      </c>
      <c r="C546" s="142">
        <v>45930</v>
      </c>
      <c r="D546" s="142" t="str">
        <f>IF(C546&lt;Data!$J$1,"Actual","Forecasted")</f>
        <v>Forecasted</v>
      </c>
      <c r="E546" s="140" t="s">
        <v>190</v>
      </c>
      <c r="F546" t="s">
        <v>44</v>
      </c>
      <c r="G546">
        <v>0.13841534174636169</v>
      </c>
    </row>
    <row r="547" spans="2:7" hidden="1" x14ac:dyDescent="0.25">
      <c r="B547" t="s">
        <v>94</v>
      </c>
      <c r="C547" s="142">
        <v>45930</v>
      </c>
      <c r="D547" s="142" t="str">
        <f>IF(C547&lt;Data!$J$1,"Actual","Forecasted")</f>
        <v>Forecasted</v>
      </c>
      <c r="E547" s="140" t="s">
        <v>190</v>
      </c>
      <c r="F547" t="s">
        <v>45</v>
      </c>
      <c r="G547">
        <v>-23063.008060690328</v>
      </c>
    </row>
    <row r="548" spans="2:7" hidden="1" x14ac:dyDescent="0.25">
      <c r="B548" t="s">
        <v>94</v>
      </c>
      <c r="C548" s="142">
        <v>45930</v>
      </c>
      <c r="D548" s="142" t="str">
        <f>IF(C548&lt;Data!$J$1,"Actual","Forecasted")</f>
        <v>Forecasted</v>
      </c>
      <c r="E548" s="140" t="s">
        <v>189</v>
      </c>
      <c r="F548" t="s">
        <v>89</v>
      </c>
      <c r="G548">
        <v>-151170.48755221421</v>
      </c>
    </row>
    <row r="549" spans="2:7" hidden="1" x14ac:dyDescent="0.25">
      <c r="B549" t="s">
        <v>94</v>
      </c>
      <c r="C549" s="142">
        <v>45930</v>
      </c>
      <c r="D549" s="142" t="str">
        <f>IF(C549&lt;Data!$J$1,"Actual","Forecasted")</f>
        <v>Forecasted</v>
      </c>
      <c r="E549" s="140" t="s">
        <v>189</v>
      </c>
      <c r="F549" t="s">
        <v>181</v>
      </c>
      <c r="G549">
        <v>0.1905261479639912</v>
      </c>
    </row>
    <row r="550" spans="2:7" hidden="1" x14ac:dyDescent="0.25">
      <c r="B550" t="s">
        <v>94</v>
      </c>
      <c r="C550" s="142">
        <v>45930</v>
      </c>
      <c r="D550" s="142" t="str">
        <f>IF(C550&lt;Data!$J$1,"Actual","Forecasted")</f>
        <v>Forecasted</v>
      </c>
      <c r="E550" s="140" t="s">
        <v>189</v>
      </c>
      <c r="F550" t="s">
        <v>90</v>
      </c>
      <c r="G550">
        <v>25124.270879089141</v>
      </c>
    </row>
    <row r="551" spans="2:7" hidden="1" x14ac:dyDescent="0.25">
      <c r="B551" t="s">
        <v>94</v>
      </c>
      <c r="C551" s="142">
        <v>45930</v>
      </c>
      <c r="D551" s="142" t="str">
        <f>IF(C551&lt;Data!$J$1,"Actual","Forecasted")</f>
        <v>Forecasted</v>
      </c>
      <c r="E551" s="140" t="s">
        <v>189</v>
      </c>
      <c r="F551" t="s">
        <v>182</v>
      </c>
      <c r="G551">
        <v>3.1665112870284048E-2</v>
      </c>
    </row>
    <row r="552" spans="2:7" hidden="1" x14ac:dyDescent="0.25">
      <c r="B552" t="s">
        <v>94</v>
      </c>
      <c r="C552" s="142">
        <v>45930</v>
      </c>
      <c r="D552" s="142" t="str">
        <f>IF(C552&lt;Data!$J$1,"Actual","Forecasted")</f>
        <v>Forecasted</v>
      </c>
      <c r="E552" s="140" t="s">
        <v>190</v>
      </c>
      <c r="F552" t="s">
        <v>53</v>
      </c>
      <c r="G552">
        <v>67255.142247061216</v>
      </c>
    </row>
    <row r="553" spans="2:7" hidden="1" x14ac:dyDescent="0.25">
      <c r="B553" t="s">
        <v>94</v>
      </c>
      <c r="C553" s="142">
        <v>45930</v>
      </c>
      <c r="D553" s="142" t="str">
        <f>IF(C553&lt;Data!$J$1,"Actual","Forecasted")</f>
        <v>Forecasted</v>
      </c>
      <c r="E553" s="140" t="s">
        <v>190</v>
      </c>
      <c r="F553" t="s">
        <v>183</v>
      </c>
      <c r="G553">
        <v>-0.28341439191240508</v>
      </c>
    </row>
    <row r="554" spans="2:7" hidden="1" x14ac:dyDescent="0.25">
      <c r="B554" t="s">
        <v>94</v>
      </c>
      <c r="C554" s="142">
        <v>45930</v>
      </c>
      <c r="D554" s="142" t="str">
        <f>IF(C554&lt;Data!$J$1,"Actual","Forecasted")</f>
        <v>Forecasted</v>
      </c>
      <c r="E554" s="140" t="s">
        <v>190</v>
      </c>
      <c r="F554" t="s">
        <v>73</v>
      </c>
      <c r="G554">
        <v>193096.7903233055</v>
      </c>
    </row>
    <row r="555" spans="2:7" hidden="1" x14ac:dyDescent="0.25">
      <c r="B555" t="s">
        <v>94</v>
      </c>
      <c r="C555" s="142">
        <v>45930</v>
      </c>
      <c r="D555" s="142" t="str">
        <f>IF(C555&lt;Data!$J$1,"Actual","Forecasted")</f>
        <v>Forecasted</v>
      </c>
      <c r="E555" s="140" t="s">
        <v>190</v>
      </c>
      <c r="F555" t="s">
        <v>186</v>
      </c>
      <c r="G555">
        <v>0.1835827438202926</v>
      </c>
    </row>
    <row r="556" spans="2:7" hidden="1" x14ac:dyDescent="0.25">
      <c r="B556" t="s">
        <v>94</v>
      </c>
      <c r="C556" s="142">
        <v>45930</v>
      </c>
      <c r="D556" s="142" t="str">
        <f>IF(C556&lt;Data!$J$1,"Actual","Forecasted")</f>
        <v>Forecasted</v>
      </c>
      <c r="E556" s="140" t="s">
        <v>190</v>
      </c>
      <c r="F556" t="s">
        <v>143</v>
      </c>
      <c r="G556">
        <v>218221.0612023946</v>
      </c>
    </row>
    <row r="557" spans="2:7" hidden="1" x14ac:dyDescent="0.25">
      <c r="B557" t="s">
        <v>94</v>
      </c>
      <c r="C557" s="142">
        <v>45930</v>
      </c>
      <c r="D557" s="142" t="str">
        <f>IF(C557&lt;Data!$J$1,"Actual","Forecasted")</f>
        <v>Forecasted</v>
      </c>
      <c r="E557" s="140" t="s">
        <v>190</v>
      </c>
      <c r="F557" t="s">
        <v>185</v>
      </c>
      <c r="G557">
        <v>0.2477047261969525</v>
      </c>
    </row>
    <row r="558" spans="2:7" hidden="1" x14ac:dyDescent="0.25">
      <c r="B558" t="s">
        <v>94</v>
      </c>
      <c r="C558" s="142">
        <v>45930</v>
      </c>
      <c r="D558" s="142" t="str">
        <f>IF(C558&lt;Data!$J$1,"Actual","Forecasted")</f>
        <v>Forecasted</v>
      </c>
      <c r="E558" s="140" t="s">
        <v>190</v>
      </c>
      <c r="F558" t="s">
        <v>153</v>
      </c>
      <c r="G558">
        <v>51578.718479075862</v>
      </c>
    </row>
    <row r="559" spans="2:7" hidden="1" x14ac:dyDescent="0.25">
      <c r="B559" t="s">
        <v>94</v>
      </c>
      <c r="C559" s="142">
        <v>45930</v>
      </c>
      <c r="D559" s="142" t="str">
        <f>IF(C559&lt;Data!$J$1,"Actual","Forecasted")</f>
        <v>Forecasted</v>
      </c>
      <c r="E559" s="140" t="s">
        <v>190</v>
      </c>
      <c r="F559" t="s">
        <v>184</v>
      </c>
      <c r="G559">
        <v>0.24721843740964489</v>
      </c>
    </row>
    <row r="560" spans="2:7" hidden="1" x14ac:dyDescent="0.25">
      <c r="B560" t="s">
        <v>94</v>
      </c>
      <c r="C560" s="142">
        <v>45930</v>
      </c>
      <c r="D560" s="142" t="str">
        <f>IF(C560&lt;Data!$J$1,"Actual","Forecasted")</f>
        <v>Forecasted</v>
      </c>
      <c r="E560" s="140" t="s">
        <v>190</v>
      </c>
      <c r="F560" t="s">
        <v>155</v>
      </c>
      <c r="G560">
        <v>0.2442590521067789</v>
      </c>
    </row>
    <row r="561" spans="2:7" hidden="1" x14ac:dyDescent="0.25">
      <c r="B561" t="s">
        <v>94</v>
      </c>
      <c r="C561" s="142">
        <v>45930</v>
      </c>
      <c r="D561" s="142" t="str">
        <f>IF(C561&lt;Data!$J$1,"Actual","Forecasted")</f>
        <v>Forecasted</v>
      </c>
      <c r="E561" s="140" t="s">
        <v>190</v>
      </c>
      <c r="F561" t="s">
        <v>154</v>
      </c>
      <c r="G561">
        <v>211164</v>
      </c>
    </row>
    <row r="562" spans="2:7" hidden="1" x14ac:dyDescent="0.25">
      <c r="B562" t="s">
        <v>94</v>
      </c>
      <c r="C562" s="142">
        <v>45930</v>
      </c>
      <c r="D562" s="142" t="str">
        <f>IF(C562&lt;Data!$J$1,"Actual","Forecasted")</f>
        <v>Forecasted</v>
      </c>
      <c r="E562" s="140" t="s">
        <v>190</v>
      </c>
      <c r="F562" t="s">
        <v>194</v>
      </c>
      <c r="G562">
        <v>6.5006700103042145E-2</v>
      </c>
    </row>
    <row r="563" spans="2:7" hidden="1" x14ac:dyDescent="0.25">
      <c r="B563" t="s">
        <v>95</v>
      </c>
      <c r="C563" s="142">
        <v>46022</v>
      </c>
      <c r="D563" s="142" t="str">
        <f>IF(C563&lt;Data!$J$1,"Actual","Forecasted")</f>
        <v>Forecasted</v>
      </c>
      <c r="E563" s="140"/>
    </row>
    <row r="564" spans="2:7" hidden="1" x14ac:dyDescent="0.25">
      <c r="B564" t="s">
        <v>95</v>
      </c>
      <c r="C564" s="142">
        <v>46022</v>
      </c>
      <c r="D564" s="142" t="str">
        <f>IF(C564&lt;Data!$J$1,"Actual","Forecasted")</f>
        <v>Forecasted</v>
      </c>
      <c r="E564" s="140"/>
    </row>
    <row r="565" spans="2:7" hidden="1" x14ac:dyDescent="0.25">
      <c r="B565" t="s">
        <v>95</v>
      </c>
      <c r="C565" s="142">
        <v>46022</v>
      </c>
      <c r="D565" s="142" t="str">
        <f>IF(C565&lt;Data!$J$1,"Actual","Forecasted")</f>
        <v>Forecasted</v>
      </c>
      <c r="E565" s="140" t="s">
        <v>188</v>
      </c>
      <c r="F565" t="s">
        <v>35</v>
      </c>
      <c r="G565">
        <v>189</v>
      </c>
    </row>
    <row r="566" spans="2:7" hidden="1" x14ac:dyDescent="0.25">
      <c r="B566" t="s">
        <v>95</v>
      </c>
      <c r="C566" s="142">
        <v>46022</v>
      </c>
      <c r="D566" s="142" t="str">
        <f>IF(C566&lt;Data!$J$1,"Actual","Forecasted")</f>
        <v>Forecasted</v>
      </c>
      <c r="E566" s="140" t="s">
        <v>188</v>
      </c>
      <c r="F566" t="s">
        <v>37</v>
      </c>
      <c r="G566">
        <v>3</v>
      </c>
    </row>
    <row r="567" spans="2:7" hidden="1" x14ac:dyDescent="0.25">
      <c r="B567" t="s">
        <v>95</v>
      </c>
      <c r="C567" s="142">
        <v>46022</v>
      </c>
      <c r="D567" s="142" t="str">
        <f>IF(C567&lt;Data!$J$1,"Actual","Forecasted")</f>
        <v>Forecasted</v>
      </c>
      <c r="E567" s="140" t="s">
        <v>188</v>
      </c>
      <c r="F567" t="s">
        <v>36</v>
      </c>
      <c r="G567">
        <v>4499.9553399326996</v>
      </c>
    </row>
    <row r="568" spans="2:7" hidden="1" x14ac:dyDescent="0.25">
      <c r="B568" t="s">
        <v>95</v>
      </c>
      <c r="C568" s="142">
        <v>46022</v>
      </c>
      <c r="D568" s="142" t="str">
        <f>IF(C568&lt;Data!$J$1,"Actual","Forecasted")</f>
        <v>Forecasted</v>
      </c>
      <c r="E568" s="140" t="s">
        <v>188</v>
      </c>
      <c r="F568" t="s">
        <v>14</v>
      </c>
      <c r="G568">
        <v>850491.55924728024</v>
      </c>
    </row>
    <row r="569" spans="2:7" hidden="1" x14ac:dyDescent="0.25">
      <c r="B569" t="s">
        <v>95</v>
      </c>
      <c r="C569" s="142">
        <v>46022</v>
      </c>
      <c r="D569" s="142" t="str">
        <f>IF(C569&lt;Data!$J$1,"Actual","Forecasted")</f>
        <v>Forecasted</v>
      </c>
      <c r="E569" s="140" t="s">
        <v>188</v>
      </c>
      <c r="F569" t="s">
        <v>170</v>
      </c>
      <c r="G569">
        <v>4.7323430042632397E-2</v>
      </c>
    </row>
    <row r="570" spans="2:7" hidden="1" x14ac:dyDescent="0.25">
      <c r="B570" t="s">
        <v>95</v>
      </c>
      <c r="C570" s="142">
        <v>46022</v>
      </c>
      <c r="D570" s="142" t="str">
        <f>IF(C570&lt;Data!$J$1,"Actual","Forecasted")</f>
        <v>Forecasted</v>
      </c>
      <c r="E570" s="140" t="s">
        <v>188</v>
      </c>
      <c r="F570" t="s">
        <v>15</v>
      </c>
      <c r="G570">
        <v>56428.548511214227</v>
      </c>
    </row>
    <row r="571" spans="2:7" hidden="1" x14ac:dyDescent="0.25">
      <c r="B571" t="s">
        <v>95</v>
      </c>
      <c r="C571" s="142">
        <v>46022</v>
      </c>
      <c r="D571" s="142" t="str">
        <f>IF(C571&lt;Data!$J$1,"Actual","Forecasted")</f>
        <v>Forecasted</v>
      </c>
      <c r="E571" s="140" t="s">
        <v>188</v>
      </c>
      <c r="F571" t="s">
        <v>171</v>
      </c>
      <c r="G571">
        <v>4.4528228924980651E-2</v>
      </c>
    </row>
    <row r="572" spans="2:7" hidden="1" x14ac:dyDescent="0.25">
      <c r="B572" t="s">
        <v>95</v>
      </c>
      <c r="C572" s="142">
        <v>46022</v>
      </c>
      <c r="D572" s="142" t="str">
        <f>IF(C572&lt;Data!$J$1,"Actual","Forecasted")</f>
        <v>Forecasted</v>
      </c>
      <c r="E572" s="140" t="s">
        <v>188</v>
      </c>
      <c r="F572" t="s">
        <v>159</v>
      </c>
      <c r="G572">
        <v>16.2364824</v>
      </c>
    </row>
    <row r="573" spans="2:7" hidden="1" x14ac:dyDescent="0.25">
      <c r="B573" t="s">
        <v>95</v>
      </c>
      <c r="C573" s="142">
        <v>46022</v>
      </c>
      <c r="D573" s="142" t="str">
        <f>IF(C573&lt;Data!$J$1,"Actual","Forecasted")</f>
        <v>Forecasted</v>
      </c>
      <c r="E573" s="140" t="s">
        <v>188</v>
      </c>
      <c r="F573" t="s">
        <v>160</v>
      </c>
      <c r="G573">
        <v>916.20113475987614</v>
      </c>
    </row>
    <row r="574" spans="2:7" hidden="1" x14ac:dyDescent="0.25">
      <c r="B574" t="s">
        <v>95</v>
      </c>
      <c r="C574" s="142">
        <v>46022</v>
      </c>
      <c r="D574" s="142" t="str">
        <f>IF(C574&lt;Data!$J$1,"Actual","Forecasted")</f>
        <v>Forecasted</v>
      </c>
      <c r="E574" s="140" t="s">
        <v>188</v>
      </c>
      <c r="F574" t="s">
        <v>158</v>
      </c>
      <c r="G574">
        <v>644.35570529097538</v>
      </c>
    </row>
    <row r="575" spans="2:7" hidden="1" x14ac:dyDescent="0.25">
      <c r="B575" t="s">
        <v>95</v>
      </c>
      <c r="C575" s="142">
        <v>46022</v>
      </c>
      <c r="D575" s="142" t="str">
        <f>IF(C575&lt;Data!$J$1,"Actual","Forecasted")</f>
        <v>Forecasted</v>
      </c>
      <c r="E575" s="140" t="s">
        <v>188</v>
      </c>
      <c r="F575" t="s">
        <v>172</v>
      </c>
      <c r="G575">
        <v>9.5249999999999987E-2</v>
      </c>
    </row>
    <row r="576" spans="2:7" hidden="1" x14ac:dyDescent="0.25">
      <c r="B576" t="s">
        <v>95</v>
      </c>
      <c r="C576" s="142">
        <v>46022</v>
      </c>
      <c r="D576" s="142" t="str">
        <f>IF(C576&lt;Data!$J$1,"Actual","Forecasted")</f>
        <v>Forecasted</v>
      </c>
      <c r="E576" s="140" t="s">
        <v>188</v>
      </c>
      <c r="F576" t="s">
        <v>17</v>
      </c>
      <c r="G576">
        <v>548019.08850280265</v>
      </c>
    </row>
    <row r="577" spans="2:7" hidden="1" x14ac:dyDescent="0.25">
      <c r="B577" t="s">
        <v>95</v>
      </c>
      <c r="C577" s="142">
        <v>46022</v>
      </c>
      <c r="D577" s="142" t="str">
        <f>IF(C577&lt;Data!$J$1,"Actual","Forecasted")</f>
        <v>Forecasted</v>
      </c>
      <c r="E577" s="140" t="s">
        <v>188</v>
      </c>
      <c r="F577" t="s">
        <v>173</v>
      </c>
      <c r="G577">
        <v>0.14708098675419329</v>
      </c>
    </row>
    <row r="578" spans="2:7" hidden="1" x14ac:dyDescent="0.25">
      <c r="B578" t="s">
        <v>95</v>
      </c>
      <c r="C578" s="142">
        <v>46022</v>
      </c>
      <c r="D578" s="142" t="str">
        <f>IF(C578&lt;Data!$J$1,"Actual","Forecasted")</f>
        <v>Forecasted</v>
      </c>
      <c r="E578" s="140" t="s">
        <v>188</v>
      </c>
      <c r="F578" t="s">
        <v>18</v>
      </c>
      <c r="G578">
        <v>191417.7007722506</v>
      </c>
    </row>
    <row r="579" spans="2:7" hidden="1" x14ac:dyDescent="0.25">
      <c r="B579" t="s">
        <v>95</v>
      </c>
      <c r="C579" s="142">
        <v>46022</v>
      </c>
      <c r="D579" s="142" t="str">
        <f>IF(C579&lt;Data!$J$1,"Actual","Forecasted")</f>
        <v>Forecasted</v>
      </c>
      <c r="E579" s="140" t="s">
        <v>188</v>
      </c>
      <c r="F579" t="s">
        <v>174</v>
      </c>
      <c r="G579">
        <v>0.13511412814959489</v>
      </c>
    </row>
    <row r="580" spans="2:7" hidden="1" x14ac:dyDescent="0.25">
      <c r="B580" t="s">
        <v>95</v>
      </c>
      <c r="C580" s="142">
        <v>46022</v>
      </c>
      <c r="D580" s="142" t="str">
        <f>IF(C580&lt;Data!$J$1,"Actual","Forecasted")</f>
        <v>Forecasted</v>
      </c>
      <c r="E580" s="140" t="s">
        <v>188</v>
      </c>
      <c r="F580" t="s">
        <v>34</v>
      </c>
      <c r="G580">
        <v>225.06713757590151</v>
      </c>
    </row>
    <row r="581" spans="2:7" hidden="1" x14ac:dyDescent="0.25">
      <c r="B581" t="s">
        <v>95</v>
      </c>
      <c r="C581" s="142">
        <v>46022</v>
      </c>
      <c r="D581" s="142" t="str">
        <f>IF(C581&lt;Data!$J$1,"Actual","Forecasted")</f>
        <v>Forecasted</v>
      </c>
      <c r="E581" s="140" t="s">
        <v>188</v>
      </c>
      <c r="F581" t="s">
        <v>175</v>
      </c>
      <c r="G581">
        <v>8.382386528236907E-2</v>
      </c>
    </row>
    <row r="582" spans="2:7" hidden="1" x14ac:dyDescent="0.25">
      <c r="B582" t="s">
        <v>95</v>
      </c>
      <c r="C582" s="142">
        <v>46022</v>
      </c>
      <c r="D582" s="142" t="str">
        <f>IF(C582&lt;Data!$J$1,"Actual","Forecasted")</f>
        <v>Forecasted</v>
      </c>
      <c r="E582" s="140" t="s">
        <v>188</v>
      </c>
      <c r="F582" t="s">
        <v>19</v>
      </c>
      <c r="G582">
        <v>740352.99040981324</v>
      </c>
    </row>
    <row r="583" spans="2:7" hidden="1" x14ac:dyDescent="0.25">
      <c r="B583" t="s">
        <v>95</v>
      </c>
      <c r="C583" s="142">
        <v>46022</v>
      </c>
      <c r="D583" s="142" t="str">
        <f>IF(C583&lt;Data!$J$1,"Actual","Forecasted")</f>
        <v>Forecasted</v>
      </c>
      <c r="E583" s="140" t="s">
        <v>188</v>
      </c>
      <c r="F583" t="s">
        <v>176</v>
      </c>
      <c r="G583">
        <v>0.14537641774829391</v>
      </c>
    </row>
    <row r="584" spans="2:7" hidden="1" x14ac:dyDescent="0.25">
      <c r="B584" t="s">
        <v>95</v>
      </c>
      <c r="C584" s="142">
        <v>46022</v>
      </c>
      <c r="D584" s="142" t="str">
        <f>IF(C584&lt;Data!$J$1,"Actual","Forecasted")</f>
        <v>Forecasted</v>
      </c>
      <c r="E584" s="140" t="s">
        <v>188</v>
      </c>
      <c r="F584" t="s">
        <v>11</v>
      </c>
      <c r="G584">
        <v>19355.716083528419</v>
      </c>
    </row>
    <row r="585" spans="2:7" hidden="1" x14ac:dyDescent="0.25">
      <c r="B585" t="s">
        <v>95</v>
      </c>
      <c r="C585" s="142">
        <v>46022</v>
      </c>
      <c r="D585" s="142" t="str">
        <f>IF(C585&lt;Data!$J$1,"Actual","Forecasted")</f>
        <v>Forecasted</v>
      </c>
      <c r="E585" s="140" t="s">
        <v>188</v>
      </c>
      <c r="F585" t="s">
        <v>38</v>
      </c>
      <c r="G585">
        <v>2.6143902076784079E-2</v>
      </c>
    </row>
    <row r="586" spans="2:7" hidden="1" x14ac:dyDescent="0.25">
      <c r="B586" t="s">
        <v>95</v>
      </c>
      <c r="C586" s="142">
        <v>46022</v>
      </c>
      <c r="D586" s="142" t="str">
        <f>IF(C586&lt;Data!$J$1,"Actual","Forecasted")</f>
        <v>Forecasted</v>
      </c>
      <c r="E586" s="140" t="s">
        <v>188</v>
      </c>
      <c r="F586" t="s">
        <v>10</v>
      </c>
      <c r="G586">
        <v>759708.70649334171</v>
      </c>
    </row>
    <row r="587" spans="2:7" x14ac:dyDescent="0.25">
      <c r="B587" t="s">
        <v>95</v>
      </c>
      <c r="C587" s="142">
        <v>46022</v>
      </c>
      <c r="D587" s="142" t="str">
        <f>IF(C587&lt;Data!$J$1,"Actual","Forecasted")</f>
        <v>Forecasted</v>
      </c>
      <c r="E587" s="140" t="s">
        <v>188</v>
      </c>
      <c r="F587" t="s">
        <v>177</v>
      </c>
      <c r="G587">
        <v>0.1453764177482941</v>
      </c>
    </row>
    <row r="588" spans="2:7" hidden="1" x14ac:dyDescent="0.25">
      <c r="B588" t="s">
        <v>95</v>
      </c>
      <c r="C588" s="142">
        <v>46022</v>
      </c>
      <c r="D588" s="142" t="str">
        <f>IF(C588&lt;Data!$J$1,"Actual","Forecasted")</f>
        <v>Forecasted</v>
      </c>
      <c r="E588" s="140" t="s">
        <v>189</v>
      </c>
      <c r="F588" t="s">
        <v>12</v>
      </c>
      <c r="G588">
        <v>-392758.07692041539</v>
      </c>
    </row>
    <row r="589" spans="2:7" hidden="1" x14ac:dyDescent="0.25">
      <c r="B589" t="s">
        <v>95</v>
      </c>
      <c r="C589" s="142">
        <v>46022</v>
      </c>
      <c r="D589" s="142" t="str">
        <f>IF(C589&lt;Data!$J$1,"Actual","Forecasted")</f>
        <v>Forecasted</v>
      </c>
      <c r="E589" s="140" t="s">
        <v>189</v>
      </c>
      <c r="F589" t="s">
        <v>178</v>
      </c>
      <c r="G589">
        <v>0.5305011015124137</v>
      </c>
    </row>
    <row r="590" spans="2:7" hidden="1" x14ac:dyDescent="0.25">
      <c r="B590" t="s">
        <v>95</v>
      </c>
      <c r="C590" s="142">
        <v>46022</v>
      </c>
      <c r="D590" s="142" t="str">
        <f>IF(C590&lt;Data!$J$1,"Actual","Forecasted")</f>
        <v>Forecasted</v>
      </c>
      <c r="E590" s="140" t="s">
        <v>189</v>
      </c>
      <c r="F590" t="s">
        <v>13</v>
      </c>
      <c r="G590">
        <v>-85233.530614525138</v>
      </c>
    </row>
    <row r="591" spans="2:7" hidden="1" x14ac:dyDescent="0.25">
      <c r="B591" t="s">
        <v>95</v>
      </c>
      <c r="C591" s="142">
        <v>46022</v>
      </c>
      <c r="D591" s="142" t="str">
        <f>IF(C591&lt;Data!$J$1,"Actual","Forecasted")</f>
        <v>Forecasted</v>
      </c>
      <c r="E591" s="140" t="s">
        <v>189</v>
      </c>
      <c r="F591" t="s">
        <v>41</v>
      </c>
      <c r="G591">
        <v>-450.97106145251399</v>
      </c>
    </row>
    <row r="592" spans="2:7" hidden="1" x14ac:dyDescent="0.25">
      <c r="B592" t="s">
        <v>95</v>
      </c>
      <c r="C592" s="142">
        <v>46022</v>
      </c>
      <c r="D592" s="142" t="str">
        <f>IF(C592&lt;Data!$J$1,"Actual","Forecasted")</f>
        <v>Forecasted</v>
      </c>
      <c r="E592" s="140" t="s">
        <v>189</v>
      </c>
      <c r="F592" t="s">
        <v>39</v>
      </c>
      <c r="G592">
        <v>-95841.662507924004</v>
      </c>
    </row>
    <row r="593" spans="2:7" hidden="1" x14ac:dyDescent="0.25">
      <c r="B593" t="s">
        <v>95</v>
      </c>
      <c r="C593" s="142">
        <v>46022</v>
      </c>
      <c r="D593" s="142" t="str">
        <f>IF(C593&lt;Data!$J$1,"Actual","Forecasted")</f>
        <v>Forecasted</v>
      </c>
      <c r="E593" s="140" t="s">
        <v>189</v>
      </c>
      <c r="F593" t="s">
        <v>179</v>
      </c>
      <c r="G593">
        <v>0.12615580378209601</v>
      </c>
    </row>
    <row r="594" spans="2:7" hidden="1" x14ac:dyDescent="0.25">
      <c r="B594" t="s">
        <v>95</v>
      </c>
      <c r="C594" s="142">
        <v>46022</v>
      </c>
      <c r="D594" s="142" t="str">
        <f>IF(C594&lt;Data!$J$1,"Actual","Forecasted")</f>
        <v>Forecasted</v>
      </c>
      <c r="E594" s="140" t="s">
        <v>189</v>
      </c>
      <c r="F594" t="s">
        <v>40</v>
      </c>
      <c r="G594">
        <v>-79733.088568711988</v>
      </c>
    </row>
    <row r="595" spans="2:7" hidden="1" x14ac:dyDescent="0.25">
      <c r="B595" t="s">
        <v>95</v>
      </c>
      <c r="C595" s="142">
        <v>46022</v>
      </c>
      <c r="D595" s="142" t="str">
        <f>IF(C595&lt;Data!$J$1,"Actual","Forecasted")</f>
        <v>Forecasted</v>
      </c>
      <c r="E595" s="140" t="s">
        <v>189</v>
      </c>
      <c r="F595" t="s">
        <v>180</v>
      </c>
      <c r="G595">
        <v>0.1049521848140236</v>
      </c>
    </row>
    <row r="596" spans="2:7" hidden="1" x14ac:dyDescent="0.25">
      <c r="B596" t="s">
        <v>95</v>
      </c>
      <c r="C596" s="142">
        <v>46022</v>
      </c>
      <c r="D596" s="142" t="str">
        <f>IF(C596&lt;Data!$J$1,"Actual","Forecasted")</f>
        <v>Forecasted</v>
      </c>
      <c r="E596" s="140" t="s">
        <v>190</v>
      </c>
      <c r="F596" t="s">
        <v>43</v>
      </c>
      <c r="G596">
        <v>106142.34788176521</v>
      </c>
    </row>
    <row r="597" spans="2:7" hidden="1" x14ac:dyDescent="0.25">
      <c r="B597" t="s">
        <v>95</v>
      </c>
      <c r="C597" s="142">
        <v>46022</v>
      </c>
      <c r="D597" s="142" t="str">
        <f>IF(C597&lt;Data!$J$1,"Actual","Forecasted")</f>
        <v>Forecasted</v>
      </c>
      <c r="E597" s="140" t="s">
        <v>190</v>
      </c>
      <c r="F597" t="s">
        <v>44</v>
      </c>
      <c r="G597">
        <v>0.13971453397144321</v>
      </c>
    </row>
    <row r="598" spans="2:7" hidden="1" x14ac:dyDescent="0.25">
      <c r="B598" t="s">
        <v>95</v>
      </c>
      <c r="C598" s="142">
        <v>46022</v>
      </c>
      <c r="D598" s="142" t="str">
        <f>IF(C598&lt;Data!$J$1,"Actual","Forecasted")</f>
        <v>Forecasted</v>
      </c>
      <c r="E598" s="140" t="s">
        <v>190</v>
      </c>
      <c r="F598" t="s">
        <v>45</v>
      </c>
      <c r="G598">
        <v>-22289.893055170691</v>
      </c>
    </row>
    <row r="599" spans="2:7" hidden="1" x14ac:dyDescent="0.25">
      <c r="B599" t="s">
        <v>95</v>
      </c>
      <c r="C599" s="142">
        <v>46022</v>
      </c>
      <c r="D599" s="142" t="str">
        <f>IF(C599&lt;Data!$J$1,"Actual","Forecasted")</f>
        <v>Forecasted</v>
      </c>
      <c r="E599" s="140" t="s">
        <v>189</v>
      </c>
      <c r="F599" t="s">
        <v>89</v>
      </c>
      <c r="G599">
        <v>-140945.82989041609</v>
      </c>
    </row>
    <row r="600" spans="2:7" hidden="1" x14ac:dyDescent="0.25">
      <c r="B600" t="s">
        <v>95</v>
      </c>
      <c r="C600" s="142">
        <v>46022</v>
      </c>
      <c r="D600" s="142" t="str">
        <f>IF(C600&lt;Data!$J$1,"Actual","Forecasted")</f>
        <v>Forecasted</v>
      </c>
      <c r="E600" s="140" t="s">
        <v>189</v>
      </c>
      <c r="F600" t="s">
        <v>181</v>
      </c>
      <c r="G600">
        <v>0.18552614796399119</v>
      </c>
    </row>
    <row r="601" spans="2:7" hidden="1" x14ac:dyDescent="0.25">
      <c r="B601" t="s">
        <v>95</v>
      </c>
      <c r="C601" s="142">
        <v>46022</v>
      </c>
      <c r="D601" s="142" t="str">
        <f>IF(C601&lt;Data!$J$1,"Actual","Forecasted")</f>
        <v>Forecasted</v>
      </c>
      <c r="E601" s="140" t="s">
        <v>189</v>
      </c>
      <c r="F601" t="s">
        <v>90</v>
      </c>
      <c r="G601">
        <v>45475.108874565463</v>
      </c>
    </row>
    <row r="602" spans="2:7" hidden="1" x14ac:dyDescent="0.25">
      <c r="B602" t="s">
        <v>95</v>
      </c>
      <c r="C602" s="142">
        <v>46022</v>
      </c>
      <c r="D602" s="142" t="str">
        <f>IF(C602&lt;Data!$J$1,"Actual","Forecasted")</f>
        <v>Forecasted</v>
      </c>
      <c r="E602" s="140" t="s">
        <v>189</v>
      </c>
      <c r="F602" t="s">
        <v>182</v>
      </c>
      <c r="G602">
        <v>5.985861223635195E-2</v>
      </c>
    </row>
    <row r="603" spans="2:7" hidden="1" x14ac:dyDescent="0.25">
      <c r="B603" t="s">
        <v>95</v>
      </c>
      <c r="C603" s="142">
        <v>46022</v>
      </c>
      <c r="D603" s="142" t="str">
        <f>IF(C603&lt;Data!$J$1,"Actual","Forecasted")</f>
        <v>Forecasted</v>
      </c>
      <c r="E603" s="140" t="s">
        <v>190</v>
      </c>
      <c r="F603" t="s">
        <v>53</v>
      </c>
      <c r="G603">
        <v>112350.364262174</v>
      </c>
    </row>
    <row r="604" spans="2:7" hidden="1" x14ac:dyDescent="0.25">
      <c r="B604" t="s">
        <v>95</v>
      </c>
      <c r="C604" s="142">
        <v>46022</v>
      </c>
      <c r="D604" s="142" t="str">
        <f>IF(C604&lt;Data!$J$1,"Actual","Forecasted")</f>
        <v>Forecasted</v>
      </c>
      <c r="E604" s="140" t="s">
        <v>190</v>
      </c>
      <c r="F604" t="s">
        <v>183</v>
      </c>
      <c r="G604">
        <v>0.68426174950040486</v>
      </c>
    </row>
    <row r="605" spans="2:7" hidden="1" x14ac:dyDescent="0.25">
      <c r="B605" t="s">
        <v>95</v>
      </c>
      <c r="C605" s="142">
        <v>46022</v>
      </c>
      <c r="D605" s="142" t="str">
        <f>IF(C605&lt;Data!$J$1,"Actual","Forecasted")</f>
        <v>Forecasted</v>
      </c>
      <c r="E605" s="140" t="s">
        <v>190</v>
      </c>
      <c r="F605" t="s">
        <v>73</v>
      </c>
      <c r="G605">
        <v>185875.43645047719</v>
      </c>
    </row>
    <row r="606" spans="2:7" hidden="1" x14ac:dyDescent="0.25">
      <c r="B606" t="s">
        <v>95</v>
      </c>
      <c r="C606" s="142">
        <v>46022</v>
      </c>
      <c r="D606" s="142" t="str">
        <f>IF(C606&lt;Data!$J$1,"Actual","Forecasted")</f>
        <v>Forecasted</v>
      </c>
      <c r="E606" s="140" t="s">
        <v>190</v>
      </c>
      <c r="F606" t="s">
        <v>186</v>
      </c>
      <c r="G606">
        <v>0.1870349991728433</v>
      </c>
    </row>
    <row r="607" spans="2:7" hidden="1" x14ac:dyDescent="0.25">
      <c r="B607" t="s">
        <v>95</v>
      </c>
      <c r="C607" s="142">
        <v>46022</v>
      </c>
      <c r="D607" s="142" t="str">
        <f>IF(C607&lt;Data!$J$1,"Actual","Forecasted")</f>
        <v>Forecasted</v>
      </c>
      <c r="E607" s="140" t="s">
        <v>190</v>
      </c>
      <c r="F607" t="s">
        <v>143</v>
      </c>
      <c r="G607">
        <v>231350.54532504259</v>
      </c>
    </row>
    <row r="608" spans="2:7" hidden="1" x14ac:dyDescent="0.25">
      <c r="B608" t="s">
        <v>95</v>
      </c>
      <c r="C608" s="142">
        <v>46022</v>
      </c>
      <c r="D608" s="142" t="str">
        <f>IF(C608&lt;Data!$J$1,"Actual","Forecasted")</f>
        <v>Forecasted</v>
      </c>
      <c r="E608" s="140" t="s">
        <v>190</v>
      </c>
      <c r="F608" t="s">
        <v>185</v>
      </c>
      <c r="G608">
        <v>0.30579631840834121</v>
      </c>
    </row>
    <row r="609" spans="2:7" hidden="1" x14ac:dyDescent="0.25">
      <c r="B609" t="s">
        <v>95</v>
      </c>
      <c r="C609" s="142">
        <v>46022</v>
      </c>
      <c r="D609" s="142" t="str">
        <f>IF(C609&lt;Data!$J$1,"Actual","Forecasted")</f>
        <v>Forecasted</v>
      </c>
      <c r="E609" s="140" t="s">
        <v>190</v>
      </c>
      <c r="F609" t="s">
        <v>153</v>
      </c>
      <c r="G609">
        <v>50165.892088077017</v>
      </c>
    </row>
    <row r="610" spans="2:7" hidden="1" x14ac:dyDescent="0.25">
      <c r="B610" t="s">
        <v>95</v>
      </c>
      <c r="C610" s="142">
        <v>46022</v>
      </c>
      <c r="D610" s="142" t="str">
        <f>IF(C610&lt;Data!$J$1,"Actual","Forecasted")</f>
        <v>Forecasted</v>
      </c>
      <c r="E610" s="140" t="s">
        <v>190</v>
      </c>
      <c r="F610" t="s">
        <v>184</v>
      </c>
      <c r="G610">
        <v>0.34988811689252791</v>
      </c>
    </row>
    <row r="611" spans="2:7" hidden="1" x14ac:dyDescent="0.25">
      <c r="B611" t="s">
        <v>95</v>
      </c>
      <c r="C611" s="142">
        <v>46022</v>
      </c>
      <c r="D611" s="142" t="str">
        <f>IF(C611&lt;Data!$J$1,"Actual","Forecasted")</f>
        <v>Forecasted</v>
      </c>
      <c r="E611" s="140" t="s">
        <v>190</v>
      </c>
      <c r="F611" t="s">
        <v>155</v>
      </c>
      <c r="G611">
        <v>0.2375683927567058</v>
      </c>
    </row>
    <row r="612" spans="2:7" hidden="1" x14ac:dyDescent="0.25">
      <c r="B612" t="s">
        <v>95</v>
      </c>
      <c r="C612" s="142">
        <v>46022</v>
      </c>
      <c r="D612" s="142" t="str">
        <f>IF(C612&lt;Data!$J$1,"Actual","Forecasted")</f>
        <v>Forecasted</v>
      </c>
      <c r="E612" s="140" t="s">
        <v>190</v>
      </c>
      <c r="F612" t="s">
        <v>154</v>
      </c>
      <c r="G612">
        <v>211164</v>
      </c>
    </row>
    <row r="613" spans="2:7" hidden="1" x14ac:dyDescent="0.25">
      <c r="B613" t="s">
        <v>95</v>
      </c>
      <c r="C613" s="142">
        <v>46022</v>
      </c>
      <c r="D613" s="142" t="str">
        <f>IF(C613&lt;Data!$J$1,"Actual","Forecasted")</f>
        <v>Forecasted</v>
      </c>
      <c r="E613" s="140" t="s">
        <v>190</v>
      </c>
      <c r="F613" t="s">
        <v>194</v>
      </c>
      <c r="G613">
        <v>6.6033061960856551E-2</v>
      </c>
    </row>
    <row r="614" spans="2:7" hidden="1" x14ac:dyDescent="0.25">
      <c r="B614" t="s">
        <v>96</v>
      </c>
      <c r="C614" s="142">
        <v>46112</v>
      </c>
      <c r="D614" s="142" t="str">
        <f>IF(C614&lt;Data!$J$1,"Actual","Forecasted")</f>
        <v>Forecasted</v>
      </c>
      <c r="E614" s="140"/>
    </row>
    <row r="615" spans="2:7" hidden="1" x14ac:dyDescent="0.25">
      <c r="B615" t="s">
        <v>96</v>
      </c>
      <c r="C615" s="142">
        <v>46112</v>
      </c>
      <c r="D615" s="142" t="str">
        <f>IF(C615&lt;Data!$J$1,"Actual","Forecasted")</f>
        <v>Forecasted</v>
      </c>
      <c r="E615" s="140"/>
    </row>
    <row r="616" spans="2:7" hidden="1" x14ac:dyDescent="0.25">
      <c r="B616" t="s">
        <v>96</v>
      </c>
      <c r="C616" s="142">
        <v>46112</v>
      </c>
      <c r="D616" s="142" t="str">
        <f>IF(C616&lt;Data!$J$1,"Actual","Forecasted")</f>
        <v>Forecasted</v>
      </c>
      <c r="E616" s="140" t="s">
        <v>188</v>
      </c>
      <c r="F616" t="s">
        <v>35</v>
      </c>
      <c r="G616">
        <v>191</v>
      </c>
    </row>
    <row r="617" spans="2:7" hidden="1" x14ac:dyDescent="0.25">
      <c r="B617" t="s">
        <v>96</v>
      </c>
      <c r="C617" s="142">
        <v>46112</v>
      </c>
      <c r="D617" s="142" t="str">
        <f>IF(C617&lt;Data!$J$1,"Actual","Forecasted")</f>
        <v>Forecasted</v>
      </c>
      <c r="E617" s="140" t="s">
        <v>188</v>
      </c>
      <c r="F617" t="s">
        <v>37</v>
      </c>
      <c r="G617">
        <v>2</v>
      </c>
    </row>
    <row r="618" spans="2:7" hidden="1" x14ac:dyDescent="0.25">
      <c r="B618" t="s">
        <v>96</v>
      </c>
      <c r="C618" s="142">
        <v>46112</v>
      </c>
      <c r="D618" s="142" t="str">
        <f>IF(C618&lt;Data!$J$1,"Actual","Forecasted")</f>
        <v>Forecasted</v>
      </c>
      <c r="E618" s="140" t="s">
        <v>188</v>
      </c>
      <c r="F618" t="s">
        <v>36</v>
      </c>
      <c r="G618">
        <v>4662.0344937606351</v>
      </c>
    </row>
    <row r="619" spans="2:7" hidden="1" x14ac:dyDescent="0.25">
      <c r="B619" t="s">
        <v>96</v>
      </c>
      <c r="C619" s="142">
        <v>46112</v>
      </c>
      <c r="D619" s="142" t="str">
        <f>IF(C619&lt;Data!$J$1,"Actual","Forecasted")</f>
        <v>Forecasted</v>
      </c>
      <c r="E619" s="140" t="s">
        <v>188</v>
      </c>
      <c r="F619" t="s">
        <v>14</v>
      </c>
      <c r="G619">
        <v>890448.58830828127</v>
      </c>
    </row>
    <row r="620" spans="2:7" hidden="1" x14ac:dyDescent="0.25">
      <c r="B620" t="s">
        <v>96</v>
      </c>
      <c r="C620" s="142">
        <v>46112</v>
      </c>
      <c r="D620" s="142" t="str">
        <f>IF(C620&lt;Data!$J$1,"Actual","Forecasted")</f>
        <v>Forecasted</v>
      </c>
      <c r="E620" s="140" t="s">
        <v>188</v>
      </c>
      <c r="F620" t="s">
        <v>170</v>
      </c>
      <c r="G620">
        <v>4.9633894830532599E-2</v>
      </c>
    </row>
    <row r="621" spans="2:7" hidden="1" x14ac:dyDescent="0.25">
      <c r="B621" t="s">
        <v>96</v>
      </c>
      <c r="C621" s="142">
        <v>46112</v>
      </c>
      <c r="D621" s="142" t="str">
        <f>IF(C621&lt;Data!$J$1,"Actual","Forecasted")</f>
        <v>Forecasted</v>
      </c>
      <c r="E621" s="140" t="s">
        <v>188</v>
      </c>
      <c r="F621" t="s">
        <v>15</v>
      </c>
      <c r="G621">
        <v>55710.644703782302</v>
      </c>
    </row>
    <row r="622" spans="2:7" hidden="1" x14ac:dyDescent="0.25">
      <c r="B622" t="s">
        <v>96</v>
      </c>
      <c r="C622" s="142">
        <v>46112</v>
      </c>
      <c r="D622" s="142" t="str">
        <f>IF(C622&lt;Data!$J$1,"Actual","Forecasted")</f>
        <v>Forecasted</v>
      </c>
      <c r="E622" s="140" t="s">
        <v>188</v>
      </c>
      <c r="F622" t="s">
        <v>171</v>
      </c>
      <c r="G622">
        <v>4.4528228924980651E-2</v>
      </c>
    </row>
    <row r="623" spans="2:7" hidden="1" x14ac:dyDescent="0.25">
      <c r="B623" t="s">
        <v>96</v>
      </c>
      <c r="C623" s="142">
        <v>46112</v>
      </c>
      <c r="D623" s="142" t="str">
        <f>IF(C623&lt;Data!$J$1,"Actual","Forecasted")</f>
        <v>Forecasted</v>
      </c>
      <c r="E623" s="140" t="s">
        <v>188</v>
      </c>
      <c r="F623" t="s">
        <v>159</v>
      </c>
      <c r="G623">
        <v>16.561212048000009</v>
      </c>
    </row>
    <row r="624" spans="2:7" hidden="1" x14ac:dyDescent="0.25">
      <c r="B624" t="s">
        <v>96</v>
      </c>
      <c r="C624" s="142">
        <v>46112</v>
      </c>
      <c r="D624" s="142" t="str">
        <f>IF(C624&lt;Data!$J$1,"Actual","Forecasted")</f>
        <v>Forecasted</v>
      </c>
      <c r="E624" s="140" t="s">
        <v>188</v>
      </c>
      <c r="F624" t="s">
        <v>160</v>
      </c>
      <c r="G624">
        <v>922.63580027012711</v>
      </c>
    </row>
    <row r="625" spans="2:7" hidden="1" x14ac:dyDescent="0.25">
      <c r="B625" t="s">
        <v>96</v>
      </c>
      <c r="C625" s="142">
        <v>46112</v>
      </c>
      <c r="D625" s="142" t="str">
        <f>IF(C625&lt;Data!$J$1,"Actual","Forecasted")</f>
        <v>Forecasted</v>
      </c>
      <c r="E625" s="140" t="s">
        <v>188</v>
      </c>
      <c r="F625" t="s">
        <v>158</v>
      </c>
      <c r="G625">
        <v>640.04992114811546</v>
      </c>
    </row>
    <row r="626" spans="2:7" hidden="1" x14ac:dyDescent="0.25">
      <c r="B626" t="s">
        <v>96</v>
      </c>
      <c r="C626" s="142">
        <v>46112</v>
      </c>
      <c r="D626" s="142" t="str">
        <f>IF(C626&lt;Data!$J$1,"Actual","Forecasted")</f>
        <v>Forecasted</v>
      </c>
      <c r="E626" s="140" t="s">
        <v>188</v>
      </c>
      <c r="F626" t="s">
        <v>172</v>
      </c>
      <c r="G626">
        <v>9.1999999999999985E-2</v>
      </c>
    </row>
    <row r="627" spans="2:7" hidden="1" x14ac:dyDescent="0.25">
      <c r="B627" t="s">
        <v>96</v>
      </c>
      <c r="C627" s="142">
        <v>46112</v>
      </c>
      <c r="D627" s="142" t="str">
        <f>IF(C627&lt;Data!$J$1,"Actual","Forecasted")</f>
        <v>Forecasted</v>
      </c>
      <c r="E627" s="140" t="s">
        <v>188</v>
      </c>
      <c r="F627" t="s">
        <v>17</v>
      </c>
      <c r="G627">
        <v>569931.54873316607</v>
      </c>
    </row>
    <row r="628" spans="2:7" hidden="1" x14ac:dyDescent="0.25">
      <c r="B628" t="s">
        <v>96</v>
      </c>
      <c r="C628" s="142">
        <v>46112</v>
      </c>
      <c r="D628" s="142" t="str">
        <f>IF(C628&lt;Data!$J$1,"Actual","Forecasted")</f>
        <v>Forecasted</v>
      </c>
      <c r="E628" s="140" t="s">
        <v>188</v>
      </c>
      <c r="F628" t="s">
        <v>173</v>
      </c>
      <c r="G628">
        <v>0.14620021315494161</v>
      </c>
    </row>
    <row r="629" spans="2:7" hidden="1" x14ac:dyDescent="0.25">
      <c r="B629" t="s">
        <v>96</v>
      </c>
      <c r="C629" s="142">
        <v>46112</v>
      </c>
      <c r="D629" s="142" t="str">
        <f>IF(C629&lt;Data!$J$1,"Actual","Forecasted")</f>
        <v>Forecasted</v>
      </c>
      <c r="E629" s="140" t="s">
        <v>188</v>
      </c>
      <c r="F629" t="s">
        <v>18</v>
      </c>
      <c r="G629">
        <v>204101.72913759551</v>
      </c>
    </row>
    <row r="630" spans="2:7" hidden="1" x14ac:dyDescent="0.25">
      <c r="B630" t="s">
        <v>96</v>
      </c>
      <c r="C630" s="142">
        <v>46112</v>
      </c>
      <c r="D630" s="142" t="str">
        <f>IF(C630&lt;Data!$J$1,"Actual","Forecasted")</f>
        <v>Forecasted</v>
      </c>
      <c r="E630" s="140" t="s">
        <v>188</v>
      </c>
      <c r="F630" t="s">
        <v>174</v>
      </c>
      <c r="G630">
        <v>0.13237009555246321</v>
      </c>
    </row>
    <row r="631" spans="2:7" hidden="1" x14ac:dyDescent="0.25">
      <c r="B631" t="s">
        <v>96</v>
      </c>
      <c r="C631" s="142">
        <v>46112</v>
      </c>
      <c r="D631" s="142" t="str">
        <f>IF(C631&lt;Data!$J$1,"Actual","Forecasted")</f>
        <v>Forecasted</v>
      </c>
      <c r="E631" s="140" t="s">
        <v>188</v>
      </c>
      <c r="F631" t="s">
        <v>34</v>
      </c>
      <c r="G631">
        <v>229.21225528063121</v>
      </c>
    </row>
    <row r="632" spans="2:7" hidden="1" x14ac:dyDescent="0.25">
      <c r="B632" t="s">
        <v>96</v>
      </c>
      <c r="C632" s="142">
        <v>46112</v>
      </c>
      <c r="D632" s="142" t="str">
        <f>IF(C632&lt;Data!$J$1,"Actual","Forecasted")</f>
        <v>Forecasted</v>
      </c>
      <c r="E632" s="140" t="s">
        <v>188</v>
      </c>
      <c r="F632" t="s">
        <v>175</v>
      </c>
      <c r="G632">
        <v>7.8823865282369066E-2</v>
      </c>
    </row>
    <row r="633" spans="2:7" hidden="1" x14ac:dyDescent="0.25">
      <c r="B633" t="s">
        <v>96</v>
      </c>
      <c r="C633" s="142">
        <v>46112</v>
      </c>
      <c r="D633" s="142" t="str">
        <f>IF(C633&lt;Data!$J$1,"Actual","Forecasted")</f>
        <v>Forecasted</v>
      </c>
      <c r="E633" s="140" t="s">
        <v>188</v>
      </c>
      <c r="F633" t="s">
        <v>19</v>
      </c>
      <c r="G633">
        <v>774955.91367103159</v>
      </c>
    </row>
    <row r="634" spans="2:7" hidden="1" x14ac:dyDescent="0.25">
      <c r="B634" t="s">
        <v>96</v>
      </c>
      <c r="C634" s="142">
        <v>46112</v>
      </c>
      <c r="D634" s="142" t="str">
        <f>IF(C634&lt;Data!$J$1,"Actual","Forecasted")</f>
        <v>Forecasted</v>
      </c>
      <c r="E634" s="140" t="s">
        <v>188</v>
      </c>
      <c r="F634" t="s">
        <v>176</v>
      </c>
      <c r="G634">
        <v>0.1425064105486504</v>
      </c>
    </row>
    <row r="635" spans="2:7" hidden="1" x14ac:dyDescent="0.25">
      <c r="B635" t="s">
        <v>96</v>
      </c>
      <c r="C635" s="142">
        <v>46112</v>
      </c>
      <c r="D635" s="142" t="str">
        <f>IF(C635&lt;Data!$J$1,"Actual","Forecasted")</f>
        <v>Forecasted</v>
      </c>
      <c r="E635" s="140" t="s">
        <v>188</v>
      </c>
      <c r="F635" t="s">
        <v>11</v>
      </c>
      <c r="G635">
        <v>20260.371520840192</v>
      </c>
    </row>
    <row r="636" spans="2:7" hidden="1" x14ac:dyDescent="0.25">
      <c r="B636" t="s">
        <v>96</v>
      </c>
      <c r="C636" s="142">
        <v>46112</v>
      </c>
      <c r="D636" s="142" t="str">
        <f>IF(C636&lt;Data!$J$1,"Actual","Forecasted")</f>
        <v>Forecasted</v>
      </c>
      <c r="E636" s="140" t="s">
        <v>188</v>
      </c>
      <c r="F636" t="s">
        <v>38</v>
      </c>
      <c r="G636">
        <v>2.6143902076784079E-2</v>
      </c>
    </row>
    <row r="637" spans="2:7" hidden="1" x14ac:dyDescent="0.25">
      <c r="B637" t="s">
        <v>96</v>
      </c>
      <c r="C637" s="142">
        <v>46112</v>
      </c>
      <c r="D637" s="142" t="str">
        <f>IF(C637&lt;Data!$J$1,"Actual","Forecasted")</f>
        <v>Forecasted</v>
      </c>
      <c r="E637" s="140" t="s">
        <v>188</v>
      </c>
      <c r="F637" t="s">
        <v>10</v>
      </c>
      <c r="G637">
        <v>795216.28519187181</v>
      </c>
    </row>
    <row r="638" spans="2:7" x14ac:dyDescent="0.25">
      <c r="B638" t="s">
        <v>96</v>
      </c>
      <c r="C638" s="142">
        <v>46112</v>
      </c>
      <c r="D638" s="142" t="str">
        <f>IF(C638&lt;Data!$J$1,"Actual","Forecasted")</f>
        <v>Forecasted</v>
      </c>
      <c r="E638" s="140" t="s">
        <v>188</v>
      </c>
      <c r="F638" t="s">
        <v>177</v>
      </c>
      <c r="G638">
        <v>0.1425064105486504</v>
      </c>
    </row>
    <row r="639" spans="2:7" hidden="1" x14ac:dyDescent="0.25">
      <c r="B639" t="s">
        <v>96</v>
      </c>
      <c r="C639" s="142">
        <v>46112</v>
      </c>
      <c r="D639" s="142" t="str">
        <f>IF(C639&lt;Data!$J$1,"Actual","Forecasted")</f>
        <v>Forecasted</v>
      </c>
      <c r="E639" s="140" t="s">
        <v>189</v>
      </c>
      <c r="F639" t="s">
        <v>12</v>
      </c>
      <c r="G639">
        <v>-427416.3118083381</v>
      </c>
    </row>
    <row r="640" spans="2:7" hidden="1" x14ac:dyDescent="0.25">
      <c r="B640" t="s">
        <v>96</v>
      </c>
      <c r="C640" s="142">
        <v>46112</v>
      </c>
      <c r="D640" s="142" t="str">
        <f>IF(C640&lt;Data!$J$1,"Actual","Forecasted")</f>
        <v>Forecasted</v>
      </c>
      <c r="E640" s="140" t="s">
        <v>189</v>
      </c>
      <c r="F640" t="s">
        <v>178</v>
      </c>
      <c r="G640">
        <v>0.55153629292746598</v>
      </c>
    </row>
    <row r="641" spans="2:7" hidden="1" x14ac:dyDescent="0.25">
      <c r="B641" t="s">
        <v>96</v>
      </c>
      <c r="C641" s="142">
        <v>46112</v>
      </c>
      <c r="D641" s="142" t="str">
        <f>IF(C641&lt;Data!$J$1,"Actual","Forecasted")</f>
        <v>Forecasted</v>
      </c>
      <c r="E641" s="140" t="s">
        <v>189</v>
      </c>
      <c r="F641" t="s">
        <v>13</v>
      </c>
      <c r="G641">
        <v>-83509.411772093023</v>
      </c>
    </row>
    <row r="642" spans="2:7" hidden="1" x14ac:dyDescent="0.25">
      <c r="B642" t="s">
        <v>96</v>
      </c>
      <c r="C642" s="142">
        <v>46112</v>
      </c>
      <c r="D642" s="142" t="str">
        <f>IF(C642&lt;Data!$J$1,"Actual","Forecasted")</f>
        <v>Forecasted</v>
      </c>
      <c r="E642" s="140" t="s">
        <v>189</v>
      </c>
      <c r="F642" t="s">
        <v>41</v>
      </c>
      <c r="G642">
        <v>-437.22205116279071</v>
      </c>
    </row>
    <row r="643" spans="2:7" hidden="1" x14ac:dyDescent="0.25">
      <c r="B643" t="s">
        <v>96</v>
      </c>
      <c r="C643" s="142">
        <v>46112</v>
      </c>
      <c r="D643" s="142" t="str">
        <f>IF(C643&lt;Data!$J$1,"Actual","Forecasted")</f>
        <v>Forecasted</v>
      </c>
      <c r="E643" s="140" t="s">
        <v>189</v>
      </c>
      <c r="F643" t="s">
        <v>39</v>
      </c>
      <c r="G643">
        <v>-86056.022563904029</v>
      </c>
    </row>
    <row r="644" spans="2:7" hidden="1" x14ac:dyDescent="0.25">
      <c r="B644" t="s">
        <v>96</v>
      </c>
      <c r="C644" s="142">
        <v>46112</v>
      </c>
      <c r="D644" s="142" t="str">
        <f>IF(C644&lt;Data!$J$1,"Actual","Forecasted")</f>
        <v>Forecasted</v>
      </c>
      <c r="E644" s="140" t="s">
        <v>189</v>
      </c>
      <c r="F644" t="s">
        <v>179</v>
      </c>
      <c r="G644">
        <v>0.10821712805232631</v>
      </c>
    </row>
    <row r="645" spans="2:7" hidden="1" x14ac:dyDescent="0.25">
      <c r="B645" t="s">
        <v>96</v>
      </c>
      <c r="C645" s="142">
        <v>46112</v>
      </c>
      <c r="D645" s="142" t="str">
        <f>IF(C645&lt;Data!$J$1,"Actual","Forecasted")</f>
        <v>Forecasted</v>
      </c>
      <c r="E645" s="140" t="s">
        <v>189</v>
      </c>
      <c r="F645" t="s">
        <v>40</v>
      </c>
      <c r="G645">
        <v>-83459.686530578605</v>
      </c>
    </row>
    <row r="646" spans="2:7" hidden="1" x14ac:dyDescent="0.25">
      <c r="B646" t="s">
        <v>96</v>
      </c>
      <c r="C646" s="142">
        <v>46112</v>
      </c>
      <c r="D646" s="142" t="str">
        <f>IF(C646&lt;Data!$J$1,"Actual","Forecasted")</f>
        <v>Forecasted</v>
      </c>
      <c r="E646" s="140" t="s">
        <v>189</v>
      </c>
      <c r="F646" t="s">
        <v>180</v>
      </c>
      <c r="G646">
        <v>0.1049521848140236</v>
      </c>
    </row>
    <row r="647" spans="2:7" hidden="1" x14ac:dyDescent="0.25">
      <c r="B647" t="s">
        <v>96</v>
      </c>
      <c r="C647" s="142">
        <v>46112</v>
      </c>
      <c r="D647" s="142" t="str">
        <f>IF(C647&lt;Data!$J$1,"Actual","Forecasted")</f>
        <v>Forecasted</v>
      </c>
      <c r="E647" s="140" t="s">
        <v>190</v>
      </c>
      <c r="F647" t="s">
        <v>43</v>
      </c>
      <c r="G647">
        <v>114774.852516958</v>
      </c>
    </row>
    <row r="648" spans="2:7" hidden="1" x14ac:dyDescent="0.25">
      <c r="B648" t="s">
        <v>96</v>
      </c>
      <c r="C648" s="142">
        <v>46112</v>
      </c>
      <c r="D648" s="142" t="str">
        <f>IF(C648&lt;Data!$J$1,"Actual","Forecasted")</f>
        <v>Forecasted</v>
      </c>
      <c r="E648" s="140" t="s">
        <v>190</v>
      </c>
      <c r="F648" t="s">
        <v>44</v>
      </c>
      <c r="G648">
        <v>0.1443316172646853</v>
      </c>
    </row>
    <row r="649" spans="2:7" hidden="1" x14ac:dyDescent="0.25">
      <c r="B649" t="s">
        <v>96</v>
      </c>
      <c r="C649" s="142">
        <v>46112</v>
      </c>
      <c r="D649" s="142" t="str">
        <f>IF(C649&lt;Data!$J$1,"Actual","Forecasted")</f>
        <v>Forecasted</v>
      </c>
      <c r="E649" s="140" t="s">
        <v>190</v>
      </c>
      <c r="F649" t="s">
        <v>45</v>
      </c>
      <c r="G649">
        <v>-24102.71902856119</v>
      </c>
    </row>
    <row r="650" spans="2:7" hidden="1" x14ac:dyDescent="0.25">
      <c r="B650" t="s">
        <v>96</v>
      </c>
      <c r="C650" s="142">
        <v>46112</v>
      </c>
      <c r="D650" s="142" t="str">
        <f>IF(C650&lt;Data!$J$1,"Actual","Forecasted")</f>
        <v>Forecasted</v>
      </c>
      <c r="E650" s="140" t="s">
        <v>189</v>
      </c>
      <c r="F650" t="s">
        <v>89</v>
      </c>
      <c r="G650">
        <v>-143557.3327639233</v>
      </c>
    </row>
    <row r="651" spans="2:7" hidden="1" x14ac:dyDescent="0.25">
      <c r="B651" t="s">
        <v>96</v>
      </c>
      <c r="C651" s="142">
        <v>46112</v>
      </c>
      <c r="D651" s="142" t="str">
        <f>IF(C651&lt;Data!$J$1,"Actual","Forecasted")</f>
        <v>Forecasted</v>
      </c>
      <c r="E651" s="140" t="s">
        <v>189</v>
      </c>
      <c r="F651" t="s">
        <v>181</v>
      </c>
      <c r="G651">
        <v>0.18052614796399119</v>
      </c>
    </row>
    <row r="652" spans="2:7" hidden="1" x14ac:dyDescent="0.25">
      <c r="B652" t="s">
        <v>96</v>
      </c>
      <c r="C652" s="142">
        <v>46112</v>
      </c>
      <c r="D652" s="142" t="str">
        <f>IF(C652&lt;Data!$J$1,"Actual","Forecasted")</f>
        <v>Forecasted</v>
      </c>
      <c r="E652" s="140" t="s">
        <v>189</v>
      </c>
      <c r="F652" t="s">
        <v>90</v>
      </c>
      <c r="G652">
        <v>18839.14069858097</v>
      </c>
    </row>
    <row r="653" spans="2:7" hidden="1" x14ac:dyDescent="0.25">
      <c r="B653" t="s">
        <v>96</v>
      </c>
      <c r="C653" s="142">
        <v>46112</v>
      </c>
      <c r="D653" s="142" t="str">
        <f>IF(C653&lt;Data!$J$1,"Actual","Forecasted")</f>
        <v>Forecasted</v>
      </c>
      <c r="E653" s="140" t="s">
        <v>189</v>
      </c>
      <c r="F653" t="s">
        <v>182</v>
      </c>
      <c r="G653">
        <v>2.3690587138863E-2</v>
      </c>
    </row>
    <row r="654" spans="2:7" hidden="1" x14ac:dyDescent="0.25">
      <c r="B654" t="s">
        <v>96</v>
      </c>
      <c r="C654" s="142">
        <v>46112</v>
      </c>
      <c r="D654" s="142" t="str">
        <f>IF(C654&lt;Data!$J$1,"Actual","Forecasted")</f>
        <v>Forecasted</v>
      </c>
      <c r="E654" s="140" t="s">
        <v>190</v>
      </c>
      <c r="F654" t="s">
        <v>53</v>
      </c>
      <c r="G654">
        <v>9713.4464649182009</v>
      </c>
    </row>
    <row r="655" spans="2:7" hidden="1" x14ac:dyDescent="0.25">
      <c r="B655" t="s">
        <v>96</v>
      </c>
      <c r="C655" s="142">
        <v>46112</v>
      </c>
      <c r="D655" s="142" t="str">
        <f>IF(C655&lt;Data!$J$1,"Actual","Forecasted")</f>
        <v>Forecasted</v>
      </c>
      <c r="E655" s="140" t="s">
        <v>190</v>
      </c>
      <c r="F655" t="s">
        <v>183</v>
      </c>
      <c r="G655">
        <v>-2.035068278331845</v>
      </c>
    </row>
    <row r="656" spans="2:7" hidden="1" x14ac:dyDescent="0.25">
      <c r="B656" t="s">
        <v>96</v>
      </c>
      <c r="C656" s="142">
        <v>46112</v>
      </c>
      <c r="D656" s="142" t="str">
        <f>IF(C656&lt;Data!$J$1,"Actual","Forecasted")</f>
        <v>Forecasted</v>
      </c>
      <c r="E656" s="140" t="s">
        <v>190</v>
      </c>
      <c r="F656" t="s">
        <v>73</v>
      </c>
      <c r="G656">
        <v>198234.53904753659</v>
      </c>
    </row>
    <row r="657" spans="2:7" hidden="1" x14ac:dyDescent="0.25">
      <c r="B657" t="s">
        <v>96</v>
      </c>
      <c r="C657" s="142">
        <v>46112</v>
      </c>
      <c r="D657" s="142" t="str">
        <f>IF(C657&lt;Data!$J$1,"Actual","Forecasted")</f>
        <v>Forecasted</v>
      </c>
      <c r="E657" s="140" t="s">
        <v>190</v>
      </c>
      <c r="F657" t="s">
        <v>186</v>
      </c>
      <c r="G657">
        <v>0.18299494630282179</v>
      </c>
    </row>
    <row r="658" spans="2:7" hidden="1" x14ac:dyDescent="0.25">
      <c r="B658" t="s">
        <v>96</v>
      </c>
      <c r="C658" s="142">
        <v>46112</v>
      </c>
      <c r="D658" s="142" t="str">
        <f>IF(C658&lt;Data!$J$1,"Actual","Forecasted")</f>
        <v>Forecasted</v>
      </c>
      <c r="E658" s="140" t="s">
        <v>190</v>
      </c>
      <c r="F658" t="s">
        <v>143</v>
      </c>
      <c r="G658">
        <v>217073.67974611759</v>
      </c>
    </row>
    <row r="659" spans="2:7" hidden="1" x14ac:dyDescent="0.25">
      <c r="B659" t="s">
        <v>96</v>
      </c>
      <c r="C659" s="142">
        <v>46112</v>
      </c>
      <c r="D659" s="142" t="str">
        <f>IF(C659&lt;Data!$J$1,"Actual","Forecasted")</f>
        <v>Forecasted</v>
      </c>
      <c r="E659" s="140" t="s">
        <v>190</v>
      </c>
      <c r="F659" t="s">
        <v>185</v>
      </c>
      <c r="G659">
        <v>0.17936770391815871</v>
      </c>
    </row>
    <row r="660" spans="2:7" hidden="1" x14ac:dyDescent="0.25">
      <c r="B660" t="s">
        <v>96</v>
      </c>
      <c r="C660" s="142">
        <v>46112</v>
      </c>
      <c r="D660" s="142" t="str">
        <f>IF(C660&lt;Data!$J$1,"Actual","Forecasted")</f>
        <v>Forecasted</v>
      </c>
      <c r="E660" s="140" t="s">
        <v>190</v>
      </c>
      <c r="F660" t="s">
        <v>153</v>
      </c>
      <c r="G660">
        <v>55411.114294007013</v>
      </c>
    </row>
    <row r="661" spans="2:7" hidden="1" x14ac:dyDescent="0.25">
      <c r="B661" t="s">
        <v>96</v>
      </c>
      <c r="C661" s="142">
        <v>46112</v>
      </c>
      <c r="D661" s="142" t="str">
        <f>IF(C661&lt;Data!$J$1,"Actual","Forecasted")</f>
        <v>Forecasted</v>
      </c>
      <c r="E661" s="140" t="s">
        <v>190</v>
      </c>
      <c r="F661" t="s">
        <v>184</v>
      </c>
      <c r="G661">
        <v>0.26485515270932042</v>
      </c>
    </row>
    <row r="662" spans="2:7" hidden="1" x14ac:dyDescent="0.25">
      <c r="B662" t="s">
        <v>96</v>
      </c>
      <c r="C662" s="142">
        <v>46112</v>
      </c>
      <c r="D662" s="142" t="str">
        <f>IF(C662&lt;Data!$J$1,"Actual","Forecasted")</f>
        <v>Forecasted</v>
      </c>
      <c r="E662" s="140" t="s">
        <v>190</v>
      </c>
      <c r="F662" t="s">
        <v>155</v>
      </c>
      <c r="G662">
        <v>0.26240795918815241</v>
      </c>
    </row>
    <row r="663" spans="2:7" hidden="1" x14ac:dyDescent="0.25">
      <c r="B663" t="s">
        <v>96</v>
      </c>
      <c r="C663" s="142">
        <v>46112</v>
      </c>
      <c r="D663" s="142" t="str">
        <f>IF(C663&lt;Data!$J$1,"Actual","Forecasted")</f>
        <v>Forecasted</v>
      </c>
      <c r="E663" s="140" t="s">
        <v>190</v>
      </c>
      <c r="F663" t="s">
        <v>154</v>
      </c>
      <c r="G663">
        <v>211164</v>
      </c>
    </row>
    <row r="664" spans="2:7" hidden="1" x14ac:dyDescent="0.25">
      <c r="B664" t="s">
        <v>96</v>
      </c>
      <c r="C664" s="142">
        <v>46112</v>
      </c>
      <c r="D664" s="142" t="str">
        <f>IF(C664&lt;Data!$J$1,"Actual","Forecasted")</f>
        <v>Forecasted</v>
      </c>
      <c r="E664" s="140" t="s">
        <v>190</v>
      </c>
      <c r="F664" t="s">
        <v>194</v>
      </c>
      <c r="G664">
        <v>6.9680557762517747E-2</v>
      </c>
    </row>
    <row r="665" spans="2:7" hidden="1" x14ac:dyDescent="0.25">
      <c r="B665" t="s">
        <v>97</v>
      </c>
      <c r="C665" s="142">
        <v>46203</v>
      </c>
      <c r="D665" s="142" t="str">
        <f>IF(C665&lt;Data!$J$1,"Actual","Forecasted")</f>
        <v>Forecasted</v>
      </c>
      <c r="E665" s="140"/>
    </row>
    <row r="666" spans="2:7" hidden="1" x14ac:dyDescent="0.25">
      <c r="B666" t="s">
        <v>97</v>
      </c>
      <c r="C666" s="142">
        <v>46203</v>
      </c>
      <c r="D666" s="142" t="str">
        <f>IF(C666&lt;Data!$J$1,"Actual","Forecasted")</f>
        <v>Forecasted</v>
      </c>
      <c r="E666" s="140"/>
    </row>
    <row r="667" spans="2:7" hidden="1" x14ac:dyDescent="0.25">
      <c r="B667" t="s">
        <v>97</v>
      </c>
      <c r="C667" s="142">
        <v>46203</v>
      </c>
      <c r="D667" s="142" t="str">
        <f>IF(C667&lt;Data!$J$1,"Actual","Forecasted")</f>
        <v>Forecasted</v>
      </c>
      <c r="E667" s="140" t="s">
        <v>188</v>
      </c>
      <c r="F667" t="s">
        <v>35</v>
      </c>
      <c r="G667">
        <v>193</v>
      </c>
    </row>
    <row r="668" spans="2:7" hidden="1" x14ac:dyDescent="0.25">
      <c r="B668" t="s">
        <v>97</v>
      </c>
      <c r="C668" s="142">
        <v>46203</v>
      </c>
      <c r="D668" s="142" t="str">
        <f>IF(C668&lt;Data!$J$1,"Actual","Forecasted")</f>
        <v>Forecasted</v>
      </c>
      <c r="E668" s="140" t="s">
        <v>188</v>
      </c>
      <c r="F668" t="s">
        <v>37</v>
      </c>
      <c r="G668">
        <v>2</v>
      </c>
    </row>
    <row r="669" spans="2:7" hidden="1" x14ac:dyDescent="0.25">
      <c r="B669" t="s">
        <v>97</v>
      </c>
      <c r="C669" s="142">
        <v>46203</v>
      </c>
      <c r="D669" s="142" t="str">
        <f>IF(C669&lt;Data!$J$1,"Actual","Forecasted")</f>
        <v>Forecasted</v>
      </c>
      <c r="E669" s="140" t="s">
        <v>188</v>
      </c>
      <c r="F669" t="s">
        <v>36</v>
      </c>
      <c r="G669">
        <v>4773.0710975609754</v>
      </c>
    </row>
    <row r="670" spans="2:7" hidden="1" x14ac:dyDescent="0.25">
      <c r="B670" t="s">
        <v>97</v>
      </c>
      <c r="C670" s="142">
        <v>46203</v>
      </c>
      <c r="D670" s="142" t="str">
        <f>IF(C670&lt;Data!$J$1,"Actual","Forecasted")</f>
        <v>Forecasted</v>
      </c>
      <c r="E670" s="140" t="s">
        <v>188</v>
      </c>
      <c r="F670" t="s">
        <v>14</v>
      </c>
      <c r="G670">
        <v>921202.72182926827</v>
      </c>
    </row>
    <row r="671" spans="2:7" hidden="1" x14ac:dyDescent="0.25">
      <c r="B671" t="s">
        <v>97</v>
      </c>
      <c r="C671" s="142">
        <v>46203</v>
      </c>
      <c r="D671" s="142" t="str">
        <f>IF(C671&lt;Data!$J$1,"Actual","Forecasted")</f>
        <v>Forecasted</v>
      </c>
      <c r="E671" s="140" t="s">
        <v>188</v>
      </c>
      <c r="F671" t="s">
        <v>170</v>
      </c>
      <c r="G671">
        <v>4.559402794240941E-2</v>
      </c>
    </row>
    <row r="672" spans="2:7" hidden="1" x14ac:dyDescent="0.25">
      <c r="B672" t="s">
        <v>97</v>
      </c>
      <c r="C672" s="142">
        <v>46203</v>
      </c>
      <c r="D672" s="142" t="str">
        <f>IF(C672&lt;Data!$J$1,"Actual","Forecasted")</f>
        <v>Forecasted</v>
      </c>
      <c r="E672" s="140" t="s">
        <v>188</v>
      </c>
      <c r="F672" t="s">
        <v>15</v>
      </c>
      <c r="G672">
        <v>50330.730304926983</v>
      </c>
    </row>
    <row r="673" spans="2:7" hidden="1" x14ac:dyDescent="0.25">
      <c r="B673" t="s">
        <v>97</v>
      </c>
      <c r="C673" s="142">
        <v>46203</v>
      </c>
      <c r="D673" s="142" t="str">
        <f>IF(C673&lt;Data!$J$1,"Actual","Forecasted")</f>
        <v>Forecasted</v>
      </c>
      <c r="E673" s="140" t="s">
        <v>188</v>
      </c>
      <c r="F673" t="s">
        <v>171</v>
      </c>
      <c r="G673">
        <v>4.4528228924980651E-2</v>
      </c>
    </row>
    <row r="674" spans="2:7" hidden="1" x14ac:dyDescent="0.25">
      <c r="B674" t="s">
        <v>97</v>
      </c>
      <c r="C674" s="142">
        <v>46203</v>
      </c>
      <c r="D674" s="142" t="str">
        <f>IF(C674&lt;Data!$J$1,"Actual","Forecasted")</f>
        <v>Forecasted</v>
      </c>
      <c r="E674" s="140" t="s">
        <v>188</v>
      </c>
      <c r="F674" t="s">
        <v>159</v>
      </c>
      <c r="G674">
        <v>16.89243628896001</v>
      </c>
    </row>
    <row r="675" spans="2:7" hidden="1" x14ac:dyDescent="0.25">
      <c r="B675" t="s">
        <v>97</v>
      </c>
      <c r="C675" s="142">
        <v>46203</v>
      </c>
      <c r="D675" s="142" t="str">
        <f>IF(C675&lt;Data!$J$1,"Actual","Forecasted")</f>
        <v>Forecasted</v>
      </c>
      <c r="E675" s="140" t="s">
        <v>188</v>
      </c>
      <c r="F675" t="s">
        <v>160</v>
      </c>
      <c r="G675">
        <v>850.20865505280767</v>
      </c>
    </row>
    <row r="676" spans="2:7" hidden="1" x14ac:dyDescent="0.25">
      <c r="B676" t="s">
        <v>97</v>
      </c>
      <c r="C676" s="142">
        <v>46203</v>
      </c>
      <c r="D676" s="142" t="str">
        <f>IF(C676&lt;Data!$J$1,"Actual","Forecasted")</f>
        <v>Forecasted</v>
      </c>
      <c r="E676" s="140" t="s">
        <v>188</v>
      </c>
      <c r="F676" t="s">
        <v>158</v>
      </c>
      <c r="G676">
        <v>666.57924648045469</v>
      </c>
    </row>
    <row r="677" spans="2:7" hidden="1" x14ac:dyDescent="0.25">
      <c r="B677" t="s">
        <v>97</v>
      </c>
      <c r="C677" s="142">
        <v>46203</v>
      </c>
      <c r="D677" s="142" t="str">
        <f>IF(C677&lt;Data!$J$1,"Actual","Forecasted")</f>
        <v>Forecasted</v>
      </c>
      <c r="E677" s="140" t="s">
        <v>188</v>
      </c>
      <c r="F677" t="s">
        <v>172</v>
      </c>
      <c r="G677">
        <v>8.8749999999999982E-2</v>
      </c>
    </row>
    <row r="678" spans="2:7" hidden="1" x14ac:dyDescent="0.25">
      <c r="B678" t="s">
        <v>97</v>
      </c>
      <c r="C678" s="142">
        <v>46203</v>
      </c>
      <c r="D678" s="142" t="str">
        <f>IF(C678&lt;Data!$J$1,"Actual","Forecasted")</f>
        <v>Forecasted</v>
      </c>
      <c r="E678" s="140" t="s">
        <v>188</v>
      </c>
      <c r="F678" t="s">
        <v>17</v>
      </c>
      <c r="G678">
        <v>614054.61617269751</v>
      </c>
    </row>
    <row r="679" spans="2:7" hidden="1" x14ac:dyDescent="0.25">
      <c r="B679" t="s">
        <v>97</v>
      </c>
      <c r="C679" s="142">
        <v>46203</v>
      </c>
      <c r="D679" s="142" t="str">
        <f>IF(C679&lt;Data!$J$1,"Actual","Forecasted")</f>
        <v>Forecasted</v>
      </c>
      <c r="E679" s="140" t="s">
        <v>188</v>
      </c>
      <c r="F679" t="s">
        <v>173</v>
      </c>
      <c r="G679">
        <v>0.1383904979222981</v>
      </c>
    </row>
    <row r="680" spans="2:7" hidden="1" x14ac:dyDescent="0.25">
      <c r="B680" t="s">
        <v>97</v>
      </c>
      <c r="C680" s="142">
        <v>46203</v>
      </c>
      <c r="D680" s="142" t="str">
        <f>IF(C680&lt;Data!$J$1,"Actual","Forecasted")</f>
        <v>Forecasted</v>
      </c>
      <c r="E680" s="140" t="s">
        <v>188</v>
      </c>
      <c r="F680" t="s">
        <v>18</v>
      </c>
      <c r="G680">
        <v>236915.43068415031</v>
      </c>
    </row>
    <row r="681" spans="2:7" hidden="1" x14ac:dyDescent="0.25">
      <c r="B681" t="s">
        <v>97</v>
      </c>
      <c r="C681" s="142">
        <v>46203</v>
      </c>
      <c r="D681" s="142" t="str">
        <f>IF(C681&lt;Data!$J$1,"Actual","Forecasted")</f>
        <v>Forecasted</v>
      </c>
      <c r="E681" s="140" t="s">
        <v>188</v>
      </c>
      <c r="F681" t="s">
        <v>174</v>
      </c>
      <c r="G681">
        <v>0.1227838206012795</v>
      </c>
    </row>
    <row r="682" spans="2:7" hidden="1" x14ac:dyDescent="0.25">
      <c r="B682" t="s">
        <v>97</v>
      </c>
      <c r="C682" s="142">
        <v>46203</v>
      </c>
      <c r="D682" s="142" t="str">
        <f>IF(C682&lt;Data!$J$1,"Actual","Forecasted")</f>
        <v>Forecasted</v>
      </c>
      <c r="E682" s="140" t="s">
        <v>188</v>
      </c>
      <c r="F682" t="s">
        <v>34</v>
      </c>
      <c r="G682">
        <v>257.1805587088345</v>
      </c>
    </row>
    <row r="683" spans="2:7" hidden="1" x14ac:dyDescent="0.25">
      <c r="B683" t="s">
        <v>97</v>
      </c>
      <c r="C683" s="142">
        <v>46203</v>
      </c>
      <c r="D683" s="142" t="str">
        <f>IF(C683&lt;Data!$J$1,"Actual","Forecasted")</f>
        <v>Forecasted</v>
      </c>
      <c r="E683" s="140" t="s">
        <v>188</v>
      </c>
      <c r="F683" t="s">
        <v>175</v>
      </c>
      <c r="G683">
        <v>7.3823865282369061E-2</v>
      </c>
    </row>
    <row r="684" spans="2:7" hidden="1" x14ac:dyDescent="0.25">
      <c r="B684" t="s">
        <v>97</v>
      </c>
      <c r="C684" s="142">
        <v>46203</v>
      </c>
      <c r="D684" s="142" t="str">
        <f>IF(C684&lt;Data!$J$1,"Actual","Forecasted")</f>
        <v>Forecasted</v>
      </c>
      <c r="E684" s="140" t="s">
        <v>188</v>
      </c>
      <c r="F684" t="s">
        <v>19</v>
      </c>
      <c r="G684">
        <v>851820.25551190064</v>
      </c>
    </row>
    <row r="685" spans="2:7" hidden="1" x14ac:dyDescent="0.25">
      <c r="B685" t="s">
        <v>97</v>
      </c>
      <c r="C685" s="142">
        <v>46203</v>
      </c>
      <c r="D685" s="142" t="str">
        <f>IF(C685&lt;Data!$J$1,"Actual","Forecasted")</f>
        <v>Forecasted</v>
      </c>
      <c r="E685" s="140" t="s">
        <v>188</v>
      </c>
      <c r="F685" t="s">
        <v>176</v>
      </c>
      <c r="G685">
        <v>0.1339987127575217</v>
      </c>
    </row>
    <row r="686" spans="2:7" hidden="1" x14ac:dyDescent="0.25">
      <c r="B686" t="s">
        <v>97</v>
      </c>
      <c r="C686" s="142">
        <v>46203</v>
      </c>
      <c r="D686" s="142" t="str">
        <f>IF(C686&lt;Data!$J$1,"Actual","Forecasted")</f>
        <v>Forecasted</v>
      </c>
      <c r="E686" s="140" t="s">
        <v>188</v>
      </c>
      <c r="F686" t="s">
        <v>11</v>
      </c>
      <c r="G686">
        <v>22269.905347124321</v>
      </c>
    </row>
    <row r="687" spans="2:7" hidden="1" x14ac:dyDescent="0.25">
      <c r="B687" t="s">
        <v>97</v>
      </c>
      <c r="C687" s="142">
        <v>46203</v>
      </c>
      <c r="D687" s="142" t="str">
        <f>IF(C687&lt;Data!$J$1,"Actual","Forecasted")</f>
        <v>Forecasted</v>
      </c>
      <c r="E687" s="140" t="s">
        <v>188</v>
      </c>
      <c r="F687" t="s">
        <v>38</v>
      </c>
      <c r="G687">
        <v>2.6143902076784079E-2</v>
      </c>
    </row>
    <row r="688" spans="2:7" hidden="1" x14ac:dyDescent="0.25">
      <c r="B688" t="s">
        <v>97</v>
      </c>
      <c r="C688" s="142">
        <v>46203</v>
      </c>
      <c r="D688" s="142" t="str">
        <f>IF(C688&lt;Data!$J$1,"Actual","Forecasted")</f>
        <v>Forecasted</v>
      </c>
      <c r="E688" s="140" t="s">
        <v>188</v>
      </c>
      <c r="F688" t="s">
        <v>10</v>
      </c>
      <c r="G688">
        <v>874090.16085902497</v>
      </c>
    </row>
    <row r="689" spans="2:7" x14ac:dyDescent="0.25">
      <c r="B689" t="s">
        <v>97</v>
      </c>
      <c r="C689" s="142">
        <v>46203</v>
      </c>
      <c r="D689" s="142" t="str">
        <f>IF(C689&lt;Data!$J$1,"Actual","Forecasted")</f>
        <v>Forecasted</v>
      </c>
      <c r="E689" s="140" t="s">
        <v>188</v>
      </c>
      <c r="F689" t="s">
        <v>177</v>
      </c>
      <c r="G689">
        <v>0.13399871275752201</v>
      </c>
    </row>
    <row r="690" spans="2:7" hidden="1" x14ac:dyDescent="0.25">
      <c r="B690" t="s">
        <v>97</v>
      </c>
      <c r="C690" s="142">
        <v>46203</v>
      </c>
      <c r="D690" s="142" t="str">
        <f>IF(C690&lt;Data!$J$1,"Actual","Forecasted")</f>
        <v>Forecasted</v>
      </c>
      <c r="E690" s="140" t="s">
        <v>189</v>
      </c>
      <c r="F690" t="s">
        <v>12</v>
      </c>
      <c r="G690">
        <v>-466944.27960377937</v>
      </c>
    </row>
    <row r="691" spans="2:7" hidden="1" x14ac:dyDescent="0.25">
      <c r="B691" t="s">
        <v>97</v>
      </c>
      <c r="C691" s="142">
        <v>46203</v>
      </c>
      <c r="D691" s="142" t="str">
        <f>IF(C691&lt;Data!$J$1,"Actual","Forecasted")</f>
        <v>Forecasted</v>
      </c>
      <c r="E691" s="140" t="s">
        <v>189</v>
      </c>
      <c r="F691" t="s">
        <v>178</v>
      </c>
      <c r="G691">
        <v>0.54817231285862023</v>
      </c>
    </row>
    <row r="692" spans="2:7" hidden="1" x14ac:dyDescent="0.25">
      <c r="B692" t="s">
        <v>97</v>
      </c>
      <c r="C692" s="142">
        <v>46203</v>
      </c>
      <c r="D692" s="142" t="str">
        <f>IF(C692&lt;Data!$J$1,"Actual","Forecasted")</f>
        <v>Forecasted</v>
      </c>
      <c r="E692" s="140" t="s">
        <v>189</v>
      </c>
      <c r="F692" t="s">
        <v>13</v>
      </c>
      <c r="G692">
        <v>-85995.129990857138</v>
      </c>
    </row>
    <row r="693" spans="2:7" hidden="1" x14ac:dyDescent="0.25">
      <c r="B693" t="s">
        <v>97</v>
      </c>
      <c r="C693" s="142">
        <v>46203</v>
      </c>
      <c r="D693" s="142" t="str">
        <f>IF(C693&lt;Data!$J$1,"Actual","Forecasted")</f>
        <v>Forecasted</v>
      </c>
      <c r="E693" s="140" t="s">
        <v>189</v>
      </c>
      <c r="F693" t="s">
        <v>41</v>
      </c>
      <c r="G693">
        <v>-445.57062171428572</v>
      </c>
    </row>
    <row r="694" spans="2:7" hidden="1" x14ac:dyDescent="0.25">
      <c r="B694" t="s">
        <v>97</v>
      </c>
      <c r="C694" s="142">
        <v>46203</v>
      </c>
      <c r="D694" s="142" t="str">
        <f>IF(C694&lt;Data!$J$1,"Actual","Forecasted")</f>
        <v>Forecasted</v>
      </c>
      <c r="E694" s="140" t="s">
        <v>189</v>
      </c>
      <c r="F694" t="s">
        <v>39</v>
      </c>
      <c r="G694">
        <v>-82248.860247028468</v>
      </c>
    </row>
    <row r="695" spans="2:7" hidden="1" x14ac:dyDescent="0.25">
      <c r="B695" t="s">
        <v>97</v>
      </c>
      <c r="C695" s="142">
        <v>46203</v>
      </c>
      <c r="D695" s="142" t="str">
        <f>IF(C695&lt;Data!$J$1,"Actual","Forecasted")</f>
        <v>Forecasted</v>
      </c>
      <c r="E695" s="140" t="s">
        <v>189</v>
      </c>
      <c r="F695" t="s">
        <v>179</v>
      </c>
      <c r="G695">
        <v>9.40965405287221E-2</v>
      </c>
    </row>
    <row r="696" spans="2:7" hidden="1" x14ac:dyDescent="0.25">
      <c r="B696" t="s">
        <v>97</v>
      </c>
      <c r="C696" s="142">
        <v>46203</v>
      </c>
      <c r="D696" s="142" t="str">
        <f>IF(C696&lt;Data!$J$1,"Actual","Forecasted")</f>
        <v>Forecasted</v>
      </c>
      <c r="E696" s="140" t="s">
        <v>189</v>
      </c>
      <c r="F696" t="s">
        <v>40</v>
      </c>
      <c r="G696">
        <v>-91737.672106595986</v>
      </c>
    </row>
    <row r="697" spans="2:7" hidden="1" x14ac:dyDescent="0.25">
      <c r="B697" t="s">
        <v>97</v>
      </c>
      <c r="C697" s="142">
        <v>46203</v>
      </c>
      <c r="D697" s="142" t="str">
        <f>IF(C697&lt;Data!$J$1,"Actual","Forecasted")</f>
        <v>Forecasted</v>
      </c>
      <c r="E697" s="140" t="s">
        <v>189</v>
      </c>
      <c r="F697" t="s">
        <v>180</v>
      </c>
      <c r="G697">
        <v>0.1049521848140236</v>
      </c>
    </row>
    <row r="698" spans="2:7" hidden="1" x14ac:dyDescent="0.25">
      <c r="B698" t="s">
        <v>97</v>
      </c>
      <c r="C698" s="142">
        <v>46203</v>
      </c>
      <c r="D698" s="142" t="str">
        <f>IF(C698&lt;Data!$J$1,"Actual","Forecasted")</f>
        <v>Forecasted</v>
      </c>
      <c r="E698" s="140" t="s">
        <v>190</v>
      </c>
      <c r="F698" t="s">
        <v>43</v>
      </c>
      <c r="G698">
        <v>147164.21891076391</v>
      </c>
    </row>
    <row r="699" spans="2:7" hidden="1" x14ac:dyDescent="0.25">
      <c r="B699" t="s">
        <v>97</v>
      </c>
      <c r="C699" s="142">
        <v>46203</v>
      </c>
      <c r="D699" s="142" t="str">
        <f>IF(C699&lt;Data!$J$1,"Actual","Forecasted")</f>
        <v>Forecasted</v>
      </c>
      <c r="E699" s="140" t="s">
        <v>190</v>
      </c>
      <c r="F699" t="s">
        <v>44</v>
      </c>
      <c r="G699">
        <v>0.16836274505839999</v>
      </c>
    </row>
    <row r="700" spans="2:7" hidden="1" x14ac:dyDescent="0.25">
      <c r="B700" t="s">
        <v>97</v>
      </c>
      <c r="C700" s="142">
        <v>46203</v>
      </c>
      <c r="D700" s="142" t="str">
        <f>IF(C700&lt;Data!$J$1,"Actual","Forecasted")</f>
        <v>Forecasted</v>
      </c>
      <c r="E700" s="140" t="s">
        <v>190</v>
      </c>
      <c r="F700" t="s">
        <v>45</v>
      </c>
      <c r="G700">
        <v>-30904.485971260419</v>
      </c>
    </row>
    <row r="701" spans="2:7" hidden="1" x14ac:dyDescent="0.25">
      <c r="B701" t="s">
        <v>97</v>
      </c>
      <c r="C701" s="142">
        <v>46203</v>
      </c>
      <c r="D701" s="142" t="str">
        <f>IF(C701&lt;Data!$J$1,"Actual","Forecasted")</f>
        <v>Forecasted</v>
      </c>
      <c r="E701" s="140" t="s">
        <v>189</v>
      </c>
      <c r="F701" t="s">
        <v>89</v>
      </c>
      <c r="G701">
        <v>-153425.67890881011</v>
      </c>
    </row>
    <row r="702" spans="2:7" hidden="1" x14ac:dyDescent="0.25">
      <c r="B702" t="s">
        <v>97</v>
      </c>
      <c r="C702" s="142">
        <v>46203</v>
      </c>
      <c r="D702" s="142" t="str">
        <f>IF(C702&lt;Data!$J$1,"Actual","Forecasted")</f>
        <v>Forecasted</v>
      </c>
      <c r="E702" s="140" t="s">
        <v>189</v>
      </c>
      <c r="F702" t="s">
        <v>181</v>
      </c>
      <c r="G702">
        <v>0.17552614796399121</v>
      </c>
    </row>
    <row r="703" spans="2:7" hidden="1" x14ac:dyDescent="0.25">
      <c r="B703" t="s">
        <v>97</v>
      </c>
      <c r="C703" s="142">
        <v>46203</v>
      </c>
      <c r="D703" s="142" t="str">
        <f>IF(C703&lt;Data!$J$1,"Actual","Forecasted")</f>
        <v>Forecasted</v>
      </c>
      <c r="E703" s="140" t="s">
        <v>189</v>
      </c>
      <c r="F703" t="s">
        <v>90</v>
      </c>
      <c r="G703">
        <v>27222.6555118875</v>
      </c>
    </row>
    <row r="704" spans="2:7" hidden="1" x14ac:dyDescent="0.25">
      <c r="B704" t="s">
        <v>97</v>
      </c>
      <c r="C704" s="142">
        <v>46203</v>
      </c>
      <c r="D704" s="142" t="str">
        <f>IF(C704&lt;Data!$J$1,"Actual","Forecasted")</f>
        <v>Forecasted</v>
      </c>
      <c r="E704" s="140" t="s">
        <v>189</v>
      </c>
      <c r="F704" t="s">
        <v>182</v>
      </c>
      <c r="G704">
        <v>3.114399032376023E-2</v>
      </c>
    </row>
    <row r="705" spans="2:7" hidden="1" x14ac:dyDescent="0.25">
      <c r="B705" t="s">
        <v>97</v>
      </c>
      <c r="C705" s="142">
        <v>46203</v>
      </c>
      <c r="D705" s="142" t="str">
        <f>IF(C705&lt;Data!$J$1,"Actual","Forecasted")</f>
        <v>Forecasted</v>
      </c>
      <c r="E705" s="140" t="s">
        <v>190</v>
      </c>
      <c r="F705" t="s">
        <v>53</v>
      </c>
      <c r="G705">
        <v>89282.810230997784</v>
      </c>
    </row>
    <row r="706" spans="2:7" hidden="1" x14ac:dyDescent="0.25">
      <c r="B706" t="s">
        <v>97</v>
      </c>
      <c r="C706" s="142">
        <v>46203</v>
      </c>
      <c r="D706" s="142" t="str">
        <f>IF(C706&lt;Data!$J$1,"Actual","Forecasted")</f>
        <v>Forecasted</v>
      </c>
      <c r="E706" s="140" t="s">
        <v>190</v>
      </c>
      <c r="F706" t="s">
        <v>183</v>
      </c>
      <c r="G706">
        <v>0.46970348191775102</v>
      </c>
    </row>
    <row r="707" spans="2:7" hidden="1" x14ac:dyDescent="0.25">
      <c r="B707" t="s">
        <v>97</v>
      </c>
      <c r="C707" s="142">
        <v>46203</v>
      </c>
      <c r="D707" s="142" t="str">
        <f>IF(C707&lt;Data!$J$1,"Actual","Forecasted")</f>
        <v>Forecasted</v>
      </c>
      <c r="E707" s="140" t="s">
        <v>190</v>
      </c>
      <c r="F707" t="s">
        <v>73</v>
      </c>
      <c r="G707">
        <v>238901.89101735991</v>
      </c>
    </row>
    <row r="708" spans="2:7" hidden="1" x14ac:dyDescent="0.25">
      <c r="B708" t="s">
        <v>97</v>
      </c>
      <c r="C708" s="142">
        <v>46203</v>
      </c>
      <c r="D708" s="142" t="str">
        <f>IF(C708&lt;Data!$J$1,"Actual","Forecasted")</f>
        <v>Forecasted</v>
      </c>
      <c r="E708" s="140" t="s">
        <v>190</v>
      </c>
      <c r="F708" t="s">
        <v>186</v>
      </c>
      <c r="G708">
        <v>0.16536688293799789</v>
      </c>
    </row>
    <row r="709" spans="2:7" hidden="1" x14ac:dyDescent="0.25">
      <c r="B709" t="s">
        <v>97</v>
      </c>
      <c r="C709" s="142">
        <v>46203</v>
      </c>
      <c r="D709" s="142" t="str">
        <f>IF(C709&lt;Data!$J$1,"Actual","Forecasted")</f>
        <v>Forecasted</v>
      </c>
      <c r="E709" s="140" t="s">
        <v>190</v>
      </c>
      <c r="F709" t="s">
        <v>143</v>
      </c>
      <c r="G709">
        <v>266124.54652924743</v>
      </c>
    </row>
    <row r="710" spans="2:7" hidden="1" x14ac:dyDescent="0.25">
      <c r="B710" t="s">
        <v>97</v>
      </c>
      <c r="C710" s="142">
        <v>46203</v>
      </c>
      <c r="D710" s="142" t="str">
        <f>IF(C710&lt;Data!$J$1,"Actual","Forecasted")</f>
        <v>Forecasted</v>
      </c>
      <c r="E710" s="140" t="s">
        <v>190</v>
      </c>
      <c r="F710" t="s">
        <v>185</v>
      </c>
      <c r="G710">
        <v>0.1620786868149342</v>
      </c>
    </row>
    <row r="711" spans="2:7" hidden="1" x14ac:dyDescent="0.25">
      <c r="B711" t="s">
        <v>97</v>
      </c>
      <c r="C711" s="142">
        <v>46203</v>
      </c>
      <c r="D711" s="142" t="str">
        <f>IF(C711&lt;Data!$J$1,"Actual","Forecasted")</f>
        <v>Forecasted</v>
      </c>
      <c r="E711" s="140" t="s">
        <v>190</v>
      </c>
      <c r="F711" t="s">
        <v>153</v>
      </c>
      <c r="G711">
        <v>77501.334106862967</v>
      </c>
    </row>
    <row r="712" spans="2:7" hidden="1" x14ac:dyDescent="0.25">
      <c r="B712" t="s">
        <v>97</v>
      </c>
      <c r="C712" s="142">
        <v>46203</v>
      </c>
      <c r="D712" s="142" t="str">
        <f>IF(C712&lt;Data!$J$1,"Actual","Forecasted")</f>
        <v>Forecasted</v>
      </c>
      <c r="E712" s="140" t="s">
        <v>190</v>
      </c>
      <c r="F712" t="s">
        <v>184</v>
      </c>
      <c r="G712">
        <v>0.21354499695857809</v>
      </c>
    </row>
    <row r="713" spans="2:7" hidden="1" x14ac:dyDescent="0.25">
      <c r="B713" t="s">
        <v>97</v>
      </c>
      <c r="C713" s="142">
        <v>46203</v>
      </c>
      <c r="D713" s="142" t="str">
        <f>IF(C713&lt;Data!$J$1,"Actual","Forecasted")</f>
        <v>Forecasted</v>
      </c>
      <c r="E713" s="140" t="s">
        <v>190</v>
      </c>
      <c r="F713" t="s">
        <v>155</v>
      </c>
      <c r="G713">
        <v>0.3670196345345938</v>
      </c>
    </row>
    <row r="714" spans="2:7" hidden="1" x14ac:dyDescent="0.25">
      <c r="B714" t="s">
        <v>97</v>
      </c>
      <c r="C714" s="142">
        <v>46203</v>
      </c>
      <c r="D714" s="142" t="str">
        <f>IF(C714&lt;Data!$J$1,"Actual","Forecasted")</f>
        <v>Forecasted</v>
      </c>
      <c r="E714" s="140" t="s">
        <v>190</v>
      </c>
      <c r="F714" t="s">
        <v>154</v>
      </c>
      <c r="G714">
        <v>211164</v>
      </c>
    </row>
    <row r="715" spans="2:7" hidden="1" x14ac:dyDescent="0.25">
      <c r="B715" t="s">
        <v>97</v>
      </c>
      <c r="C715" s="142">
        <v>46203</v>
      </c>
      <c r="D715" s="142" t="str">
        <f>IF(C715&lt;Data!$J$1,"Actual","Forecasted")</f>
        <v>Forecasted</v>
      </c>
      <c r="E715" s="140" t="s">
        <v>190</v>
      </c>
      <c r="F715" t="s">
        <v>194</v>
      </c>
      <c r="G715">
        <v>8.8665148719552445E-2</v>
      </c>
    </row>
    <row r="716" spans="2:7" hidden="1" x14ac:dyDescent="0.25">
      <c r="B716" t="s">
        <v>98</v>
      </c>
      <c r="C716" s="142">
        <v>46295</v>
      </c>
      <c r="D716" s="142" t="str">
        <f>IF(C716&lt;Data!$J$1,"Actual","Forecasted")</f>
        <v>Forecasted</v>
      </c>
      <c r="E716" s="140"/>
    </row>
    <row r="717" spans="2:7" hidden="1" x14ac:dyDescent="0.25">
      <c r="B717" t="s">
        <v>98</v>
      </c>
      <c r="C717" s="142">
        <v>46295</v>
      </c>
      <c r="D717" s="142" t="str">
        <f>IF(C717&lt;Data!$J$1,"Actual","Forecasted")</f>
        <v>Forecasted</v>
      </c>
      <c r="E717" s="140"/>
    </row>
    <row r="718" spans="2:7" hidden="1" x14ac:dyDescent="0.25">
      <c r="B718" t="s">
        <v>98</v>
      </c>
      <c r="C718" s="142">
        <v>46295</v>
      </c>
      <c r="D718" s="142" t="str">
        <f>IF(C718&lt;Data!$J$1,"Actual","Forecasted")</f>
        <v>Forecasted</v>
      </c>
      <c r="E718" s="140" t="s">
        <v>188</v>
      </c>
      <c r="F718" t="s">
        <v>35</v>
      </c>
      <c r="G718">
        <v>195</v>
      </c>
    </row>
    <row r="719" spans="2:7" hidden="1" x14ac:dyDescent="0.25">
      <c r="B719" t="s">
        <v>98</v>
      </c>
      <c r="C719" s="142">
        <v>46295</v>
      </c>
      <c r="D719" s="142" t="str">
        <f>IF(C719&lt;Data!$J$1,"Actual","Forecasted")</f>
        <v>Forecasted</v>
      </c>
      <c r="E719" s="140" t="s">
        <v>188</v>
      </c>
      <c r="F719" t="s">
        <v>37</v>
      </c>
      <c r="G719">
        <v>2</v>
      </c>
    </row>
    <row r="720" spans="2:7" hidden="1" x14ac:dyDescent="0.25">
      <c r="B720" t="s">
        <v>98</v>
      </c>
      <c r="C720" s="142">
        <v>46295</v>
      </c>
      <c r="D720" s="142" t="str">
        <f>IF(C720&lt;Data!$J$1,"Actual","Forecasted")</f>
        <v>Forecasted</v>
      </c>
      <c r="E720" s="140" t="s">
        <v>188</v>
      </c>
      <c r="F720" t="s">
        <v>36</v>
      </c>
      <c r="G720">
        <v>4655.5550598205382</v>
      </c>
    </row>
    <row r="721" spans="2:7" hidden="1" x14ac:dyDescent="0.25">
      <c r="B721" t="s">
        <v>98</v>
      </c>
      <c r="C721" s="142">
        <v>46295</v>
      </c>
      <c r="D721" s="142" t="str">
        <f>IF(C721&lt;Data!$J$1,"Actual","Forecasted")</f>
        <v>Forecasted</v>
      </c>
      <c r="E721" s="140" t="s">
        <v>188</v>
      </c>
      <c r="F721" t="s">
        <v>14</v>
      </c>
      <c r="G721">
        <v>907833.23666500498</v>
      </c>
    </row>
    <row r="722" spans="2:7" hidden="1" x14ac:dyDescent="0.25">
      <c r="B722" t="s">
        <v>98</v>
      </c>
      <c r="C722" s="142">
        <v>46295</v>
      </c>
      <c r="D722" s="142" t="str">
        <f>IF(C722&lt;Data!$J$1,"Actual","Forecasted")</f>
        <v>Forecasted</v>
      </c>
      <c r="E722" s="140" t="s">
        <v>188</v>
      </c>
      <c r="F722" t="s">
        <v>170</v>
      </c>
      <c r="G722">
        <v>5.1537440171693927E-2</v>
      </c>
    </row>
    <row r="723" spans="2:7" hidden="1" x14ac:dyDescent="0.25">
      <c r="B723" t="s">
        <v>98</v>
      </c>
      <c r="C723" s="142">
        <v>46295</v>
      </c>
      <c r="D723" s="142" t="str">
        <f>IF(C723&lt;Data!$J$1,"Actual","Forecasted")</f>
        <v>Forecasted</v>
      </c>
      <c r="E723" s="140" t="s">
        <v>188</v>
      </c>
      <c r="F723" t="s">
        <v>15</v>
      </c>
      <c r="G723">
        <v>54559.598325604988</v>
      </c>
    </row>
    <row r="724" spans="2:7" hidden="1" x14ac:dyDescent="0.25">
      <c r="B724" t="s">
        <v>98</v>
      </c>
      <c r="C724" s="142">
        <v>46295</v>
      </c>
      <c r="D724" s="142" t="str">
        <f>IF(C724&lt;Data!$J$1,"Actual","Forecasted")</f>
        <v>Forecasted</v>
      </c>
      <c r="E724" s="140" t="s">
        <v>188</v>
      </c>
      <c r="F724" t="s">
        <v>171</v>
      </c>
      <c r="G724">
        <v>4.4528228924980651E-2</v>
      </c>
    </row>
    <row r="725" spans="2:7" hidden="1" x14ac:dyDescent="0.25">
      <c r="B725" t="s">
        <v>98</v>
      </c>
      <c r="C725" s="142">
        <v>46295</v>
      </c>
      <c r="D725" s="142" t="str">
        <f>IF(C725&lt;Data!$J$1,"Actual","Forecasted")</f>
        <v>Forecasted</v>
      </c>
      <c r="E725" s="140" t="s">
        <v>188</v>
      </c>
      <c r="F725" t="s">
        <v>159</v>
      </c>
      <c r="G725">
        <v>17.230285014739209</v>
      </c>
    </row>
    <row r="726" spans="2:7" hidden="1" x14ac:dyDescent="0.25">
      <c r="B726" t="s">
        <v>98</v>
      </c>
      <c r="C726" s="142">
        <v>46295</v>
      </c>
      <c r="D726" s="142" t="str">
        <f>IF(C726&lt;Data!$J$1,"Actual","Forecasted")</f>
        <v>Forecasted</v>
      </c>
      <c r="E726" s="140" t="s">
        <v>188</v>
      </c>
      <c r="F726" t="s">
        <v>160</v>
      </c>
      <c r="G726">
        <v>940.07742943986193</v>
      </c>
    </row>
    <row r="727" spans="2:7" hidden="1" x14ac:dyDescent="0.25">
      <c r="B727" t="s">
        <v>98</v>
      </c>
      <c r="C727" s="142">
        <v>46295</v>
      </c>
      <c r="D727" s="142" t="str">
        <f>IF(C727&lt;Data!$J$1,"Actual","Forecasted")</f>
        <v>Forecasted</v>
      </c>
      <c r="E727" s="140" t="s">
        <v>188</v>
      </c>
      <c r="F727" t="s">
        <v>158</v>
      </c>
      <c r="G727">
        <v>704.20521460776854</v>
      </c>
    </row>
    <row r="728" spans="2:7" hidden="1" x14ac:dyDescent="0.25">
      <c r="B728" t="s">
        <v>98</v>
      </c>
      <c r="C728" s="142">
        <v>46295</v>
      </c>
      <c r="D728" s="142" t="str">
        <f>IF(C728&lt;Data!$J$1,"Actual","Forecasted")</f>
        <v>Forecasted</v>
      </c>
      <c r="E728" s="140" t="s">
        <v>188</v>
      </c>
      <c r="F728" t="s">
        <v>172</v>
      </c>
      <c r="G728">
        <v>8.5499999999999979E-2</v>
      </c>
    </row>
    <row r="729" spans="2:7" hidden="1" x14ac:dyDescent="0.25">
      <c r="B729" t="s">
        <v>98</v>
      </c>
      <c r="C729" s="142">
        <v>46295</v>
      </c>
      <c r="D729" s="142" t="str">
        <f>IF(C729&lt;Data!$J$1,"Actual","Forecasted")</f>
        <v>Forecasted</v>
      </c>
      <c r="E729" s="140" t="s">
        <v>188</v>
      </c>
      <c r="F729" t="s">
        <v>17</v>
      </c>
      <c r="G729">
        <v>639300.89925374498</v>
      </c>
    </row>
    <row r="730" spans="2:7" hidden="1" x14ac:dyDescent="0.25">
      <c r="B730" t="s">
        <v>98</v>
      </c>
      <c r="C730" s="142">
        <v>46295</v>
      </c>
      <c r="D730" s="142" t="str">
        <f>IF(C730&lt;Data!$J$1,"Actual","Forecasted")</f>
        <v>Forecasted</v>
      </c>
      <c r="E730" s="140" t="s">
        <v>188</v>
      </c>
      <c r="F730" t="s">
        <v>173</v>
      </c>
      <c r="G730">
        <v>0.14144389130637361</v>
      </c>
    </row>
    <row r="731" spans="2:7" hidden="1" x14ac:dyDescent="0.25">
      <c r="B731" t="s">
        <v>98</v>
      </c>
      <c r="C731" s="142">
        <v>46295</v>
      </c>
      <c r="D731" s="142" t="str">
        <f>IF(C731&lt;Data!$J$1,"Actual","Forecasted")</f>
        <v>Forecasted</v>
      </c>
      <c r="E731" s="140" t="s">
        <v>188</v>
      </c>
      <c r="F731" t="s">
        <v>18</v>
      </c>
      <c r="G731">
        <v>238616.49989131119</v>
      </c>
    </row>
    <row r="732" spans="2:7" hidden="1" x14ac:dyDescent="0.25">
      <c r="B732" t="s">
        <v>98</v>
      </c>
      <c r="C732" s="142">
        <v>46295</v>
      </c>
      <c r="D732" s="142" t="str">
        <f>IF(C732&lt;Data!$J$1,"Actual","Forecasted")</f>
        <v>Forecasted</v>
      </c>
      <c r="E732" s="140" t="s">
        <v>188</v>
      </c>
      <c r="F732" t="s">
        <v>174</v>
      </c>
      <c r="G732">
        <v>0.1239083112934376</v>
      </c>
    </row>
    <row r="733" spans="2:7" hidden="1" x14ac:dyDescent="0.25">
      <c r="B733" t="s">
        <v>98</v>
      </c>
      <c r="C733" s="142">
        <v>46295</v>
      </c>
      <c r="D733" s="142" t="str">
        <f>IF(C733&lt;Data!$J$1,"Actual","Forecasted")</f>
        <v>Forecasted</v>
      </c>
      <c r="E733" s="140" t="s">
        <v>188</v>
      </c>
      <c r="F733" t="s">
        <v>34</v>
      </c>
      <c r="G733">
        <v>262.84177561937167</v>
      </c>
    </row>
    <row r="734" spans="2:7" hidden="1" x14ac:dyDescent="0.25">
      <c r="B734" t="s">
        <v>98</v>
      </c>
      <c r="C734" s="142">
        <v>46295</v>
      </c>
      <c r="D734" s="142" t="str">
        <f>IF(C734&lt;Data!$J$1,"Actual","Forecasted")</f>
        <v>Forecasted</v>
      </c>
      <c r="E734" s="140" t="s">
        <v>188</v>
      </c>
      <c r="F734" t="s">
        <v>175</v>
      </c>
      <c r="G734">
        <v>6.8823865282369057E-2</v>
      </c>
    </row>
    <row r="735" spans="2:7" hidden="1" x14ac:dyDescent="0.25">
      <c r="B735" t="s">
        <v>98</v>
      </c>
      <c r="C735" s="142">
        <v>46295</v>
      </c>
      <c r="D735" s="142" t="str">
        <f>IF(C735&lt;Data!$J$1,"Actual","Forecasted")</f>
        <v>Forecasted</v>
      </c>
      <c r="E735" s="140" t="s">
        <v>188</v>
      </c>
      <c r="F735" t="s">
        <v>19</v>
      </c>
      <c r="G735">
        <v>878857.47657449613</v>
      </c>
    </row>
    <row r="736" spans="2:7" hidden="1" x14ac:dyDescent="0.25">
      <c r="B736" t="s">
        <v>98</v>
      </c>
      <c r="C736" s="142">
        <v>46295</v>
      </c>
      <c r="D736" s="142" t="str">
        <f>IF(C736&lt;Data!$J$1,"Actual","Forecasted")</f>
        <v>Forecasted</v>
      </c>
      <c r="E736" s="140" t="s">
        <v>188</v>
      </c>
      <c r="F736" t="s">
        <v>176</v>
      </c>
      <c r="G736">
        <v>0.13661738282463021</v>
      </c>
    </row>
    <row r="737" spans="2:7" hidden="1" x14ac:dyDescent="0.25">
      <c r="B737" t="s">
        <v>98</v>
      </c>
      <c r="C737" s="142">
        <v>46295</v>
      </c>
      <c r="D737" s="142" t="str">
        <f>IF(C737&lt;Data!$J$1,"Actual","Forecasted")</f>
        <v>Forecasted</v>
      </c>
      <c r="E737" s="140" t="s">
        <v>188</v>
      </c>
      <c r="F737" t="s">
        <v>11</v>
      </c>
      <c r="G737">
        <v>22976.76380701318</v>
      </c>
    </row>
    <row r="738" spans="2:7" hidden="1" x14ac:dyDescent="0.25">
      <c r="B738" t="s">
        <v>98</v>
      </c>
      <c r="C738" s="142">
        <v>46295</v>
      </c>
      <c r="D738" s="142" t="str">
        <f>IF(C738&lt;Data!$J$1,"Actual","Forecasted")</f>
        <v>Forecasted</v>
      </c>
      <c r="E738" s="140" t="s">
        <v>188</v>
      </c>
      <c r="F738" t="s">
        <v>38</v>
      </c>
      <c r="G738">
        <v>2.6143902076784079E-2</v>
      </c>
    </row>
    <row r="739" spans="2:7" hidden="1" x14ac:dyDescent="0.25">
      <c r="B739" t="s">
        <v>98</v>
      </c>
      <c r="C739" s="142">
        <v>46295</v>
      </c>
      <c r="D739" s="142" t="str">
        <f>IF(C739&lt;Data!$J$1,"Actual","Forecasted")</f>
        <v>Forecasted</v>
      </c>
      <c r="E739" s="140" t="s">
        <v>188</v>
      </c>
      <c r="F739" t="s">
        <v>10</v>
      </c>
      <c r="G739">
        <v>901834.2403815093</v>
      </c>
    </row>
    <row r="740" spans="2:7" x14ac:dyDescent="0.25">
      <c r="B740" t="s">
        <v>98</v>
      </c>
      <c r="C740" s="142">
        <v>46295</v>
      </c>
      <c r="D740" s="142" t="str">
        <f>IF(C740&lt;Data!$J$1,"Actual","Forecasted")</f>
        <v>Forecasted</v>
      </c>
      <c r="E740" s="140" t="s">
        <v>188</v>
      </c>
      <c r="F740" t="s">
        <v>177</v>
      </c>
      <c r="G740">
        <v>0.13661738282463021</v>
      </c>
    </row>
    <row r="741" spans="2:7" hidden="1" x14ac:dyDescent="0.25">
      <c r="B741" t="s">
        <v>98</v>
      </c>
      <c r="C741" s="142">
        <v>46295</v>
      </c>
      <c r="D741" s="142" t="str">
        <f>IF(C741&lt;Data!$J$1,"Actual","Forecasted")</f>
        <v>Forecasted</v>
      </c>
      <c r="E741" s="140" t="s">
        <v>189</v>
      </c>
      <c r="F741" t="s">
        <v>12</v>
      </c>
      <c r="G741">
        <v>-480745.13363674178</v>
      </c>
    </row>
    <row r="742" spans="2:7" hidden="1" x14ac:dyDescent="0.25">
      <c r="B742" t="s">
        <v>98</v>
      </c>
      <c r="C742" s="142">
        <v>46295</v>
      </c>
      <c r="D742" s="142" t="str">
        <f>IF(C742&lt;Data!$J$1,"Actual","Forecasted")</f>
        <v>Forecasted</v>
      </c>
      <c r="E742" s="140" t="s">
        <v>189</v>
      </c>
      <c r="F742" t="s">
        <v>178</v>
      </c>
      <c r="G742">
        <v>0.54701148530991828</v>
      </c>
    </row>
    <row r="743" spans="2:7" hidden="1" x14ac:dyDescent="0.25">
      <c r="B743" t="s">
        <v>98</v>
      </c>
      <c r="C743" s="142">
        <v>46295</v>
      </c>
      <c r="D743" s="142" t="str">
        <f>IF(C743&lt;Data!$J$1,"Actual","Forecasted")</f>
        <v>Forecasted</v>
      </c>
      <c r="E743" s="140" t="s">
        <v>189</v>
      </c>
      <c r="F743" t="s">
        <v>13</v>
      </c>
      <c r="G743">
        <v>-90062.931355932204</v>
      </c>
    </row>
    <row r="744" spans="2:7" hidden="1" x14ac:dyDescent="0.25">
      <c r="B744" t="s">
        <v>98</v>
      </c>
      <c r="C744" s="142">
        <v>46295</v>
      </c>
      <c r="D744" s="142" t="str">
        <f>IF(C744&lt;Data!$J$1,"Actual","Forecasted")</f>
        <v>Forecasted</v>
      </c>
      <c r="E744" s="140" t="s">
        <v>189</v>
      </c>
      <c r="F744" t="s">
        <v>41</v>
      </c>
      <c r="G744">
        <v>-461.86118644067801</v>
      </c>
    </row>
    <row r="745" spans="2:7" hidden="1" x14ac:dyDescent="0.25">
      <c r="B745" t="s">
        <v>98</v>
      </c>
      <c r="C745" s="142">
        <v>46295</v>
      </c>
      <c r="D745" s="142" t="str">
        <f>IF(C745&lt;Data!$J$1,"Actual","Forecasted")</f>
        <v>Forecasted</v>
      </c>
      <c r="E745" s="140" t="s">
        <v>189</v>
      </c>
      <c r="F745" t="s">
        <v>39</v>
      </c>
      <c r="G745">
        <v>-104565.7518350591</v>
      </c>
    </row>
    <row r="746" spans="2:7" hidden="1" x14ac:dyDescent="0.25">
      <c r="B746" t="s">
        <v>98</v>
      </c>
      <c r="C746" s="142">
        <v>46295</v>
      </c>
      <c r="D746" s="142" t="str">
        <f>IF(C746&lt;Data!$J$1,"Actual","Forecasted")</f>
        <v>Forecasted</v>
      </c>
      <c r="E746" s="140" t="s">
        <v>189</v>
      </c>
      <c r="F746" t="s">
        <v>179</v>
      </c>
      <c r="G746">
        <v>0.11594786176096381</v>
      </c>
    </row>
    <row r="747" spans="2:7" hidden="1" x14ac:dyDescent="0.25">
      <c r="B747" t="s">
        <v>98</v>
      </c>
      <c r="C747" s="142">
        <v>46295</v>
      </c>
      <c r="D747" s="142" t="str">
        <f>IF(C747&lt;Data!$J$1,"Actual","Forecasted")</f>
        <v>Forecasted</v>
      </c>
      <c r="E747" s="140" t="s">
        <v>189</v>
      </c>
      <c r="F747" t="s">
        <v>40</v>
      </c>
      <c r="G747">
        <v>-94649.473868134723</v>
      </c>
    </row>
    <row r="748" spans="2:7" hidden="1" x14ac:dyDescent="0.25">
      <c r="B748" t="s">
        <v>98</v>
      </c>
      <c r="C748" s="142">
        <v>46295</v>
      </c>
      <c r="D748" s="142" t="str">
        <f>IF(C748&lt;Data!$J$1,"Actual","Forecasted")</f>
        <v>Forecasted</v>
      </c>
      <c r="E748" s="140" t="s">
        <v>189</v>
      </c>
      <c r="F748" t="s">
        <v>180</v>
      </c>
      <c r="G748">
        <v>0.1049521848140236</v>
      </c>
    </row>
    <row r="749" spans="2:7" hidden="1" x14ac:dyDescent="0.25">
      <c r="B749" t="s">
        <v>98</v>
      </c>
      <c r="C749" s="142">
        <v>46295</v>
      </c>
      <c r="D749" s="142" t="str">
        <f>IF(C749&lt;Data!$J$1,"Actual","Forecasted")</f>
        <v>Forecasted</v>
      </c>
      <c r="E749" s="140" t="s">
        <v>190</v>
      </c>
      <c r="F749" t="s">
        <v>43</v>
      </c>
      <c r="G749">
        <v>131810.94968564139</v>
      </c>
    </row>
    <row r="750" spans="2:7" hidden="1" x14ac:dyDescent="0.25">
      <c r="B750" t="s">
        <v>98</v>
      </c>
      <c r="C750" s="142">
        <v>46295</v>
      </c>
      <c r="D750" s="142" t="str">
        <f>IF(C750&lt;Data!$J$1,"Actual","Forecasted")</f>
        <v>Forecasted</v>
      </c>
      <c r="E750" s="140" t="s">
        <v>190</v>
      </c>
      <c r="F750" t="s">
        <v>44</v>
      </c>
      <c r="G750">
        <v>0.1461587327066674</v>
      </c>
    </row>
    <row r="751" spans="2:7" hidden="1" x14ac:dyDescent="0.25">
      <c r="B751" t="s">
        <v>98</v>
      </c>
      <c r="C751" s="142">
        <v>46295</v>
      </c>
      <c r="D751" s="142" t="str">
        <f>IF(C751&lt;Data!$J$1,"Actual","Forecasted")</f>
        <v>Forecasted</v>
      </c>
      <c r="E751" s="140" t="s">
        <v>190</v>
      </c>
      <c r="F751" t="s">
        <v>45</v>
      </c>
      <c r="G751">
        <v>-27680.299433984699</v>
      </c>
    </row>
    <row r="752" spans="2:7" hidden="1" x14ac:dyDescent="0.25">
      <c r="B752" t="s">
        <v>98</v>
      </c>
      <c r="C752" s="142">
        <v>46295</v>
      </c>
      <c r="D752" s="142" t="str">
        <f>IF(C752&lt;Data!$J$1,"Actual","Forecasted")</f>
        <v>Forecasted</v>
      </c>
      <c r="E752" s="140" t="s">
        <v>189</v>
      </c>
      <c r="F752" t="s">
        <v>89</v>
      </c>
      <c r="G752">
        <v>-153786.31911429091</v>
      </c>
    </row>
    <row r="753" spans="2:7" hidden="1" x14ac:dyDescent="0.25">
      <c r="B753" t="s">
        <v>98</v>
      </c>
      <c r="C753" s="142">
        <v>46295</v>
      </c>
      <c r="D753" s="142" t="str">
        <f>IF(C753&lt;Data!$J$1,"Actual","Forecasted")</f>
        <v>Forecasted</v>
      </c>
      <c r="E753" s="140" t="s">
        <v>189</v>
      </c>
      <c r="F753" t="s">
        <v>181</v>
      </c>
      <c r="G753">
        <v>0.17052614796399121</v>
      </c>
    </row>
    <row r="754" spans="2:7" hidden="1" x14ac:dyDescent="0.25">
      <c r="B754" t="s">
        <v>98</v>
      </c>
      <c r="C754" s="142">
        <v>46295</v>
      </c>
      <c r="D754" s="142" t="str">
        <f>IF(C754&lt;Data!$J$1,"Actual","Forecasted")</f>
        <v>Forecasted</v>
      </c>
      <c r="E754" s="140" t="s">
        <v>189</v>
      </c>
      <c r="F754" t="s">
        <v>90</v>
      </c>
      <c r="G754">
        <v>28556.683011967369</v>
      </c>
    </row>
    <row r="755" spans="2:7" hidden="1" x14ac:dyDescent="0.25">
      <c r="B755" t="s">
        <v>98</v>
      </c>
      <c r="C755" s="142">
        <v>46295</v>
      </c>
      <c r="D755" s="142" t="str">
        <f>IF(C755&lt;Data!$J$1,"Actual","Forecasted")</f>
        <v>Forecasted</v>
      </c>
      <c r="E755" s="140" t="s">
        <v>189</v>
      </c>
      <c r="F755" t="s">
        <v>182</v>
      </c>
      <c r="G755">
        <v>3.1665112870284048E-2</v>
      </c>
    </row>
    <row r="756" spans="2:7" hidden="1" x14ac:dyDescent="0.25">
      <c r="B756" t="s">
        <v>98</v>
      </c>
      <c r="C756" s="142">
        <v>46295</v>
      </c>
      <c r="D756" s="142" t="str">
        <f>IF(C756&lt;Data!$J$1,"Actual","Forecasted")</f>
        <v>Forecasted</v>
      </c>
      <c r="E756" s="140" t="s">
        <v>190</v>
      </c>
      <c r="F756" t="s">
        <v>53</v>
      </c>
      <c r="G756">
        <v>100686.5016743021</v>
      </c>
    </row>
    <row r="757" spans="2:7" hidden="1" x14ac:dyDescent="0.25">
      <c r="B757" t="s">
        <v>98</v>
      </c>
      <c r="C757" s="142">
        <v>46295</v>
      </c>
      <c r="D757" s="142" t="str">
        <f>IF(C757&lt;Data!$J$1,"Actual","Forecasted")</f>
        <v>Forecasted</v>
      </c>
      <c r="E757" s="140" t="s">
        <v>190</v>
      </c>
      <c r="F757" t="s">
        <v>183</v>
      </c>
      <c r="G757">
        <v>0.49708257703821462</v>
      </c>
    </row>
    <row r="758" spans="2:7" hidden="1" x14ac:dyDescent="0.25">
      <c r="B758" t="s">
        <v>98</v>
      </c>
      <c r="C758" s="142">
        <v>46295</v>
      </c>
      <c r="D758" s="142" t="str">
        <f>IF(C758&lt;Data!$J$1,"Actual","Forecasted")</f>
        <v>Forecasted</v>
      </c>
      <c r="E758" s="140" t="s">
        <v>190</v>
      </c>
      <c r="F758" t="s">
        <v>73</v>
      </c>
      <c r="G758">
        <v>226460.4235537762</v>
      </c>
    </row>
    <row r="759" spans="2:7" hidden="1" x14ac:dyDescent="0.25">
      <c r="B759" t="s">
        <v>98</v>
      </c>
      <c r="C759" s="142">
        <v>46295</v>
      </c>
      <c r="D759" s="142" t="str">
        <f>IF(C759&lt;Data!$J$1,"Actual","Forecasted")</f>
        <v>Forecasted</v>
      </c>
      <c r="E759" s="140" t="s">
        <v>190</v>
      </c>
      <c r="F759" t="s">
        <v>186</v>
      </c>
      <c r="G759">
        <v>0.17278191509351021</v>
      </c>
    </row>
    <row r="760" spans="2:7" hidden="1" x14ac:dyDescent="0.25">
      <c r="B760" t="s">
        <v>98</v>
      </c>
      <c r="C760" s="142">
        <v>46295</v>
      </c>
      <c r="D760" s="142" t="str">
        <f>IF(C760&lt;Data!$J$1,"Actual","Forecasted")</f>
        <v>Forecasted</v>
      </c>
      <c r="E760" s="140" t="s">
        <v>190</v>
      </c>
      <c r="F760" t="s">
        <v>143</v>
      </c>
      <c r="G760">
        <v>255017.10656574351</v>
      </c>
    </row>
    <row r="761" spans="2:7" hidden="1" x14ac:dyDescent="0.25">
      <c r="B761" t="s">
        <v>98</v>
      </c>
      <c r="C761" s="142">
        <v>46295</v>
      </c>
      <c r="D761" s="142" t="str">
        <f>IF(C761&lt;Data!$J$1,"Actual","Forecasted")</f>
        <v>Forecasted</v>
      </c>
      <c r="E761" s="140" t="s">
        <v>190</v>
      </c>
      <c r="F761" t="s">
        <v>185</v>
      </c>
      <c r="G761">
        <v>0.16861821292868481</v>
      </c>
    </row>
    <row r="762" spans="2:7" hidden="1" x14ac:dyDescent="0.25">
      <c r="B762" t="s">
        <v>98</v>
      </c>
      <c r="C762" s="142">
        <v>46295</v>
      </c>
      <c r="D762" s="142" t="str">
        <f>IF(C762&lt;Data!$J$1,"Actual","Forecasted")</f>
        <v>Forecasted</v>
      </c>
      <c r="E762" s="140" t="s">
        <v>190</v>
      </c>
      <c r="F762" t="s">
        <v>153</v>
      </c>
      <c r="G762">
        <v>64142.03953982042</v>
      </c>
    </row>
    <row r="763" spans="2:7" hidden="1" x14ac:dyDescent="0.25">
      <c r="B763" t="s">
        <v>98</v>
      </c>
      <c r="C763" s="142">
        <v>46295</v>
      </c>
      <c r="D763" s="142" t="str">
        <f>IF(C763&lt;Data!$J$1,"Actual","Forecasted")</f>
        <v>Forecasted</v>
      </c>
      <c r="E763" s="140" t="s">
        <v>190</v>
      </c>
      <c r="F763" t="s">
        <v>184</v>
      </c>
      <c r="G763">
        <v>0.2435756728977507</v>
      </c>
    </row>
    <row r="764" spans="2:7" hidden="1" x14ac:dyDescent="0.25">
      <c r="B764" t="s">
        <v>98</v>
      </c>
      <c r="C764" s="142">
        <v>46295</v>
      </c>
      <c r="D764" s="142" t="str">
        <f>IF(C764&lt;Data!$J$1,"Actual","Forecasted")</f>
        <v>Forecasted</v>
      </c>
      <c r="E764" s="140" t="s">
        <v>190</v>
      </c>
      <c r="F764" t="s">
        <v>155</v>
      </c>
      <c r="G764">
        <v>0.30375461508505441</v>
      </c>
    </row>
    <row r="765" spans="2:7" hidden="1" x14ac:dyDescent="0.25">
      <c r="B765" t="s">
        <v>98</v>
      </c>
      <c r="C765" s="142">
        <v>46295</v>
      </c>
      <c r="D765" s="142" t="str">
        <f>IF(C765&lt;Data!$J$1,"Actual","Forecasted")</f>
        <v>Forecasted</v>
      </c>
      <c r="E765" s="140" t="s">
        <v>190</v>
      </c>
      <c r="F765" t="s">
        <v>154</v>
      </c>
      <c r="G765">
        <v>211164</v>
      </c>
    </row>
    <row r="766" spans="2:7" hidden="1" x14ac:dyDescent="0.25">
      <c r="B766" t="s">
        <v>98</v>
      </c>
      <c r="C766" s="142">
        <v>46295</v>
      </c>
      <c r="D766" s="142" t="str">
        <f>IF(C766&lt;Data!$J$1,"Actual","Forecasted")</f>
        <v>Forecasted</v>
      </c>
      <c r="E766" s="140" t="s">
        <v>190</v>
      </c>
      <c r="F766" t="s">
        <v>194</v>
      </c>
      <c r="G766">
        <v>7.112397896168364E-2</v>
      </c>
    </row>
    <row r="767" spans="2:7" hidden="1" x14ac:dyDescent="0.25">
      <c r="B767" t="s">
        <v>99</v>
      </c>
      <c r="C767" s="142">
        <v>46387</v>
      </c>
      <c r="D767" s="142" t="str">
        <f>IF(C767&lt;Data!$J$1,"Actual","Forecasted")</f>
        <v>Forecasted</v>
      </c>
      <c r="E767" s="140"/>
    </row>
    <row r="768" spans="2:7" hidden="1" x14ac:dyDescent="0.25">
      <c r="B768" t="s">
        <v>99</v>
      </c>
      <c r="C768" s="142">
        <v>46387</v>
      </c>
      <c r="D768" s="142" t="str">
        <f>IF(C768&lt;Data!$J$1,"Actual","Forecasted")</f>
        <v>Forecasted</v>
      </c>
      <c r="E768" s="140"/>
    </row>
    <row r="769" spans="2:7" hidden="1" x14ac:dyDescent="0.25">
      <c r="B769" t="s">
        <v>99</v>
      </c>
      <c r="C769" s="142">
        <v>46387</v>
      </c>
      <c r="D769" s="142" t="str">
        <f>IF(C769&lt;Data!$J$1,"Actual","Forecasted")</f>
        <v>Forecasted</v>
      </c>
      <c r="E769" s="140" t="s">
        <v>188</v>
      </c>
      <c r="F769" t="s">
        <v>35</v>
      </c>
      <c r="G769">
        <v>197</v>
      </c>
    </row>
    <row r="770" spans="2:7" hidden="1" x14ac:dyDescent="0.25">
      <c r="B770" t="s">
        <v>99</v>
      </c>
      <c r="C770" s="142">
        <v>46387</v>
      </c>
      <c r="D770" s="142" t="str">
        <f>IF(C770&lt;Data!$J$1,"Actual","Forecasted")</f>
        <v>Forecasted</v>
      </c>
      <c r="E770" s="140" t="s">
        <v>188</v>
      </c>
      <c r="F770" t="s">
        <v>37</v>
      </c>
      <c r="G770">
        <v>2</v>
      </c>
    </row>
    <row r="771" spans="2:7" hidden="1" x14ac:dyDescent="0.25">
      <c r="B771" t="s">
        <v>99</v>
      </c>
      <c r="C771" s="142">
        <v>46387</v>
      </c>
      <c r="D771" s="142" t="str">
        <f>IF(C771&lt;Data!$J$1,"Actual","Forecasted")</f>
        <v>Forecasted</v>
      </c>
      <c r="E771" s="140" t="s">
        <v>188</v>
      </c>
      <c r="F771" t="s">
        <v>36</v>
      </c>
      <c r="G771">
        <v>4518.3072789048974</v>
      </c>
    </row>
    <row r="772" spans="2:7" hidden="1" x14ac:dyDescent="0.25">
      <c r="B772" t="s">
        <v>99</v>
      </c>
      <c r="C772" s="142">
        <v>46387</v>
      </c>
      <c r="D772" s="142" t="str">
        <f>IF(C772&lt;Data!$J$1,"Actual","Forecasted")</f>
        <v>Forecasted</v>
      </c>
      <c r="E772" s="140" t="s">
        <v>188</v>
      </c>
      <c r="F772" t="s">
        <v>14</v>
      </c>
      <c r="G772">
        <v>890106.53394426475</v>
      </c>
    </row>
    <row r="773" spans="2:7" hidden="1" x14ac:dyDescent="0.25">
      <c r="B773" t="s">
        <v>99</v>
      </c>
      <c r="C773" s="142">
        <v>46387</v>
      </c>
      <c r="D773" s="142" t="str">
        <f>IF(C773&lt;Data!$J$1,"Actual","Forecasted")</f>
        <v>Forecasted</v>
      </c>
      <c r="E773" s="140" t="s">
        <v>188</v>
      </c>
      <c r="F773" t="s">
        <v>170</v>
      </c>
      <c r="G773">
        <v>4.6578915764955209E-2</v>
      </c>
    </row>
    <row r="774" spans="2:7" hidden="1" x14ac:dyDescent="0.25">
      <c r="B774" t="s">
        <v>99</v>
      </c>
      <c r="C774" s="142">
        <v>46387</v>
      </c>
      <c r="D774" s="142" t="str">
        <f>IF(C774&lt;Data!$J$1,"Actual","Forecasted")</f>
        <v>Forecasted</v>
      </c>
      <c r="E774" s="140" t="s">
        <v>188</v>
      </c>
      <c r="F774" t="s">
        <v>15</v>
      </c>
      <c r="G774">
        <v>58941.21183722595</v>
      </c>
    </row>
    <row r="775" spans="2:7" hidden="1" x14ac:dyDescent="0.25">
      <c r="B775" t="s">
        <v>99</v>
      </c>
      <c r="C775" s="142">
        <v>46387</v>
      </c>
      <c r="D775" s="142" t="str">
        <f>IF(C775&lt;Data!$J$1,"Actual","Forecasted")</f>
        <v>Forecasted</v>
      </c>
      <c r="E775" s="140" t="s">
        <v>188</v>
      </c>
      <c r="F775" t="s">
        <v>171</v>
      </c>
      <c r="G775">
        <v>4.4528228924980651E-2</v>
      </c>
    </row>
    <row r="776" spans="2:7" hidden="1" x14ac:dyDescent="0.25">
      <c r="B776" t="s">
        <v>99</v>
      </c>
      <c r="C776" s="142">
        <v>46387</v>
      </c>
      <c r="D776" s="142" t="str">
        <f>IF(C776&lt;Data!$J$1,"Actual","Forecasted")</f>
        <v>Forecasted</v>
      </c>
      <c r="E776" s="140" t="s">
        <v>188</v>
      </c>
      <c r="F776" t="s">
        <v>159</v>
      </c>
      <c r="G776">
        <v>17.574890715033991</v>
      </c>
    </row>
    <row r="777" spans="2:7" hidden="1" x14ac:dyDescent="0.25">
      <c r="B777" t="s">
        <v>99</v>
      </c>
      <c r="C777" s="142">
        <v>46387</v>
      </c>
      <c r="D777" s="142" t="str">
        <f>IF(C777&lt;Data!$J$1,"Actual","Forecasted")</f>
        <v>Forecasted</v>
      </c>
      <c r="E777" s="140" t="s">
        <v>188</v>
      </c>
      <c r="F777" t="s">
        <v>160</v>
      </c>
      <c r="G777">
        <v>1035.885356650914</v>
      </c>
    </row>
    <row r="778" spans="2:7" hidden="1" x14ac:dyDescent="0.25">
      <c r="B778" t="s">
        <v>99</v>
      </c>
      <c r="C778" s="142">
        <v>46387</v>
      </c>
      <c r="D778" s="142" t="str">
        <f>IF(C778&lt;Data!$J$1,"Actual","Forecasted")</f>
        <v>Forecasted</v>
      </c>
      <c r="E778" s="140" t="s">
        <v>188</v>
      </c>
      <c r="F778" t="s">
        <v>158</v>
      </c>
      <c r="G778">
        <v>697.35396205115808</v>
      </c>
    </row>
    <row r="779" spans="2:7" hidden="1" x14ac:dyDescent="0.25">
      <c r="B779" t="s">
        <v>99</v>
      </c>
      <c r="C779" s="142">
        <v>46387</v>
      </c>
      <c r="D779" s="142" t="str">
        <f>IF(C779&lt;Data!$J$1,"Actual","Forecasted")</f>
        <v>Forecasted</v>
      </c>
      <c r="E779" s="140" t="s">
        <v>188</v>
      </c>
      <c r="F779" t="s">
        <v>172</v>
      </c>
      <c r="G779">
        <v>8.2249999999999976E-2</v>
      </c>
    </row>
    <row r="780" spans="2:7" hidden="1" x14ac:dyDescent="0.25">
      <c r="B780" t="s">
        <v>99</v>
      </c>
      <c r="C780" s="142">
        <v>46387</v>
      </c>
      <c r="D780" s="142" t="str">
        <f>IF(C780&lt;Data!$J$1,"Actual","Forecasted")</f>
        <v>Forecasted</v>
      </c>
      <c r="E780" s="140" t="s">
        <v>188</v>
      </c>
      <c r="F780" t="s">
        <v>17</v>
      </c>
      <c r="G780">
        <v>620719.31809365668</v>
      </c>
    </row>
    <row r="781" spans="2:7" hidden="1" x14ac:dyDescent="0.25">
      <c r="B781" t="s">
        <v>99</v>
      </c>
      <c r="C781" s="142">
        <v>46387</v>
      </c>
      <c r="D781" s="142" t="str">
        <f>IF(C781&lt;Data!$J$1,"Actual","Forecasted")</f>
        <v>Forecasted</v>
      </c>
      <c r="E781" s="140" t="s">
        <v>188</v>
      </c>
      <c r="F781" t="s">
        <v>173</v>
      </c>
      <c r="G781">
        <v>0.1326600315866229</v>
      </c>
    </row>
    <row r="782" spans="2:7" hidden="1" x14ac:dyDescent="0.25">
      <c r="B782" t="s">
        <v>99</v>
      </c>
      <c r="C782" s="142">
        <v>46387</v>
      </c>
      <c r="D782" s="142" t="str">
        <f>IF(C782&lt;Data!$J$1,"Actual","Forecasted")</f>
        <v>Forecasted</v>
      </c>
      <c r="E782" s="140" t="s">
        <v>188</v>
      </c>
      <c r="F782" t="s">
        <v>18</v>
      </c>
      <c r="G782">
        <v>213119.80271040069</v>
      </c>
    </row>
    <row r="783" spans="2:7" hidden="1" x14ac:dyDescent="0.25">
      <c r="B783" t="s">
        <v>99</v>
      </c>
      <c r="C783" s="142">
        <v>46387</v>
      </c>
      <c r="D783" s="142" t="str">
        <f>IF(C783&lt;Data!$J$1,"Actual","Forecasted")</f>
        <v>Forecasted</v>
      </c>
      <c r="E783" s="140" t="s">
        <v>188</v>
      </c>
      <c r="F783" t="s">
        <v>174</v>
      </c>
      <c r="G783">
        <v>0.1133756274921056</v>
      </c>
    </row>
    <row r="784" spans="2:7" hidden="1" x14ac:dyDescent="0.25">
      <c r="B784" t="s">
        <v>99</v>
      </c>
      <c r="C784" s="142">
        <v>46387</v>
      </c>
      <c r="D784" s="142" t="str">
        <f>IF(C784&lt;Data!$J$1,"Actual","Forecasted")</f>
        <v>Forecasted</v>
      </c>
      <c r="E784" s="140" t="s">
        <v>188</v>
      </c>
      <c r="F784" t="s">
        <v>34</v>
      </c>
      <c r="G784">
        <v>239.43179224403431</v>
      </c>
    </row>
    <row r="785" spans="2:7" hidden="1" x14ac:dyDescent="0.25">
      <c r="B785" t="s">
        <v>99</v>
      </c>
      <c r="C785" s="142">
        <v>46387</v>
      </c>
      <c r="D785" s="142" t="str">
        <f>IF(C785&lt;Data!$J$1,"Actual","Forecasted")</f>
        <v>Forecasted</v>
      </c>
      <c r="E785" s="140" t="s">
        <v>188</v>
      </c>
      <c r="F785" t="s">
        <v>175</v>
      </c>
      <c r="G785">
        <v>6.3823865282369052E-2</v>
      </c>
    </row>
    <row r="786" spans="2:7" hidden="1" x14ac:dyDescent="0.25">
      <c r="B786" t="s">
        <v>99</v>
      </c>
      <c r="C786" s="142">
        <v>46387</v>
      </c>
      <c r="D786" s="142" t="str">
        <f>IF(C786&lt;Data!$J$1,"Actual","Forecasted")</f>
        <v>Forecasted</v>
      </c>
      <c r="E786" s="140" t="s">
        <v>188</v>
      </c>
      <c r="F786" t="s">
        <v>19</v>
      </c>
      <c r="G786">
        <v>834875.00616070826</v>
      </c>
    </row>
    <row r="787" spans="2:7" hidden="1" x14ac:dyDescent="0.25">
      <c r="B787" t="s">
        <v>99</v>
      </c>
      <c r="C787" s="142">
        <v>46387</v>
      </c>
      <c r="D787" s="142" t="str">
        <f>IF(C787&lt;Data!$J$1,"Actual","Forecasted")</f>
        <v>Forecasted</v>
      </c>
      <c r="E787" s="140" t="s">
        <v>188</v>
      </c>
      <c r="F787" t="s">
        <v>176</v>
      </c>
      <c r="G787">
        <v>0.12767155259084381</v>
      </c>
    </row>
    <row r="788" spans="2:7" hidden="1" x14ac:dyDescent="0.25">
      <c r="B788" t="s">
        <v>99</v>
      </c>
      <c r="C788" s="142">
        <v>46387</v>
      </c>
      <c r="D788" s="142" t="str">
        <f>IF(C788&lt;Data!$J$1,"Actual","Forecasted")</f>
        <v>Forecasted</v>
      </c>
      <c r="E788" s="140" t="s">
        <v>188</v>
      </c>
      <c r="F788" t="s">
        <v>11</v>
      </c>
      <c r="G788">
        <v>21826.890407420058</v>
      </c>
    </row>
    <row r="789" spans="2:7" hidden="1" x14ac:dyDescent="0.25">
      <c r="B789" t="s">
        <v>99</v>
      </c>
      <c r="C789" s="142">
        <v>46387</v>
      </c>
      <c r="D789" s="142" t="str">
        <f>IF(C789&lt;Data!$J$1,"Actual","Forecasted")</f>
        <v>Forecasted</v>
      </c>
      <c r="E789" s="140" t="s">
        <v>188</v>
      </c>
      <c r="F789" t="s">
        <v>38</v>
      </c>
      <c r="G789">
        <v>2.6143902076784079E-2</v>
      </c>
    </row>
    <row r="790" spans="2:7" hidden="1" x14ac:dyDescent="0.25">
      <c r="B790" t="s">
        <v>99</v>
      </c>
      <c r="C790" s="142">
        <v>46387</v>
      </c>
      <c r="D790" s="142" t="str">
        <f>IF(C790&lt;Data!$J$1,"Actual","Forecasted")</f>
        <v>Forecasted</v>
      </c>
      <c r="E790" s="140" t="s">
        <v>188</v>
      </c>
      <c r="F790" t="s">
        <v>10</v>
      </c>
      <c r="G790">
        <v>856701.89656812837</v>
      </c>
    </row>
    <row r="791" spans="2:7" x14ac:dyDescent="0.25">
      <c r="B791" t="s">
        <v>99</v>
      </c>
      <c r="C791" s="142">
        <v>46387</v>
      </c>
      <c r="D791" s="142" t="str">
        <f>IF(C791&lt;Data!$J$1,"Actual","Forecasted")</f>
        <v>Forecasted</v>
      </c>
      <c r="E791" s="140" t="s">
        <v>188</v>
      </c>
      <c r="F791" t="s">
        <v>177</v>
      </c>
      <c r="G791">
        <v>0.12767155259084381</v>
      </c>
    </row>
    <row r="792" spans="2:7" hidden="1" x14ac:dyDescent="0.25">
      <c r="B792" t="s">
        <v>99</v>
      </c>
      <c r="C792" s="142">
        <v>46387</v>
      </c>
      <c r="D792" s="142" t="str">
        <f>IF(C792&lt;Data!$J$1,"Actual","Forecasted")</f>
        <v>Forecasted</v>
      </c>
      <c r="E792" s="140" t="s">
        <v>189</v>
      </c>
      <c r="F792" t="s">
        <v>12</v>
      </c>
      <c r="G792">
        <v>-441649.79788419791</v>
      </c>
    </row>
    <row r="793" spans="2:7" hidden="1" x14ac:dyDescent="0.25">
      <c r="B793" t="s">
        <v>99</v>
      </c>
      <c r="C793" s="142">
        <v>46387</v>
      </c>
      <c r="D793" s="142" t="str">
        <f>IF(C793&lt;Data!$J$1,"Actual","Forecasted")</f>
        <v>Forecasted</v>
      </c>
      <c r="E793" s="140" t="s">
        <v>189</v>
      </c>
      <c r="F793" t="s">
        <v>178</v>
      </c>
      <c r="G793">
        <v>0.52900110151241375</v>
      </c>
    </row>
    <row r="794" spans="2:7" hidden="1" x14ac:dyDescent="0.25">
      <c r="B794" t="s">
        <v>99</v>
      </c>
      <c r="C794" s="142">
        <v>46387</v>
      </c>
      <c r="D794" s="142" t="str">
        <f>IF(C794&lt;Data!$J$1,"Actual","Forecasted")</f>
        <v>Forecasted</v>
      </c>
      <c r="E794" s="140" t="s">
        <v>189</v>
      </c>
      <c r="F794" t="s">
        <v>13</v>
      </c>
      <c r="G794">
        <v>-90618.125088268163</v>
      </c>
    </row>
    <row r="795" spans="2:7" hidden="1" x14ac:dyDescent="0.25">
      <c r="B795" t="s">
        <v>99</v>
      </c>
      <c r="C795" s="142">
        <v>46387</v>
      </c>
      <c r="D795" s="142" t="str">
        <f>IF(C795&lt;Data!$J$1,"Actual","Forecasted")</f>
        <v>Forecasted</v>
      </c>
      <c r="E795" s="140" t="s">
        <v>189</v>
      </c>
      <c r="F795" t="s">
        <v>41</v>
      </c>
      <c r="G795">
        <v>-459.99048268156429</v>
      </c>
    </row>
    <row r="796" spans="2:7" hidden="1" x14ac:dyDescent="0.25">
      <c r="B796" t="s">
        <v>99</v>
      </c>
      <c r="C796" s="142">
        <v>46387</v>
      </c>
      <c r="D796" s="142" t="str">
        <f>IF(C796&lt;Data!$J$1,"Actual","Forecasted")</f>
        <v>Forecasted</v>
      </c>
      <c r="E796" s="140" t="s">
        <v>189</v>
      </c>
      <c r="F796" t="s">
        <v>39</v>
      </c>
      <c r="G796">
        <v>-108077.9163631983</v>
      </c>
    </row>
    <row r="797" spans="2:7" hidden="1" x14ac:dyDescent="0.25">
      <c r="B797" t="s">
        <v>99</v>
      </c>
      <c r="C797" s="142">
        <v>46387</v>
      </c>
      <c r="D797" s="142" t="str">
        <f>IF(C797&lt;Data!$J$1,"Actual","Forecasted")</f>
        <v>Forecasted</v>
      </c>
      <c r="E797" s="140" t="s">
        <v>189</v>
      </c>
      <c r="F797" t="s">
        <v>179</v>
      </c>
      <c r="G797">
        <v>0.12615580378209601</v>
      </c>
    </row>
    <row r="798" spans="2:7" hidden="1" x14ac:dyDescent="0.25">
      <c r="B798" t="s">
        <v>99</v>
      </c>
      <c r="C798" s="142">
        <v>46387</v>
      </c>
      <c r="D798" s="142" t="str">
        <f>IF(C798&lt;Data!$J$1,"Actual","Forecasted")</f>
        <v>Forecasted</v>
      </c>
      <c r="E798" s="140" t="s">
        <v>189</v>
      </c>
      <c r="F798" t="s">
        <v>40</v>
      </c>
      <c r="G798">
        <v>-89912.73577914272</v>
      </c>
    </row>
    <row r="799" spans="2:7" hidden="1" x14ac:dyDescent="0.25">
      <c r="B799" t="s">
        <v>99</v>
      </c>
      <c r="C799" s="142">
        <v>46387</v>
      </c>
      <c r="D799" s="142" t="str">
        <f>IF(C799&lt;Data!$J$1,"Actual","Forecasted")</f>
        <v>Forecasted</v>
      </c>
      <c r="E799" s="140" t="s">
        <v>189</v>
      </c>
      <c r="F799" t="s">
        <v>180</v>
      </c>
      <c r="G799">
        <v>0.1049521848140236</v>
      </c>
    </row>
    <row r="800" spans="2:7" hidden="1" x14ac:dyDescent="0.25">
      <c r="B800" t="s">
        <v>99</v>
      </c>
      <c r="C800" s="142">
        <v>46387</v>
      </c>
      <c r="D800" s="142" t="str">
        <f>IF(C800&lt;Data!$J$1,"Actual","Forecasted")</f>
        <v>Forecasted</v>
      </c>
      <c r="E800" s="140" t="s">
        <v>190</v>
      </c>
      <c r="F800" t="s">
        <v>43</v>
      </c>
      <c r="G800">
        <v>126443.3214533212</v>
      </c>
    </row>
    <row r="801" spans="2:7" hidden="1" x14ac:dyDescent="0.25">
      <c r="B801" t="s">
        <v>99</v>
      </c>
      <c r="C801" s="142">
        <v>46387</v>
      </c>
      <c r="D801" s="142" t="str">
        <f>IF(C801&lt;Data!$J$1,"Actual","Forecasted")</f>
        <v>Forecasted</v>
      </c>
      <c r="E801" s="140" t="s">
        <v>190</v>
      </c>
      <c r="F801" t="s">
        <v>44</v>
      </c>
      <c r="G801">
        <v>0.14759313824311809</v>
      </c>
    </row>
    <row r="802" spans="2:7" hidden="1" x14ac:dyDescent="0.25">
      <c r="B802" t="s">
        <v>99</v>
      </c>
      <c r="C802" s="142">
        <v>46387</v>
      </c>
      <c r="D802" s="142" t="str">
        <f>IF(C802&lt;Data!$J$1,"Actual","Forecasted")</f>
        <v>Forecasted</v>
      </c>
      <c r="E802" s="140" t="s">
        <v>190</v>
      </c>
      <c r="F802" t="s">
        <v>45</v>
      </c>
      <c r="G802">
        <v>-26553.097505197449</v>
      </c>
    </row>
    <row r="803" spans="2:7" hidden="1" x14ac:dyDescent="0.25">
      <c r="B803" t="s">
        <v>99</v>
      </c>
      <c r="C803" s="142">
        <v>46387</v>
      </c>
      <c r="D803" s="142" t="str">
        <f>IF(C803&lt;Data!$J$1,"Actual","Forecasted")</f>
        <v>Forecasted</v>
      </c>
      <c r="E803" s="140" t="s">
        <v>189</v>
      </c>
      <c r="F803" t="s">
        <v>89</v>
      </c>
      <c r="G803">
        <v>-141806.5648923679</v>
      </c>
    </row>
    <row r="804" spans="2:7" hidden="1" x14ac:dyDescent="0.25">
      <c r="B804" t="s">
        <v>99</v>
      </c>
      <c r="C804" s="142">
        <v>46387</v>
      </c>
      <c r="D804" s="142" t="str">
        <f>IF(C804&lt;Data!$J$1,"Actual","Forecasted")</f>
        <v>Forecasted</v>
      </c>
      <c r="E804" s="140" t="s">
        <v>189</v>
      </c>
      <c r="F804" t="s">
        <v>181</v>
      </c>
      <c r="G804">
        <v>0.1655261479639912</v>
      </c>
    </row>
    <row r="805" spans="2:7" hidden="1" x14ac:dyDescent="0.25">
      <c r="B805" t="s">
        <v>99</v>
      </c>
      <c r="C805" s="142">
        <v>46387</v>
      </c>
      <c r="D805" s="142" t="str">
        <f>IF(C805&lt;Data!$J$1,"Actual","Forecasted")</f>
        <v>Forecasted</v>
      </c>
      <c r="E805" s="140" t="s">
        <v>189</v>
      </c>
      <c r="F805" t="s">
        <v>90</v>
      </c>
      <c r="G805">
        <v>51280.986628818893</v>
      </c>
    </row>
    <row r="806" spans="2:7" hidden="1" x14ac:dyDescent="0.25">
      <c r="B806" t="s">
        <v>99</v>
      </c>
      <c r="C806" s="142">
        <v>46387</v>
      </c>
      <c r="D806" s="142" t="str">
        <f>IF(C806&lt;Data!$J$1,"Actual","Forecasted")</f>
        <v>Forecasted</v>
      </c>
      <c r="E806" s="140" t="s">
        <v>189</v>
      </c>
      <c r="F806" t="s">
        <v>182</v>
      </c>
      <c r="G806">
        <v>5.985861223635195E-2</v>
      </c>
    </row>
    <row r="807" spans="2:7" hidden="1" x14ac:dyDescent="0.25">
      <c r="B807" t="s">
        <v>99</v>
      </c>
      <c r="C807" s="142">
        <v>46387</v>
      </c>
      <c r="D807" s="142" t="str">
        <f>IF(C807&lt;Data!$J$1,"Actual","Forecasted")</f>
        <v>Forecasted</v>
      </c>
      <c r="E807" s="140" t="s">
        <v>190</v>
      </c>
      <c r="F807" t="s">
        <v>53</v>
      </c>
      <c r="G807">
        <v>95315.337608076414</v>
      </c>
    </row>
    <row r="808" spans="2:7" hidden="1" x14ac:dyDescent="0.25">
      <c r="B808" t="s">
        <v>99</v>
      </c>
      <c r="C808" s="142">
        <v>46387</v>
      </c>
      <c r="D808" s="142" t="str">
        <f>IF(C808&lt;Data!$J$1,"Actual","Forecasted")</f>
        <v>Forecasted</v>
      </c>
      <c r="E808" s="140" t="s">
        <v>190</v>
      </c>
      <c r="F808" t="s">
        <v>183</v>
      </c>
      <c r="G808">
        <v>-0.15162413371749889</v>
      </c>
    </row>
    <row r="809" spans="2:7" hidden="1" x14ac:dyDescent="0.25">
      <c r="B809" t="s">
        <v>99</v>
      </c>
      <c r="C809" s="142">
        <v>46387</v>
      </c>
      <c r="D809" s="142" t="str">
        <f>IF(C809&lt;Data!$J$1,"Actual","Forecasted")</f>
        <v>Forecasted</v>
      </c>
      <c r="E809" s="140" t="s">
        <v>190</v>
      </c>
      <c r="F809" t="s">
        <v>73</v>
      </c>
      <c r="G809">
        <v>216356.05723246391</v>
      </c>
    </row>
    <row r="810" spans="2:7" hidden="1" x14ac:dyDescent="0.25">
      <c r="B810" t="s">
        <v>99</v>
      </c>
      <c r="C810" s="142">
        <v>46387</v>
      </c>
      <c r="D810" s="142" t="str">
        <f>IF(C810&lt;Data!$J$1,"Actual","Forecasted")</f>
        <v>Forecasted</v>
      </c>
      <c r="E810" s="140" t="s">
        <v>190</v>
      </c>
      <c r="F810" t="s">
        <v>186</v>
      </c>
      <c r="G810">
        <v>0.16398412487444361</v>
      </c>
    </row>
    <row r="811" spans="2:7" hidden="1" x14ac:dyDescent="0.25">
      <c r="B811" t="s">
        <v>99</v>
      </c>
      <c r="C811" s="142">
        <v>46387</v>
      </c>
      <c r="D811" s="142" t="str">
        <f>IF(C811&lt;Data!$J$1,"Actual","Forecasted")</f>
        <v>Forecasted</v>
      </c>
      <c r="E811" s="140" t="s">
        <v>190</v>
      </c>
      <c r="F811" t="s">
        <v>143</v>
      </c>
      <c r="G811">
        <v>267637.04386128281</v>
      </c>
    </row>
    <row r="812" spans="2:7" hidden="1" x14ac:dyDescent="0.25">
      <c r="B812" t="s">
        <v>99</v>
      </c>
      <c r="C812" s="142">
        <v>46387</v>
      </c>
      <c r="D812" s="142" t="str">
        <f>IF(C812&lt;Data!$J$1,"Actual","Forecasted")</f>
        <v>Forecasted</v>
      </c>
      <c r="E812" s="140" t="s">
        <v>190</v>
      </c>
      <c r="F812" t="s">
        <v>185</v>
      </c>
      <c r="G812">
        <v>0.15684639292835209</v>
      </c>
    </row>
    <row r="813" spans="2:7" hidden="1" x14ac:dyDescent="0.25">
      <c r="B813" t="s">
        <v>99</v>
      </c>
      <c r="C813" s="142">
        <v>46387</v>
      </c>
      <c r="D813" s="142" t="str">
        <f>IF(C813&lt;Data!$J$1,"Actual","Forecasted")</f>
        <v>Forecasted</v>
      </c>
      <c r="E813" s="140" t="s">
        <v>190</v>
      </c>
      <c r="F813" t="s">
        <v>153</v>
      </c>
      <c r="G813">
        <v>61902.845443330887</v>
      </c>
    </row>
    <row r="814" spans="2:7" hidden="1" x14ac:dyDescent="0.25">
      <c r="B814" t="s">
        <v>99</v>
      </c>
      <c r="C814" s="142">
        <v>46387</v>
      </c>
      <c r="D814" s="142" t="str">
        <f>IF(C814&lt;Data!$J$1,"Actual","Forecasted")</f>
        <v>Forecasted</v>
      </c>
      <c r="E814" s="140" t="s">
        <v>190</v>
      </c>
      <c r="F814" t="s">
        <v>184</v>
      </c>
      <c r="G814">
        <v>0.233962815505147</v>
      </c>
    </row>
    <row r="815" spans="2:7" hidden="1" x14ac:dyDescent="0.25">
      <c r="B815" t="s">
        <v>99</v>
      </c>
      <c r="C815" s="142">
        <v>46387</v>
      </c>
      <c r="D815" s="142" t="str">
        <f>IF(C815&lt;Data!$J$1,"Actual","Forecasted")</f>
        <v>Forecasted</v>
      </c>
      <c r="E815" s="140" t="s">
        <v>190</v>
      </c>
      <c r="F815" t="s">
        <v>155</v>
      </c>
      <c r="G815">
        <v>0.29315056280109719</v>
      </c>
    </row>
    <row r="816" spans="2:7" hidden="1" x14ac:dyDescent="0.25">
      <c r="B816" t="s">
        <v>99</v>
      </c>
      <c r="C816" s="142">
        <v>46387</v>
      </c>
      <c r="D816" s="142" t="str">
        <f>IF(C816&lt;Data!$J$1,"Actual","Forecasted")</f>
        <v>Forecasted</v>
      </c>
      <c r="E816" s="140" t="s">
        <v>190</v>
      </c>
      <c r="F816" t="s">
        <v>154</v>
      </c>
      <c r="G816">
        <v>211164</v>
      </c>
    </row>
    <row r="817" spans="2:7" hidden="1" x14ac:dyDescent="0.25">
      <c r="B817" t="s">
        <v>99</v>
      </c>
      <c r="C817" s="142">
        <v>46387</v>
      </c>
      <c r="D817" s="142" t="str">
        <f>IF(C817&lt;Data!$J$1,"Actual","Forecasted")</f>
        <v>Forecasted</v>
      </c>
      <c r="E817" s="140" t="s">
        <v>190</v>
      </c>
      <c r="F817" t="s">
        <v>194</v>
      </c>
      <c r="G817">
        <v>7.2257159335479687E-2</v>
      </c>
    </row>
  </sheetData>
  <autoFilter ref="B1:G817" xr:uid="{9B5A7F7F-11D7-4928-BC8D-BDDBB3EED901}">
    <filterColumn colId="3">
      <filters>
        <filter val="Revenue"/>
      </filters>
    </filterColumn>
    <filterColumn colId="4">
      <filters>
        <filter val="Total Revenue QoQ Growth"/>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73B1-14A1-494D-A9CB-105441DC547A}">
  <dimension ref="A1"/>
  <sheetViews>
    <sheetView showGridLines="0" zoomScale="70" zoomScaleNormal="70" workbookViewId="0">
      <selection activeCell="AD30" sqref="AD30"/>
    </sheetView>
  </sheetViews>
  <sheetFormatPr defaultRowHeight="13.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 2 < / 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 C o l u m n s \ T h r e s h o l d   D a t e 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 C o l u m n s \ V a l u e   2 < / K e y > < / a : K e y > < a : V a l u e   i : t y p e = " T a b l e W i d g e t B a s e V i e w S t a t e " / > < / a : K e y V a l u e O f D i a g r a m O b j e c t K e y a n y T y p e z b w N T n L X > < a : K e y V a l u e O f D i a g r a m O b j e c t K e y a n y T y p e z b w N T n L X > < a : K e y > < K e y > C o l u m n s \ B e f o r e   T h r e s h o l d < / K e y > < / a : K e y > < a : V a l u e   i : t y p e = " T a b l e W i d g e t B a s e V i e w S t a t e " / > < / a : K e y V a l u e O f D i a g r a m O b j e c t K e y a n y T y p e z b w N T n L X > < a : K e y V a l u e O f D i a g r a m O b j e c t K e y a n y T y p e z b w N T n L X > < a : K e y > < K e y > C o l u m n s \ A f t e r   T h r e s h o l d 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D a t a M a s h u p   x m l n s = " h t t p : / / s c h e m a s . m i c r o s o f t . c o m / D a t a M a s h u p " > A A A A A P I D A A B Q S w M E F A A C A A g A 9 q u O 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9 q u 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a r j l q 7 q Q K 0 7 A A A A L w B A A A T A B w A R m 9 y b X V s Y X M v U 2 V j d G l v b j E u b S C i G A A o o B Q A A A A A A A A A A A A A A A A A A A A A A A A A A A B t k D F r w z A Q h X e D / 8 O h L g m Y Q L O G D K 3 S t b T E t E P I I N u X 2 E T S l Z M E M c b / v U p M 4 4 K t R f C + 9 9 6 d 5 L D 0 D V n Y D / f z J k 3 S x N W K s Y J c F R r X s A W N P k 0 g n j 0 F L j E q b 9 c S 9 U o G Z r T + m / h S E F 0 W y + 7 w r g x u x Z A U x / 4 g y f p o O W Z D w Z O Q t b L n W 3 n 7 g y I 2 3 a 2 r n J V 1 J 2 I j S Q d j b 9 A t h m l Z 1 w m p P J 6 J W 5 G B j w g 8 X n 2 f w Q h g P U E f y A 1 V f 3 I V j b 4 x e E e f Q b F H n k T y m t H V p C v Y R f t s 9 E v p 8 C A 2 m A J 5 1 M c t / p F X j O 9 C e H T P W F 5 O c Z u p Q 9 m 2 7 5 d p 0 t j Z z 9 v 8 A l B L A Q I t A B Q A A g A I A P a r j l o k 7 I e k p A A A A P Y A A A A S A A A A A A A A A A A A A A A A A A A A A A B D b 2 5 m a W c v U G F j a 2 F n Z S 5 4 b W x Q S w E C L Q A U A A I A C A D 2 q 4 5 a D 8 r p q 6 Q A A A D p A A A A E w A A A A A A A A A A A A A A A A D w A A A A W 0 N v b n R l b n R f V H l w Z X N d L n h t b F B L A Q I t A B Q A A g A I A P a r j l q 7 q Q K 0 7 A A A A L w B A A A T A A A A A A A A A A A A A A A A A O E B A A B G b 3 J t d W x h c y 9 T Z W N 0 a W 9 u M S 5 t U E s F B g A A A A A D A A M A w g A A A B 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N A A A A A A A A 4 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h i M z M y N T h l L W U 2 M D Y t N D Q z N S 0 4 N W N l L W Z m N m F h N j g 3 O W U y N 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c 4 N C I g L z 4 8 R W 5 0 c n k g V H l w Z T 0 i R m l s b E V y c m 9 y Q 2 9 k Z S I g V m F s d W U 9 I n N V b m t u b 3 d u I i A v P j x F b n R y e S B U e X B l P S J G a W x s R X J y b 3 J D b 3 V u d C I g V m F s d W U 9 I m w 3 O D Q i I C 8 + P E V u d H J 5 I F R 5 c G U 9 I k Z p b G x M Y X N 0 V X B k Y X R l Z C I g V m F s d W U 9 I m Q y M D I 1 L T A 0 L T E 1 V D A x O j M x O j Q 1 L j c 1 M z E w O D B a I i A v P j x F b n R y e S B U e X B l P S J G a W x s Q 2 9 s d W 1 u V H l w Z X M i I F Z h b H V l P S J z Q m d Z S E J n Y 0 Z C U V V B I i A v P j x F b n R y e S B U e X B l P S J G a W x s Q 2 9 s d W 1 u T m F t Z X M i I F Z h b H V l P S J z W y Z x d W 9 0 O 0 N h d G V n b 3 J 5 J n F 1 b 3 Q 7 L C Z x d W 9 0 O 0 N h d G V n b 3 J 5 I D I m c X V v d D s s J n F 1 b 3 Q 7 U G V y a W 9 k J n F 1 b 3 Q 7 L C Z x d W 9 0 O 1 F 1 Y X J 0 Z X I m c X V v d D s s J n F 1 b 3 Q 7 V G h y Z X N o b 2 x k I E R h d G U m c X V v d D s s J n F 1 b 3 Q 7 V m F s d W U m c X V v d D s s J n F 1 b 3 Q 7 V m F s d W U g M i Z x d W 9 0 O y w m c X V v d D t C Z W Z v c m U g V G h y Z X N o b 2 x k J n F 1 b 3 Q 7 L C Z x d W 9 0 O 0 F m d G V y I F R o c m V z a G 9 s 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i 9 B d X R v U m V t b 3 Z l Z E N v b H V t b n M x L n t D Y X R l Z 2 9 y e S w w f S Z x d W 9 0 O y w m c X V v d D t T Z W N 0 a W 9 u M S 9 U Y W J s Z T I v Q X V 0 b 1 J l b W 9 2 Z W R D b 2 x 1 b W 5 z M S 5 7 Q 2 F 0 Z W d v c n k g M i w x f S Z x d W 9 0 O y w m c X V v d D t T Z W N 0 a W 9 u M S 9 U Y W J s Z T I v Q X V 0 b 1 J l b W 9 2 Z W R D b 2 x 1 b W 5 z M S 5 7 U G V y a W 9 k L D J 9 J n F 1 b 3 Q 7 L C Z x d W 9 0 O 1 N l Y 3 R p b 2 4 x L 1 R h Y m x l M i 9 B d X R v U m V t b 3 Z l Z E N v b H V t b n M x L n t R d W F y d G V y L D N 9 J n F 1 b 3 Q 7 L C Z x d W 9 0 O 1 N l Y 3 R p b 2 4 x L 1 R h Y m x l M i 9 B d X R v U m V t b 3 Z l Z E N v b H V t b n M x L n t U a H J l c 2 h v b G Q g R G F 0 Z S w 0 f S Z x d W 9 0 O y w m c X V v d D t T Z W N 0 a W 9 u M S 9 U Y W J s Z T I v Q X V 0 b 1 J l b W 9 2 Z W R D b 2 x 1 b W 5 z M S 5 7 V m F s d W U s N X 0 m c X V v d D s s J n F 1 b 3 Q 7 U 2 V j d G l v b j E v V G F i b G U y L 0 F 1 d G 9 S Z W 1 v d m V k Q 2 9 s d W 1 u c z E u e 1 Z h b H V l I D I s N n 0 m c X V v d D s s J n F 1 b 3 Q 7 U 2 V j d G l v b j E v V G F i b G U y L 0 F 1 d G 9 S Z W 1 v d m V k Q 2 9 s d W 1 u c z E u e 0 J l Z m 9 y Z S B U a H J l c 2 h v b G Q s N 3 0 m c X V v d D s s J n F 1 b 3 Q 7 U 2 V j d G l v b j E v V G F i b G U y L 0 F 1 d G 9 S Z W 1 v d m V k Q 2 9 s d W 1 u c z E u e 0 F m d G V y I F R o c m V z a G 9 s Z C w 4 f S Z x d W 9 0 O 1 0 s J n F 1 b 3 Q 7 Q 2 9 s d W 1 u Q 2 9 1 b n Q m c X V v d D s 6 O S w m c X V v d D t L Z X l D b 2 x 1 b W 5 O Y W 1 l c y Z x d W 9 0 O z p b X S w m c X V v d D t D b 2 x 1 b W 5 J Z G V u d G l 0 a W V z J n F 1 b 3 Q 7 O l s m c X V v d D t T Z W N 0 a W 9 u M S 9 U Y W J s Z T I v Q X V 0 b 1 J l b W 9 2 Z W R D b 2 x 1 b W 5 z M S 5 7 Q 2 F 0 Z W d v c n k s M H 0 m c X V v d D s s J n F 1 b 3 Q 7 U 2 V j d G l v b j E v V G F i b G U y L 0 F 1 d G 9 S Z W 1 v d m V k Q 2 9 s d W 1 u c z E u e 0 N h d G V n b 3 J 5 I D I s M X 0 m c X V v d D s s J n F 1 b 3 Q 7 U 2 V j d G l v b j E v V G F i b G U y L 0 F 1 d G 9 S Z W 1 v d m V k Q 2 9 s d W 1 u c z E u e 1 B l c m l v Z C w y f S Z x d W 9 0 O y w m c X V v d D t T Z W N 0 a W 9 u M S 9 U Y W J s Z T I v Q X V 0 b 1 J l b W 9 2 Z W R D b 2 x 1 b W 5 z M S 5 7 U X V h c n R l c i w z f S Z x d W 9 0 O y w m c X V v d D t T Z W N 0 a W 9 u M S 9 U Y W J s Z T I v Q X V 0 b 1 J l b W 9 2 Z W R D b 2 x 1 b W 5 z M S 5 7 V G h y Z X N o b 2 x k I E R h d G U s N H 0 m c X V v d D s s J n F 1 b 3 Q 7 U 2 V j d G l v b j E v V G F i b G U y L 0 F 1 d G 9 S Z W 1 v d m V k Q 2 9 s d W 1 u c z E u e 1 Z h b H V l L D V 9 J n F 1 b 3 Q 7 L C Z x d W 9 0 O 1 N l Y 3 R p b 2 4 x L 1 R h Y m x l M i 9 B d X R v U m V t b 3 Z l Z E N v b H V t b n M x L n t W Y W x 1 Z S A y L D Z 9 J n F 1 b 3 Q 7 L C Z x d W 9 0 O 1 N l Y 3 R p b 2 4 x L 1 R h Y m x l M i 9 B d X R v U m V t b 3 Z l Z E N v b H V t b n M x L n t C Z W Z v c m U g V G h y Z X N o b 2 x k L D d 9 J n F 1 b 3 Q 7 L C Z x d W 9 0 O 1 N l Y 3 R p b 2 4 x L 1 R h Y m x l M i 9 B d X R v U m V t b 3 Z l Z E N v b H V t b n M x L n t B Z n R l c i B U a H J l c 2 h v b G Q s O 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A m A Q A A A Q A A A N C M n d 8 B F d E R j H o A w E / C l + s B A A A A L g K P V 0 d / t k 6 V e g 3 d X l T b C w A A A A A C A A A A A A A Q Z g A A A A E A A C A A A A D 1 b f z e N J P 3 d G 9 r Q h / S n + z e 3 Y l z Z 4 r u S e J M c + c A O l / h J Q A A A A A O g A A A A A I A A C A A A A D Z 9 3 v N X 2 9 L i 5 j E E D x 8 A C 3 A k z Y 3 m F I j L c 2 6 4 P p r c Z J l i F A A A A B E / 1 P 5 n 4 y y 1 n y e M r W z Y J 9 5 F V z V R t I D z p d / 2 Q S 6 a r K / N + p a u q 1 A w x L q M f H F + d s D f 3 e q Z a Q B a d r S F T j T V t 0 N y X f c V 6 j 0 G J G w e + Q T g W g R u q z D o U A A A A B Y G M D y J Z G K R m k 9 o x u r b J c I t i U K d H X V S W 0 q x O V p 9 W H i 5 R a k H e B e j a A U J u f f u W O F Q Q R Y B c m P 4 2 l B A J 6 D b T V 9 Y r S n < / D a t a M a s h u p > 
</file>

<file path=customXml/itemProps1.xml><?xml version="1.0" encoding="utf-8"?>
<ds:datastoreItem xmlns:ds="http://schemas.openxmlformats.org/officeDocument/2006/customXml" ds:itemID="{AD255D3B-60A7-4450-A870-A20C0931455D}">
  <ds:schemaRefs/>
</ds:datastoreItem>
</file>

<file path=customXml/itemProps2.xml><?xml version="1.0" encoding="utf-8"?>
<ds:datastoreItem xmlns:ds="http://schemas.openxmlformats.org/officeDocument/2006/customXml" ds:itemID="{E84DF19A-F8EF-4ABA-8BC8-C2E593720074}">
  <ds:schemaRefs/>
</ds:datastoreItem>
</file>

<file path=customXml/itemProps3.xml><?xml version="1.0" encoding="utf-8"?>
<ds:datastoreItem xmlns:ds="http://schemas.openxmlformats.org/officeDocument/2006/customXml" ds:itemID="{B4D37736-AECB-4FF4-ABB1-F888025D29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Model</vt:lpstr>
      <vt:lpstr>Charts</vt:lpstr>
      <vt:lpstr>2-Step Valuation</vt:lpstr>
      <vt:lpstr>3-Step Valuation</vt:lpstr>
      <vt:lpstr>Target Multiple Valuation</vt:lpstr>
      <vt:lpstr>Data</vt:lpstr>
      <vt:lpstr>Charts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Grayson Harper</dc:creator>
  <cp:lastModifiedBy>Grayson Harper</cp:lastModifiedBy>
  <dcterms:created xsi:type="dcterms:W3CDTF">2025-04-05T16:39:19Z</dcterms:created>
  <dcterms:modified xsi:type="dcterms:W3CDTF">2025-04-19T14:31:27Z</dcterms:modified>
</cp:coreProperties>
</file>