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4439\Documents\Investing\Models\Finished Models\"/>
    </mc:Choice>
  </mc:AlternateContent>
  <xr:revisionPtr revIDLastSave="0" documentId="13_ncr:1_{9F2A6BD0-BD8A-4FE7-A41A-245497A0E7D6}" xr6:coauthVersionLast="47" xr6:coauthVersionMax="47" xr10:uidLastSave="{00000000-0000-0000-0000-000000000000}"/>
  <bookViews>
    <workbookView xWindow="-48184" yWindow="0" windowWidth="24242" windowHeight="26421" xr2:uid="{74A55C86-2101-43D1-AEAF-C663CE4E85AD}"/>
  </bookViews>
  <sheets>
    <sheet name="Cover" sheetId="2" r:id="rId1"/>
    <sheet name="Summary" sheetId="15" r:id="rId2"/>
    <sheet name="Model" sheetId="1" r:id="rId3"/>
    <sheet name="Valuation" sheetId="14" r:id="rId4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15" l="1"/>
  <c r="J79" i="15"/>
  <c r="I79" i="15" s="1"/>
  <c r="K79" i="15"/>
  <c r="L79" i="15" s="1"/>
  <c r="J78" i="15"/>
  <c r="I78" i="15" s="1"/>
  <c r="K78" i="15"/>
  <c r="L78" i="15" s="1"/>
  <c r="L77" i="15"/>
  <c r="J77" i="15"/>
  <c r="T5" i="15"/>
  <c r="T4" i="15"/>
  <c r="N7" i="14"/>
  <c r="N6" i="14"/>
  <c r="H18" i="15"/>
  <c r="H15" i="15"/>
  <c r="H19" i="15" l="1"/>
  <c r="H44" i="15" l="1"/>
  <c r="I43" i="15"/>
  <c r="G43" i="15"/>
  <c r="I42" i="15"/>
  <c r="G42" i="15"/>
  <c r="J15" i="1"/>
  <c r="K15" i="1"/>
  <c r="L15" i="1"/>
  <c r="M15" i="1"/>
  <c r="N15" i="1"/>
  <c r="I15" i="1"/>
  <c r="N24" i="1"/>
  <c r="J57" i="1"/>
  <c r="K57" i="1" s="1"/>
  <c r="L57" i="1" s="1"/>
  <c r="M57" i="1" s="1"/>
  <c r="N57" i="1" s="1"/>
  <c r="J55" i="1"/>
  <c r="K55" i="1" s="1"/>
  <c r="L55" i="1" s="1"/>
  <c r="M55" i="1" s="1"/>
  <c r="N55" i="1" s="1"/>
  <c r="D59" i="1"/>
  <c r="E59" i="1"/>
  <c r="F59" i="1"/>
  <c r="G59" i="1"/>
  <c r="H59" i="1"/>
  <c r="C59" i="1"/>
  <c r="I280" i="1"/>
  <c r="I279" i="1" s="1"/>
  <c r="E10" i="2"/>
  <c r="G36" i="14"/>
  <c r="H36" i="14" s="1"/>
  <c r="E36" i="14"/>
  <c r="D36" i="14" s="1"/>
  <c r="B42" i="15" s="1"/>
  <c r="G44" i="14"/>
  <c r="H44" i="14" s="1"/>
  <c r="D64" i="14"/>
  <c r="H62" i="14"/>
  <c r="F81" i="14"/>
  <c r="F82" i="14"/>
  <c r="J82" i="14" s="1"/>
  <c r="F83" i="14"/>
  <c r="J83" i="14" s="1"/>
  <c r="F84" i="14"/>
  <c r="J84" i="14" s="1"/>
  <c r="F85" i="14"/>
  <c r="J85" i="14" s="1"/>
  <c r="F86" i="14"/>
  <c r="J86" i="14" s="1"/>
  <c r="F80" i="14"/>
  <c r="J80" i="14" s="1"/>
  <c r="G55" i="14"/>
  <c r="G56" i="14"/>
  <c r="D87" i="14"/>
  <c r="E87" i="14"/>
  <c r="H87" i="14"/>
  <c r="I87" i="14"/>
  <c r="G81" i="14"/>
  <c r="G82" i="14"/>
  <c r="G83" i="14"/>
  <c r="G84" i="14"/>
  <c r="G85" i="14"/>
  <c r="G86" i="14"/>
  <c r="G80" i="14"/>
  <c r="E274" i="1"/>
  <c r="F274" i="1"/>
  <c r="G274" i="1"/>
  <c r="H274" i="1"/>
  <c r="E275" i="1"/>
  <c r="F275" i="1"/>
  <c r="G275" i="1"/>
  <c r="H275" i="1"/>
  <c r="D275" i="1"/>
  <c r="D274" i="1"/>
  <c r="I265" i="1"/>
  <c r="M259" i="1" s="1"/>
  <c r="E264" i="1"/>
  <c r="F264" i="1"/>
  <c r="G264" i="1"/>
  <c r="H264" i="1"/>
  <c r="D264" i="1"/>
  <c r="E263" i="1"/>
  <c r="F263" i="1"/>
  <c r="G263" i="1"/>
  <c r="H263" i="1"/>
  <c r="D263" i="1"/>
  <c r="I276" i="1"/>
  <c r="I270" i="1" s="1"/>
  <c r="H255" i="1"/>
  <c r="I252" i="1" s="1"/>
  <c r="H43" i="15" l="1"/>
  <c r="H42" i="15"/>
  <c r="F60" i="1"/>
  <c r="E60" i="1"/>
  <c r="G60" i="1"/>
  <c r="D60" i="1"/>
  <c r="H60" i="1"/>
  <c r="E44" i="14"/>
  <c r="D44" i="14" s="1"/>
  <c r="B43" i="15" s="1"/>
  <c r="I263" i="1"/>
  <c r="I260" i="1" s="1"/>
  <c r="N270" i="1"/>
  <c r="I274" i="1"/>
  <c r="M270" i="1"/>
  <c r="L270" i="1"/>
  <c r="K270" i="1"/>
  <c r="J270" i="1"/>
  <c r="K259" i="1"/>
  <c r="L259" i="1"/>
  <c r="J259" i="1"/>
  <c r="I259" i="1"/>
  <c r="I264" i="1"/>
  <c r="N259" i="1"/>
  <c r="G87" i="14"/>
  <c r="G57" i="14" s="1"/>
  <c r="F87" i="14"/>
  <c r="G58" i="14" s="1"/>
  <c r="J81" i="14"/>
  <c r="J87" i="14" s="1"/>
  <c r="C58" i="14" s="1"/>
  <c r="D68" i="14" s="1"/>
  <c r="D70" i="14" s="1"/>
  <c r="I275" i="1"/>
  <c r="I271" i="1" l="1"/>
  <c r="I253" i="1" s="1"/>
  <c r="K261" i="1"/>
  <c r="M272" i="1"/>
  <c r="N261" i="1"/>
  <c r="K272" i="1"/>
  <c r="J261" i="1"/>
  <c r="L261" i="1"/>
  <c r="L272" i="1"/>
  <c r="N272" i="1"/>
  <c r="M261" i="1"/>
  <c r="I272" i="1"/>
  <c r="I261" i="1"/>
  <c r="J272" i="1"/>
  <c r="I269" i="1" l="1"/>
  <c r="J271" i="1" s="1"/>
  <c r="J269" i="1" s="1"/>
  <c r="K271" i="1" l="1"/>
  <c r="K269" i="1" s="1"/>
  <c r="L271" i="1" s="1"/>
  <c r="L269" i="1" s="1"/>
  <c r="M271" i="1" s="1"/>
  <c r="M269" i="1" s="1"/>
  <c r="N271" i="1" s="1"/>
  <c r="N269" i="1" s="1"/>
  <c r="I254" i="1" l="1"/>
  <c r="G5" i="14"/>
  <c r="H5" i="14"/>
  <c r="I5" i="14"/>
  <c r="J5" i="14"/>
  <c r="K5" i="14"/>
  <c r="F5" i="14"/>
  <c r="E6" i="14"/>
  <c r="K6" i="14" l="1"/>
  <c r="I7" i="14"/>
  <c r="H7" i="14"/>
  <c r="J7" i="14"/>
  <c r="J6" i="14"/>
  <c r="I6" i="14"/>
  <c r="G7" i="14"/>
  <c r="H6" i="14"/>
  <c r="F7" i="14"/>
  <c r="F6" i="14"/>
  <c r="K7" i="14"/>
  <c r="G6" i="14"/>
  <c r="J54" i="1" l="1"/>
  <c r="K54" i="1"/>
  <c r="L54" i="1"/>
  <c r="M54" i="1"/>
  <c r="N54" i="1"/>
  <c r="I54" i="1"/>
  <c r="F54" i="1"/>
  <c r="G54" i="1"/>
  <c r="I53" i="1"/>
  <c r="J53" i="1" s="1"/>
  <c r="K53" i="1" s="1"/>
  <c r="L53" i="1" s="1"/>
  <c r="M53" i="1" s="1"/>
  <c r="N53" i="1" s="1"/>
  <c r="H54" i="1"/>
  <c r="G46" i="1"/>
  <c r="G47" i="1" s="1"/>
  <c r="H46" i="1"/>
  <c r="H47" i="1" s="1"/>
  <c r="I47" i="1" s="1"/>
  <c r="F46" i="1"/>
  <c r="F47" i="1" s="1"/>
  <c r="D36" i="1"/>
  <c r="E36" i="1"/>
  <c r="F36" i="1"/>
  <c r="G36" i="1"/>
  <c r="H36" i="1"/>
  <c r="I36" i="1" s="1"/>
  <c r="J36" i="1" s="1"/>
  <c r="K36" i="1" s="1"/>
  <c r="L36" i="1" s="1"/>
  <c r="M36" i="1" s="1"/>
  <c r="N36" i="1" s="1"/>
  <c r="C36" i="1"/>
  <c r="D35" i="1"/>
  <c r="E35" i="1"/>
  <c r="F35" i="1"/>
  <c r="G35" i="1"/>
  <c r="H35" i="1"/>
  <c r="I35" i="1" s="1"/>
  <c r="J35" i="1" s="1"/>
  <c r="K35" i="1" s="1"/>
  <c r="L35" i="1" s="1"/>
  <c r="M35" i="1" s="1"/>
  <c r="N35" i="1" s="1"/>
  <c r="C35" i="1"/>
  <c r="N22" i="1"/>
  <c r="L14" i="1"/>
  <c r="M14" i="1"/>
  <c r="N14" i="1"/>
  <c r="J24" i="1"/>
  <c r="J22" i="1" s="1"/>
  <c r="K24" i="1"/>
  <c r="K22" i="1" s="1"/>
  <c r="L24" i="1"/>
  <c r="L22" i="1" s="1"/>
  <c r="M24" i="1"/>
  <c r="M22" i="1" s="1"/>
  <c r="I22" i="1"/>
  <c r="D21" i="1"/>
  <c r="E21" i="1"/>
  <c r="F21" i="1"/>
  <c r="G21" i="1"/>
  <c r="H21" i="1"/>
  <c r="C21" i="1"/>
  <c r="J14" i="1"/>
  <c r="K14" i="1"/>
  <c r="I14" i="1"/>
  <c r="I13" i="1" s="1"/>
  <c r="C30" i="1"/>
  <c r="D30" i="1"/>
  <c r="E30" i="1"/>
  <c r="F30" i="1"/>
  <c r="G30" i="1"/>
  <c r="H30" i="1"/>
  <c r="I30" i="1" s="1"/>
  <c r="J30" i="1" s="1"/>
  <c r="K30" i="1" s="1"/>
  <c r="L30" i="1" s="1"/>
  <c r="M30" i="1" s="1"/>
  <c r="N30" i="1" s="1"/>
  <c r="D33" i="1"/>
  <c r="E33" i="1"/>
  <c r="F33" i="1"/>
  <c r="G33" i="1"/>
  <c r="H33" i="1"/>
  <c r="I33" i="1" s="1"/>
  <c r="J33" i="1" s="1"/>
  <c r="K33" i="1" s="1"/>
  <c r="L33" i="1" s="1"/>
  <c r="M33" i="1" s="1"/>
  <c r="N33" i="1" s="1"/>
  <c r="C33" i="1"/>
  <c r="H28" i="1"/>
  <c r="G28" i="1"/>
  <c r="F28" i="1"/>
  <c r="E28" i="1"/>
  <c r="D28" i="1"/>
  <c r="H20" i="1"/>
  <c r="G20" i="1"/>
  <c r="F20" i="1"/>
  <c r="E20" i="1"/>
  <c r="D20" i="1"/>
  <c r="E14" i="1"/>
  <c r="F14" i="1"/>
  <c r="G14" i="1"/>
  <c r="H14" i="1"/>
  <c r="D14" i="1"/>
  <c r="H51" i="1"/>
  <c r="I51" i="1" s="1"/>
  <c r="J51" i="1" s="1"/>
  <c r="K51" i="1" s="1"/>
  <c r="L51" i="1" s="1"/>
  <c r="M51" i="1" s="1"/>
  <c r="N51" i="1" s="1"/>
  <c r="G51" i="1"/>
  <c r="F51" i="1"/>
  <c r="E51" i="1"/>
  <c r="D51" i="1"/>
  <c r="C51" i="1"/>
  <c r="H44" i="1"/>
  <c r="I44" i="1" s="1"/>
  <c r="J44" i="1" s="1"/>
  <c r="K44" i="1" s="1"/>
  <c r="L44" i="1" s="1"/>
  <c r="M44" i="1" s="1"/>
  <c r="N44" i="1" s="1"/>
  <c r="G44" i="1"/>
  <c r="F44" i="1"/>
  <c r="E44" i="1"/>
  <c r="D44" i="1"/>
  <c r="C44" i="1"/>
  <c r="D40" i="1"/>
  <c r="E40" i="1"/>
  <c r="F40" i="1"/>
  <c r="G40" i="1"/>
  <c r="H40" i="1"/>
  <c r="I40" i="1" s="1"/>
  <c r="J40" i="1" s="1"/>
  <c r="K40" i="1" s="1"/>
  <c r="L40" i="1" s="1"/>
  <c r="M40" i="1" s="1"/>
  <c r="N40" i="1" s="1"/>
  <c r="C40" i="1"/>
  <c r="L49" i="1" l="1"/>
  <c r="L50" i="1" s="1"/>
  <c r="L73" i="1" s="1"/>
  <c r="I21" i="1"/>
  <c r="I19" i="1" s="1"/>
  <c r="I20" i="1" s="1"/>
  <c r="K49" i="1"/>
  <c r="N49" i="1"/>
  <c r="J49" i="1"/>
  <c r="I49" i="1"/>
  <c r="M49" i="1"/>
  <c r="J47" i="1"/>
  <c r="J13" i="1"/>
  <c r="K13" i="1" s="1"/>
  <c r="L13" i="1" s="1"/>
  <c r="M13" i="1" s="1"/>
  <c r="N13" i="1" s="1"/>
  <c r="G22" i="1"/>
  <c r="F22" i="1"/>
  <c r="H22" i="1"/>
  <c r="D22" i="1"/>
  <c r="E22" i="1"/>
  <c r="M50" i="1" l="1"/>
  <c r="M73" i="1" s="1"/>
  <c r="J68" i="1"/>
  <c r="K50" i="1"/>
  <c r="K73" i="1" s="1"/>
  <c r="I68" i="1"/>
  <c r="N68" i="1"/>
  <c r="L68" i="1"/>
  <c r="J21" i="1"/>
  <c r="K21" i="1" s="1"/>
  <c r="L21" i="1" s="1"/>
  <c r="M21" i="1" s="1"/>
  <c r="N21" i="1" s="1"/>
  <c r="J50" i="1"/>
  <c r="J73" i="1" s="1"/>
  <c r="K68" i="1"/>
  <c r="M68" i="1"/>
  <c r="I50" i="1"/>
  <c r="I73" i="1" s="1"/>
  <c r="N50" i="1"/>
  <c r="N73" i="1" s="1"/>
  <c r="K47" i="1"/>
  <c r="J19" i="1" l="1"/>
  <c r="J20" i="1" s="1"/>
  <c r="I27" i="1"/>
  <c r="I32" i="1" s="1"/>
  <c r="I59" i="1" s="1"/>
  <c r="I60" i="1" s="1"/>
  <c r="L47" i="1"/>
  <c r="K19" i="1"/>
  <c r="J27" i="1" l="1"/>
  <c r="J32" i="1" s="1"/>
  <c r="J59" i="1" s="1"/>
  <c r="J60" i="1" s="1"/>
  <c r="M47" i="1"/>
  <c r="I28" i="1"/>
  <c r="K20" i="1"/>
  <c r="K27" i="1"/>
  <c r="K32" i="1" s="1"/>
  <c r="K59" i="1" s="1"/>
  <c r="L19" i="1"/>
  <c r="K60" i="1" l="1"/>
  <c r="J38" i="1"/>
  <c r="J39" i="1" s="1"/>
  <c r="J71" i="1" s="1"/>
  <c r="J28" i="1"/>
  <c r="J42" i="1"/>
  <c r="J43" i="1" s="1"/>
  <c r="J72" i="1" s="1"/>
  <c r="J46" i="1"/>
  <c r="J74" i="1" s="1"/>
  <c r="I38" i="1"/>
  <c r="I46" i="1"/>
  <c r="I74" i="1" s="1"/>
  <c r="N47" i="1"/>
  <c r="I42" i="1"/>
  <c r="K28" i="1"/>
  <c r="L20" i="1"/>
  <c r="L27" i="1"/>
  <c r="L32" i="1" s="1"/>
  <c r="L59" i="1" s="1"/>
  <c r="L60" i="1" s="1"/>
  <c r="M19" i="1"/>
  <c r="J67" i="1" l="1"/>
  <c r="J69" i="1" s="1"/>
  <c r="J66" i="1"/>
  <c r="I43" i="1"/>
  <c r="I72" i="1" s="1"/>
  <c r="I67" i="1"/>
  <c r="I39" i="1"/>
  <c r="I71" i="1" s="1"/>
  <c r="I66" i="1"/>
  <c r="K46" i="1"/>
  <c r="K74" i="1" s="1"/>
  <c r="K42" i="1"/>
  <c r="K38" i="1"/>
  <c r="L28" i="1"/>
  <c r="M20" i="1"/>
  <c r="M27" i="1"/>
  <c r="M32" i="1" s="1"/>
  <c r="M59" i="1" s="1"/>
  <c r="M60" i="1" s="1"/>
  <c r="N19" i="1"/>
  <c r="I69" i="1" l="1"/>
  <c r="I216" i="1" s="1"/>
  <c r="K39" i="1"/>
  <c r="K71" i="1" s="1"/>
  <c r="K66" i="1"/>
  <c r="K43" i="1"/>
  <c r="K72" i="1" s="1"/>
  <c r="K67" i="1"/>
  <c r="L46" i="1"/>
  <c r="L74" i="1" s="1"/>
  <c r="L38" i="1"/>
  <c r="L42" i="1"/>
  <c r="M28" i="1"/>
  <c r="N20" i="1"/>
  <c r="N27" i="1"/>
  <c r="N32" i="1" s="1"/>
  <c r="N59" i="1" s="1"/>
  <c r="N60" i="1" s="1"/>
  <c r="K69" i="1" l="1"/>
  <c r="L43" i="1"/>
  <c r="L72" i="1" s="1"/>
  <c r="L67" i="1"/>
  <c r="L39" i="1"/>
  <c r="L71" i="1" s="1"/>
  <c r="L66" i="1"/>
  <c r="L69" i="1" s="1"/>
  <c r="M46" i="1"/>
  <c r="M74" i="1" s="1"/>
  <c r="M38" i="1"/>
  <c r="M42" i="1"/>
  <c r="N28" i="1"/>
  <c r="M43" i="1" l="1"/>
  <c r="M72" i="1" s="1"/>
  <c r="M67" i="1"/>
  <c r="M39" i="1"/>
  <c r="M71" i="1" s="1"/>
  <c r="M66" i="1"/>
  <c r="N46" i="1"/>
  <c r="N74" i="1" s="1"/>
  <c r="N38" i="1"/>
  <c r="N42" i="1"/>
  <c r="M69" i="1" l="1"/>
  <c r="N43" i="1"/>
  <c r="N72" i="1" s="1"/>
  <c r="N67" i="1"/>
  <c r="N39" i="1"/>
  <c r="N71" i="1" s="1"/>
  <c r="N66" i="1"/>
  <c r="N69" i="1" s="1"/>
  <c r="I192" i="1" l="1"/>
  <c r="J192" i="1" s="1"/>
  <c r="J171" i="1" s="1"/>
  <c r="C194" i="1"/>
  <c r="D194" i="1"/>
  <c r="E194" i="1"/>
  <c r="F194" i="1"/>
  <c r="G194" i="1"/>
  <c r="H194" i="1"/>
  <c r="I191" i="1" s="1"/>
  <c r="C196" i="1"/>
  <c r="D196" i="1"/>
  <c r="E196" i="1"/>
  <c r="F196" i="1"/>
  <c r="G196" i="1"/>
  <c r="H196" i="1"/>
  <c r="C201" i="1"/>
  <c r="C199" i="1" s="1"/>
  <c r="C200" i="1" s="1"/>
  <c r="D201" i="1"/>
  <c r="D199" i="1" s="1"/>
  <c r="D200" i="1" s="1"/>
  <c r="E201" i="1"/>
  <c r="E199" i="1" s="1"/>
  <c r="E200" i="1" s="1"/>
  <c r="F201" i="1"/>
  <c r="F199" i="1" s="1"/>
  <c r="F200" i="1" s="1"/>
  <c r="G201" i="1"/>
  <c r="G199" i="1" s="1"/>
  <c r="G200" i="1" s="1"/>
  <c r="H201" i="1"/>
  <c r="H199" i="1" s="1"/>
  <c r="H200" i="1" s="1"/>
  <c r="C207" i="1"/>
  <c r="D204" i="1" s="1"/>
  <c r="D207" i="1"/>
  <c r="E204" i="1" s="1"/>
  <c r="E207" i="1"/>
  <c r="F204" i="1" s="1"/>
  <c r="F207" i="1"/>
  <c r="G204" i="1" s="1"/>
  <c r="G207" i="1"/>
  <c r="H204" i="1" s="1"/>
  <c r="H207" i="1"/>
  <c r="I204" i="1" s="1"/>
  <c r="C216" i="1"/>
  <c r="D216" i="1"/>
  <c r="E216" i="1"/>
  <c r="F216" i="1"/>
  <c r="G216" i="1"/>
  <c r="H216" i="1"/>
  <c r="C217" i="1"/>
  <c r="D217" i="1"/>
  <c r="D225" i="1" s="1"/>
  <c r="E217" i="1"/>
  <c r="F217" i="1"/>
  <c r="G217" i="1"/>
  <c r="H217" i="1"/>
  <c r="C228" i="1"/>
  <c r="D228" i="1"/>
  <c r="E228" i="1"/>
  <c r="F228" i="1"/>
  <c r="G228" i="1"/>
  <c r="H228" i="1"/>
  <c r="C229" i="1"/>
  <c r="D229" i="1"/>
  <c r="E229" i="1"/>
  <c r="F229" i="1"/>
  <c r="G229" i="1"/>
  <c r="H229" i="1"/>
  <c r="C230" i="1"/>
  <c r="D230" i="1"/>
  <c r="E230" i="1"/>
  <c r="F230" i="1"/>
  <c r="G230" i="1"/>
  <c r="H230" i="1"/>
  <c r="C231" i="1"/>
  <c r="D231" i="1"/>
  <c r="E231" i="1"/>
  <c r="F231" i="1"/>
  <c r="G231" i="1"/>
  <c r="H231" i="1"/>
  <c r="C232" i="1"/>
  <c r="D232" i="1"/>
  <c r="E232" i="1"/>
  <c r="F232" i="1"/>
  <c r="G232" i="1"/>
  <c r="H232" i="1"/>
  <c r="C233" i="1"/>
  <c r="E233" i="1"/>
  <c r="F233" i="1"/>
  <c r="I243" i="1"/>
  <c r="J280" i="1"/>
  <c r="J279" i="1" s="1"/>
  <c r="J254" i="1" s="1"/>
  <c r="C286" i="1"/>
  <c r="E286" i="1"/>
  <c r="F286" i="1"/>
  <c r="F288" i="1" s="1"/>
  <c r="G286" i="1"/>
  <c r="G288" i="1" s="1"/>
  <c r="H286" i="1"/>
  <c r="H288" i="1" s="1"/>
  <c r="C290" i="1"/>
  <c r="D290" i="1"/>
  <c r="E290" i="1"/>
  <c r="F290" i="1"/>
  <c r="G290" i="1"/>
  <c r="H290" i="1"/>
  <c r="I298" i="1"/>
  <c r="J298" i="1" s="1"/>
  <c r="I299" i="1"/>
  <c r="J315" i="1" s="1"/>
  <c r="I300" i="1"/>
  <c r="J316" i="1" s="1"/>
  <c r="H306" i="1"/>
  <c r="H307" i="1" s="1"/>
  <c r="I314" i="1"/>
  <c r="I315" i="1"/>
  <c r="I316" i="1"/>
  <c r="I317" i="1"/>
  <c r="J317" i="1"/>
  <c r="K317" i="1"/>
  <c r="L317" i="1"/>
  <c r="M317" i="1"/>
  <c r="N317" i="1"/>
  <c r="I318" i="1"/>
  <c r="J318" i="1"/>
  <c r="K318" i="1"/>
  <c r="L318" i="1"/>
  <c r="M318" i="1"/>
  <c r="N318" i="1"/>
  <c r="I319" i="1"/>
  <c r="J319" i="1"/>
  <c r="K319" i="1"/>
  <c r="L319" i="1"/>
  <c r="M319" i="1"/>
  <c r="N319" i="1"/>
  <c r="I320" i="1"/>
  <c r="J320" i="1"/>
  <c r="K320" i="1"/>
  <c r="L320" i="1"/>
  <c r="M320" i="1"/>
  <c r="N320" i="1"/>
  <c r="I321" i="1"/>
  <c r="J321" i="1"/>
  <c r="K321" i="1"/>
  <c r="L321" i="1"/>
  <c r="M321" i="1"/>
  <c r="N321" i="1"/>
  <c r="I329" i="1"/>
  <c r="I337" i="1"/>
  <c r="I121" i="1"/>
  <c r="E299" i="1" l="1"/>
  <c r="F299" i="1" s="1"/>
  <c r="E300" i="1"/>
  <c r="F300" i="1" s="1"/>
  <c r="E303" i="1"/>
  <c r="F303" i="1" s="1"/>
  <c r="E298" i="1"/>
  <c r="F298" i="1" s="1"/>
  <c r="E304" i="1"/>
  <c r="F304" i="1" s="1"/>
  <c r="E305" i="1"/>
  <c r="F305" i="1" s="1"/>
  <c r="E301" i="1"/>
  <c r="F301" i="1" s="1"/>
  <c r="E302" i="1"/>
  <c r="F302" i="1" s="1"/>
  <c r="H224" i="1"/>
  <c r="H222" i="1"/>
  <c r="G222" i="1"/>
  <c r="F222" i="1"/>
  <c r="D221" i="1"/>
  <c r="G224" i="1"/>
  <c r="G223" i="1"/>
  <c r="C221" i="1"/>
  <c r="D222" i="1"/>
  <c r="D223" i="1"/>
  <c r="F223" i="1"/>
  <c r="G220" i="1"/>
  <c r="J299" i="1"/>
  <c r="K315" i="1" s="1"/>
  <c r="F224" i="1"/>
  <c r="F220" i="1"/>
  <c r="D220" i="1"/>
  <c r="F225" i="1"/>
  <c r="D224" i="1"/>
  <c r="C225" i="1"/>
  <c r="K280" i="1"/>
  <c r="L280" i="1" s="1"/>
  <c r="H220" i="1"/>
  <c r="C222" i="1"/>
  <c r="C223" i="1"/>
  <c r="D234" i="1"/>
  <c r="F221" i="1"/>
  <c r="E234" i="1"/>
  <c r="C224" i="1"/>
  <c r="E221" i="1"/>
  <c r="J314" i="1"/>
  <c r="J322" i="1" s="1"/>
  <c r="K298" i="1"/>
  <c r="L298" i="1" s="1"/>
  <c r="K314" i="1"/>
  <c r="E223" i="1"/>
  <c r="I322" i="1"/>
  <c r="J300" i="1"/>
  <c r="H221" i="1"/>
  <c r="H223" i="1"/>
  <c r="I196" i="1"/>
  <c r="J196" i="1" s="1"/>
  <c r="J193" i="1" s="1"/>
  <c r="E222" i="1"/>
  <c r="C220" i="1"/>
  <c r="C234" i="1"/>
  <c r="K192" i="1"/>
  <c r="K171" i="1" s="1"/>
  <c r="I255" i="1"/>
  <c r="E224" i="1"/>
  <c r="I200" i="1"/>
  <c r="J200" i="1" s="1"/>
  <c r="G221" i="1"/>
  <c r="E225" i="1"/>
  <c r="I171" i="1"/>
  <c r="E220" i="1"/>
  <c r="I306" i="1"/>
  <c r="J306" i="1" s="1"/>
  <c r="K306" i="1" s="1"/>
  <c r="F234" i="1"/>
  <c r="J121" i="1"/>
  <c r="J252" i="1" l="1"/>
  <c r="I91" i="1"/>
  <c r="F306" i="1"/>
  <c r="H61" i="14" s="1"/>
  <c r="H63" i="14" s="1"/>
  <c r="J307" i="1"/>
  <c r="D236" i="1"/>
  <c r="L314" i="1"/>
  <c r="E236" i="1"/>
  <c r="F236" i="1"/>
  <c r="K299" i="1"/>
  <c r="L299" i="1" s="1"/>
  <c r="M315" i="1" s="1"/>
  <c r="K279" i="1"/>
  <c r="K254" i="1" s="1"/>
  <c r="I193" i="1"/>
  <c r="I194" i="1" s="1"/>
  <c r="J191" i="1" s="1"/>
  <c r="J194" i="1" s="1"/>
  <c r="K191" i="1" s="1"/>
  <c r="K316" i="1"/>
  <c r="K322" i="1" s="1"/>
  <c r="K300" i="1"/>
  <c r="I307" i="1"/>
  <c r="H309" i="1" s="1"/>
  <c r="M280" i="1"/>
  <c r="L279" i="1"/>
  <c r="L254" i="1" s="1"/>
  <c r="K196" i="1"/>
  <c r="K200" i="1"/>
  <c r="L192" i="1"/>
  <c r="M314" i="1"/>
  <c r="M298" i="1"/>
  <c r="K121" i="1"/>
  <c r="D72" i="14" l="1"/>
  <c r="D74" i="14"/>
  <c r="I309" i="1"/>
  <c r="M299" i="1"/>
  <c r="N299" i="1" s="1"/>
  <c r="L315" i="1"/>
  <c r="L316" i="1"/>
  <c r="L300" i="1"/>
  <c r="N280" i="1"/>
  <c r="N279" i="1" s="1"/>
  <c r="N254" i="1" s="1"/>
  <c r="M279" i="1"/>
  <c r="M254" i="1" s="1"/>
  <c r="K193" i="1"/>
  <c r="N314" i="1"/>
  <c r="L171" i="1"/>
  <c r="M192" i="1"/>
  <c r="M171" i="1" s="1"/>
  <c r="L200" i="1"/>
  <c r="M200" i="1" s="1"/>
  <c r="L196" i="1"/>
  <c r="L193" i="1" s="1"/>
  <c r="L121" i="1"/>
  <c r="H73" i="14" l="1"/>
  <c r="N3" i="14" s="1"/>
  <c r="L322" i="1"/>
  <c r="N315" i="1"/>
  <c r="M300" i="1"/>
  <c r="M316" i="1"/>
  <c r="M322" i="1" s="1"/>
  <c r="N192" i="1"/>
  <c r="N171" i="1" s="1"/>
  <c r="M196" i="1"/>
  <c r="M193" i="1" s="1"/>
  <c r="L306" i="1"/>
  <c r="K307" i="1"/>
  <c r="J309" i="1" s="1"/>
  <c r="N200" i="1"/>
  <c r="K194" i="1"/>
  <c r="L191" i="1" s="1"/>
  <c r="L194" i="1" s="1"/>
  <c r="M191" i="1" s="1"/>
  <c r="M121" i="1"/>
  <c r="C38" i="14" l="1"/>
  <c r="C37" i="14" s="1"/>
  <c r="N316" i="1"/>
  <c r="N322" i="1" s="1"/>
  <c r="N300" i="1"/>
  <c r="M306" i="1"/>
  <c r="L307" i="1"/>
  <c r="K309" i="1" s="1"/>
  <c r="M194" i="1"/>
  <c r="N191" i="1" s="1"/>
  <c r="N196" i="1"/>
  <c r="N193" i="1" s="1"/>
  <c r="N121" i="1"/>
  <c r="C40" i="14" l="1"/>
  <c r="C48" i="14"/>
  <c r="C49" i="14" s="1"/>
  <c r="C46" i="14"/>
  <c r="C45" i="14" s="1"/>
  <c r="C41" i="14"/>
  <c r="N306" i="1"/>
  <c r="N307" i="1" s="1"/>
  <c r="M307" i="1"/>
  <c r="L309" i="1" s="1"/>
  <c r="N194" i="1"/>
  <c r="M309" i="1" l="1"/>
  <c r="N309" i="1"/>
  <c r="I122" i="1" l="1"/>
  <c r="J122" i="1" l="1"/>
  <c r="K122" i="1" l="1"/>
  <c r="L122" i="1" l="1"/>
  <c r="M122" i="1" l="1"/>
  <c r="N122" i="1" l="1"/>
  <c r="H138" i="1" l="1"/>
  <c r="H233" i="1" s="1"/>
  <c r="H225" i="1" s="1"/>
  <c r="G138" i="1"/>
  <c r="G233" i="1" s="1"/>
  <c r="H142" i="1"/>
  <c r="G142" i="1"/>
  <c r="I128" i="1"/>
  <c r="J128" i="1" s="1"/>
  <c r="K128" i="1" s="1"/>
  <c r="L128" i="1" s="1"/>
  <c r="M128" i="1" s="1"/>
  <c r="N128" i="1" s="1"/>
  <c r="J177" i="1"/>
  <c r="K177" i="1"/>
  <c r="L177" i="1"/>
  <c r="M177" i="1"/>
  <c r="N177" i="1"/>
  <c r="I177" i="1"/>
  <c r="I151" i="1"/>
  <c r="J151" i="1" s="1"/>
  <c r="K151" i="1" s="1"/>
  <c r="L151" i="1" s="1"/>
  <c r="M151" i="1" s="1"/>
  <c r="N151" i="1" s="1"/>
  <c r="I148" i="1"/>
  <c r="J148" i="1" s="1"/>
  <c r="K148" i="1" s="1"/>
  <c r="L148" i="1" s="1"/>
  <c r="M148" i="1" s="1"/>
  <c r="N148" i="1" s="1"/>
  <c r="D102" i="1"/>
  <c r="E102" i="1"/>
  <c r="F102" i="1"/>
  <c r="G102" i="1"/>
  <c r="H102" i="1"/>
  <c r="D103" i="1"/>
  <c r="E103" i="1"/>
  <c r="F103" i="1"/>
  <c r="G103" i="1"/>
  <c r="H103" i="1"/>
  <c r="I103" i="1" s="1"/>
  <c r="C103" i="1"/>
  <c r="C102" i="1"/>
  <c r="D101" i="1"/>
  <c r="E101" i="1"/>
  <c r="F101" i="1"/>
  <c r="G101" i="1"/>
  <c r="H101" i="1"/>
  <c r="C101" i="1"/>
  <c r="D100" i="1"/>
  <c r="E100" i="1"/>
  <c r="F100" i="1"/>
  <c r="G100" i="1"/>
  <c r="H100" i="1"/>
  <c r="C100" i="1"/>
  <c r="D77" i="1"/>
  <c r="D82" i="1" s="1"/>
  <c r="D93" i="1" s="1"/>
  <c r="D94" i="1" s="1"/>
  <c r="E77" i="1"/>
  <c r="E82" i="1" s="1"/>
  <c r="E93" i="1" s="1"/>
  <c r="E94" i="1" s="1"/>
  <c r="F77" i="1"/>
  <c r="F82" i="1" s="1"/>
  <c r="F93" i="1" s="1"/>
  <c r="F94" i="1" s="1"/>
  <c r="G77" i="1"/>
  <c r="G82" i="1" s="1"/>
  <c r="G93" i="1" s="1"/>
  <c r="G94" i="1" s="1"/>
  <c r="H77" i="1"/>
  <c r="H82" i="1" s="1"/>
  <c r="C77" i="1"/>
  <c r="C82" i="1" s="1"/>
  <c r="C93" i="1" s="1"/>
  <c r="C94" i="1" s="1"/>
  <c r="J26" i="14" l="1"/>
  <c r="C26" i="14" s="1"/>
  <c r="H93" i="1"/>
  <c r="H94" i="1" s="1"/>
  <c r="G225" i="1"/>
  <c r="G234" i="1"/>
  <c r="G236" i="1" s="1"/>
  <c r="H234" i="1"/>
  <c r="J142" i="1"/>
  <c r="I142" i="1"/>
  <c r="I175" i="1" s="1"/>
  <c r="H236" i="1" l="1"/>
  <c r="J175" i="1"/>
  <c r="L142" i="1" l="1"/>
  <c r="K142" i="1"/>
  <c r="K175" i="1" s="1"/>
  <c r="L175" i="1" l="1"/>
  <c r="M142" i="1"/>
  <c r="M175" i="1" s="1"/>
  <c r="N142" i="1" l="1"/>
  <c r="N175" i="1" s="1"/>
  <c r="C152" i="1" l="1"/>
  <c r="I125" i="1"/>
  <c r="J125" i="1" s="1"/>
  <c r="K125" i="1" s="1"/>
  <c r="L125" i="1" s="1"/>
  <c r="M125" i="1" s="1"/>
  <c r="N125" i="1" s="1"/>
  <c r="J88" i="1"/>
  <c r="K88" i="1"/>
  <c r="L88" i="1"/>
  <c r="M88" i="1"/>
  <c r="N88" i="1"/>
  <c r="I88" i="1"/>
  <c r="I87" i="1"/>
  <c r="J87" i="1" s="1"/>
  <c r="H152" i="1"/>
  <c r="F152" i="1"/>
  <c r="E152" i="1"/>
  <c r="D152" i="1"/>
  <c r="G152" i="1"/>
  <c r="I143" i="1"/>
  <c r="I172" i="1"/>
  <c r="I144" i="1"/>
  <c r="J144" i="1" s="1"/>
  <c r="K144" i="1" s="1"/>
  <c r="L144" i="1" s="1"/>
  <c r="M144" i="1" s="1"/>
  <c r="N144" i="1" s="1"/>
  <c r="I123" i="1"/>
  <c r="I129" i="1"/>
  <c r="J129" i="1" s="1"/>
  <c r="K129" i="1" s="1"/>
  <c r="L129" i="1" s="1"/>
  <c r="M129" i="1" s="1"/>
  <c r="N129" i="1" s="1"/>
  <c r="I127" i="1"/>
  <c r="J127" i="1" s="1"/>
  <c r="K127" i="1" s="1"/>
  <c r="L127" i="1" s="1"/>
  <c r="M127" i="1" s="1"/>
  <c r="N127" i="1" s="1"/>
  <c r="I124" i="1"/>
  <c r="J124" i="1" s="1"/>
  <c r="K124" i="1" s="1"/>
  <c r="L124" i="1" s="1"/>
  <c r="M124" i="1" s="1"/>
  <c r="N124" i="1" s="1"/>
  <c r="D117" i="1"/>
  <c r="D286" i="1" s="1"/>
  <c r="H145" i="1"/>
  <c r="D145" i="1"/>
  <c r="E145" i="1"/>
  <c r="C145" i="1"/>
  <c r="F145" i="1"/>
  <c r="G145" i="1"/>
  <c r="E132" i="1"/>
  <c r="F132" i="1"/>
  <c r="G132" i="1"/>
  <c r="H132" i="1"/>
  <c r="C132" i="1"/>
  <c r="I102" i="1"/>
  <c r="J102" i="1" s="1"/>
  <c r="I101" i="1"/>
  <c r="J101" i="1" s="1"/>
  <c r="K101" i="1" l="1"/>
  <c r="L101" i="1" s="1"/>
  <c r="M101" i="1" s="1"/>
  <c r="N101" i="1" s="1"/>
  <c r="I78" i="1"/>
  <c r="I166" i="1"/>
  <c r="J123" i="1"/>
  <c r="J166" i="1" s="1"/>
  <c r="J143" i="1"/>
  <c r="K143" i="1" s="1"/>
  <c r="D132" i="1"/>
  <c r="D154" i="1" s="1"/>
  <c r="G85" i="1"/>
  <c r="G89" i="1" s="1"/>
  <c r="F85" i="1"/>
  <c r="F89" i="1" s="1"/>
  <c r="E85" i="1"/>
  <c r="D85" i="1"/>
  <c r="K87" i="1"/>
  <c r="L87" i="1" s="1"/>
  <c r="M87" i="1" s="1"/>
  <c r="N87" i="1" s="1"/>
  <c r="C154" i="1"/>
  <c r="G154" i="1"/>
  <c r="H154" i="1"/>
  <c r="F154" i="1"/>
  <c r="E154" i="1"/>
  <c r="J103" i="1"/>
  <c r="K102" i="1"/>
  <c r="H85" i="1"/>
  <c r="H89" i="1" s="1"/>
  <c r="C85" i="1"/>
  <c r="C89" i="1" s="1"/>
  <c r="C244" i="1" s="1"/>
  <c r="H244" i="1" l="1"/>
  <c r="G244" i="1"/>
  <c r="F244" i="1"/>
  <c r="K123" i="1"/>
  <c r="K166" i="1" s="1"/>
  <c r="L143" i="1"/>
  <c r="M143" i="1" s="1"/>
  <c r="N143" i="1" s="1"/>
  <c r="K172" i="1"/>
  <c r="J172" i="1"/>
  <c r="G90" i="1"/>
  <c r="E89" i="1"/>
  <c r="F90" i="1"/>
  <c r="D89" i="1"/>
  <c r="D244" i="1" s="1"/>
  <c r="C90" i="1"/>
  <c r="L102" i="1"/>
  <c r="K103" i="1"/>
  <c r="E244" i="1" l="1"/>
  <c r="L123" i="1"/>
  <c r="L166" i="1" s="1"/>
  <c r="H90" i="1"/>
  <c r="D90" i="1"/>
  <c r="E90" i="1"/>
  <c r="I126" i="1"/>
  <c r="L103" i="1"/>
  <c r="M102" i="1"/>
  <c r="I330" i="1" l="1"/>
  <c r="I199" i="1"/>
  <c r="M123" i="1"/>
  <c r="M166" i="1" s="1"/>
  <c r="L172" i="1"/>
  <c r="N172" i="1"/>
  <c r="M172" i="1"/>
  <c r="I79" i="1"/>
  <c r="I80" i="1"/>
  <c r="J126" i="1"/>
  <c r="I106" i="1"/>
  <c r="I131" i="1" s="1"/>
  <c r="I207" i="1" s="1"/>
  <c r="M103" i="1"/>
  <c r="N102" i="1"/>
  <c r="J216" i="1" l="1"/>
  <c r="J330" i="1"/>
  <c r="J199" i="1"/>
  <c r="J204" i="1"/>
  <c r="I205" i="1"/>
  <c r="I206" i="1" s="1"/>
  <c r="I201" i="1"/>
  <c r="I81" i="1" s="1"/>
  <c r="N123" i="1"/>
  <c r="N166" i="1" s="1"/>
  <c r="I141" i="1"/>
  <c r="I96" i="1"/>
  <c r="I162" i="1" s="1"/>
  <c r="J80" i="1"/>
  <c r="J79" i="1"/>
  <c r="J78" i="1"/>
  <c r="J106" i="1"/>
  <c r="N103" i="1"/>
  <c r="I161" i="1" l="1"/>
  <c r="K216" i="1"/>
  <c r="K330" i="1"/>
  <c r="K199" i="1"/>
  <c r="J205" i="1"/>
  <c r="J201" i="1"/>
  <c r="J81" i="1" s="1"/>
  <c r="J161" i="1" s="1"/>
  <c r="J131" i="1"/>
  <c r="J207" i="1" s="1"/>
  <c r="J141" i="1"/>
  <c r="I167" i="1"/>
  <c r="L126" i="1"/>
  <c r="K126" i="1"/>
  <c r="I149" i="1"/>
  <c r="J96" i="1"/>
  <c r="J162" i="1" s="1"/>
  <c r="K80" i="1"/>
  <c r="K78" i="1"/>
  <c r="K79" i="1"/>
  <c r="K106" i="1"/>
  <c r="K205" i="1" l="1"/>
  <c r="K201" i="1"/>
  <c r="K81" i="1" s="1"/>
  <c r="K161" i="1" s="1"/>
  <c r="J206" i="1"/>
  <c r="J165" i="1" s="1"/>
  <c r="K204" i="1"/>
  <c r="L216" i="1"/>
  <c r="L330" i="1"/>
  <c r="L199" i="1"/>
  <c r="M126" i="1"/>
  <c r="K96" i="1"/>
  <c r="K162" i="1" s="1"/>
  <c r="J149" i="1"/>
  <c r="K141" i="1"/>
  <c r="J167" i="1"/>
  <c r="K131" i="1"/>
  <c r="K207" i="1" s="1"/>
  <c r="I165" i="1"/>
  <c r="L78" i="1"/>
  <c r="L80" i="1"/>
  <c r="L79" i="1"/>
  <c r="N126" i="1"/>
  <c r="L106" i="1"/>
  <c r="M216" i="1" l="1"/>
  <c r="M330" i="1"/>
  <c r="M199" i="1"/>
  <c r="N330" i="1"/>
  <c r="N216" i="1"/>
  <c r="N199" i="1"/>
  <c r="K206" i="1"/>
  <c r="L204" i="1"/>
  <c r="L205" i="1"/>
  <c r="L201" i="1"/>
  <c r="L81" i="1" s="1"/>
  <c r="L161" i="1" s="1"/>
  <c r="K149" i="1"/>
  <c r="L96" i="1"/>
  <c r="L131" i="1"/>
  <c r="L207" i="1" s="1"/>
  <c r="L141" i="1"/>
  <c r="K167" i="1"/>
  <c r="N78" i="1"/>
  <c r="N80" i="1"/>
  <c r="N79" i="1"/>
  <c r="M78" i="1"/>
  <c r="M80" i="1"/>
  <c r="M79" i="1"/>
  <c r="M106" i="1"/>
  <c r="N106" i="1"/>
  <c r="M96" i="1" l="1"/>
  <c r="M205" i="1"/>
  <c r="M201" i="1"/>
  <c r="M81" i="1" s="1"/>
  <c r="M161" i="1" s="1"/>
  <c r="L206" i="1"/>
  <c r="L165" i="1" s="1"/>
  <c r="M204" i="1"/>
  <c r="L149" i="1"/>
  <c r="N205" i="1"/>
  <c r="N201" i="1"/>
  <c r="N81" i="1" s="1"/>
  <c r="N161" i="1" s="1"/>
  <c r="L162" i="1"/>
  <c r="M141" i="1"/>
  <c r="L167" i="1"/>
  <c r="M131" i="1"/>
  <c r="K165" i="1"/>
  <c r="M149" i="1" l="1"/>
  <c r="N131" i="1"/>
  <c r="N207" i="1" s="1"/>
  <c r="M207" i="1"/>
  <c r="M162" i="1"/>
  <c r="N96" i="1"/>
  <c r="N162" i="1" s="1"/>
  <c r="N141" i="1"/>
  <c r="N167" i="1" s="1"/>
  <c r="M167" i="1"/>
  <c r="N204" i="1" l="1"/>
  <c r="N206" i="1" s="1"/>
  <c r="N165" i="1" s="1"/>
  <c r="M206" i="1"/>
  <c r="M165" i="1" s="1"/>
  <c r="N149" i="1"/>
  <c r="I258" i="1" l="1"/>
  <c r="J260" i="1" s="1"/>
  <c r="J253" i="1" s="1"/>
  <c r="J255" i="1" s="1"/>
  <c r="K252" i="1" l="1"/>
  <c r="J91" i="1"/>
  <c r="J258" i="1"/>
  <c r="K260" i="1" l="1"/>
  <c r="K258" i="1" l="1"/>
  <c r="L260" i="1" s="1"/>
  <c r="L253" i="1" s="1"/>
  <c r="K253" i="1"/>
  <c r="K255" i="1" s="1"/>
  <c r="L258" i="1" l="1"/>
  <c r="M260" i="1" s="1"/>
  <c r="M253" i="1" s="1"/>
  <c r="L252" i="1"/>
  <c r="L255" i="1" s="1"/>
  <c r="K91" i="1"/>
  <c r="M258" i="1" l="1"/>
  <c r="N260" i="1" s="1"/>
  <c r="N253" i="1" s="1"/>
  <c r="M252" i="1"/>
  <c r="M255" i="1" s="1"/>
  <c r="L91" i="1"/>
  <c r="N258" i="1" l="1"/>
  <c r="N252" i="1"/>
  <c r="N255" i="1" s="1"/>
  <c r="N91" i="1" s="1"/>
  <c r="J28" i="14" s="1"/>
  <c r="C28" i="14" s="1"/>
  <c r="M91" i="1"/>
  <c r="I75" i="1" l="1"/>
  <c r="J75" i="1"/>
  <c r="K75" i="1"/>
  <c r="L75" i="1"/>
  <c r="M75" i="1"/>
  <c r="N75" i="1"/>
  <c r="I77" i="1"/>
  <c r="J77" i="1"/>
  <c r="K77" i="1"/>
  <c r="L77" i="1"/>
  <c r="M77" i="1"/>
  <c r="N77" i="1"/>
  <c r="I82" i="1"/>
  <c r="J82" i="1"/>
  <c r="K82" i="1"/>
  <c r="L82" i="1"/>
  <c r="M82" i="1"/>
  <c r="N82" i="1"/>
  <c r="I83" i="1"/>
  <c r="J83" i="1"/>
  <c r="K83" i="1"/>
  <c r="L83" i="1"/>
  <c r="M83" i="1"/>
  <c r="N83" i="1"/>
  <c r="I84" i="1"/>
  <c r="J84" i="1"/>
  <c r="K84" i="1"/>
  <c r="L84" i="1"/>
  <c r="M84" i="1"/>
  <c r="N84" i="1"/>
  <c r="I85" i="1"/>
  <c r="J85" i="1"/>
  <c r="K85" i="1"/>
  <c r="L85" i="1"/>
  <c r="M85" i="1"/>
  <c r="N85" i="1"/>
  <c r="I86" i="1"/>
  <c r="J86" i="1"/>
  <c r="K86" i="1"/>
  <c r="L86" i="1"/>
  <c r="M86" i="1"/>
  <c r="N86" i="1"/>
  <c r="I89" i="1"/>
  <c r="J89" i="1"/>
  <c r="K89" i="1"/>
  <c r="L89" i="1"/>
  <c r="M89" i="1"/>
  <c r="N89" i="1"/>
  <c r="I90" i="1"/>
  <c r="J90" i="1"/>
  <c r="K90" i="1"/>
  <c r="L90" i="1"/>
  <c r="M90" i="1"/>
  <c r="N90" i="1"/>
  <c r="I93" i="1"/>
  <c r="J93" i="1"/>
  <c r="K93" i="1"/>
  <c r="L93" i="1"/>
  <c r="M93" i="1"/>
  <c r="N93" i="1"/>
  <c r="I94" i="1"/>
  <c r="J94" i="1"/>
  <c r="K94" i="1"/>
  <c r="L94" i="1"/>
  <c r="M94" i="1"/>
  <c r="N94" i="1"/>
  <c r="I100" i="1"/>
  <c r="J100" i="1"/>
  <c r="K100" i="1"/>
  <c r="L100" i="1"/>
  <c r="M100" i="1"/>
  <c r="N100" i="1"/>
  <c r="I107" i="1"/>
  <c r="J107" i="1"/>
  <c r="K107" i="1"/>
  <c r="L107" i="1"/>
  <c r="M107" i="1"/>
  <c r="N107" i="1"/>
  <c r="I108" i="1"/>
  <c r="J108" i="1"/>
  <c r="K108" i="1"/>
  <c r="L108" i="1"/>
  <c r="M108" i="1"/>
  <c r="N108" i="1"/>
  <c r="I109" i="1"/>
  <c r="J109" i="1"/>
  <c r="K109" i="1"/>
  <c r="L109" i="1"/>
  <c r="M109" i="1"/>
  <c r="N109" i="1"/>
  <c r="I110" i="1"/>
  <c r="J110" i="1"/>
  <c r="K110" i="1"/>
  <c r="L110" i="1"/>
  <c r="M110" i="1"/>
  <c r="N110" i="1"/>
  <c r="I117" i="1"/>
  <c r="J117" i="1"/>
  <c r="K117" i="1"/>
  <c r="L117" i="1"/>
  <c r="M117" i="1"/>
  <c r="N117" i="1"/>
  <c r="I118" i="1"/>
  <c r="J118" i="1"/>
  <c r="K118" i="1"/>
  <c r="L118" i="1"/>
  <c r="M118" i="1"/>
  <c r="N118" i="1"/>
  <c r="I119" i="1"/>
  <c r="J119" i="1"/>
  <c r="K119" i="1"/>
  <c r="L119" i="1"/>
  <c r="M119" i="1"/>
  <c r="N119" i="1"/>
  <c r="I130" i="1"/>
  <c r="J130" i="1"/>
  <c r="K130" i="1"/>
  <c r="L130" i="1"/>
  <c r="M130" i="1"/>
  <c r="N130" i="1"/>
  <c r="I132" i="1"/>
  <c r="J132" i="1"/>
  <c r="K132" i="1"/>
  <c r="L132" i="1"/>
  <c r="M132" i="1"/>
  <c r="N132" i="1"/>
  <c r="I135" i="1"/>
  <c r="J135" i="1"/>
  <c r="K135" i="1"/>
  <c r="L135" i="1"/>
  <c r="M135" i="1"/>
  <c r="N135" i="1"/>
  <c r="I136" i="1"/>
  <c r="J136" i="1"/>
  <c r="K136" i="1"/>
  <c r="L136" i="1"/>
  <c r="M136" i="1"/>
  <c r="N136" i="1"/>
  <c r="I137" i="1"/>
  <c r="J137" i="1"/>
  <c r="K137" i="1"/>
  <c r="L137" i="1"/>
  <c r="M137" i="1"/>
  <c r="N137" i="1"/>
  <c r="I138" i="1"/>
  <c r="J138" i="1"/>
  <c r="K138" i="1"/>
  <c r="L138" i="1"/>
  <c r="M138" i="1"/>
  <c r="N138" i="1"/>
  <c r="I139" i="1"/>
  <c r="J139" i="1"/>
  <c r="K139" i="1"/>
  <c r="L139" i="1"/>
  <c r="M139" i="1"/>
  <c r="N139" i="1"/>
  <c r="I145" i="1"/>
  <c r="J145" i="1"/>
  <c r="K145" i="1"/>
  <c r="L145" i="1"/>
  <c r="M145" i="1"/>
  <c r="N145" i="1"/>
  <c r="I150" i="1"/>
  <c r="J150" i="1"/>
  <c r="K150" i="1"/>
  <c r="L150" i="1"/>
  <c r="M150" i="1"/>
  <c r="N150" i="1"/>
  <c r="I152" i="1"/>
  <c r="J152" i="1"/>
  <c r="K152" i="1"/>
  <c r="L152" i="1"/>
  <c r="M152" i="1"/>
  <c r="N152" i="1"/>
  <c r="I154" i="1"/>
  <c r="J154" i="1"/>
  <c r="K154" i="1"/>
  <c r="L154" i="1"/>
  <c r="M154" i="1"/>
  <c r="N154" i="1"/>
  <c r="I160" i="1"/>
  <c r="J160" i="1"/>
  <c r="K160" i="1"/>
  <c r="L160" i="1"/>
  <c r="M160" i="1"/>
  <c r="N160" i="1"/>
  <c r="I163" i="1"/>
  <c r="J163" i="1"/>
  <c r="K163" i="1"/>
  <c r="L163" i="1"/>
  <c r="M163" i="1"/>
  <c r="N163" i="1"/>
  <c r="I164" i="1"/>
  <c r="J164" i="1"/>
  <c r="K164" i="1"/>
  <c r="L164" i="1"/>
  <c r="M164" i="1"/>
  <c r="N164" i="1"/>
  <c r="I168" i="1"/>
  <c r="J168" i="1"/>
  <c r="K168" i="1"/>
  <c r="L168" i="1"/>
  <c r="M168" i="1"/>
  <c r="N168" i="1"/>
  <c r="I169" i="1"/>
  <c r="J169" i="1"/>
  <c r="K169" i="1"/>
  <c r="L169" i="1"/>
  <c r="M169" i="1"/>
  <c r="N169" i="1"/>
  <c r="I176" i="1"/>
  <c r="J176" i="1"/>
  <c r="K176" i="1"/>
  <c r="L176" i="1"/>
  <c r="M176" i="1"/>
  <c r="N176" i="1"/>
  <c r="I178" i="1"/>
  <c r="J178" i="1"/>
  <c r="K178" i="1"/>
  <c r="L178" i="1"/>
  <c r="M178" i="1"/>
  <c r="N178" i="1"/>
  <c r="I180" i="1"/>
  <c r="J180" i="1"/>
  <c r="K180" i="1"/>
  <c r="L180" i="1"/>
  <c r="M180" i="1"/>
  <c r="N180" i="1"/>
  <c r="I182" i="1"/>
  <c r="J182" i="1"/>
  <c r="K182" i="1"/>
  <c r="L182" i="1"/>
  <c r="M182" i="1"/>
  <c r="N182" i="1"/>
  <c r="I217" i="1"/>
  <c r="J217" i="1"/>
  <c r="K217" i="1"/>
  <c r="L217" i="1"/>
  <c r="M217" i="1"/>
  <c r="N217" i="1"/>
  <c r="I220" i="1"/>
  <c r="J220" i="1"/>
  <c r="K220" i="1"/>
  <c r="L220" i="1"/>
  <c r="M220" i="1"/>
  <c r="N220" i="1"/>
  <c r="I221" i="1"/>
  <c r="J221" i="1"/>
  <c r="K221" i="1"/>
  <c r="L221" i="1"/>
  <c r="M221" i="1"/>
  <c r="N221" i="1"/>
  <c r="I222" i="1"/>
  <c r="J222" i="1"/>
  <c r="K222" i="1"/>
  <c r="L222" i="1"/>
  <c r="M222" i="1"/>
  <c r="N222" i="1"/>
  <c r="I223" i="1"/>
  <c r="J223" i="1"/>
  <c r="K223" i="1"/>
  <c r="L223" i="1"/>
  <c r="M223" i="1"/>
  <c r="N223" i="1"/>
  <c r="I224" i="1"/>
  <c r="J224" i="1"/>
  <c r="K224" i="1"/>
  <c r="L224" i="1"/>
  <c r="M224" i="1"/>
  <c r="N224" i="1"/>
  <c r="I225" i="1"/>
  <c r="J225" i="1"/>
  <c r="K225" i="1"/>
  <c r="L225" i="1"/>
  <c r="M225" i="1"/>
  <c r="N225" i="1"/>
  <c r="I228" i="1"/>
  <c r="J228" i="1"/>
  <c r="K228" i="1"/>
  <c r="L228" i="1"/>
  <c r="M228" i="1"/>
  <c r="N228" i="1"/>
  <c r="I229" i="1"/>
  <c r="J229" i="1"/>
  <c r="K229" i="1"/>
  <c r="L229" i="1"/>
  <c r="M229" i="1"/>
  <c r="N229" i="1"/>
  <c r="I230" i="1"/>
  <c r="J230" i="1"/>
  <c r="K230" i="1"/>
  <c r="L230" i="1"/>
  <c r="M230" i="1"/>
  <c r="N230" i="1"/>
  <c r="I231" i="1"/>
  <c r="J231" i="1"/>
  <c r="K231" i="1"/>
  <c r="L231" i="1"/>
  <c r="M231" i="1"/>
  <c r="N231" i="1"/>
  <c r="I232" i="1"/>
  <c r="J232" i="1"/>
  <c r="K232" i="1"/>
  <c r="L232" i="1"/>
  <c r="M232" i="1"/>
  <c r="N232" i="1"/>
  <c r="I233" i="1"/>
  <c r="J233" i="1"/>
  <c r="K233" i="1"/>
  <c r="L233" i="1"/>
  <c r="M233" i="1"/>
  <c r="N233" i="1"/>
  <c r="I234" i="1"/>
  <c r="J234" i="1"/>
  <c r="K234" i="1"/>
  <c r="L234" i="1"/>
  <c r="M234" i="1"/>
  <c r="N234" i="1"/>
  <c r="I236" i="1"/>
  <c r="J236" i="1"/>
  <c r="K236" i="1"/>
  <c r="L236" i="1"/>
  <c r="M236" i="1"/>
  <c r="N236" i="1"/>
  <c r="J243" i="1"/>
  <c r="K243" i="1"/>
  <c r="L243" i="1"/>
  <c r="M243" i="1"/>
  <c r="N243" i="1"/>
  <c r="I244" i="1"/>
  <c r="J244" i="1"/>
  <c r="K244" i="1"/>
  <c r="L244" i="1"/>
  <c r="M244" i="1"/>
  <c r="N244" i="1"/>
  <c r="I246" i="1"/>
  <c r="J246" i="1"/>
  <c r="K246" i="1"/>
  <c r="L246" i="1"/>
  <c r="M246" i="1"/>
  <c r="N246" i="1"/>
  <c r="I286" i="1"/>
  <c r="J286" i="1"/>
  <c r="K286" i="1"/>
  <c r="L286" i="1"/>
  <c r="M286" i="1"/>
  <c r="N286" i="1"/>
  <c r="I289" i="1"/>
  <c r="J289" i="1"/>
  <c r="K289" i="1"/>
  <c r="L289" i="1"/>
  <c r="M289" i="1"/>
  <c r="N289" i="1"/>
  <c r="I290" i="1"/>
  <c r="J290" i="1"/>
  <c r="K290" i="1"/>
  <c r="L290" i="1"/>
  <c r="M290" i="1"/>
  <c r="N290" i="1"/>
  <c r="I294" i="1"/>
  <c r="J294" i="1"/>
  <c r="K294" i="1"/>
  <c r="L294" i="1"/>
  <c r="M294" i="1"/>
  <c r="N294" i="1"/>
  <c r="I295" i="1"/>
  <c r="J295" i="1"/>
  <c r="K295" i="1"/>
  <c r="L295" i="1"/>
  <c r="M295" i="1"/>
  <c r="N295" i="1"/>
  <c r="J329" i="1"/>
  <c r="K329" i="1"/>
  <c r="L329" i="1"/>
  <c r="M329" i="1"/>
  <c r="N329" i="1"/>
  <c r="I331" i="1"/>
  <c r="J331" i="1"/>
  <c r="K331" i="1"/>
  <c r="L331" i="1"/>
  <c r="M331" i="1"/>
  <c r="N331" i="1"/>
  <c r="I332" i="1"/>
  <c r="J332" i="1"/>
  <c r="K332" i="1"/>
  <c r="L332" i="1"/>
  <c r="M332" i="1"/>
  <c r="N332" i="1"/>
  <c r="J337" i="1"/>
  <c r="K337" i="1"/>
  <c r="L337" i="1"/>
  <c r="M337" i="1"/>
  <c r="N337" i="1"/>
  <c r="I338" i="1"/>
  <c r="J338" i="1"/>
  <c r="K338" i="1"/>
  <c r="L338" i="1"/>
  <c r="M338" i="1"/>
  <c r="N338" i="1"/>
  <c r="I340" i="1"/>
  <c r="J340" i="1"/>
  <c r="K340" i="1"/>
  <c r="L340" i="1"/>
  <c r="M340" i="1"/>
  <c r="N340" i="1"/>
  <c r="I348" i="1"/>
  <c r="J348" i="1"/>
  <c r="K348" i="1"/>
  <c r="L348" i="1"/>
  <c r="M348" i="1"/>
  <c r="N348" i="1"/>
  <c r="J350" i="1"/>
  <c r="K350" i="1"/>
  <c r="L350" i="1"/>
  <c r="M350" i="1"/>
  <c r="N350" i="1"/>
  <c r="I351" i="1"/>
  <c r="J351" i="1"/>
  <c r="K351" i="1"/>
  <c r="L351" i="1"/>
  <c r="M351" i="1"/>
  <c r="N351" i="1"/>
  <c r="I352" i="1"/>
  <c r="J352" i="1"/>
  <c r="K352" i="1"/>
  <c r="L352" i="1"/>
  <c r="M352" i="1"/>
  <c r="N352" i="1"/>
  <c r="I354" i="1"/>
  <c r="J354" i="1"/>
  <c r="K354" i="1"/>
  <c r="L354" i="1"/>
  <c r="M354" i="1"/>
  <c r="N354" i="1"/>
  <c r="I355" i="1"/>
  <c r="J355" i="1"/>
  <c r="K355" i="1"/>
  <c r="L355" i="1"/>
  <c r="M355" i="1"/>
  <c r="N355" i="1"/>
  <c r="F9" i="14"/>
  <c r="G9" i="14"/>
  <c r="H9" i="14"/>
  <c r="I9" i="14"/>
  <c r="J9" i="14"/>
  <c r="K9" i="14"/>
  <c r="F10" i="14"/>
  <c r="G10" i="14"/>
  <c r="H10" i="14"/>
  <c r="I10" i="14"/>
  <c r="J10" i="14"/>
  <c r="K10" i="14"/>
  <c r="K13" i="14"/>
  <c r="K14" i="14"/>
  <c r="F16" i="14"/>
  <c r="G16" i="14"/>
  <c r="H16" i="14"/>
  <c r="I16" i="14"/>
  <c r="J16" i="14"/>
  <c r="K16" i="14"/>
  <c r="K17" i="14"/>
  <c r="F18" i="14"/>
  <c r="G18" i="14"/>
  <c r="H18" i="14"/>
  <c r="I18" i="14"/>
  <c r="J18" i="14"/>
  <c r="K18" i="14"/>
  <c r="K19" i="14"/>
  <c r="C23" i="14"/>
  <c r="J23" i="14"/>
  <c r="C24" i="14"/>
  <c r="J24" i="14"/>
  <c r="C25" i="14"/>
  <c r="J25" i="14"/>
  <c r="C27" i="14"/>
  <c r="J27" i="14"/>
  <c r="C29" i="14"/>
  <c r="J29" i="14"/>
  <c r="C31" i="14"/>
  <c r="J31" i="14"/>
  <c r="C36" i="14"/>
  <c r="C44" i="1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Grayson Harper</author>
  </authors>
  <commentList>
    <comment ref="B13" authorId="0" shapeId="0" xr:uid="{BC5FE1A2-901F-45D9-895F-950A5E8405B5}">
      <text>
        <r>
          <rPr>
            <b/>
            <sz val="9"/>
            <color indexed="81"/>
            <rFont val="Tahoma"/>
            <family val="2"/>
          </rPr>
          <t>Grayson Harper:</t>
        </r>
        <r>
          <rPr>
            <sz val="9"/>
            <color indexed="81"/>
            <rFont val="Tahoma"/>
            <family val="2"/>
          </rPr>
          <t xml:space="preserve">
# of unique consumers who completed a mobility ride or received delivery order</t>
        </r>
      </text>
    </comment>
    <comment ref="B19" authorId="0" shapeId="0" xr:uid="{845AE2BA-4EAF-4C8D-908C-53FA75C57F20}">
      <text>
        <r>
          <rPr>
            <b/>
            <sz val="9"/>
            <color indexed="81"/>
            <rFont val="Tahoma"/>
            <family val="2"/>
          </rPr>
          <t>Grayson Harper:</t>
        </r>
        <r>
          <rPr>
            <sz val="9"/>
            <color indexed="81"/>
            <rFont val="Tahoma"/>
            <family val="2"/>
          </rPr>
          <t xml:space="preserve">
# of completed consumer mobility and delivery orders</t>
        </r>
      </text>
    </comment>
    <comment ref="B27" authorId="0" shapeId="0" xr:uid="{282BFC7B-FF70-41BA-9626-FE29A16106B0}">
      <text>
        <r>
          <rPr>
            <b/>
            <sz val="9"/>
            <color indexed="81"/>
            <rFont val="Tahoma"/>
            <family val="2"/>
          </rPr>
          <t>Grayson Harper:</t>
        </r>
        <r>
          <rPr>
            <sz val="9"/>
            <color indexed="81"/>
            <rFont val="Tahoma"/>
            <family val="2"/>
          </rPr>
          <t xml:space="preserve">
total $ value of mobility rides, delivery orders and freight rev (less freight for analysis)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Grayson Harper</author>
  </authors>
  <commentList>
    <comment ref="D61" authorId="0" shapeId="0" xr:uid="{D92BB4AD-7AFA-4D98-915F-49B0C50648C6}">
      <text>
        <r>
          <rPr>
            <b/>
            <sz val="9"/>
            <color indexed="81"/>
            <rFont val="Tahoma"/>
            <family val="2"/>
          </rPr>
          <t>Grayson Harper:</t>
        </r>
        <r>
          <rPr>
            <sz val="9"/>
            <color indexed="81"/>
            <rFont val="Tahoma"/>
            <family val="2"/>
          </rPr>
          <t xml:space="preserve">
US T 10yr yield</t>
        </r>
      </text>
    </comment>
    <comment ref="H61" authorId="0" shapeId="0" xr:uid="{20871A50-28A7-44AD-86C2-2B60947F926F}">
      <text>
        <r>
          <rPr>
            <b/>
            <sz val="9"/>
            <color indexed="81"/>
            <rFont val="Tahoma"/>
            <family val="2"/>
          </rPr>
          <t>Grayson Harper:</t>
        </r>
        <r>
          <rPr>
            <sz val="9"/>
            <color indexed="81"/>
            <rFont val="Tahoma"/>
            <family val="2"/>
          </rPr>
          <t xml:space="preserve">
Weighted Avg int rate of all outstanding debt</t>
        </r>
      </text>
    </comment>
    <comment ref="D63" authorId="0" shapeId="0" xr:uid="{CE1194FB-33FF-4845-92F3-A0B2AFFC2B09}">
      <text>
        <r>
          <rPr>
            <b/>
            <sz val="9"/>
            <color indexed="81"/>
            <rFont val="Tahoma"/>
            <family val="2"/>
          </rPr>
          <t>Grayson Harper:</t>
        </r>
        <r>
          <rPr>
            <sz val="9"/>
            <color indexed="81"/>
            <rFont val="Tahoma"/>
            <family val="2"/>
          </rPr>
          <t xml:space="preserve">
Damodaran Jan 25'</t>
        </r>
      </text>
    </comment>
    <comment ref="D67" authorId="0" shapeId="0" xr:uid="{C8B2EC03-180E-4686-8A4A-CFD2F67F1CBB}">
      <text>
        <r>
          <rPr>
            <b/>
            <sz val="9"/>
            <color indexed="81"/>
            <rFont val="Tahoma"/>
            <family val="2"/>
          </rPr>
          <t>Grayson Harper:</t>
        </r>
        <r>
          <rPr>
            <sz val="9"/>
            <color indexed="81"/>
            <rFont val="Tahoma"/>
            <family val="2"/>
          </rPr>
          <t xml:space="preserve">
US T 10yr yield</t>
        </r>
      </text>
    </comment>
    <comment ref="D69" authorId="0" shapeId="0" xr:uid="{B5DADEEA-7E91-4749-8978-9828F1D364DB}">
      <text>
        <r>
          <rPr>
            <b/>
            <sz val="9"/>
            <color indexed="81"/>
            <rFont val="Tahoma"/>
            <family val="2"/>
          </rPr>
          <t>Grayson Harper:</t>
        </r>
        <r>
          <rPr>
            <sz val="9"/>
            <color indexed="81"/>
            <rFont val="Tahoma"/>
            <family val="2"/>
          </rPr>
          <t xml:space="preserve">
Damodaran Jan 25'</t>
        </r>
      </text>
    </comment>
  </commentList>
</comments>
</file>

<file path=xl/sharedStrings.xml><?xml version="1.0" encoding="utf-8"?>
<sst xmlns="http://schemas.openxmlformats.org/spreadsheetml/2006/main" count="617" uniqueCount="358">
  <si>
    <t>$UBER</t>
  </si>
  <si>
    <t>Company:</t>
  </si>
  <si>
    <t>Ticker:</t>
  </si>
  <si>
    <t>Last Price:</t>
  </si>
  <si>
    <t>Model Structure</t>
  </si>
  <si>
    <t>Tab</t>
  </si>
  <si>
    <t>Description</t>
  </si>
  <si>
    <t>Summary</t>
  </si>
  <si>
    <t>Model</t>
  </si>
  <si>
    <t>2019A</t>
  </si>
  <si>
    <t>2020A</t>
  </si>
  <si>
    <t>2021A</t>
  </si>
  <si>
    <t>2022A</t>
  </si>
  <si>
    <t>2023A</t>
  </si>
  <si>
    <t>2024A</t>
  </si>
  <si>
    <t>2025F</t>
  </si>
  <si>
    <t>2026F</t>
  </si>
  <si>
    <t>2027F</t>
  </si>
  <si>
    <t>2028F</t>
  </si>
  <si>
    <t>2029F</t>
  </si>
  <si>
    <t>2030F</t>
  </si>
  <si>
    <t>Revenue</t>
  </si>
  <si>
    <t>Operations and support</t>
  </si>
  <si>
    <t>Research and development</t>
  </si>
  <si>
    <t>Depreciation and amortization</t>
  </si>
  <si>
    <t>Interest expense</t>
  </si>
  <si>
    <t>Provision for (benefit from) income taxes</t>
  </si>
  <si>
    <t>Income (loss) from equity method investments</t>
  </si>
  <si>
    <t>Assets</t>
  </si>
  <si>
    <t>Restricted cash and cash equivalents</t>
  </si>
  <si>
    <t>Collateral held by insurer</t>
  </si>
  <si>
    <t>Restricted investments</t>
  </si>
  <si>
    <t>Investments</t>
  </si>
  <si>
    <t>Equity method investments</t>
  </si>
  <si>
    <t>Property and equipment, net</t>
  </si>
  <si>
    <t>Operating lease right-of-use assets</t>
  </si>
  <si>
    <t>Intangible assets, net</t>
  </si>
  <si>
    <t>Goodwill</t>
  </si>
  <si>
    <t>Deferred tax assets</t>
  </si>
  <si>
    <t>Other assets</t>
  </si>
  <si>
    <t>Accounts payable</t>
  </si>
  <si>
    <t>Short-term insurance reserves</t>
  </si>
  <si>
    <t>Operating lease liabilities, current</t>
  </si>
  <si>
    <t>Accrued and other current liabilities</t>
  </si>
  <si>
    <t>Long-term insurance reserves</t>
  </si>
  <si>
    <t>Operating lease liabilities, non-current</t>
  </si>
  <si>
    <t>Other long-term liabilities</t>
  </si>
  <si>
    <t>Liabilities</t>
  </si>
  <si>
    <t>Redeemable non-controlling interests</t>
  </si>
  <si>
    <t>Equity</t>
  </si>
  <si>
    <t>Additional paid-in capital</t>
  </si>
  <si>
    <t>Non-redeemable non-controlling interests</t>
  </si>
  <si>
    <t>Total equity</t>
  </si>
  <si>
    <t>Beginning of period</t>
  </si>
  <si>
    <t>End of period</t>
  </si>
  <si>
    <t>Fiscal Year</t>
  </si>
  <si>
    <t>Period Ending</t>
  </si>
  <si>
    <t>Total Revenue</t>
  </si>
  <si>
    <t>SG&amp;A</t>
  </si>
  <si>
    <t>Gross Profit</t>
  </si>
  <si>
    <t>Operating Profit (EBIT)</t>
  </si>
  <si>
    <t>Other income (expense)</t>
  </si>
  <si>
    <t>Pretax Profit (EBT)</t>
  </si>
  <si>
    <t>Net Income</t>
  </si>
  <si>
    <t>INCOME STATEMENT</t>
  </si>
  <si>
    <t>EPS</t>
  </si>
  <si>
    <t>Shares outstanding</t>
  </si>
  <si>
    <t>Mobility Revenue</t>
  </si>
  <si>
    <t>Delivery Revenue</t>
  </si>
  <si>
    <t>Freight Revenue</t>
  </si>
  <si>
    <t>Margins</t>
  </si>
  <si>
    <t>Tax Rate</t>
  </si>
  <si>
    <t>Cost of revenue % of sales</t>
  </si>
  <si>
    <t>SG&amp;A % of sales</t>
  </si>
  <si>
    <t>Operations and support % of sales</t>
  </si>
  <si>
    <t>Research and development % of sales</t>
  </si>
  <si>
    <t>Net income (loss) attributable to non-controlling interests, net of tax</t>
  </si>
  <si>
    <t>Plus: Capital expenditures</t>
  </si>
  <si>
    <t>Less: Depreciation</t>
  </si>
  <si>
    <t>as % of revenue</t>
  </si>
  <si>
    <t xml:space="preserve">Depreciation &amp; Amortization - Total </t>
  </si>
  <si>
    <t>TOTAL DEPRECIATION &amp; AMORTIZATION</t>
  </si>
  <si>
    <t>D&amp;A related to PP&amp;E as a % of capex</t>
  </si>
  <si>
    <t>RETAINED EARNINGS</t>
  </si>
  <si>
    <t>Less: Repurchases</t>
  </si>
  <si>
    <t>BALANCE SHEET</t>
  </si>
  <si>
    <t>Growth Rates</t>
  </si>
  <si>
    <t>EBIT</t>
  </si>
  <si>
    <t>Cash &amp; equivalents, ST and LT marketable securities</t>
  </si>
  <si>
    <t>Accounts Receivable</t>
  </si>
  <si>
    <t>Other current assets</t>
  </si>
  <si>
    <t>Total Assets</t>
  </si>
  <si>
    <t>Total Liabilities</t>
  </si>
  <si>
    <t>CASH FLOW STATEMENT</t>
  </si>
  <si>
    <t>Net income</t>
  </si>
  <si>
    <t>Stock based compensation</t>
  </si>
  <si>
    <t>Decreases / (Increases) in WC assets</t>
  </si>
  <si>
    <t>Increases / (Decreases) in WC liabilities</t>
  </si>
  <si>
    <t>Other non current assets</t>
  </si>
  <si>
    <t>Other non current liabilities</t>
  </si>
  <si>
    <t>Balance check</t>
  </si>
  <si>
    <t>Straight-line</t>
  </si>
  <si>
    <t>WORKING CAPITAL SCHEDULE</t>
  </si>
  <si>
    <t>Change in Working Capital</t>
  </si>
  <si>
    <t>Other Assets</t>
  </si>
  <si>
    <t>Accounts Payable</t>
  </si>
  <si>
    <t>Other Liabilities</t>
  </si>
  <si>
    <t>Net Working Capital</t>
  </si>
  <si>
    <t>Days per Year (days)</t>
  </si>
  <si>
    <t xml:space="preserve">Cost of Revenue </t>
  </si>
  <si>
    <t>Income Statement Items ($mm)</t>
  </si>
  <si>
    <t>Days In (days)</t>
  </si>
  <si>
    <t>Account Balances ($mm)</t>
  </si>
  <si>
    <t>WC Schedule</t>
  </si>
  <si>
    <t>PP&amp;E Schedule</t>
  </si>
  <si>
    <t>Average</t>
  </si>
  <si>
    <t>Amount Outstanding - Beginning</t>
  </si>
  <si>
    <t>Retained Earnings</t>
  </si>
  <si>
    <t>5 year avg</t>
  </si>
  <si>
    <t>Share Price (Assuming constant share price)</t>
  </si>
  <si>
    <t>Shares Purchased</t>
  </si>
  <si>
    <t>DEBT AND INTEREST SCHEDULE</t>
  </si>
  <si>
    <t>SHAREHOLDERS EQUITY SCHEDULE</t>
  </si>
  <si>
    <t>SHARES OUTSTANDING</t>
  </si>
  <si>
    <t>Minimum cash as % of Rev</t>
  </si>
  <si>
    <t>End of Period</t>
  </si>
  <si>
    <t>Revenue growth rate</t>
  </si>
  <si>
    <t>Cash From Operating Activities</t>
  </si>
  <si>
    <t>Cash From Investing Activities</t>
  </si>
  <si>
    <t>Cash From Financing Activities</t>
  </si>
  <si>
    <t>INCOME TAX SCHEDULE</t>
  </si>
  <si>
    <t>EBT</t>
  </si>
  <si>
    <t>Beginning NOL Balance:</t>
  </si>
  <si>
    <t>(-) NOLs Used:</t>
  </si>
  <si>
    <t>Ending NOL Balance:</t>
  </si>
  <si>
    <t>Taxes</t>
  </si>
  <si>
    <t>NOL-Adjusted EBT</t>
  </si>
  <si>
    <t>EBITDA</t>
  </si>
  <si>
    <t>SBC</t>
  </si>
  <si>
    <t>Cash &amp; Marketable Securities</t>
  </si>
  <si>
    <t>Interest Rate</t>
  </si>
  <si>
    <t>Interest income (Notes table)</t>
  </si>
  <si>
    <t>2030 Senior Note</t>
  </si>
  <si>
    <t>2034 Senior Note</t>
  </si>
  <si>
    <t>2054 Senior Note</t>
  </si>
  <si>
    <t>2027 Senior Note</t>
  </si>
  <si>
    <t>2028 Senior Note</t>
  </si>
  <si>
    <t>2029 Senior Note</t>
  </si>
  <si>
    <t>2025 Convertible Note</t>
  </si>
  <si>
    <t>2028 Convertible Note</t>
  </si>
  <si>
    <t>Debt</t>
  </si>
  <si>
    <t>Total  Debt</t>
  </si>
  <si>
    <t xml:space="preserve">Interest Expense </t>
  </si>
  <si>
    <t>Debt Repayment</t>
  </si>
  <si>
    <t>Debt Schedule</t>
  </si>
  <si>
    <t>CAPEX</t>
  </si>
  <si>
    <t>Revolver</t>
  </si>
  <si>
    <t>Long term debt repayment</t>
  </si>
  <si>
    <t>Share repurchases</t>
  </si>
  <si>
    <t>Net Change in Cash During Period</t>
  </si>
  <si>
    <t>PP&amp;E schedule</t>
  </si>
  <si>
    <t>PROPERTY, PLANT &amp; EQUIPMENT +  OTHER ASSETS</t>
  </si>
  <si>
    <t>Less D&amp;A not related to PP&amp;E</t>
  </si>
  <si>
    <t>Additions</t>
  </si>
  <si>
    <t>REVOLVER</t>
  </si>
  <si>
    <t>Cash at beginning of period (BOP)</t>
  </si>
  <si>
    <t>Less: Minimum cash balance</t>
  </si>
  <si>
    <t>Equals: Cash available (needed) to pay down (draw from) revolver</t>
  </si>
  <si>
    <t>Commercial paper / Revolver</t>
  </si>
  <si>
    <t>Draw / (paydown)</t>
  </si>
  <si>
    <t>Discretionary borrowing / (paydown)</t>
  </si>
  <si>
    <t>Plus: FCFs generated during period</t>
  </si>
  <si>
    <t>Long-term debt, including current portion</t>
  </si>
  <si>
    <t>Unamortized discount and issuance costs</t>
  </si>
  <si>
    <t>Interest  (expense) from IS</t>
  </si>
  <si>
    <t>Interest rate</t>
  </si>
  <si>
    <t>End of period balance</t>
  </si>
  <si>
    <t>Additions to other assets</t>
  </si>
  <si>
    <t>Cost of Revenue</t>
  </si>
  <si>
    <t>Gross margin</t>
  </si>
  <si>
    <t>Growth rate</t>
  </si>
  <si>
    <t>Take rate</t>
  </si>
  <si>
    <t xml:space="preserve">Upside </t>
  </si>
  <si>
    <t xml:space="preserve">Base </t>
  </si>
  <si>
    <t>Downside</t>
  </si>
  <si>
    <t>Monthly Active Platform Consumers (MAPC) (MMs)</t>
  </si>
  <si>
    <t>Trips (MMs)</t>
  </si>
  <si>
    <t>Trips/MAPC</t>
  </si>
  <si>
    <t>Average Bookings/Trip</t>
  </si>
  <si>
    <t>Upside</t>
  </si>
  <si>
    <t>Gross bookings (MMs) (less Freight bookings)</t>
  </si>
  <si>
    <t>Mobility % of Revenue</t>
  </si>
  <si>
    <t>Delivery % of Revenue</t>
  </si>
  <si>
    <t>Other Cost of Revenue</t>
  </si>
  <si>
    <t>% of total rev</t>
  </si>
  <si>
    <t>Mobility Cost of Revenue</t>
  </si>
  <si>
    <t>Delivery Cost of Revenue</t>
  </si>
  <si>
    <t>Freight Cost of Revenue</t>
  </si>
  <si>
    <t>Total Cost of revenue</t>
  </si>
  <si>
    <t>REVENUE &amp; COST OF REVENUE SCHEDULE</t>
  </si>
  <si>
    <t>Total Market Freight Revenue</t>
  </si>
  <si>
    <t>Mobility and Delivery Scenario</t>
  </si>
  <si>
    <t>Freight Scenario</t>
  </si>
  <si>
    <t>Market Share</t>
  </si>
  <si>
    <t>FCFF</t>
  </si>
  <si>
    <t>Valuation Date / Fiscal Year-End</t>
  </si>
  <si>
    <t>Date for NPV Calculation</t>
  </si>
  <si>
    <t>Year Fraction</t>
  </si>
  <si>
    <t>EBITDA (Excluding SBC)</t>
  </si>
  <si>
    <t>Free Cash Flow to Firm (FCFF)</t>
  </si>
  <si>
    <t>Terminal Value</t>
  </si>
  <si>
    <t>Terminal Value: Exit Multiple</t>
  </si>
  <si>
    <t>Terminal Value: Perpetual Growth</t>
  </si>
  <si>
    <t>Valuation EBITDA</t>
  </si>
  <si>
    <t>Terminal Value EBITDA</t>
  </si>
  <si>
    <t>Valuation FCFF</t>
  </si>
  <si>
    <t>Terminal Value FCFF</t>
  </si>
  <si>
    <t>EV/EBITDA Exit Multiple</t>
  </si>
  <si>
    <t>WACC</t>
  </si>
  <si>
    <t>Current Price</t>
  </si>
  <si>
    <t>Long Term Growth Rate</t>
  </si>
  <si>
    <t>Exit Multiple</t>
  </si>
  <si>
    <t>NPV - Future Cash Flows</t>
  </si>
  <si>
    <t>NPV - Terminal Value</t>
  </si>
  <si>
    <t>Enterprise Value</t>
  </si>
  <si>
    <t>Less: Net Debt</t>
  </si>
  <si>
    <t>Equity Value</t>
  </si>
  <si>
    <t>Shares Outstanding (MM)</t>
  </si>
  <si>
    <t>Equity Value per Share</t>
  </si>
  <si>
    <t>Shares Repurchased</t>
  </si>
  <si>
    <t>Shares Granted (RSU/Options)</t>
  </si>
  <si>
    <t>Options</t>
  </si>
  <si>
    <t>RSUs</t>
  </si>
  <si>
    <t>Outstanding</t>
  </si>
  <si>
    <t>Current Share Price</t>
  </si>
  <si>
    <t>Total</t>
  </si>
  <si>
    <t>Granted</t>
  </si>
  <si>
    <t>Vested</t>
  </si>
  <si>
    <t>Cancelled/Forfeited</t>
  </si>
  <si>
    <t>Exercised</t>
  </si>
  <si>
    <t xml:space="preserve">% Vested </t>
  </si>
  <si>
    <t>% Cancelled</t>
  </si>
  <si>
    <t>Avg Granted</t>
  </si>
  <si>
    <t xml:space="preserve">% Exercised </t>
  </si>
  <si>
    <t>Shopify Inc.</t>
  </si>
  <si>
    <t>SHOP</t>
  </si>
  <si>
    <t>Zillow Group, Inc.</t>
  </si>
  <si>
    <t>ZG</t>
  </si>
  <si>
    <t>Etsy, Inc.</t>
  </si>
  <si>
    <t>ETSY</t>
  </si>
  <si>
    <t>Name</t>
  </si>
  <si>
    <t>Ticker</t>
  </si>
  <si>
    <t>eBay Inc.</t>
  </si>
  <si>
    <t>EBAY</t>
  </si>
  <si>
    <t>Comparable Companies</t>
  </si>
  <si>
    <t>LYFT</t>
  </si>
  <si>
    <t>ABNB</t>
  </si>
  <si>
    <t>DASH</t>
  </si>
  <si>
    <t>Airbnb, Inc.</t>
  </si>
  <si>
    <t>DoorDash, Inc.</t>
  </si>
  <si>
    <t>Lyft, Inc.</t>
  </si>
  <si>
    <t>Mkt. Val.</t>
  </si>
  <si>
    <t>Debt /</t>
  </si>
  <si>
    <t>Levered</t>
  </si>
  <si>
    <t>Unlevered</t>
  </si>
  <si>
    <t>Capital</t>
  </si>
  <si>
    <t>Beta</t>
  </si>
  <si>
    <t>Beta (5-Yr)</t>
  </si>
  <si>
    <t>Median</t>
  </si>
  <si>
    <t>Rate</t>
  </si>
  <si>
    <t>Tax</t>
  </si>
  <si>
    <t>Total Debt</t>
  </si>
  <si>
    <t>Mkt. Val. Equity</t>
  </si>
  <si>
    <t>Current Debt Proportion</t>
  </si>
  <si>
    <t>Current Equity Proportion</t>
  </si>
  <si>
    <t xml:space="preserve">Equity / </t>
  </si>
  <si>
    <t>Comparables Median Debt Proportion</t>
  </si>
  <si>
    <t>Comparables Median Equity Proportion</t>
  </si>
  <si>
    <t>Cost of Equity</t>
  </si>
  <si>
    <t>Cost of Debt</t>
  </si>
  <si>
    <t>Pre-Tax Cost of Debt</t>
  </si>
  <si>
    <t>After-Tax Cost of Debt</t>
  </si>
  <si>
    <t>Weghted Avg int rate</t>
  </si>
  <si>
    <t>Risk Free Rate</t>
  </si>
  <si>
    <t>Capital Structure</t>
  </si>
  <si>
    <t>Equity Risk Premium</t>
  </si>
  <si>
    <t>WACC (Indsutry Method)</t>
  </si>
  <si>
    <t>Cost of Equity (Current)</t>
  </si>
  <si>
    <t>Cost of Equity (Inudstry Method)</t>
  </si>
  <si>
    <t>WACC (Current)</t>
  </si>
  <si>
    <t>Beta (Observed)</t>
  </si>
  <si>
    <t>Industry Median Beta</t>
  </si>
  <si>
    <t>Beta (Re-levered)</t>
  </si>
  <si>
    <t xml:space="preserve">Average WACC </t>
  </si>
  <si>
    <t xml:space="preserve">Valuation </t>
  </si>
  <si>
    <t>Sensitivity Tables</t>
  </si>
  <si>
    <t>Exit EBITDA Multiple</t>
  </si>
  <si>
    <t xml:space="preserve">Premium (Discount) </t>
  </si>
  <si>
    <t>LT Growth Rate</t>
  </si>
  <si>
    <t>3-Statement Model + Supporting Schedules</t>
  </si>
  <si>
    <t>Valuation</t>
  </si>
  <si>
    <t>DCF Analysis + WACC Calculation</t>
  </si>
  <si>
    <t>Font Guide</t>
  </si>
  <si>
    <t>Blue</t>
  </si>
  <si>
    <t>Color</t>
  </si>
  <si>
    <t>Meaning</t>
  </si>
  <si>
    <r>
      <t xml:space="preserve">D&amp;A </t>
    </r>
    <r>
      <rPr>
        <u/>
        <sz val="10"/>
        <color theme="1"/>
        <rFont val="Aptos Narrow"/>
        <family val="2"/>
        <scheme val="minor"/>
      </rPr>
      <t>not</t>
    </r>
    <r>
      <rPr>
        <sz val="10"/>
        <color theme="1"/>
        <rFont val="Aptos Narrow"/>
        <family val="2"/>
        <scheme val="minor"/>
      </rPr>
      <t xml:space="preserve"> related to PP&amp;E</t>
    </r>
  </si>
  <si>
    <t>UBER 3-Statement Model and Supporting Schedules</t>
  </si>
  <si>
    <r>
      <t>WACC (</t>
    </r>
    <r>
      <rPr>
        <b/>
        <i/>
        <sz val="10"/>
        <color theme="0"/>
        <rFont val="Aptos Narrow"/>
        <family val="2"/>
        <scheme val="minor"/>
      </rPr>
      <t>Amounts in Billions</t>
    </r>
    <r>
      <rPr>
        <b/>
        <sz val="10"/>
        <color theme="0"/>
        <rFont val="Aptos Narrow"/>
        <family val="2"/>
        <scheme val="minor"/>
      </rPr>
      <t>)</t>
    </r>
  </si>
  <si>
    <t>Black</t>
  </si>
  <si>
    <t>Hardcoded values</t>
  </si>
  <si>
    <t>Calculations or cell references</t>
  </si>
  <si>
    <t>Mobility + Delivery Revenue</t>
  </si>
  <si>
    <t>SUPPORTING SCHEDULES</t>
  </si>
  <si>
    <t>Low</t>
  </si>
  <si>
    <t>Diff.</t>
  </si>
  <si>
    <t>High</t>
  </si>
  <si>
    <t>52 Week Market High/Low</t>
  </si>
  <si>
    <t>Valuation Summary</t>
  </si>
  <si>
    <t>Exit Multiple Method</t>
  </si>
  <si>
    <t>Average Equity Value per Share</t>
  </si>
  <si>
    <t>Base</t>
  </si>
  <si>
    <t>Premium (Discount)</t>
  </si>
  <si>
    <t>FCFF Method</t>
  </si>
  <si>
    <t>Relative Performance</t>
  </si>
  <si>
    <t>vs S&amp;P 500 1yr</t>
  </si>
  <si>
    <t>Key Information</t>
  </si>
  <si>
    <t>Forecasted Financials</t>
  </si>
  <si>
    <t>Uber, Inc.</t>
  </si>
  <si>
    <t>P/E Ratio:</t>
  </si>
  <si>
    <t>Sector:</t>
  </si>
  <si>
    <t>EV/EBITDA:</t>
  </si>
  <si>
    <t>EV/Sales:</t>
  </si>
  <si>
    <t>Avg Volume (20-day):</t>
  </si>
  <si>
    <t>Market Cap:</t>
  </si>
  <si>
    <t>Enterprise Value:</t>
  </si>
  <si>
    <t xml:space="preserve">Mobile/Delivery Scenario Running: </t>
  </si>
  <si>
    <t>Freight Scenario Running</t>
  </si>
  <si>
    <t>Change on "Model" tab</t>
  </si>
  <si>
    <t>Football Field Chart</t>
  </si>
  <si>
    <t>low</t>
  </si>
  <si>
    <t>low2</t>
  </si>
  <si>
    <t>high</t>
  </si>
  <si>
    <t>high2</t>
  </si>
  <si>
    <t>52-Week Range</t>
  </si>
  <si>
    <t>Sensitivity Analysis</t>
  </si>
  <si>
    <t>Weights: 50% base, 25% upside/downside</t>
  </si>
  <si>
    <t>Schedule</t>
  </si>
  <si>
    <t>Rev growth rate</t>
  </si>
  <si>
    <t>NOL schedule</t>
  </si>
  <si>
    <t>8.64M</t>
  </si>
  <si>
    <t>$156.86B</t>
  </si>
  <si>
    <t>Key Information + Valuation Summary</t>
  </si>
  <si>
    <t>Industrials</t>
  </si>
  <si>
    <t>Three Statement Model and DCF</t>
  </si>
  <si>
    <t>$159.49B</t>
  </si>
  <si>
    <t>Valuation Date:</t>
  </si>
  <si>
    <t>Amounts in Millions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</si>
</sst>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3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0_);\(#,##0\)"/>
    <numFmt numFmtId="165" formatCode="#,##0.0%_);\(#,##0.0%\)"/>
    <numFmt numFmtId="166" formatCode="0.0\ \x"/>
    <numFmt numFmtId="167" formatCode="#,##0.00\ ;\(#,##0.00\)"/>
    <numFmt numFmtId="168" formatCode="&quot;$&quot;#,##0.00\ ;\(&quot;$&quot;#,##0.00\)"/>
    <numFmt numFmtId="169" formatCode="0.0%_);\(0.0%\)"/>
    <numFmt numFmtId="170" formatCode="0.000\ \x&quot;rate&quot;"/>
    <numFmt numFmtId="171" formatCode="#,##0.000_);[Red]\(#,##0.000\)"/>
    <numFmt numFmtId="172" formatCode="0.00_);\(0.00\);0.00"/>
    <numFmt numFmtId="173" formatCode="\C&quot;$&quot;#,##0.00_);[Red]\(&quot;$&quot;#,##0.00\)"/>
    <numFmt numFmtId="174" formatCode="#,##0%_);\(#,##0.0%\)"/>
    <numFmt numFmtId="175" formatCode="_(* #,##0.00000000_);_(* \(#,##0.00000000\);_(* &quot;-&quot;?_);_(@_)"/>
    <numFmt numFmtId="176" formatCode="mmm\-d\-yyyy"/>
    <numFmt numFmtId="177" formatCode="mmm\-yyyy"/>
    <numFmt numFmtId="178" formatCode="yyyy"/>
    <numFmt numFmtId="179" formatCode="0.00\x&quot;rate&quot;"/>
    <numFmt numFmtId="180" formatCode="0.0&quot;  &quot;"/>
    <numFmt numFmtId="181" formatCode="&quot;$&quot;#,##0.0\ ;[Red]\(&quot;$&quot;#,##0\)"/>
    <numFmt numFmtId="182" formatCode="&quot;$&quot;#,##0.000_);[Red]\(&quot;$&quot;#,##0.000\)"/>
    <numFmt numFmtId="183" formatCode="&quot;$&quot;#,##0.00&quot;A&quot;;[Red]\(&quot;$&quot;#,##0.00\)&quot;A&quot;"/>
    <numFmt numFmtId="184" formatCode="#,##0.0\ ;[Red]\(&quot;$&quot;#,##0\)"/>
    <numFmt numFmtId="185" formatCode="&quot;$&quot;#,##0.00&quot;E&quot;;[Red]\(&quot;$&quot;#,##0.00\)&quot;E&quot;"/>
    <numFmt numFmtId="186" formatCode="_([$€-2]* #,##0.00_);_([$€-2]* \(#,##0.00\);_([$€-2]* &quot;-&quot;??_)"/>
    <numFmt numFmtId="187" formatCode="#,##0.00;\(#,##0.00\)"/>
    <numFmt numFmtId="188" formatCode=".%\,\(0.0%%;\t"/>
    <numFmt numFmtId="189" formatCode="#,##0.0_);[Red]\(#,##0.0\)"/>
    <numFmt numFmtId="190" formatCode="0.0%_);[Red]\(0.0%\)"/>
    <numFmt numFmtId="191" formatCode="0.00_);\(0.00\);0.00_)"/>
    <numFmt numFmtId="192" formatCode="0.0%"/>
    <numFmt numFmtId="193" formatCode="#,##0\x"/>
    <numFmt numFmtId="194" formatCode="&quot;TKR&quot;\ 0"/>
    <numFmt numFmtId="195" formatCode=".%\,\(0.%%;\t"/>
    <numFmt numFmtId="196" formatCode="&quot;$&quot;#,###.0\ \ "/>
    <numFmt numFmtId="197" formatCode="#,##0.00\x_);[Red]\(#,##0.00\x\)"/>
    <numFmt numFmtId="198" formatCode="#,##0.0_);\(#,##0.0\)"/>
    <numFmt numFmtId="199" formatCode="#,##0.000_);\(#,##0.000\)"/>
    <numFmt numFmtId="200" formatCode="#,##0.00\x_);[Red]\(#,##0.00\x\);&quot;--  &quot;"/>
    <numFmt numFmtId="201" formatCode="_(* #,##0.0_);_(* \(#,##0.0\);_(* &quot;-&quot;??_);_(@_)"/>
    <numFmt numFmtId="202" formatCode="0.0\x_);[Red]\(0.0\x\)"/>
    <numFmt numFmtId="203" formatCode="0.0\ "/>
    <numFmt numFmtId="204" formatCode="&quot;$&quot;#,##0.0;\(&quot;$&quot;#,##0.00\)"/>
    <numFmt numFmtId="205" formatCode="#,##0.00%_);\(#,##0.00%\)"/>
    <numFmt numFmtId="206" formatCode="0.00\%;\-0.00\%;0.00\%"/>
    <numFmt numFmtId="207" formatCode="0.0%\ ;\(0.0%\)"/>
    <numFmt numFmtId="208" formatCode="_(&quot;$&quot;* #,##0_);_(&quot;$&quot;* \(#,##0\);_(&quot;$&quot;* &quot;-&quot;??_);_(@_)"/>
    <numFmt numFmtId="209" formatCode="&quot;$&quot;0.00\ "/>
    <numFmt numFmtId="210" formatCode="0.0\ \ \ \ \ "/>
    <numFmt numFmtId="211" formatCode="0.00\x;\-0.00\x;0.00\x"/>
    <numFmt numFmtId="212" formatCode="&quot;$&quot;#,##0.000_);\(&quot;$&quot;#,##0.000\)"/>
    <numFmt numFmtId="213" formatCode="#,##0.0_);\(#,##0.0\);_(* &quot;-&quot;_)"/>
    <numFmt numFmtId="214" formatCode="_(&quot;$&quot;* #,##0.00_);_(&quot;$&quot;* \(#,##0.00\);_(* &quot;-&quot;_);_(@_)"/>
    <numFmt numFmtId="215" formatCode="0.00%_);[Red]\(0.00%\)"/>
    <numFmt numFmtId="216" formatCode="#,##0.0\x_);\(#,##0.0\x\)"/>
    <numFmt numFmtId="217" formatCode="#,##0.00\x_);\(#,##0.00\x\)"/>
    <numFmt numFmtId="218" formatCode="###0&quot;E&quot;_)"/>
    <numFmt numFmtId="219" formatCode="[&gt;1]&quot;10Q: &quot;0&quot; qtrs&quot;;&quot;10Q: &quot;0&quot; qtr&quot;"/>
    <numFmt numFmtId="220" formatCode="&quot;$&quot;#,##0.00_);[Red]\(&quot;$&quot;#,##0.00\);&quot;--  &quot;;_(@_)"/>
    <numFmt numFmtId="221" formatCode="mmm\-dd\-yy"/>
    <numFmt numFmtId="222" formatCode="mmm\-dd\-yyyy"/>
    <numFmt numFmtId="223" formatCode="#,##0.0_);[Red]\(#,##0.0\);&quot;--  &quot;"/>
    <numFmt numFmtId="224" formatCode="0.00\x"/>
    <numFmt numFmtId="225" formatCode="0.0&quot; years&quot;"/>
    <numFmt numFmtId="226" formatCode="0.0"/>
    <numFmt numFmtId="227" formatCode="_(* #,##0_);_(* \(#,##0\);_(* &quot;-&quot;??_);_(@_)"/>
    <numFmt numFmtId="228" formatCode="&quot;$&quot;#,##0;\-&quot;$&quot;#,##0"/>
    <numFmt numFmtId="229" formatCode="&quot;$&quot;#,##0.00_);\(&quot;$&quot;#,##0.00\);@_)"/>
    <numFmt numFmtId="230" formatCode="0.0\x_);\(0.0\x\);@_)"/>
  </numFmts>
  <fonts count="115">
    <font>
      <sz val="10"/>
      <color theme="1"/>
      <name val="Arial Nova"/>
      <family val="2"/>
    </font>
    <font>
      <sz val="10"/>
      <color theme="1"/>
      <name val="Arial Nova"/>
      <family val="2"/>
    </font>
    <font>
      <sz val="11"/>
      <color theme="1"/>
      <name val="Aptos Narrow"/>
      <family val="2"/>
      <scheme val="minor"/>
    </font>
    <font>
      <sz val="10"/>
      <name val="GillSans"/>
    </font>
    <font>
      <sz val="8"/>
      <color indexed="49"/>
      <name val="Times New Roman"/>
      <family val="1"/>
    </font>
    <font>
      <sz val="10"/>
      <name val="Arial"/>
      <family val="2"/>
    </font>
    <font>
      <sz val="10"/>
      <name val="Trebuchet MS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sz val="8"/>
      <name val="Times New Roman"/>
      <family val="1"/>
    </font>
    <font>
      <sz val="10"/>
      <name val="Times New Roman"/>
      <family val="1"/>
    </font>
    <font>
      <b/>
      <sz val="18"/>
      <name val="Tms Rmn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sz val="7"/>
      <name val="GillSans"/>
    </font>
    <font>
      <sz val="10"/>
      <name val="Geneva"/>
    </font>
    <font>
      <sz val="24"/>
      <name val="Arial"/>
      <family val="2"/>
    </font>
    <font>
      <sz val="8"/>
      <name val="Arial"/>
      <family val="2"/>
    </font>
    <font>
      <sz val="10"/>
      <name val="Helvetica"/>
      <family val="2"/>
    </font>
    <font>
      <b/>
      <sz val="8"/>
      <name val="Arial"/>
      <family val="2"/>
    </font>
    <font>
      <b/>
      <sz val="8"/>
      <name val="Times New Roman"/>
      <family val="1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i/>
      <sz val="8"/>
      <color indexed="17"/>
      <name val="Times New Roman"/>
      <family val="1"/>
    </font>
    <font>
      <sz val="8"/>
      <color indexed="21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0"/>
      <color indexed="12"/>
      <name val="Trebuchet MS"/>
      <family val="2"/>
    </font>
    <font>
      <sz val="10"/>
      <name val="MS Sans Serif"/>
      <family val="2"/>
    </font>
    <font>
      <sz val="11"/>
      <color indexed="62"/>
      <name val="Calibri"/>
      <family val="2"/>
    </font>
    <font>
      <b/>
      <sz val="10"/>
      <color indexed="9"/>
      <name val="Tms Rmn"/>
    </font>
    <font>
      <b/>
      <sz val="10"/>
      <name val="Arial"/>
      <family val="2"/>
    </font>
    <font>
      <sz val="11"/>
      <color indexed="52"/>
      <name val="Calibri"/>
      <family val="2"/>
    </font>
    <font>
      <sz val="8"/>
      <color indexed="18"/>
      <name val="Times New Roman"/>
      <family val="1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0"/>
      <name val="Palatino"/>
    </font>
    <font>
      <sz val="12"/>
      <name val="Baskerville MT"/>
    </font>
    <font>
      <u/>
      <sz val="10"/>
      <name val="GillSans"/>
      <family val="2"/>
    </font>
    <font>
      <sz val="10"/>
      <name val="GillSans Light"/>
    </font>
    <font>
      <b/>
      <sz val="12"/>
      <name val="Arial"/>
      <family val="2"/>
    </font>
    <font>
      <b/>
      <sz val="16"/>
      <name val="Arial"/>
      <family val="2"/>
    </font>
    <font>
      <sz val="8"/>
      <name val="MS Sans Serif"/>
      <family val="2"/>
    </font>
    <font>
      <sz val="8.25"/>
      <color indexed="8"/>
      <name val="Arial"/>
      <family val="2"/>
    </font>
    <font>
      <b/>
      <u val="singleAccounting"/>
      <sz val="8"/>
      <color indexed="8"/>
      <name val="Arial"/>
      <family val="2"/>
    </font>
    <font>
      <sz val="8"/>
      <color indexed="8"/>
      <name val="Arial"/>
      <family val="2"/>
    </font>
    <font>
      <sz val="8"/>
      <color indexed="39"/>
      <name val="Arial"/>
      <family val="2"/>
    </font>
    <font>
      <sz val="7"/>
      <name val="Times New Roman"/>
      <family val="1"/>
    </font>
    <font>
      <sz val="7"/>
      <color indexed="17"/>
      <name val="Times New Roman"/>
      <family val="1"/>
    </font>
    <font>
      <sz val="7"/>
      <color indexed="18"/>
      <name val="Times New Roman"/>
      <family val="1"/>
    </font>
    <font>
      <b/>
      <sz val="12"/>
      <name val="GillSans"/>
      <family val="2"/>
    </font>
    <font>
      <b/>
      <sz val="18"/>
      <color indexed="56"/>
      <name val="Cambria"/>
      <family val="2"/>
    </font>
    <font>
      <b/>
      <sz val="11"/>
      <name val="GillSans"/>
    </font>
    <font>
      <b/>
      <sz val="8"/>
      <color indexed="18"/>
      <name val="Times New Roman"/>
      <family val="1"/>
    </font>
    <font>
      <i/>
      <sz val="8"/>
      <name val="Times New Roman"/>
      <family val="1"/>
    </font>
    <font>
      <u/>
      <sz val="11"/>
      <name val="GillSans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8"/>
      <name val="Arial"/>
      <family val="2"/>
    </font>
    <font>
      <b/>
      <sz val="8"/>
      <color indexed="8"/>
      <name val="Verdana"/>
      <family val="2"/>
    </font>
    <font>
      <sz val="8"/>
      <color indexed="12"/>
      <name val="Arial"/>
      <family val="2"/>
    </font>
    <font>
      <sz val="1"/>
      <color indexed="9"/>
      <name val="Symbol"/>
      <family val="1"/>
      <charset val="2"/>
    </font>
    <font>
      <sz val="11"/>
      <color indexed="8"/>
      <name val="Aptos Narrow"/>
      <family val="2"/>
      <scheme val="minor"/>
    </font>
    <font>
      <b/>
      <u val="singleAccounting"/>
      <sz val="8"/>
      <color indexed="8"/>
      <name val="Verdana"/>
      <family val="2"/>
    </font>
    <font>
      <b/>
      <sz val="10"/>
      <color indexed="9"/>
      <name val="Arial"/>
      <family val="2"/>
    </font>
    <font>
      <b/>
      <sz val="12"/>
      <color indexed="8"/>
      <name val="Verdana"/>
      <family val="2"/>
    </font>
    <font>
      <sz val="8"/>
      <color indexed="10"/>
      <name val="Arial"/>
      <family val="2"/>
    </font>
    <font>
      <b/>
      <sz val="8"/>
      <color indexed="9"/>
      <name val="Verdana"/>
      <family val="2"/>
    </font>
    <font>
      <vertAlign val="subscript"/>
      <sz val="8"/>
      <color indexed="8"/>
      <name val="Arial"/>
      <family val="2"/>
    </font>
    <font>
      <vertAlign val="superscript"/>
      <sz val="8"/>
      <color indexed="8"/>
      <name val="Arial"/>
      <family val="2"/>
    </font>
    <font>
      <b/>
      <sz val="8"/>
      <color indexed="8"/>
      <name val="Arial"/>
      <family val="2"/>
    </font>
    <font>
      <i/>
      <sz val="8"/>
      <color indexed="8"/>
      <name val="Arial"/>
      <family val="2"/>
    </font>
    <font>
      <b/>
      <sz val="13"/>
      <color indexed="8"/>
      <name val="Verdana"/>
      <family val="2"/>
    </font>
    <font>
      <i/>
      <sz val="10"/>
      <color theme="1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i/>
      <sz val="10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color theme="1"/>
      <name val="Arial Nova"/>
      <family val="2"/>
    </font>
    <font>
      <sz val="10"/>
      <color theme="0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0"/>
      <color rgb="FF0000FF"/>
      <name val="Aptos Narrow"/>
      <family val="2"/>
      <scheme val="minor"/>
    </font>
    <font>
      <i/>
      <sz val="10"/>
      <color rgb="FF0000FF"/>
      <name val="Aptos Narrow"/>
      <family val="2"/>
      <scheme val="minor"/>
    </font>
    <font>
      <i/>
      <sz val="10"/>
      <name val="Aptos Narrow"/>
      <family val="2"/>
      <scheme val="minor"/>
    </font>
    <font>
      <sz val="10"/>
      <color rgb="FF0000FF"/>
      <name val="Aptos Narrow"/>
      <family val="2"/>
      <scheme val="minor"/>
    </font>
    <font>
      <sz val="10"/>
      <name val="Aptos Narrow"/>
      <family val="2"/>
      <scheme val="minor"/>
    </font>
    <font>
      <u/>
      <sz val="10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0"/>
      <color rgb="FF000000"/>
      <name val="Aptos Narrow"/>
      <family val="2"/>
      <scheme val="minor"/>
    </font>
    <font>
      <sz val="10"/>
      <color rgb="FF000000"/>
      <name val="Aptos Narrow"/>
      <family val="2"/>
      <scheme val="minor"/>
    </font>
    <font>
      <i/>
      <sz val="10"/>
      <color rgb="FF000000"/>
      <name val="Aptos Narrow"/>
      <family val="2"/>
      <scheme val="minor"/>
    </font>
    <font>
      <b/>
      <sz val="10"/>
      <name val="Aptos Narrow"/>
      <family val="2"/>
      <scheme val="minor"/>
    </font>
    <font>
      <b/>
      <sz val="10"/>
      <name val="Arial Narrow"/>
      <family val="2"/>
    </font>
    <font>
      <sz val="10"/>
      <color rgb="FF000000"/>
      <name val="Arial Nova"/>
      <family val="2"/>
    </font>
    <font>
      <sz val="10"/>
      <color rgb="FF000000"/>
      <name val="Arial Narrow"/>
      <family val="2"/>
    </font>
    <font>
      <b/>
      <sz val="14"/>
      <color rgb="FF0000FF"/>
      <name val="Aptos Narrow"/>
      <family val="2"/>
      <scheme val="minor"/>
    </font>
    <font>
      <sz val="16"/>
      <name val="Aptos Narrow"/>
      <family val="2"/>
      <scheme val="minor"/>
    </font>
    <font>
      <b/>
      <sz val="20"/>
      <name val="Aptos Narrow"/>
      <family val="2"/>
      <scheme val="minor"/>
    </font>
    <font>
      <b/>
      <sz val="16"/>
      <name val="Aptos Narrow"/>
      <family val="2"/>
      <scheme val="minor"/>
    </font>
    <font>
      <sz val="14"/>
      <color theme="0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i/>
      <sz val="10"/>
      <color rgb="FF0000FF"/>
      <name val="Aptos Narrow"/>
      <family val="2"/>
      <scheme val="minor"/>
    </font>
    <font>
      <b/>
      <i/>
      <sz val="10"/>
      <color rgb="FF000000"/>
      <name val="Aptos Narrow"/>
      <family val="2"/>
      <scheme val="minor"/>
    </font>
    <font>
      <b/>
      <u/>
      <sz val="12"/>
      <color theme="1"/>
      <name val="Aptos Narrow"/>
      <family val="2"/>
      <scheme val="minor"/>
    </font>
    <font>
      <sz val="9"/>
      <color theme="1" tint="0.34998626667073579"/>
      <name val="Arial Nova"/>
      <family val="2"/>
    </font>
    <font>
      <b/>
      <u/>
      <sz val="10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0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lightGray">
        <fgColor indexed="12"/>
      </patternFill>
    </fill>
    <fill>
      <patternFill patternType="solid">
        <fgColor indexed="26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3"/>
      </patternFill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6"/>
      </patternFill>
    </fill>
    <fill>
      <patternFill patternType="solid">
        <fgColor indexed="61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2" tint="-0.499984740745262"/>
        <bgColor indexed="64"/>
      </patternFill>
    </fill>
  </fills>
  <borders count="5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theme="0" tint="-0.249977111117893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auto="1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hair">
        <color rgb="FF000000"/>
      </right>
      <top/>
      <bottom/>
      <diagonal/>
    </border>
    <border>
      <left/>
      <right/>
      <top/>
      <bottom style="thin">
        <color theme="1" tint="0.249977111117893"/>
      </bottom>
      <diagonal/>
    </border>
    <border>
      <left/>
      <right/>
      <top style="thin">
        <color theme="1" tint="0.249977111117893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2" tint="-0.499984740745262"/>
      </top>
      <bottom/>
      <diagonal/>
    </border>
    <border>
      <left/>
      <right/>
      <top/>
      <bottom style="thin">
        <color theme="2" tint="-0.49998474074526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theme="2" tint="-0.499984740745262"/>
      </right>
      <top style="thin">
        <color rgb="FF000000"/>
      </top>
      <bottom style="thin">
        <color theme="2" tint="-0.499984740745262"/>
      </bottom>
      <diagonal/>
    </border>
    <border>
      <left/>
      <right style="dotted">
        <color theme="0" tint="-0.14999847407452621"/>
      </right>
      <top/>
      <bottom/>
      <diagonal/>
    </border>
    <border>
      <left/>
      <right style="dotted">
        <color theme="0" tint="-0.14999847407452621"/>
      </right>
      <top/>
      <bottom style="thin">
        <color theme="1" tint="0.249977111117893"/>
      </bottom>
      <diagonal/>
    </border>
    <border>
      <left/>
      <right style="dotted">
        <color theme="0" tint="-0.14999847407452621"/>
      </right>
      <top/>
      <bottom style="thin">
        <color indexed="64"/>
      </bottom>
      <diagonal/>
    </border>
    <border>
      <left/>
      <right style="dotted">
        <color theme="0" tint="-0.14999847407452621"/>
      </right>
      <top style="thin">
        <color theme="1" tint="0.249977111117893"/>
      </top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215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3" fillId="0" borderId="0"/>
    <xf numFmtId="164" fontId="3" fillId="0" borderId="0">
      <alignment horizontal="right"/>
    </xf>
    <xf numFmtId="165" fontId="3" fillId="7" borderId="0"/>
    <xf numFmtId="166" fontId="3" fillId="7" borderId="0"/>
    <xf numFmtId="167" fontId="3" fillId="7" borderId="0"/>
    <xf numFmtId="168" fontId="3" fillId="7" borderId="0">
      <alignment horizontal="right"/>
    </xf>
    <xf numFmtId="169" fontId="4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170" fontId="6" fillId="0" borderId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5" borderId="0" applyNumberFormat="0" applyBorder="0" applyAlignment="0" applyProtection="0"/>
    <xf numFmtId="0" fontId="6" fillId="0" borderId="0"/>
    <xf numFmtId="0" fontId="9" fillId="9" borderId="0" applyNumberFormat="0" applyBorder="0" applyAlignment="0" applyProtection="0"/>
    <xf numFmtId="171" fontId="10" fillId="0" borderId="0" applyFont="0" applyFill="0" applyBorder="0" applyAlignment="0" applyProtection="0"/>
    <xf numFmtId="38" fontId="10" fillId="0" borderId="0" applyFill="0" applyBorder="0" applyAlignment="0" applyProtection="0">
      <protection locked="0"/>
    </xf>
    <xf numFmtId="0" fontId="11" fillId="0" borderId="0"/>
    <xf numFmtId="37" fontId="12" fillId="0" borderId="0">
      <alignment horizontal="centerContinuous"/>
    </xf>
    <xf numFmtId="0" fontId="13" fillId="26" borderId="5" applyNumberFormat="0" applyAlignment="0" applyProtection="0"/>
    <xf numFmtId="171" fontId="10" fillId="0" borderId="0" applyFont="0" applyFill="0" applyBorder="0" applyAlignment="0" applyProtection="0">
      <protection locked="0"/>
    </xf>
    <xf numFmtId="171" fontId="10" fillId="0" borderId="6" applyFont="0" applyFill="0" applyAlignment="0" applyProtection="0"/>
    <xf numFmtId="0" fontId="14" fillId="27" borderId="7" applyNumberFormat="0" applyAlignment="0" applyProtection="0"/>
    <xf numFmtId="0" fontId="5" fillId="0" borderId="0">
      <alignment horizontal="center" wrapText="1"/>
      <protection hidden="1"/>
    </xf>
    <xf numFmtId="0" fontId="15" fillId="0" borderId="3" applyNumberFormat="0" applyFill="0" applyBorder="0" applyProtection="0">
      <alignment horizontal="left" vertical="center"/>
    </xf>
    <xf numFmtId="0" fontId="15" fillId="0" borderId="3" applyNumberFormat="0" applyFill="0" applyBorder="0" applyProtection="0">
      <alignment horizontal="right" vertical="center"/>
    </xf>
    <xf numFmtId="43" fontId="5" fillId="0" borderId="0" applyFont="0" applyFill="0" applyBorder="0" applyAlignment="0" applyProtection="0"/>
    <xf numFmtId="37" fontId="16" fillId="0" borderId="0" applyFont="0" applyFill="0" applyBorder="0" applyAlignment="0" applyProtection="0"/>
    <xf numFmtId="39" fontId="16" fillId="0" borderId="0" applyFont="0" applyFill="0" applyBorder="0" applyAlignment="0" applyProtection="0"/>
    <xf numFmtId="0" fontId="17" fillId="28" borderId="0">
      <alignment horizontal="center" vertical="center" wrapText="1"/>
    </xf>
    <xf numFmtId="172" fontId="5" fillId="0" borderId="0" applyFill="0" applyBorder="0">
      <alignment horizontal="right"/>
      <protection locked="0"/>
    </xf>
    <xf numFmtId="0" fontId="18" fillId="0" borderId="0" applyFont="0" applyFill="0" applyBorder="0" applyAlignment="0"/>
    <xf numFmtId="7" fontId="19" fillId="0" borderId="0" applyFont="0" applyFill="0" applyBorder="0" applyAlignment="0" applyProtection="0"/>
    <xf numFmtId="5" fontId="16" fillId="0" borderId="0" applyFont="0" applyFill="0" applyBorder="0" applyAlignment="0" applyProtection="0"/>
    <xf numFmtId="173" fontId="6" fillId="0" borderId="0" applyFill="0" applyBorder="0" applyProtection="0">
      <alignment horizontal="right"/>
    </xf>
    <xf numFmtId="174" fontId="3" fillId="7" borderId="1">
      <alignment horizontal="right"/>
    </xf>
    <xf numFmtId="175" fontId="3" fillId="7" borderId="1">
      <alignment horizontal="right"/>
    </xf>
    <xf numFmtId="174" fontId="3" fillId="7" borderId="1">
      <alignment horizontal="right"/>
    </xf>
    <xf numFmtId="15" fontId="20" fillId="0" borderId="0" applyFill="0" applyBorder="0" applyAlignment="0"/>
    <xf numFmtId="176" fontId="18" fillId="29" borderId="0" applyFont="0" applyFill="0" applyBorder="0" applyAlignment="0" applyProtection="0"/>
    <xf numFmtId="177" fontId="20" fillId="0" borderId="3"/>
    <xf numFmtId="14" fontId="21" fillId="0" borderId="0" applyFont="0" applyFill="0" applyBorder="0" applyAlignment="0" applyProtection="0">
      <alignment horizontal="center"/>
    </xf>
    <xf numFmtId="178" fontId="21" fillId="0" borderId="0" applyFont="0" applyFill="0" applyBorder="0" applyAlignment="0" applyProtection="0">
      <alignment horizontal="center"/>
    </xf>
    <xf numFmtId="179" fontId="6" fillId="0" borderId="0" applyFont="0" applyFill="0" applyBorder="0" applyAlignment="0" applyProtection="0"/>
    <xf numFmtId="8" fontId="10" fillId="0" borderId="0" applyFont="0" applyFill="0" applyBorder="0" applyAlignment="0" applyProtection="0"/>
    <xf numFmtId="6" fontId="10" fillId="0" borderId="0" applyFont="0" applyFill="0" applyBorder="0" applyAlignment="0" applyProtection="0">
      <alignment horizontal="right"/>
    </xf>
    <xf numFmtId="6" fontId="10" fillId="0" borderId="0" applyFont="0" applyFill="0" applyBorder="0" applyAlignment="0" applyProtection="0"/>
    <xf numFmtId="39" fontId="3" fillId="30" borderId="0"/>
    <xf numFmtId="7" fontId="3" fillId="30" borderId="0" applyBorder="0"/>
    <xf numFmtId="180" fontId="3" fillId="30" borderId="0"/>
    <xf numFmtId="181" fontId="3" fillId="0" borderId="0"/>
    <xf numFmtId="182" fontId="3" fillId="30" borderId="0"/>
    <xf numFmtId="183" fontId="11" fillId="0" borderId="0" applyFont="0" applyFill="0" applyBorder="0" applyProtection="0">
      <alignment horizontal="left"/>
      <protection locked="0"/>
    </xf>
    <xf numFmtId="184" fontId="3" fillId="0" borderId="0"/>
    <xf numFmtId="185" fontId="11" fillId="0" borderId="0" applyFont="0" applyFill="0" applyBorder="0" applyProtection="0">
      <alignment horizontal="left"/>
      <protection locked="0"/>
    </xf>
    <xf numFmtId="186" fontId="5" fillId="0" borderId="0" applyFont="0" applyFill="0" applyBorder="0" applyAlignment="0" applyProtection="0"/>
    <xf numFmtId="0" fontId="22" fillId="0" borderId="0" applyNumberFormat="0" applyFill="0" applyBorder="0" applyAlignment="0" applyProtection="0"/>
    <xf numFmtId="169" fontId="3" fillId="0" borderId="8"/>
    <xf numFmtId="187" fontId="3" fillId="7" borderId="1">
      <alignment horizontal="right"/>
    </xf>
    <xf numFmtId="188" fontId="3" fillId="7" borderId="1">
      <alignment horizontal="right"/>
    </xf>
    <xf numFmtId="187" fontId="3" fillId="7" borderId="1">
      <alignment horizontal="right"/>
    </xf>
    <xf numFmtId="189" fontId="10" fillId="0" borderId="0" applyFill="0" applyBorder="0" applyAlignment="0" applyProtection="0">
      <protection locked="0"/>
    </xf>
    <xf numFmtId="0" fontId="23" fillId="10" borderId="0" applyNumberFormat="0" applyBorder="0" applyAlignment="0" applyProtection="0"/>
    <xf numFmtId="190" fontId="24" fillId="0" borderId="0" applyFill="0" applyBorder="0" applyAlignment="0" applyProtection="0"/>
    <xf numFmtId="169" fontId="25" fillId="0" borderId="0" applyAlignment="0">
      <alignment horizontal="left"/>
      <protection locked="0"/>
    </xf>
    <xf numFmtId="189" fontId="6" fillId="31" borderId="9" applyNumberFormat="0" applyFont="0" applyAlignment="0" applyProtection="0"/>
    <xf numFmtId="0" fontId="26" fillId="0" borderId="10" applyNumberFormat="0" applyFill="0" applyAlignment="0" applyProtection="0"/>
    <xf numFmtId="0" fontId="27" fillId="0" borderId="11" applyNumberFormat="0" applyFill="0" applyAlignment="0" applyProtection="0"/>
    <xf numFmtId="0" fontId="28" fillId="0" borderId="12" applyNumberFormat="0" applyFill="0" applyAlignment="0" applyProtection="0"/>
    <xf numFmtId="0" fontId="28" fillId="0" borderId="0" applyNumberFormat="0" applyFill="0" applyBorder="0" applyAlignment="0" applyProtection="0"/>
    <xf numFmtId="189" fontId="29" fillId="0" borderId="0" applyNumberFormat="0" applyFill="0" applyBorder="0" applyAlignment="0" applyProtection="0"/>
    <xf numFmtId="0" fontId="30" fillId="0" borderId="0"/>
    <xf numFmtId="171" fontId="10" fillId="0" borderId="0" applyFont="0" applyFill="0" applyBorder="0" applyAlignment="0" applyProtection="0"/>
    <xf numFmtId="38" fontId="10" fillId="0" borderId="0" applyFill="0" applyBorder="0" applyAlignment="0" applyProtection="0">
      <alignment horizontal="right"/>
      <protection locked="0"/>
    </xf>
    <xf numFmtId="0" fontId="31" fillId="13" borderId="5" applyNumberFormat="0" applyAlignment="0" applyProtection="0"/>
    <xf numFmtId="0" fontId="18" fillId="29" borderId="0" applyFont="0" applyBorder="0" applyAlignment="0">
      <protection locked="0"/>
    </xf>
    <xf numFmtId="0" fontId="5" fillId="0" borderId="0" applyFill="0" applyBorder="0">
      <alignment horizontal="right"/>
      <protection locked="0"/>
    </xf>
    <xf numFmtId="17" fontId="32" fillId="32" borderId="0"/>
    <xf numFmtId="191" fontId="5" fillId="0" borderId="0" applyFill="0" applyBorder="0">
      <alignment horizontal="right"/>
      <protection locked="0"/>
    </xf>
    <xf numFmtId="0" fontId="33" fillId="33" borderId="13">
      <alignment horizontal="left" vertical="center" wrapText="1"/>
    </xf>
    <xf numFmtId="0" fontId="34" fillId="0" borderId="14" applyNumberFormat="0" applyFill="0" applyAlignment="0" applyProtection="0"/>
    <xf numFmtId="192" fontId="10" fillId="0" borderId="0" applyFont="0" applyFill="0" applyBorder="0" applyAlignment="0" applyProtection="0">
      <alignment horizontal="right"/>
    </xf>
    <xf numFmtId="193" fontId="3" fillId="0" borderId="0">
      <alignment horizontal="right"/>
    </xf>
    <xf numFmtId="194" fontId="3" fillId="30" borderId="0">
      <alignment horizontal="right"/>
    </xf>
    <xf numFmtId="195" fontId="3" fillId="0" borderId="0">
      <alignment horizontal="right"/>
    </xf>
    <xf numFmtId="193" fontId="3" fillId="0" borderId="0">
      <alignment horizontal="right"/>
    </xf>
    <xf numFmtId="169" fontId="35" fillId="0" borderId="0" applyFill="0" applyBorder="0" applyAlignment="0" applyProtection="0">
      <alignment horizontal="right"/>
    </xf>
    <xf numFmtId="169" fontId="35" fillId="0" borderId="0" applyFill="0" applyBorder="0" applyAlignment="0" applyProtection="0"/>
    <xf numFmtId="196" fontId="3" fillId="7" borderId="1">
      <alignment horizontal="right"/>
    </xf>
    <xf numFmtId="197" fontId="10" fillId="0" borderId="0" applyFont="0" applyFill="0" applyBorder="0" applyAlignment="0" applyProtection="0"/>
    <xf numFmtId="0" fontId="16" fillId="7" borderId="0" applyFont="0" applyBorder="0" applyAlignment="0" applyProtection="0">
      <alignment horizontal="right"/>
      <protection hidden="1"/>
    </xf>
    <xf numFmtId="0" fontId="36" fillId="31" borderId="0" applyNumberFormat="0" applyBorder="0" applyAlignment="0" applyProtection="0"/>
    <xf numFmtId="37" fontId="19" fillId="0" borderId="0" applyFont="0" applyFill="0" applyBorder="0" applyAlignment="0" applyProtection="0"/>
    <xf numFmtId="198" fontId="5" fillId="0" borderId="0" applyFont="0" applyFill="0" applyBorder="0" applyAlignment="0" applyProtection="0"/>
    <xf numFmtId="39" fontId="5" fillId="0" borderId="0" applyFont="0" applyFill="0" applyBorder="0" applyAlignment="0" applyProtection="0"/>
    <xf numFmtId="199" fontId="5" fillId="0" borderId="0" applyFon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18" fillId="0" borderId="0" applyFont="0" applyFill="0" applyBorder="0" applyAlignment="0" applyProtection="0"/>
    <xf numFmtId="200" fontId="18" fillId="0" borderId="0" applyFont="0" applyFill="0" applyBorder="0" applyAlignment="0" applyProtection="0"/>
    <xf numFmtId="0" fontId="7" fillId="34" borderId="15" applyNumberFormat="0" applyFont="0" applyAlignment="0" applyProtection="0"/>
    <xf numFmtId="0" fontId="16" fillId="0" borderId="0" applyFont="0" applyFill="0" applyBorder="0" applyAlignment="0" applyProtection="0"/>
    <xf numFmtId="201" fontId="5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37" fillId="26" borderId="16" applyNumberFormat="0" applyAlignment="0" applyProtection="0"/>
    <xf numFmtId="202" fontId="10" fillId="0" borderId="0" applyFont="0" applyFill="0" applyBorder="0" applyAlignment="0" applyProtection="0">
      <alignment horizontal="right"/>
    </xf>
    <xf numFmtId="0" fontId="38" fillId="0" borderId="0" applyNumberFormat="0" applyFill="0" applyBorder="0" applyAlignment="0" applyProtection="0"/>
    <xf numFmtId="0" fontId="18" fillId="0" borderId="0"/>
    <xf numFmtId="203" fontId="3" fillId="30" borderId="0"/>
    <xf numFmtId="9" fontId="10" fillId="0" borderId="0" applyFont="0" applyFill="0" applyBorder="0" applyAlignment="0" applyProtection="0">
      <alignment horizontal="right"/>
    </xf>
    <xf numFmtId="204" fontId="3" fillId="0" borderId="0"/>
    <xf numFmtId="0" fontId="5" fillId="0" borderId="0" applyFont="0" applyFill="0" applyBorder="0" applyAlignment="0"/>
    <xf numFmtId="165" fontId="5" fillId="0" borderId="0" applyFont="0" applyFill="0" applyBorder="0" applyAlignment="0" applyProtection="0"/>
    <xf numFmtId="205" fontId="5" fillId="0" borderId="0" applyFont="0" applyFill="0" applyBorder="0" applyAlignment="0" applyProtection="0"/>
    <xf numFmtId="206" fontId="5" fillId="0" borderId="0" applyFill="0" applyBorder="0">
      <alignment horizontal="right"/>
      <protection locked="0"/>
    </xf>
    <xf numFmtId="190" fontId="10" fillId="0" borderId="0" applyFont="0" applyFill="0" applyBorder="0" applyAlignment="0" applyProtection="0"/>
    <xf numFmtId="8" fontId="10" fillId="0" borderId="0" applyFont="0" applyFill="0" applyBorder="0" applyAlignment="0" applyProtection="0"/>
    <xf numFmtId="171" fontId="10" fillId="0" borderId="0" applyFont="0" applyFill="0" applyBorder="0" applyAlignment="0" applyProtection="0">
      <protection locked="0"/>
    </xf>
    <xf numFmtId="189" fontId="10" fillId="0" borderId="0" applyFill="0" applyBorder="0" applyAlignment="0" applyProtection="0"/>
    <xf numFmtId="38" fontId="10" fillId="0" borderId="0" applyFont="0" applyFill="0" applyBorder="0" applyAlignment="0" applyProtection="0"/>
    <xf numFmtId="167" fontId="3" fillId="7" borderId="17">
      <alignment horizontal="right"/>
    </xf>
    <xf numFmtId="207" fontId="39" fillId="7" borderId="0"/>
    <xf numFmtId="208" fontId="3" fillId="7" borderId="0"/>
    <xf numFmtId="0" fontId="40" fillId="0" borderId="0">
      <alignment horizontal="center"/>
    </xf>
    <xf numFmtId="0" fontId="3" fillId="0" borderId="3">
      <alignment horizontal="centerContinuous"/>
    </xf>
    <xf numFmtId="209" fontId="3" fillId="7" borderId="0">
      <alignment horizontal="right"/>
    </xf>
    <xf numFmtId="210" fontId="3" fillId="7" borderId="1">
      <alignment horizontal="right"/>
    </xf>
    <xf numFmtId="211" fontId="5" fillId="0" borderId="0">
      <alignment horizontal="right"/>
      <protection locked="0"/>
    </xf>
    <xf numFmtId="189" fontId="21" fillId="0" borderId="0" applyFont="0" applyFill="0" applyBorder="0" applyAlignment="0" applyProtection="0"/>
    <xf numFmtId="0" fontId="41" fillId="0" borderId="0" applyNumberFormat="0" applyFill="0" applyBorder="0" applyProtection="0">
      <alignment horizontal="right" vertical="center"/>
    </xf>
    <xf numFmtId="0" fontId="42" fillId="28" borderId="9">
      <alignment horizontal="center" vertical="center" wrapText="1"/>
      <protection hidden="1"/>
    </xf>
    <xf numFmtId="171" fontId="10" fillId="0" borderId="0" applyFill="0" applyBorder="0" applyAlignment="0" applyProtection="0">
      <protection locked="0"/>
    </xf>
    <xf numFmtId="212" fontId="21" fillId="0" borderId="0" applyFont="0" applyFill="0" applyBorder="0" applyAlignment="0" applyProtection="0">
      <alignment horizontal="right"/>
    </xf>
    <xf numFmtId="38" fontId="5" fillId="0" borderId="0" applyFont="0" applyFill="0" applyBorder="0" applyAlignment="0" applyProtection="0"/>
    <xf numFmtId="0" fontId="43" fillId="0" borderId="18" applyNumberFormat="0" applyFill="0" applyProtection="0">
      <alignment horizontal="left" vertical="top" wrapText="1"/>
    </xf>
    <xf numFmtId="0" fontId="30" fillId="0" borderId="0" applyNumberFormat="0" applyFill="0" applyBorder="0" applyProtection="0">
      <alignment horizontal="left" vertical="top" wrapText="1"/>
    </xf>
    <xf numFmtId="0" fontId="44" fillId="0" borderId="0" applyNumberFormat="0" applyFill="0" applyProtection="0">
      <alignment horizontal="left" vertical="top" wrapText="1"/>
    </xf>
    <xf numFmtId="0" fontId="45" fillId="0" borderId="0" applyNumberFormat="0" applyFill="0" applyBorder="0" applyProtection="0"/>
    <xf numFmtId="0" fontId="46" fillId="35" borderId="0" applyNumberFormat="0" applyBorder="0" applyProtection="0"/>
    <xf numFmtId="0" fontId="47" fillId="0" borderId="0" applyNumberFormat="0" applyFill="0" applyBorder="0" applyProtection="0">
      <alignment vertical="top"/>
    </xf>
    <xf numFmtId="213" fontId="48" fillId="0" borderId="0" applyFill="0" applyBorder="0" applyProtection="0">
      <alignment horizontal="right" wrapText="1"/>
    </xf>
    <xf numFmtId="214" fontId="48" fillId="0" borderId="0" applyFill="0" applyBorder="0" applyProtection="0">
      <alignment horizontal="right"/>
    </xf>
    <xf numFmtId="4" fontId="18" fillId="0" borderId="0" applyFill="0" applyBorder="0" applyProtection="0">
      <alignment horizontal="right"/>
    </xf>
    <xf numFmtId="182" fontId="49" fillId="0" borderId="0" applyFill="0" applyBorder="0" applyAlignment="0" applyProtection="0"/>
    <xf numFmtId="215" fontId="50" fillId="0" borderId="0" applyFill="0" applyBorder="0" applyAlignment="0" applyProtection="0">
      <alignment horizontal="left"/>
      <protection locked="0"/>
    </xf>
    <xf numFmtId="215" fontId="50" fillId="0" borderId="0" applyFill="0" applyBorder="0" applyAlignment="0" applyProtection="0"/>
    <xf numFmtId="215" fontId="51" fillId="0" borderId="0" applyFill="0" applyBorder="0" applyAlignment="0" applyProtection="0">
      <alignment horizontal="left"/>
      <protection locked="0"/>
    </xf>
    <xf numFmtId="215" fontId="51" fillId="0" borderId="0" applyFill="0" applyBorder="0" applyAlignment="0" applyProtection="0">
      <protection locked="0"/>
    </xf>
    <xf numFmtId="189" fontId="10" fillId="0" borderId="0" applyFill="0" applyBorder="0" applyAlignment="0" applyProtection="0">
      <protection locked="0"/>
    </xf>
    <xf numFmtId="189" fontId="49" fillId="0" borderId="0" applyFill="0" applyBorder="0" applyAlignment="0" applyProtection="0"/>
    <xf numFmtId="49" fontId="52" fillId="0" borderId="0"/>
    <xf numFmtId="216" fontId="5" fillId="0" borderId="0" applyFont="0" applyFill="0" applyBorder="0" applyAlignment="0" applyProtection="0"/>
    <xf numFmtId="217" fontId="5" fillId="0" borderId="0" applyFont="0" applyFill="0" applyBorder="0" applyAlignment="0" applyProtection="0"/>
    <xf numFmtId="0" fontId="53" fillId="0" borderId="0" applyNumberFormat="0" applyFill="0" applyBorder="0" applyAlignment="0" applyProtection="0"/>
    <xf numFmtId="0" fontId="54" fillId="1" borderId="0" applyNumberFormat="0" applyBorder="0" applyProtection="0">
      <alignment horizontal="left" vertical="center"/>
    </xf>
    <xf numFmtId="189" fontId="55" fillId="0" borderId="0" applyNumberFormat="0" applyFill="0" applyBorder="0" applyAlignment="0" applyProtection="0"/>
    <xf numFmtId="0" fontId="5" fillId="0" borderId="0" applyBorder="0"/>
    <xf numFmtId="38" fontId="56" fillId="0" borderId="0" applyFill="0" applyBorder="0" applyAlignment="0" applyProtection="0">
      <alignment horizontal="left"/>
    </xf>
    <xf numFmtId="0" fontId="57" fillId="0" borderId="0"/>
    <xf numFmtId="0" fontId="58" fillId="0" borderId="19" applyNumberFormat="0" applyFill="0" applyAlignment="0" applyProtection="0"/>
    <xf numFmtId="0" fontId="59" fillId="0" borderId="0" applyNumberFormat="0" applyFill="0" applyBorder="0" applyAlignment="0" applyProtection="0"/>
    <xf numFmtId="1" fontId="10" fillId="0" borderId="0" applyFont="0" applyFill="0" applyBorder="0" applyAlignment="0" applyProtection="0"/>
    <xf numFmtId="218" fontId="19" fillId="0" borderId="0" applyFont="0" applyFill="0" applyBorder="0" applyAlignment="0" applyProtection="0"/>
    <xf numFmtId="219" fontId="20" fillId="0" borderId="0" applyFill="0" applyBorder="0" applyAlignment="0" applyProtection="0">
      <alignment horizontal="right"/>
    </xf>
    <xf numFmtId="0" fontId="60" fillId="0" borderId="0" applyAlignment="0"/>
    <xf numFmtId="0" fontId="61" fillId="0" borderId="0" applyAlignment="0"/>
    <xf numFmtId="0" fontId="46" fillId="36" borderId="0" applyAlignment="0"/>
    <xf numFmtId="220" fontId="18" fillId="0" borderId="20" applyFont="0" applyFill="0" applyBorder="0" applyAlignment="0" applyProtection="0"/>
    <xf numFmtId="221" fontId="20" fillId="0" borderId="0" applyFont="0" applyFill="0" applyBorder="0" applyAlignment="0" applyProtection="0"/>
    <xf numFmtId="222" fontId="18" fillId="0" borderId="0" applyFont="0" applyFill="0" applyBorder="0" applyAlignment="0" applyProtection="0"/>
    <xf numFmtId="176" fontId="62" fillId="29" borderId="21" applyFont="0" applyFill="0" applyBorder="0" applyAlignment="0" applyProtection="0"/>
    <xf numFmtId="0" fontId="63" fillId="0" borderId="0" applyAlignment="0"/>
    <xf numFmtId="14" fontId="20" fillId="0" borderId="3" applyFont="0" applyFill="0" applyBorder="0" applyAlignment="0" applyProtection="0"/>
    <xf numFmtId="0" fontId="64" fillId="37" borderId="22"/>
    <xf numFmtId="0" fontId="65" fillId="38" borderId="0" applyAlignment="0"/>
    <xf numFmtId="0" fontId="66" fillId="39" borderId="0" applyAlignment="0"/>
    <xf numFmtId="0" fontId="67" fillId="0" borderId="0" applyAlignment="0"/>
    <xf numFmtId="223" fontId="18" fillId="0" borderId="0" applyFont="0" applyFill="0" applyBorder="0" applyAlignment="0" applyProtection="0">
      <alignment horizontal="right"/>
    </xf>
    <xf numFmtId="189" fontId="68" fillId="0" borderId="0" applyNumberFormat="0" applyFill="0" applyBorder="0" applyAlignment="0" applyProtection="0">
      <alignment horizontal="left"/>
    </xf>
    <xf numFmtId="0" fontId="69" fillId="40" borderId="0" applyAlignment="0"/>
    <xf numFmtId="0" fontId="70" fillId="0" borderId="0" applyAlignment="0"/>
    <xf numFmtId="0" fontId="71" fillId="0" borderId="0" applyAlignment="0"/>
    <xf numFmtId="0" fontId="72" fillId="0" borderId="0" applyAlignment="0"/>
    <xf numFmtId="0" fontId="73" fillId="0" borderId="0" applyAlignment="0"/>
    <xf numFmtId="0" fontId="47" fillId="0" borderId="0" applyAlignment="0"/>
    <xf numFmtId="224" fontId="18" fillId="0" borderId="0" applyFont="0" applyFill="0" applyBorder="0" applyAlignment="0" applyProtection="0">
      <alignment horizontal="right"/>
    </xf>
    <xf numFmtId="0" fontId="74" fillId="0" borderId="0" applyAlignment="0"/>
    <xf numFmtId="225" fontId="18" fillId="0" borderId="0" applyFont="0" applyFill="0" applyBorder="0" applyAlignment="0"/>
    <xf numFmtId="0" fontId="2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1" fillId="0" borderId="0"/>
  </cellStyleXfs>
  <cellXfs count="286">
    <xf numFmtId="0" fontId="0" fillId="0" borderId="0" xfId="0"/>
    <xf numFmtId="9" fontId="75" fillId="0" borderId="0" xfId="1" applyFont="1"/>
    <xf numFmtId="14" fontId="75" fillId="0" borderId="23" xfId="0" applyNumberFormat="1" applyFont="1" applyBorder="1" applyAlignment="1">
      <alignment horizontal="right"/>
    </xf>
    <xf numFmtId="0" fontId="78" fillId="0" borderId="0" xfId="0" applyFont="1"/>
    <xf numFmtId="0" fontId="79" fillId="0" borderId="0" xfId="0" applyFont="1"/>
    <xf numFmtId="0" fontId="78" fillId="0" borderId="0" xfId="0" applyFont="1" applyAlignment="1">
      <alignment horizontal="left"/>
    </xf>
    <xf numFmtId="0" fontId="78" fillId="0" borderId="3" xfId="0" applyFont="1" applyBorder="1" applyAlignment="1">
      <alignment horizontal="left"/>
    </xf>
    <xf numFmtId="0" fontId="79" fillId="0" borderId="0" xfId="0" applyFont="1" applyAlignment="1">
      <alignment horizontal="left"/>
    </xf>
    <xf numFmtId="37" fontId="78" fillId="0" borderId="0" xfId="0" applyNumberFormat="1" applyFont="1"/>
    <xf numFmtId="0" fontId="78" fillId="0" borderId="0" xfId="0" quotePrefix="1" applyFont="1" applyAlignment="1">
      <alignment horizontal="left" indent="1"/>
    </xf>
    <xf numFmtId="0" fontId="78" fillId="0" borderId="23" xfId="0" quotePrefix="1" applyFont="1" applyBorder="1" applyAlignment="1">
      <alignment horizontal="left" indent="1"/>
    </xf>
    <xf numFmtId="37" fontId="78" fillId="0" borderId="23" xfId="0" applyNumberFormat="1" applyFont="1" applyBorder="1"/>
    <xf numFmtId="37" fontId="79" fillId="0" borderId="0" xfId="0" applyNumberFormat="1" applyFont="1"/>
    <xf numFmtId="9" fontId="78" fillId="0" borderId="0" xfId="1" applyFont="1" applyBorder="1"/>
    <xf numFmtId="9" fontId="78" fillId="0" borderId="0" xfId="0" applyNumberFormat="1" applyFont="1"/>
    <xf numFmtId="0" fontId="78" fillId="0" borderId="23" xfId="0" applyFont="1" applyBorder="1" applyAlignment="1">
      <alignment horizontal="left" indent="1"/>
    </xf>
    <xf numFmtId="37" fontId="79" fillId="0" borderId="23" xfId="0" applyNumberFormat="1" applyFont="1" applyBorder="1"/>
    <xf numFmtId="0" fontId="78" fillId="0" borderId="0" xfId="0" applyFont="1" applyAlignment="1">
      <alignment horizontal="left" indent="1"/>
    </xf>
    <xf numFmtId="226" fontId="78" fillId="0" borderId="0" xfId="0" applyNumberFormat="1" applyFont="1"/>
    <xf numFmtId="0" fontId="79" fillId="0" borderId="0" xfId="0" applyFont="1" applyAlignment="1">
      <alignment horizontal="left" indent="1"/>
    </xf>
    <xf numFmtId="192" fontId="78" fillId="0" borderId="0" xfId="1" applyNumberFormat="1" applyFont="1"/>
    <xf numFmtId="0" fontId="78" fillId="0" borderId="3" xfId="0" applyFont="1" applyBorder="1" applyAlignment="1">
      <alignment horizontal="left" indent="1"/>
    </xf>
    <xf numFmtId="37" fontId="79" fillId="0" borderId="3" xfId="0" applyNumberFormat="1" applyFont="1" applyBorder="1"/>
    <xf numFmtId="0" fontId="78" fillId="0" borderId="23" xfId="0" applyFont="1" applyBorder="1" applyAlignment="1">
      <alignment horizontal="left"/>
    </xf>
    <xf numFmtId="9" fontId="78" fillId="0" borderId="0" xfId="1" applyFont="1" applyFill="1" applyBorder="1"/>
    <xf numFmtId="0" fontId="75" fillId="0" borderId="0" xfId="0" applyFont="1"/>
    <xf numFmtId="0" fontId="78" fillId="0" borderId="23" xfId="0" applyFont="1" applyBorder="1"/>
    <xf numFmtId="0" fontId="78" fillId="0" borderId="0" xfId="0" applyFont="1" applyAlignment="1">
      <alignment horizontal="left" indent="2"/>
    </xf>
    <xf numFmtId="9" fontId="78" fillId="0" borderId="0" xfId="1" applyFont="1"/>
    <xf numFmtId="0" fontId="81" fillId="0" borderId="0" xfId="0" applyFont="1"/>
    <xf numFmtId="0" fontId="78" fillId="0" borderId="26" xfId="0" applyFont="1" applyBorder="1"/>
    <xf numFmtId="0" fontId="78" fillId="41" borderId="26" xfId="0" applyFont="1" applyFill="1" applyBorder="1" applyAlignment="1">
      <alignment horizontal="right"/>
    </xf>
    <xf numFmtId="0" fontId="83" fillId="2" borderId="0" xfId="2" quotePrefix="1" applyFont="1" applyFill="1" applyAlignment="1">
      <alignment vertical="top"/>
    </xf>
    <xf numFmtId="0" fontId="84" fillId="2" borderId="0" xfId="2" applyFont="1" applyFill="1" applyAlignment="1">
      <alignment horizontal="center" vertical="center" wrapText="1"/>
    </xf>
    <xf numFmtId="0" fontId="84" fillId="2" borderId="1" xfId="2" applyFont="1" applyFill="1" applyBorder="1" applyAlignment="1">
      <alignment horizontal="center" vertical="center" wrapText="1"/>
    </xf>
    <xf numFmtId="0" fontId="84" fillId="2" borderId="2" xfId="2" applyFont="1" applyFill="1" applyBorder="1" applyAlignment="1">
      <alignment horizontal="center" vertical="center" wrapText="1"/>
    </xf>
    <xf numFmtId="0" fontId="84" fillId="3" borderId="0" xfId="2" applyFont="1" applyFill="1" applyAlignment="1">
      <alignment horizontal="center" vertical="center" wrapText="1"/>
    </xf>
    <xf numFmtId="37" fontId="85" fillId="0" borderId="0" xfId="0" applyNumberFormat="1" applyFont="1"/>
    <xf numFmtId="192" fontId="86" fillId="0" borderId="0" xfId="0" applyNumberFormat="1" applyFont="1"/>
    <xf numFmtId="192" fontId="87" fillId="0" borderId="0" xfId="1" applyNumberFormat="1" applyFont="1"/>
    <xf numFmtId="37" fontId="86" fillId="0" borderId="0" xfId="0" applyNumberFormat="1" applyFont="1"/>
    <xf numFmtId="9" fontId="87" fillId="0" borderId="0" xfId="1" applyFont="1"/>
    <xf numFmtId="192" fontId="88" fillId="0" borderId="25" xfId="1" applyNumberFormat="1" applyFont="1" applyBorder="1"/>
    <xf numFmtId="0" fontId="89" fillId="0" borderId="0" xfId="0" applyFont="1"/>
    <xf numFmtId="37" fontId="89" fillId="0" borderId="0" xfId="0" applyNumberFormat="1" applyFont="1"/>
    <xf numFmtId="37" fontId="88" fillId="0" borderId="0" xfId="0" applyNumberFormat="1" applyFont="1"/>
    <xf numFmtId="198" fontId="85" fillId="0" borderId="0" xfId="0" applyNumberFormat="1" applyFont="1"/>
    <xf numFmtId="198" fontId="79" fillId="0" borderId="0" xfId="0" applyNumberFormat="1" applyFont="1"/>
    <xf numFmtId="43" fontId="78" fillId="0" borderId="0" xfId="212" applyFont="1"/>
    <xf numFmtId="192" fontId="75" fillId="0" borderId="0" xfId="0" applyNumberFormat="1" applyFont="1"/>
    <xf numFmtId="9" fontId="89" fillId="0" borderId="0" xfId="1" applyFont="1"/>
    <xf numFmtId="39" fontId="88" fillId="0" borderId="0" xfId="0" applyNumberFormat="1" applyFont="1"/>
    <xf numFmtId="37" fontId="88" fillId="0" borderId="3" xfId="0" applyNumberFormat="1" applyFont="1" applyBorder="1"/>
    <xf numFmtId="0" fontId="78" fillId="0" borderId="3" xfId="0" applyFont="1" applyBorder="1"/>
    <xf numFmtId="37" fontId="88" fillId="0" borderId="23" xfId="0" applyNumberFormat="1" applyFont="1" applyBorder="1"/>
    <xf numFmtId="0" fontId="79" fillId="0" borderId="24" xfId="0" applyFont="1" applyBorder="1"/>
    <xf numFmtId="227" fontId="78" fillId="0" borderId="0" xfId="212" applyNumberFormat="1" applyFont="1"/>
    <xf numFmtId="38" fontId="78" fillId="0" borderId="0" xfId="0" applyNumberFormat="1" applyFont="1"/>
    <xf numFmtId="0" fontId="90" fillId="0" borderId="0" xfId="0" applyFont="1"/>
    <xf numFmtId="0" fontId="90" fillId="0" borderId="0" xfId="0" applyFont="1" applyAlignment="1">
      <alignment horizontal="left"/>
    </xf>
    <xf numFmtId="14" fontId="75" fillId="0" borderId="0" xfId="0" applyNumberFormat="1" applyFont="1" applyAlignment="1">
      <alignment horizontal="right"/>
    </xf>
    <xf numFmtId="0" fontId="78" fillId="0" borderId="0" xfId="0" applyFont="1" applyAlignment="1">
      <alignment wrapText="1"/>
    </xf>
    <xf numFmtId="0" fontId="79" fillId="0" borderId="4" xfId="0" applyFont="1" applyBorder="1" applyAlignment="1">
      <alignment horizontal="left"/>
    </xf>
    <xf numFmtId="0" fontId="89" fillId="0" borderId="0" xfId="119" applyFont="1" applyAlignment="1">
      <alignment horizontal="left"/>
    </xf>
    <xf numFmtId="0" fontId="89" fillId="0" borderId="23" xfId="119" applyFont="1" applyBorder="1" applyAlignment="1">
      <alignment horizontal="left" indent="1"/>
    </xf>
    <xf numFmtId="0" fontId="89" fillId="0" borderId="0" xfId="119" applyFont="1"/>
    <xf numFmtId="0" fontId="91" fillId="0" borderId="0" xfId="0" applyFont="1"/>
    <xf numFmtId="0" fontId="91" fillId="0" borderId="0" xfId="0" applyFont="1" applyAlignment="1">
      <alignment horizontal="left" indent="1"/>
    </xf>
    <xf numFmtId="44" fontId="88" fillId="41" borderId="26" xfId="213" applyFont="1" applyFill="1" applyBorder="1" applyAlignment="1">
      <alignment horizontal="right"/>
    </xf>
    <xf numFmtId="0" fontId="88" fillId="0" borderId="0" xfId="0" applyFont="1"/>
    <xf numFmtId="192" fontId="88" fillId="0" borderId="0" xfId="1" applyNumberFormat="1" applyFont="1" applyAlignment="1">
      <alignment horizontal="left"/>
    </xf>
    <xf numFmtId="192" fontId="88" fillId="0" borderId="0" xfId="1" applyNumberFormat="1" applyFont="1" applyBorder="1" applyAlignment="1">
      <alignment horizontal="left"/>
    </xf>
    <xf numFmtId="192" fontId="88" fillId="0" borderId="23" xfId="1" applyNumberFormat="1" applyFont="1" applyBorder="1" applyAlignment="1">
      <alignment horizontal="left"/>
    </xf>
    <xf numFmtId="37" fontId="93" fillId="0" borderId="0" xfId="0" applyNumberFormat="1" applyFont="1"/>
    <xf numFmtId="37" fontId="94" fillId="0" borderId="0" xfId="0" applyNumberFormat="1" applyFont="1"/>
    <xf numFmtId="198" fontId="93" fillId="0" borderId="0" xfId="0" applyNumberFormat="1" applyFont="1"/>
    <xf numFmtId="192" fontId="95" fillId="0" borderId="0" xfId="1" applyNumberFormat="1" applyFont="1"/>
    <xf numFmtId="192" fontId="95" fillId="0" borderId="0" xfId="0" applyNumberFormat="1" applyFont="1"/>
    <xf numFmtId="9" fontId="95" fillId="0" borderId="0" xfId="1" applyFont="1"/>
    <xf numFmtId="9" fontId="94" fillId="0" borderId="0" xfId="0" applyNumberFormat="1" applyFont="1"/>
    <xf numFmtId="10" fontId="95" fillId="0" borderId="0" xfId="1" applyNumberFormat="1" applyFont="1"/>
    <xf numFmtId="37" fontId="93" fillId="0" borderId="24" xfId="0" applyNumberFormat="1" applyFont="1" applyBorder="1"/>
    <xf numFmtId="2" fontId="93" fillId="0" borderId="0" xfId="0" applyNumberFormat="1" applyFont="1"/>
    <xf numFmtId="226" fontId="94" fillId="0" borderId="0" xfId="0" applyNumberFormat="1" applyFont="1"/>
    <xf numFmtId="9" fontId="94" fillId="0" borderId="0" xfId="1" applyFont="1"/>
    <xf numFmtId="10" fontId="94" fillId="0" borderId="0" xfId="1" applyNumberFormat="1" applyFont="1"/>
    <xf numFmtId="192" fontId="88" fillId="0" borderId="0" xfId="1" applyNumberFormat="1" applyFont="1"/>
    <xf numFmtId="192" fontId="94" fillId="0" borderId="0" xfId="1" applyNumberFormat="1" applyFont="1"/>
    <xf numFmtId="192" fontId="95" fillId="43" borderId="0" xfId="1" applyNumberFormat="1" applyFont="1" applyFill="1"/>
    <xf numFmtId="14" fontId="78" fillId="0" borderId="23" xfId="0" applyNumberFormat="1" applyFont="1" applyBorder="1"/>
    <xf numFmtId="14" fontId="78" fillId="0" borderId="0" xfId="0" applyNumberFormat="1" applyFont="1"/>
    <xf numFmtId="4" fontId="78" fillId="0" borderId="0" xfId="0" applyNumberFormat="1" applyFont="1"/>
    <xf numFmtId="37" fontId="84" fillId="44" borderId="0" xfId="0" applyNumberFormat="1" applyFont="1" applyFill="1" applyAlignment="1">
      <alignment vertical="center"/>
    </xf>
    <xf numFmtId="0" fontId="79" fillId="0" borderId="29" xfId="0" applyFont="1" applyBorder="1"/>
    <xf numFmtId="228" fontId="79" fillId="0" borderId="29" xfId="0" applyNumberFormat="1" applyFont="1" applyBorder="1"/>
    <xf numFmtId="228" fontId="78" fillId="0" borderId="29" xfId="0" applyNumberFormat="1" applyFont="1" applyBorder="1"/>
    <xf numFmtId="227" fontId="78" fillId="0" borderId="0" xfId="212" applyNumberFormat="1" applyFont="1" applyBorder="1"/>
    <xf numFmtId="0" fontId="78" fillId="0" borderId="29" xfId="0" applyFont="1" applyBorder="1"/>
    <xf numFmtId="227" fontId="79" fillId="0" borderId="0" xfId="0" applyNumberFormat="1" applyFont="1"/>
    <xf numFmtId="0" fontId="79" fillId="0" borderId="27" xfId="0" applyFont="1" applyBorder="1"/>
    <xf numFmtId="44" fontId="79" fillId="0" borderId="0" xfId="213" applyFont="1" applyBorder="1"/>
    <xf numFmtId="44" fontId="79" fillId="0" borderId="0" xfId="213" applyFont="1" applyFill="1" applyBorder="1"/>
    <xf numFmtId="44" fontId="78" fillId="0" borderId="0" xfId="213" applyFont="1" applyFill="1" applyBorder="1"/>
    <xf numFmtId="37" fontId="96" fillId="0" borderId="29" xfId="0" applyNumberFormat="1" applyFont="1" applyBorder="1" applyAlignment="1">
      <alignment vertical="center"/>
    </xf>
    <xf numFmtId="37" fontId="96" fillId="0" borderId="0" xfId="0" applyNumberFormat="1" applyFont="1" applyAlignment="1">
      <alignment vertical="center"/>
    </xf>
    <xf numFmtId="37" fontId="96" fillId="45" borderId="0" xfId="0" applyNumberFormat="1" applyFont="1" applyFill="1" applyAlignment="1">
      <alignment horizontal="centerContinuous" vertical="center"/>
    </xf>
    <xf numFmtId="37" fontId="84" fillId="45" borderId="0" xfId="0" applyNumberFormat="1" applyFont="1" applyFill="1" applyAlignment="1">
      <alignment horizontal="centerContinuous" vertical="center"/>
    </xf>
    <xf numFmtId="37" fontId="84" fillId="45" borderId="0" xfId="0" applyNumberFormat="1" applyFont="1" applyFill="1" applyAlignment="1">
      <alignment vertical="center"/>
    </xf>
    <xf numFmtId="0" fontId="78" fillId="46" borderId="0" xfId="0" applyFont="1" applyFill="1"/>
    <xf numFmtId="0" fontId="0" fillId="0" borderId="0" xfId="0" applyAlignment="1">
      <alignment horizontal="centerContinuous"/>
    </xf>
    <xf numFmtId="230" fontId="94" fillId="43" borderId="35" xfId="0" applyNumberFormat="1" applyFont="1" applyFill="1" applyBorder="1"/>
    <xf numFmtId="230" fontId="88" fillId="43" borderId="35" xfId="0" applyNumberFormat="1" applyFont="1" applyFill="1" applyBorder="1"/>
    <xf numFmtId="230" fontId="94" fillId="43" borderId="36" xfId="0" applyNumberFormat="1" applyFont="1" applyFill="1" applyBorder="1"/>
    <xf numFmtId="192" fontId="94" fillId="43" borderId="33" xfId="0" applyNumberFormat="1" applyFont="1" applyFill="1" applyBorder="1" applyAlignment="1">
      <alignment horizontal="right"/>
    </xf>
    <xf numFmtId="0" fontId="0" fillId="0" borderId="0" xfId="0" applyAlignment="1">
      <alignment horizontal="center"/>
    </xf>
    <xf numFmtId="192" fontId="88" fillId="43" borderId="33" xfId="0" applyNumberFormat="1" applyFont="1" applyFill="1" applyBorder="1" applyAlignment="1">
      <alignment horizontal="right"/>
    </xf>
    <xf numFmtId="192" fontId="94" fillId="43" borderId="34" xfId="0" applyNumberFormat="1" applyFont="1" applyFill="1" applyBorder="1" applyAlignment="1">
      <alignment horizontal="right"/>
    </xf>
    <xf numFmtId="10" fontId="94" fillId="43" borderId="35" xfId="1" applyNumberFormat="1" applyFont="1" applyFill="1" applyBorder="1"/>
    <xf numFmtId="10" fontId="88" fillId="43" borderId="35" xfId="1" applyNumberFormat="1" applyFont="1" applyFill="1" applyBorder="1"/>
    <xf numFmtId="10" fontId="94" fillId="43" borderId="36" xfId="1" applyNumberFormat="1" applyFont="1" applyFill="1" applyBorder="1"/>
    <xf numFmtId="39" fontId="89" fillId="0" borderId="0" xfId="0" applyNumberFormat="1" applyFont="1"/>
    <xf numFmtId="0" fontId="78" fillId="0" borderId="29" xfId="0" applyFont="1" applyBorder="1" applyAlignment="1">
      <alignment horizontal="left" indent="1"/>
    </xf>
    <xf numFmtId="192" fontId="88" fillId="0" borderId="29" xfId="1" applyNumberFormat="1" applyFont="1" applyBorder="1"/>
    <xf numFmtId="0" fontId="97" fillId="0" borderId="0" xfId="214" applyFont="1" applyAlignment="1">
      <alignment horizontal="center"/>
    </xf>
    <xf numFmtId="0" fontId="97" fillId="0" borderId="3" xfId="214" applyFont="1" applyBorder="1" applyAlignment="1">
      <alignment horizontal="center"/>
    </xf>
    <xf numFmtId="9" fontId="88" fillId="0" borderId="0" xfId="1" applyFont="1"/>
    <xf numFmtId="9" fontId="88" fillId="0" borderId="0" xfId="1" applyFont="1" applyBorder="1"/>
    <xf numFmtId="0" fontId="89" fillId="0" borderId="29" xfId="119" applyFont="1" applyBorder="1" applyAlignment="1">
      <alignment wrapText="1"/>
    </xf>
    <xf numFmtId="0" fontId="89" fillId="0" borderId="29" xfId="119" applyFont="1" applyBorder="1"/>
    <xf numFmtId="39" fontId="88" fillId="0" borderId="29" xfId="0" applyNumberFormat="1" applyFont="1" applyBorder="1"/>
    <xf numFmtId="9" fontId="88" fillId="0" borderId="29" xfId="1" applyFont="1" applyBorder="1"/>
    <xf numFmtId="14" fontId="94" fillId="0" borderId="0" xfId="0" applyNumberFormat="1" applyFont="1"/>
    <xf numFmtId="4" fontId="94" fillId="0" borderId="0" xfId="0" applyNumberFormat="1" applyFont="1"/>
    <xf numFmtId="227" fontId="93" fillId="0" borderId="0" xfId="0" applyNumberFormat="1" applyFont="1"/>
    <xf numFmtId="227" fontId="94" fillId="0" borderId="29" xfId="0" applyNumberFormat="1" applyFont="1" applyBorder="1"/>
    <xf numFmtId="44" fontId="93" fillId="43" borderId="26" xfId="213" applyFont="1" applyFill="1" applyBorder="1"/>
    <xf numFmtId="10" fontId="94" fillId="0" borderId="0" xfId="1" applyNumberFormat="1" applyFont="1" applyFill="1" applyBorder="1"/>
    <xf numFmtId="39" fontId="94" fillId="0" borderId="26" xfId="0" applyNumberFormat="1" applyFont="1" applyBorder="1"/>
    <xf numFmtId="39" fontId="94" fillId="47" borderId="26" xfId="0" applyNumberFormat="1" applyFont="1" applyFill="1" applyBorder="1"/>
    <xf numFmtId="39" fontId="94" fillId="42" borderId="26" xfId="0" applyNumberFormat="1" applyFont="1" applyFill="1" applyBorder="1"/>
    <xf numFmtId="229" fontId="98" fillId="0" borderId="31" xfId="0" applyNumberFormat="1" applyFont="1" applyBorder="1"/>
    <xf numFmtId="39" fontId="94" fillId="0" borderId="0" xfId="0" applyNumberFormat="1" applyFont="1"/>
    <xf numFmtId="192" fontId="94" fillId="0" borderId="0" xfId="0" applyNumberFormat="1" applyFont="1"/>
    <xf numFmtId="10" fontId="93" fillId="0" borderId="0" xfId="0" applyNumberFormat="1" applyFont="1"/>
    <xf numFmtId="10" fontId="94" fillId="43" borderId="26" xfId="1" applyNumberFormat="1" applyFont="1" applyFill="1" applyBorder="1"/>
    <xf numFmtId="10" fontId="93" fillId="43" borderId="26" xfId="0" applyNumberFormat="1" applyFont="1" applyFill="1" applyBorder="1"/>
    <xf numFmtId="2" fontId="99" fillId="0" borderId="0" xfId="214" applyNumberFormat="1" applyFont="1" applyAlignment="1">
      <alignment horizontal="right"/>
    </xf>
    <xf numFmtId="192" fontId="94" fillId="0" borderId="0" xfId="1" applyNumberFormat="1" applyFont="1" applyBorder="1"/>
    <xf numFmtId="192" fontId="94" fillId="0" borderId="29" xfId="1" applyNumberFormat="1" applyFont="1" applyBorder="1"/>
    <xf numFmtId="2" fontId="99" fillId="0" borderId="29" xfId="214" applyNumberFormat="1" applyFont="1" applyBorder="1" applyAlignment="1">
      <alignment horizontal="right"/>
    </xf>
    <xf numFmtId="2" fontId="94" fillId="0" borderId="0" xfId="0" applyNumberFormat="1" applyFont="1"/>
    <xf numFmtId="227" fontId="89" fillId="0" borderId="0" xfId="212" applyNumberFormat="1" applyFont="1"/>
    <xf numFmtId="227" fontId="89" fillId="0" borderId="3" xfId="212" applyNumberFormat="1" applyFont="1" applyBorder="1"/>
    <xf numFmtId="227" fontId="89" fillId="0" borderId="29" xfId="0" applyNumberFormat="1" applyFont="1" applyBorder="1"/>
    <xf numFmtId="227" fontId="89" fillId="0" borderId="0" xfId="212" applyNumberFormat="1" applyFont="1" applyBorder="1"/>
    <xf numFmtId="37" fontId="89" fillId="0" borderId="26" xfId="0" applyNumberFormat="1" applyFont="1" applyBorder="1"/>
    <xf numFmtId="37" fontId="89" fillId="0" borderId="28" xfId="0" applyNumberFormat="1" applyFont="1" applyBorder="1"/>
    <xf numFmtId="37" fontId="89" fillId="0" borderId="29" xfId="0" applyNumberFormat="1" applyFont="1" applyBorder="1"/>
    <xf numFmtId="14" fontId="89" fillId="0" borderId="0" xfId="0" applyNumberFormat="1" applyFont="1"/>
    <xf numFmtId="0" fontId="88" fillId="48" borderId="30" xfId="0" applyFont="1" applyFill="1" applyBorder="1" applyAlignment="1">
      <alignment horizontal="right"/>
    </xf>
    <xf numFmtId="192" fontId="88" fillId="48" borderId="30" xfId="1" applyNumberFormat="1" applyFont="1" applyFill="1" applyBorder="1" applyAlignment="1">
      <alignment horizontal="right"/>
    </xf>
    <xf numFmtId="37" fontId="89" fillId="0" borderId="23" xfId="0" applyNumberFormat="1" applyFont="1" applyBorder="1"/>
    <xf numFmtId="37" fontId="96" fillId="0" borderId="0" xfId="0" applyNumberFormat="1" applyFont="1"/>
    <xf numFmtId="9" fontId="89" fillId="0" borderId="0" xfId="1" applyFont="1" applyBorder="1"/>
    <xf numFmtId="192" fontId="89" fillId="0" borderId="23" xfId="1" applyNumberFormat="1" applyFont="1" applyBorder="1"/>
    <xf numFmtId="37" fontId="96" fillId="0" borderId="23" xfId="0" applyNumberFormat="1" applyFont="1" applyBorder="1"/>
    <xf numFmtId="10" fontId="89" fillId="48" borderId="30" xfId="1" applyNumberFormat="1" applyFont="1" applyFill="1" applyBorder="1" applyAlignment="1">
      <alignment horizontal="right"/>
    </xf>
    <xf numFmtId="9" fontId="85" fillId="5" borderId="26" xfId="1" applyFont="1" applyFill="1" applyBorder="1" applyAlignment="1">
      <alignment horizontal="center"/>
    </xf>
    <xf numFmtId="37" fontId="100" fillId="0" borderId="26" xfId="0" applyNumberFormat="1" applyFont="1" applyBorder="1" applyAlignment="1">
      <alignment horizontal="center"/>
    </xf>
    <xf numFmtId="0" fontId="105" fillId="5" borderId="26" xfId="0" applyFont="1" applyFill="1" applyBorder="1" applyAlignment="1">
      <alignment horizontal="center"/>
    </xf>
    <xf numFmtId="0" fontId="105" fillId="0" borderId="26" xfId="0" applyFont="1" applyBorder="1" applyAlignment="1">
      <alignment horizontal="center" vertical="center"/>
    </xf>
    <xf numFmtId="0" fontId="107" fillId="0" borderId="26" xfId="0" applyFont="1" applyBorder="1" applyAlignment="1">
      <alignment horizontal="center"/>
    </xf>
    <xf numFmtId="192" fontId="88" fillId="0" borderId="0" xfId="1" applyNumberFormat="1" applyFont="1" applyBorder="1"/>
    <xf numFmtId="9" fontId="108" fillId="0" borderId="0" xfId="1" applyFont="1"/>
    <xf numFmtId="192" fontId="109" fillId="0" borderId="0" xfId="1" applyNumberFormat="1" applyFont="1"/>
    <xf numFmtId="0" fontId="110" fillId="0" borderId="0" xfId="0" applyFont="1"/>
    <xf numFmtId="0" fontId="84" fillId="2" borderId="37" xfId="2" applyFont="1" applyFill="1" applyBorder="1" applyAlignment="1">
      <alignment horizontal="center" vertical="center" wrapText="1"/>
    </xf>
    <xf numFmtId="14" fontId="75" fillId="0" borderId="38" xfId="0" applyNumberFormat="1" applyFont="1" applyBorder="1" applyAlignment="1">
      <alignment horizontal="right"/>
    </xf>
    <xf numFmtId="0" fontId="78" fillId="0" borderId="37" xfId="0" applyFont="1" applyBorder="1"/>
    <xf numFmtId="37" fontId="88" fillId="0" borderId="37" xfId="0" applyNumberFormat="1" applyFont="1" applyBorder="1"/>
    <xf numFmtId="37" fontId="88" fillId="0" borderId="39" xfId="0" applyNumberFormat="1" applyFont="1" applyBorder="1"/>
    <xf numFmtId="37" fontId="85" fillId="0" borderId="37" xfId="0" applyNumberFormat="1" applyFont="1" applyBorder="1"/>
    <xf numFmtId="37" fontId="93" fillId="0" borderId="37" xfId="0" applyNumberFormat="1" applyFont="1" applyBorder="1"/>
    <xf numFmtId="37" fontId="88" fillId="0" borderId="38" xfId="0" applyNumberFormat="1" applyFont="1" applyBorder="1"/>
    <xf numFmtId="37" fontId="93" fillId="0" borderId="40" xfId="0" applyNumberFormat="1" applyFont="1" applyBorder="1"/>
    <xf numFmtId="37" fontId="94" fillId="0" borderId="37" xfId="0" applyNumberFormat="1" applyFont="1" applyBorder="1"/>
    <xf numFmtId="37" fontId="78" fillId="0" borderId="37" xfId="0" applyNumberFormat="1" applyFont="1" applyBorder="1"/>
    <xf numFmtId="9" fontId="95" fillId="0" borderId="37" xfId="1" applyFont="1" applyBorder="1"/>
    <xf numFmtId="14" fontId="75" fillId="0" borderId="37" xfId="0" applyNumberFormat="1" applyFont="1" applyBorder="1" applyAlignment="1">
      <alignment horizontal="right"/>
    </xf>
    <xf numFmtId="37" fontId="79" fillId="0" borderId="37" xfId="0" applyNumberFormat="1" applyFont="1" applyBorder="1"/>
    <xf numFmtId="0" fontId="78" fillId="0" borderId="39" xfId="0" applyFont="1" applyBorder="1"/>
    <xf numFmtId="37" fontId="96" fillId="0" borderId="37" xfId="0" applyNumberFormat="1" applyFont="1" applyBorder="1"/>
    <xf numFmtId="0" fontId="89" fillId="0" borderId="37" xfId="0" applyFont="1" applyBorder="1"/>
    <xf numFmtId="9" fontId="89" fillId="0" borderId="37" xfId="1" applyFont="1" applyBorder="1"/>
    <xf numFmtId="37" fontId="89" fillId="0" borderId="37" xfId="0" applyNumberFormat="1" applyFont="1" applyBorder="1"/>
    <xf numFmtId="192" fontId="89" fillId="0" borderId="38" xfId="1" applyNumberFormat="1" applyFont="1" applyBorder="1"/>
    <xf numFmtId="37" fontId="89" fillId="0" borderId="38" xfId="0" applyNumberFormat="1" applyFont="1" applyBorder="1"/>
    <xf numFmtId="0" fontId="88" fillId="0" borderId="37" xfId="0" applyFont="1" applyBorder="1"/>
    <xf numFmtId="226" fontId="94" fillId="0" borderId="37" xfId="0" applyNumberFormat="1" applyFont="1" applyBorder="1"/>
    <xf numFmtId="226" fontId="78" fillId="0" borderId="37" xfId="0" applyNumberFormat="1" applyFont="1" applyBorder="1"/>
    <xf numFmtId="37" fontId="78" fillId="0" borderId="38" xfId="0" applyNumberFormat="1" applyFont="1" applyBorder="1"/>
    <xf numFmtId="9" fontId="94" fillId="0" borderId="37" xfId="1" applyFont="1" applyBorder="1"/>
    <xf numFmtId="10" fontId="94" fillId="0" borderId="37" xfId="1" applyNumberFormat="1" applyFont="1" applyBorder="1"/>
    <xf numFmtId="37" fontId="79" fillId="0" borderId="39" xfId="0" applyNumberFormat="1" applyFont="1" applyBorder="1"/>
    <xf numFmtId="9" fontId="78" fillId="0" borderId="37" xfId="1" applyFont="1" applyBorder="1"/>
    <xf numFmtId="0" fontId="78" fillId="0" borderId="38" xfId="0" applyFont="1" applyBorder="1"/>
    <xf numFmtId="39" fontId="96" fillId="0" borderId="0" xfId="0" applyNumberFormat="1" applyFont="1"/>
    <xf numFmtId="37" fontId="89" fillId="0" borderId="3" xfId="0" applyNumberFormat="1" applyFont="1" applyBorder="1"/>
    <xf numFmtId="37" fontId="94" fillId="0" borderId="3" xfId="0" applyNumberFormat="1" applyFont="1" applyBorder="1"/>
    <xf numFmtId="37" fontId="96" fillId="0" borderId="24" xfId="0" applyNumberFormat="1" applyFont="1" applyBorder="1"/>
    <xf numFmtId="9" fontId="95" fillId="0" borderId="0" xfId="1" applyFont="1" applyFill="1"/>
    <xf numFmtId="1" fontId="94" fillId="0" borderId="0" xfId="0" applyNumberFormat="1" applyFont="1"/>
    <xf numFmtId="37" fontId="94" fillId="0" borderId="23" xfId="0" applyNumberFormat="1" applyFont="1" applyBorder="1"/>
    <xf numFmtId="1" fontId="96" fillId="0" borderId="0" xfId="0" applyNumberFormat="1" applyFont="1"/>
    <xf numFmtId="9" fontId="89" fillId="0" borderId="0" xfId="0" applyNumberFormat="1" applyFont="1"/>
    <xf numFmtId="192" fontId="89" fillId="0" borderId="23" xfId="0" applyNumberFormat="1" applyFont="1" applyBorder="1"/>
    <xf numFmtId="198" fontId="94" fillId="0" borderId="0" xfId="0" applyNumberFormat="1" applyFont="1"/>
    <xf numFmtId="9" fontId="93" fillId="0" borderId="0" xfId="1" applyFont="1" applyFill="1"/>
    <xf numFmtId="198" fontId="88" fillId="0" borderId="0" xfId="0" applyNumberFormat="1" applyFont="1"/>
    <xf numFmtId="10" fontId="88" fillId="0" borderId="0" xfId="1" applyNumberFormat="1" applyFont="1" applyFill="1"/>
    <xf numFmtId="192" fontId="88" fillId="0" borderId="0" xfId="1" applyNumberFormat="1" applyFont="1" applyFill="1"/>
    <xf numFmtId="9" fontId="86" fillId="0" borderId="0" xfId="1" applyFont="1" applyFill="1" applyBorder="1"/>
    <xf numFmtId="9" fontId="75" fillId="0" borderId="0" xfId="1" applyFont="1" applyFill="1" applyBorder="1"/>
    <xf numFmtId="2" fontId="94" fillId="0" borderId="41" xfId="0" applyNumberFormat="1" applyFont="1" applyBorder="1"/>
    <xf numFmtId="192" fontId="94" fillId="0" borderId="41" xfId="1" applyNumberFormat="1" applyFont="1" applyBorder="1"/>
    <xf numFmtId="10" fontId="94" fillId="0" borderId="42" xfId="0" applyNumberFormat="1" applyFont="1" applyBorder="1"/>
    <xf numFmtId="0" fontId="78" fillId="0" borderId="41" xfId="0" applyFont="1" applyBorder="1"/>
    <xf numFmtId="0" fontId="78" fillId="0" borderId="42" xfId="0" applyFont="1" applyBorder="1"/>
    <xf numFmtId="0" fontId="82" fillId="0" borderId="0" xfId="0" applyFont="1"/>
    <xf numFmtId="0" fontId="78" fillId="0" borderId="45" xfId="0" applyFont="1" applyBorder="1"/>
    <xf numFmtId="0" fontId="78" fillId="0" borderId="32" xfId="0" applyFont="1" applyBorder="1" applyAlignment="1">
      <alignment horizontal="right"/>
    </xf>
    <xf numFmtId="0" fontId="78" fillId="0" borderId="43" xfId="0" applyFont="1" applyBorder="1" applyAlignment="1">
      <alignment horizontal="right"/>
    </xf>
    <xf numFmtId="0" fontId="78" fillId="0" borderId="33" xfId="0" quotePrefix="1" applyFont="1" applyBorder="1"/>
    <xf numFmtId="39" fontId="78" fillId="0" borderId="0" xfId="0" applyNumberFormat="1" applyFont="1"/>
    <xf numFmtId="39" fontId="78" fillId="0" borderId="44" xfId="0" applyNumberFormat="1" applyFont="1" applyBorder="1"/>
    <xf numFmtId="0" fontId="78" fillId="0" borderId="33" xfId="0" applyFont="1" applyBorder="1"/>
    <xf numFmtId="0" fontId="78" fillId="0" borderId="34" xfId="0" applyFont="1" applyBorder="1"/>
    <xf numFmtId="39" fontId="78" fillId="0" borderId="41" xfId="0" applyNumberFormat="1" applyFont="1" applyBorder="1"/>
    <xf numFmtId="39" fontId="78" fillId="0" borderId="4" xfId="0" applyNumberFormat="1" applyFont="1" applyBorder="1"/>
    <xf numFmtId="39" fontId="78" fillId="0" borderId="31" xfId="0" applyNumberFormat="1" applyFont="1" applyBorder="1"/>
    <xf numFmtId="0" fontId="84" fillId="49" borderId="0" xfId="0" applyFont="1" applyFill="1" applyAlignment="1">
      <alignment vertical="center"/>
    </xf>
    <xf numFmtId="0" fontId="78" fillId="49" borderId="0" xfId="0" applyFont="1" applyFill="1"/>
    <xf numFmtId="44" fontId="78" fillId="0" borderId="0" xfId="0" applyNumberFormat="1" applyFont="1"/>
    <xf numFmtId="0" fontId="79" fillId="0" borderId="0" xfId="0" applyFont="1" applyAlignment="1">
      <alignment horizontal="left" vertical="center"/>
    </xf>
    <xf numFmtId="44" fontId="96" fillId="43" borderId="47" xfId="0" applyNumberFormat="1" applyFont="1" applyFill="1" applyBorder="1" applyAlignment="1">
      <alignment horizontal="center"/>
    </xf>
    <xf numFmtId="44" fontId="79" fillId="0" borderId="47" xfId="0" applyNumberFormat="1" applyFont="1" applyBorder="1"/>
    <xf numFmtId="192" fontId="79" fillId="0" borderId="47" xfId="1" applyNumberFormat="1" applyFont="1" applyBorder="1" applyAlignment="1">
      <alignment horizontal="right" vertical="center"/>
    </xf>
    <xf numFmtId="0" fontId="84" fillId="49" borderId="0" xfId="0" applyFont="1" applyFill="1"/>
    <xf numFmtId="0" fontId="101" fillId="4" borderId="48" xfId="0" applyFont="1" applyFill="1" applyBorder="1"/>
    <xf numFmtId="0" fontId="101" fillId="4" borderId="46" xfId="0" applyFont="1" applyFill="1" applyBorder="1"/>
    <xf numFmtId="0" fontId="101" fillId="4" borderId="49" xfId="0" applyFont="1" applyFill="1" applyBorder="1"/>
    <xf numFmtId="0" fontId="101" fillId="4" borderId="50" xfId="0" applyFont="1" applyFill="1" applyBorder="1"/>
    <xf numFmtId="0" fontId="102" fillId="4" borderId="0" xfId="0" applyFont="1" applyFill="1"/>
    <xf numFmtId="0" fontId="101" fillId="4" borderId="0" xfId="0" applyFont="1" applyFill="1"/>
    <xf numFmtId="0" fontId="101" fillId="4" borderId="51" xfId="0" applyFont="1" applyFill="1" applyBorder="1"/>
    <xf numFmtId="0" fontId="103" fillId="4" borderId="0" xfId="0" applyFont="1" applyFill="1"/>
    <xf numFmtId="44" fontId="101" fillId="4" borderId="0" xfId="213" applyFont="1" applyFill="1" applyBorder="1" applyAlignment="1">
      <alignment horizontal="left"/>
    </xf>
    <xf numFmtId="14" fontId="101" fillId="4" borderId="0" xfId="0" applyNumberFormat="1" applyFont="1" applyFill="1" applyAlignment="1">
      <alignment horizontal="left"/>
    </xf>
    <xf numFmtId="0" fontId="106" fillId="4" borderId="0" xfId="0" applyFont="1" applyFill="1"/>
    <xf numFmtId="0" fontId="101" fillId="4" borderId="52" xfId="0" applyFont="1" applyFill="1" applyBorder="1"/>
    <xf numFmtId="0" fontId="106" fillId="4" borderId="41" xfId="0" applyFont="1" applyFill="1" applyBorder="1"/>
    <xf numFmtId="0" fontId="101" fillId="4" borderId="41" xfId="0" applyFont="1" applyFill="1" applyBorder="1"/>
    <xf numFmtId="0" fontId="101" fillId="4" borderId="53" xfId="0" applyFont="1" applyFill="1" applyBorder="1"/>
    <xf numFmtId="0" fontId="78" fillId="0" borderId="0" xfId="0" applyFont="1" applyAlignment="1">
      <alignment horizontal="right"/>
    </xf>
    <xf numFmtId="0" fontId="78" fillId="0" borderId="47" xfId="0" applyFont="1" applyBorder="1"/>
    <xf numFmtId="0" fontId="78" fillId="0" borderId="47" xfId="0" applyFont="1" applyBorder="1" applyAlignment="1">
      <alignment horizontal="right"/>
    </xf>
    <xf numFmtId="0" fontId="75" fillId="0" borderId="0" xfId="0" applyFont="1" applyAlignment="1">
      <alignment horizontal="left"/>
    </xf>
    <xf numFmtId="0" fontId="111" fillId="0" borderId="0" xfId="0" applyFont="1"/>
    <xf numFmtId="0" fontId="111" fillId="0" borderId="0" xfId="0" applyFont="1" applyAlignment="1">
      <alignment horizontal="center"/>
    </xf>
    <xf numFmtId="44" fontId="111" fillId="0" borderId="0" xfId="213" applyFont="1"/>
    <xf numFmtId="0" fontId="112" fillId="0" borderId="0" xfId="0" applyFont="1"/>
    <xf numFmtId="0" fontId="92" fillId="0" borderId="0" xfId="0" applyFont="1" applyAlignment="1">
      <alignment horizontal="left" indent="1"/>
    </xf>
    <xf numFmtId="44" fontId="78" fillId="0" borderId="0" xfId="0" applyNumberFormat="1" applyFont="1" applyAlignment="1">
      <alignment horizontal="right"/>
    </xf>
    <xf numFmtId="10" fontId="89" fillId="0" borderId="0" xfId="0" applyNumberFormat="1" applyFont="1"/>
    <xf numFmtId="9" fontId="89" fillId="0" borderId="29" xfId="1" applyFont="1" applyBorder="1"/>
    <xf numFmtId="0" fontId="105" fillId="0" borderId="26" xfId="0" applyFont="1" applyBorder="1" applyAlignment="1">
      <alignment horizontal="center"/>
    </xf>
    <xf numFmtId="0" fontId="105" fillId="5" borderId="26" xfId="0" applyFont="1" applyFill="1" applyBorder="1" applyAlignment="1">
      <alignment horizontal="center"/>
    </xf>
    <xf numFmtId="0" fontId="105" fillId="0" borderId="26" xfId="0" applyFont="1" applyBorder="1" applyAlignment="1">
      <alignment horizontal="left" vertical="center" indent="1"/>
    </xf>
    <xf numFmtId="0" fontId="104" fillId="6" borderId="26" xfId="0" applyFont="1" applyFill="1" applyBorder="1" applyAlignment="1">
      <alignment horizontal="center"/>
    </xf>
    <xf numFmtId="0" fontId="103" fillId="4" borderId="0" xfId="0" applyFont="1" applyFill="1" applyAlignment="1">
      <alignment horizontal="center"/>
    </xf>
    <xf numFmtId="0" fontId="78" fillId="0" borderId="0" xfId="0" applyFont="1" applyAlignment="1">
      <alignment horizontal="left" vertical="center" indent="1"/>
    </xf>
    <xf numFmtId="0" fontId="79" fillId="0" borderId="0" xfId="0" applyFont="1" applyAlignment="1">
      <alignment horizontal="center"/>
    </xf>
    <xf numFmtId="0" fontId="78" fillId="0" borderId="50" xfId="0" applyFont="1" applyBorder="1" applyAlignment="1">
      <alignment horizontal="left" vertical="center" indent="1"/>
    </xf>
    <xf numFmtId="0" fontId="114" fillId="0" borderId="0" xfId="0" applyFont="1" applyFill="1" applyAlignment="1">
      <alignment horizontal="left" indent="1"/>
    </xf>
    <xf numFmtId="0" fontId="78" fillId="0" borderId="0" xfId="0" applyFont="1" applyFill="1"/>
    <xf numFmtId="0" fontId="113" fillId="0" borderId="0" xfId="0" applyFont="1" applyFill="1" applyAlignment="1">
      <alignment horizontal="left"/>
    </xf>
  </cellXfs>
  <cellStyles count="215">
    <cellStyle name="$" xfId="3" xr:uid="{47DB6ACC-E23E-4C39-A194-CC6957C41325}"/>
    <cellStyle name="$m" xfId="4" xr:uid="{AB2D0172-B173-4A0E-BBD8-370D7986EC67}"/>
    <cellStyle name="$q" xfId="5" xr:uid="{83473047-72B3-43B1-990A-B2CDBE1FBDD0}"/>
    <cellStyle name="$q*" xfId="6" xr:uid="{E13CD884-A507-485E-A227-E9C8E425F281}"/>
    <cellStyle name="$qA" xfId="7" xr:uid="{AD635604-C212-468A-9492-08402D2894BA}"/>
    <cellStyle name="$qRange" xfId="8" xr:uid="{4BBC9D09-6E06-4E82-976A-959AC0E73142}"/>
    <cellStyle name="%" xfId="9" xr:uid="{F2BDCD49-51AD-443C-9E70-A6D33178926F}"/>
    <cellStyle name="******************************************" xfId="10" xr:uid="{9551A7F4-212F-49E8-AC5A-7402DBF0873E}"/>
    <cellStyle name="10Q" xfId="186" xr:uid="{D1DC2225-CBC9-4482-B500-A9F2B7541111}"/>
    <cellStyle name="2 Decimal Places_MA Software Comps - List_AccretionDilution OTGS v16.xls Chart 1" xfId="11" xr:uid="{9F364B74-B224-4C5C-BE7D-D0EA44433C5A}"/>
    <cellStyle name="20% - Accent1 2" xfId="12" xr:uid="{CEE375AE-A82B-4D8C-BDAF-F281E60C184B}"/>
    <cellStyle name="20% - Accent2 2" xfId="13" xr:uid="{C39BEACF-E382-47A9-84AD-BD494A31C371}"/>
    <cellStyle name="20% - Accent3 2" xfId="14" xr:uid="{7045BA88-D943-4822-B570-96C7D0AA3E05}"/>
    <cellStyle name="20% - Accent4 2" xfId="15" xr:uid="{5EE15DF8-A6C2-4D84-BD61-09E79CEB2065}"/>
    <cellStyle name="20% - Accent5 2" xfId="16" xr:uid="{AA23808F-5CEC-4112-A9A3-4E223AC78749}"/>
    <cellStyle name="20% - Accent6 2" xfId="17" xr:uid="{DDE5FE88-CF77-4BED-9B1D-8846B8D7A850}"/>
    <cellStyle name="40% - Accent1 2" xfId="18" xr:uid="{7656A6E6-D24C-4726-993C-50402ECC4EB9}"/>
    <cellStyle name="40% - Accent2 2" xfId="19" xr:uid="{BAA94F30-5574-49B3-88DA-430F0DD2A6C4}"/>
    <cellStyle name="40% - Accent3 2" xfId="20" xr:uid="{E1A82271-5E51-4DC8-9305-12B4FBCF848E}"/>
    <cellStyle name="40% - Accent4 2" xfId="21" xr:uid="{8C9AAFD6-9E5A-40F1-AB56-8EEB85146AB0}"/>
    <cellStyle name="40% - Accent5 2" xfId="22" xr:uid="{53A87E1D-FC28-47E4-8C78-290F4B6C3B6B}"/>
    <cellStyle name="40% - Accent6 2" xfId="23" xr:uid="{730AD84B-9012-4626-9BB2-E9814543D0E5}"/>
    <cellStyle name="60% - Accent1 2" xfId="24" xr:uid="{8455D3C4-F730-473A-84DC-DCE62D4A12D1}"/>
    <cellStyle name="60% - Accent2 2" xfId="25" xr:uid="{A2A40CFC-CB08-4123-9191-47CA05454ADD}"/>
    <cellStyle name="60% - Accent3 2" xfId="26" xr:uid="{9BB94AAC-296B-425E-9C08-90F8379948B5}"/>
    <cellStyle name="60% - Accent4 2" xfId="27" xr:uid="{988BAE8D-F7A1-489B-B393-44AEB3C1D493}"/>
    <cellStyle name="60% - Accent5 2" xfId="28" xr:uid="{8E58EE84-285E-48FA-A144-14FEE44A9EAF}"/>
    <cellStyle name="60% - Accent6 2" xfId="29" xr:uid="{B55D7243-61B5-4034-B07A-764B0C2D4B0D}"/>
    <cellStyle name="Accent1 2" xfId="30" xr:uid="{11E87A02-383E-4486-991C-94708284596D}"/>
    <cellStyle name="Accent2 2" xfId="31" xr:uid="{320EAFE7-F22F-4AA6-A550-BBF27FE7A8FA}"/>
    <cellStyle name="Accent3 2" xfId="32" xr:uid="{BFE97D81-1895-4B85-A425-98B898E1FCA6}"/>
    <cellStyle name="Accent4 2" xfId="33" xr:uid="{3FE4890E-FFA3-4C34-A9F7-828A950CC803}"/>
    <cellStyle name="Accent5 2" xfId="34" xr:uid="{A06EB7D8-5C51-4FB3-B794-6E50AEA14DFB}"/>
    <cellStyle name="Accent6 2" xfId="35" xr:uid="{0B5C1BFE-63EF-4994-AC98-254895A4C5F6}"/>
    <cellStyle name="AFE" xfId="36" xr:uid="{B302966B-38BF-4887-B6F0-9BC85C4CEE8C}"/>
    <cellStyle name="Bad 2" xfId="37" xr:uid="{3F8942CC-076A-4FF0-9A87-B55D5A278659}"/>
    <cellStyle name="Balance" xfId="38" xr:uid="{39990329-F904-41B4-B426-46F570438EDB}"/>
    <cellStyle name="BalanceSheet" xfId="39" xr:uid="{59A869C3-A344-4E88-9BCB-D5CC22B074D6}"/>
    <cellStyle name="Body_$Numeric" xfId="40" xr:uid="{DFE30D9C-DEC4-42AE-95A8-0A8E43C1A01F}"/>
    <cellStyle name="Bold Header" xfId="41" xr:uid="{DD766CBA-2219-4F74-8DF5-039D7D79A954}"/>
    <cellStyle name="Calculation 2" xfId="42" xr:uid="{54A9F6A0-0993-4D65-8655-38DE1356399C}"/>
    <cellStyle name="CashFlow" xfId="43" xr:uid="{F78D5947-A0DA-4BD8-A2AE-5FB21FD0EC8A}"/>
    <cellStyle name="ChartingText" xfId="187" xr:uid="{86A99FE5-AB94-4BD3-8A54-066736BDEF1E}"/>
    <cellStyle name="Check" xfId="44" xr:uid="{03FFA859-6687-4024-ADE9-39506CE83DD9}"/>
    <cellStyle name="Check Cell 2" xfId="45" xr:uid="{348ED4BE-43E6-486C-B717-E20C066AAE3E}"/>
    <cellStyle name="CHPTop" xfId="188" xr:uid="{BFDA4F27-D15D-4999-82D9-BF5D6CE8C1B0}"/>
    <cellStyle name="ColHeading" xfId="46" xr:uid="{9056431E-2BD6-4CD8-8226-4D9C81F2F6AD}"/>
    <cellStyle name="colheadleft" xfId="47" xr:uid="{0AEA1DBF-6B29-42B5-99BD-C9F4CBFECE3A}"/>
    <cellStyle name="colheadright" xfId="48" xr:uid="{EC050B65-1752-47CA-84B2-E2543CE17130}"/>
    <cellStyle name="ColumnHeaderNormal" xfId="189" xr:uid="{50E59B43-4E9B-4F12-BB55-D8DB1A59BB1C}"/>
    <cellStyle name="Comma" xfId="212" builtinId="3"/>
    <cellStyle name="Comma 2" xfId="49" xr:uid="{B4C059FA-02D1-494F-A559-4086DA20DA89}"/>
    <cellStyle name="Comma0" xfId="50" xr:uid="{DBFC9EC0-DE7E-4E62-8767-F6F09C7AAA16}"/>
    <cellStyle name="Comma2" xfId="51" xr:uid="{04A0F5A5-947C-4BDE-9A41-C829754323A6}"/>
    <cellStyle name="Company" xfId="52" xr:uid="{AB697EEA-21F1-410D-BB7C-F7E626BF0509}"/>
    <cellStyle name="CurRatio" xfId="53" xr:uid="{CDE33536-6295-4A84-8DFE-C084B89EC17E}"/>
    <cellStyle name="Currency" xfId="213" builtinId="4"/>
    <cellStyle name="Currency--" xfId="190" xr:uid="{DDF72A88-F4D7-4CFE-A498-F48FBFE7F1B0}"/>
    <cellStyle name="Currency [1]" xfId="54" xr:uid="{6E1FD8BD-8E26-47D9-9306-628CF6504BA2}"/>
    <cellStyle name="Currency [2]" xfId="55" xr:uid="{95EFCBD4-0A60-4EF8-B182-66EBE8F19E15}"/>
    <cellStyle name="Currency0" xfId="56" xr:uid="{A1787E2F-512F-468B-AD58-CF0854DF721D}"/>
    <cellStyle name="Currency2" xfId="57" xr:uid="{7B14482C-49DE-40E5-9B0E-3B85157977F4}"/>
    <cellStyle name="d_yield" xfId="58" xr:uid="{33294CC9-E64B-4190-A233-FEF27D61FB9A}"/>
    <cellStyle name="d_yield_CW's MAKER MODEL" xfId="59" xr:uid="{318F2B88-B01B-47B8-A7CC-B39C9C3AAE31}"/>
    <cellStyle name="d_yield_valuation" xfId="60" xr:uid="{A6706A6F-DD54-4264-84D4-59F108CDEFD3}"/>
    <cellStyle name="Date [d-mmm-yy]" xfId="61" xr:uid="{84FEC5B6-8720-4C7B-B705-188AAEB97818}"/>
    <cellStyle name="Date [mm-dd-yy]" xfId="191" xr:uid="{45CF1819-73EA-470C-81D8-354451B51D71}"/>
    <cellStyle name="Date [mm-dd-yyyy]" xfId="192" xr:uid="{20B9053E-D93B-40C6-B4D3-D6C8CA7AC534}"/>
    <cellStyle name="Date [mm-d-yyyy]" xfId="193" xr:uid="{09AFC9A9-F744-4D05-8761-55029B1EE0AF}"/>
    <cellStyle name="Date [mmm-d-yyyy]" xfId="62" xr:uid="{B992BA31-0069-4875-8CEC-7DF6289843BB}"/>
    <cellStyle name="Date [mmm-yyyy]" xfId="63" xr:uid="{D1C724AF-280E-4C9D-8623-57D48FF93DC9}"/>
    <cellStyle name="Dates" xfId="64" xr:uid="{A817CE30-E6FE-4C50-AC36-34600610768C}"/>
    <cellStyle name="DateYear" xfId="65" xr:uid="{8A14E819-4E8C-4372-91B7-F8A22B770CCA}"/>
    <cellStyle name="Dezimal_Capital expenditure planning FY 2000" xfId="66" xr:uid="{8E0ED49F-CF7A-463F-87F8-3A212C260C45}"/>
    <cellStyle name="Dollar" xfId="67" xr:uid="{6854D846-6DC6-44B1-9F18-9F52B67BF9B8}"/>
    <cellStyle name="Dollars" xfId="68" xr:uid="{48410831-D313-4691-B215-CA3D8D4353AC}"/>
    <cellStyle name="DollarWhole" xfId="69" xr:uid="{ADDF027A-488D-458E-93AD-7A04CBAB2464}"/>
    <cellStyle name="eps" xfId="70" xr:uid="{4D32428F-E1C3-4990-A673-999E375B0F4B}"/>
    <cellStyle name="eps$" xfId="71" xr:uid="{73C6E1DE-C1B6-4D13-BC76-A4A242BF4E61}"/>
    <cellStyle name="eps$A" xfId="72" xr:uid="{56B15C11-EF81-4AA9-ADAA-76A75FB7C726}"/>
    <cellStyle name="eps$E" xfId="73" xr:uid="{38D49760-E1DA-4712-8E3A-1C762599789C}"/>
    <cellStyle name="epsA" xfId="74" xr:uid="{80E19B66-BA08-4A6F-B0B2-740902062B60}"/>
    <cellStyle name="EPSActual" xfId="75" xr:uid="{61FCE77E-DD95-4866-A23E-86ED6E3F3642}"/>
    <cellStyle name="epsE" xfId="76" xr:uid="{CABAB38D-EEE1-47DD-9DBD-4CEA9BDF7071}"/>
    <cellStyle name="EPSEstimate" xfId="77" xr:uid="{A79D5136-09CD-432A-8D29-D2B6EEE68968}"/>
    <cellStyle name="Euro" xfId="78" xr:uid="{CB91680D-B1F2-43FA-8A06-1A7E6A47D09C}"/>
    <cellStyle name="Explanatory Text 2" xfId="79" xr:uid="{3989A087-4319-410E-BF67-F0C0DBD2F5FA}"/>
    <cellStyle name="fy_eps$" xfId="80" xr:uid="{DA2C02D6-A979-4CD8-9882-002B9218BF87}"/>
    <cellStyle name="g_rate" xfId="81" xr:uid="{0C020E48-3A7F-4581-B12C-3C107F6CEE47}"/>
    <cellStyle name="g_rate_CW's MAKER MODEL" xfId="82" xr:uid="{A83B08D6-0B8F-453C-908F-3D38D5EF21DA}"/>
    <cellStyle name="g_rate_valuation" xfId="83" xr:uid="{B3903588-F46D-4766-B065-1265532C45FC}"/>
    <cellStyle name="General" xfId="84" xr:uid="{AE58FB53-A25F-453F-BC1D-F2DAE8CDEAB7}"/>
    <cellStyle name="Good 2" xfId="85" xr:uid="{2F997800-86EA-4765-9F8B-6A2CDEB99D42}"/>
    <cellStyle name="GrowthRate" xfId="86" xr:uid="{E6BE905F-1A5D-495C-A678-D0A1FCCB9557}"/>
    <cellStyle name="GrowthSeq" xfId="87" xr:uid="{0F4E98A0-BAD0-41A1-B37A-D4BCB92A981E}"/>
    <cellStyle name="Hard Number Input" xfId="88" xr:uid="{3D89C07E-B27F-45D4-8F9D-8C57048C1854}"/>
    <cellStyle name="Heading 1 2" xfId="89" xr:uid="{A563777A-8374-487D-934F-9A2EF2E3AAE3}"/>
    <cellStyle name="Heading 2 2" xfId="90" xr:uid="{BC3A89CB-3221-498E-9D26-7073E5E92EDE}"/>
    <cellStyle name="Heading 3 2" xfId="91" xr:uid="{630E04BB-425A-4747-BE65-6F345FDA78D3}"/>
    <cellStyle name="Heading 4 2" xfId="92" xr:uid="{A7E939A7-0BC6-43E7-BB18-B78F66CEAD3E}"/>
    <cellStyle name="Historical Number" xfId="93" xr:uid="{90B83D13-6022-4494-BA79-619DEABCE16D}"/>
    <cellStyle name="iemens" xfId="94" xr:uid="{24492E24-1B63-47FC-A7F9-CBCFB065610A}"/>
    <cellStyle name="Income" xfId="95" xr:uid="{9C3B1D3C-2E76-4004-8500-92AE446E6130}"/>
    <cellStyle name="IncomeStatement" xfId="96" xr:uid="{AC6C9FDC-C00E-437E-9243-9A666B6E6933}"/>
    <cellStyle name="Input 2" xfId="97" xr:uid="{E149B9C1-C7AB-484C-8F55-10ACB6128992}"/>
    <cellStyle name="Input Fixed [0]" xfId="98" xr:uid="{5D2175C2-BD80-465C-A06A-1E69911D24AD}"/>
    <cellStyle name="Integer" xfId="99" xr:uid="{43978672-D56E-48CC-9331-EE417189E00D}"/>
    <cellStyle name="Inverse Header" xfId="100" xr:uid="{F311DCB9-EFFC-4D8D-B311-1D16D0F6351A}"/>
    <cellStyle name="Invisible" xfId="194" xr:uid="{3BB941C9-E89B-417C-A3F0-2C7A73B1D2D3}"/>
    <cellStyle name="Item" xfId="101" xr:uid="{42B6CB61-33AC-43A0-8DFE-EF6A11C325AF}"/>
    <cellStyle name="ItemTypeClass" xfId="102" xr:uid="{5443226F-CE84-4020-BFDC-BF8B5B9956D8}"/>
    <cellStyle name="Linked Cell 2" xfId="103" xr:uid="{3BA7E915-00D7-4645-BC5C-34E77E4316FF}"/>
    <cellStyle name="LTGR" xfId="104" xr:uid="{5F598250-01FE-456A-B998-22ECCFD83F96}"/>
    <cellStyle name="m" xfId="105" xr:uid="{E09D5786-ED2E-472C-B806-9B37281849DD}"/>
    <cellStyle name="m$" xfId="106" xr:uid="{223EEC21-4B07-4CF3-BB76-80CAEFEDFBD0}"/>
    <cellStyle name="m/d/yy" xfId="195" xr:uid="{3666E06F-0F01-4180-8ECA-19FA88D10111}"/>
    <cellStyle name="m_CW's MAKER MODEL" xfId="107" xr:uid="{22FA89A6-C255-4B06-8C70-4FF8B073F964}"/>
    <cellStyle name="m_valuation" xfId="108" xr:uid="{23169FA6-C45F-49CB-977A-7917A73C55EB}"/>
    <cellStyle name="Margin" xfId="109" xr:uid="{2294DE67-1082-4FBE-89D7-F3430F2F6EEC}"/>
    <cellStyle name="Margins" xfId="110" xr:uid="{FBBE4E02-2CC8-4B73-8AC6-2881B2FF6CD8}"/>
    <cellStyle name="mm" xfId="111" xr:uid="{FB6A3A54-2FD6-4BE1-93D4-6FC372401334}"/>
    <cellStyle name="Multiple" xfId="112" xr:uid="{7CF6B432-CA11-46CD-984D-CC28F11B1C99}"/>
    <cellStyle name="MyStyle" xfId="196" xr:uid="{725B9AE0-BCB2-4BAB-9B9A-7C6742A6A71C}"/>
    <cellStyle name="NA is zero" xfId="113" xr:uid="{31C0C842-8A95-45CD-80B8-BEDAA91F1A7C}"/>
    <cellStyle name="Neutral 2" xfId="114" xr:uid="{1FD361EC-C052-4F8E-B0C0-39DA0EA600C9}"/>
    <cellStyle name="NewColumnHeaderNormal" xfId="197" xr:uid="{DC4BD504-B61F-427B-9DA8-B319CFD5E9FA}"/>
    <cellStyle name="NewSectionHeaderNormal" xfId="198" xr:uid="{0333319A-F03C-4299-9A75-530A4193F5AC}"/>
    <cellStyle name="NewTitleNormal" xfId="199" xr:uid="{41F73A4C-351A-4CA1-B2B4-6649FA5BF6F1}"/>
    <cellStyle name="Normal" xfId="0" builtinId="0"/>
    <cellStyle name="Normal--" xfId="200" xr:uid="{A44C2EEA-0D98-4707-A3C8-4F762EFFC301}"/>
    <cellStyle name="Normal [0]" xfId="115" xr:uid="{82687B0A-E4EE-4D33-98A6-B5BC6F21FF46}"/>
    <cellStyle name="Normal [1]" xfId="116" xr:uid="{B617AB3E-CF91-46DD-BA7D-EB080E40876F}"/>
    <cellStyle name="Normal [2]" xfId="117" xr:uid="{60E48408-64FB-4749-8F09-53EFC7B813A5}"/>
    <cellStyle name="Normal [3]" xfId="118" xr:uid="{C0675DE0-D8CA-4AA3-92CF-3EA9912F9C88}"/>
    <cellStyle name="Normal 2" xfId="2" xr:uid="{338EBFFF-270E-4961-9CB3-9D8B9A742442}"/>
    <cellStyle name="Normal 2 2" xfId="119" xr:uid="{07D7A525-2AB9-4F6F-96DF-C584D75E42DF}"/>
    <cellStyle name="Normal 3" xfId="211" xr:uid="{E60A779C-3B4B-432B-8600-861F81D375C8}"/>
    <cellStyle name="Normal 5" xfId="214" xr:uid="{7AD3FFCB-12C5-4AEC-92BC-78CAD7AC87FD}"/>
    <cellStyle name="Normal Bold" xfId="120" xr:uid="{66DEC2CC-021F-45AC-A7B3-4CFD405EC6DF}"/>
    <cellStyle name="Normal Pct" xfId="121" xr:uid="{DD30F713-02C0-4F2F-A164-D38BFD743771}"/>
    <cellStyle name="NormalX" xfId="122" xr:uid="{E5D7E93C-8ACA-41F3-B2C3-D014E2BB7434}"/>
    <cellStyle name="Note 2" xfId="123" xr:uid="{7C1A4B8B-F6B2-4105-89DC-69209FA468D7}"/>
    <cellStyle name="NPPESalesPct" xfId="124" xr:uid="{AA6BE46A-8B67-448C-A3BE-C9CFE265F136}"/>
    <cellStyle name="Number" xfId="125" xr:uid="{B04D3511-D5E8-4129-8C4E-8F5C6DA8A5FF}"/>
    <cellStyle name="NWI%S" xfId="126" xr:uid="{ED4F5771-05D6-48B8-9B36-08161FCEA76F}"/>
    <cellStyle name="Output 2" xfId="127" xr:uid="{B801A461-C407-4EB0-8600-AF869AF3424E}"/>
    <cellStyle name="P/E" xfId="128" xr:uid="{CF6E940B-8CA8-4589-9A76-8A98247E9D04}"/>
    <cellStyle name="Palatino" xfId="129" xr:uid="{75563DC9-0E50-4663-83ED-AEA0261FCB88}"/>
    <cellStyle name="pc1" xfId="130" xr:uid="{364BE0BE-3E98-4EE8-8856-83263C1F5B99}"/>
    <cellStyle name="pe" xfId="131" xr:uid="{08FDF1D5-85C9-4A90-B55C-FEFDDC62C87F}"/>
    <cellStyle name="PE/LTGR" xfId="132" xr:uid="{BA932A3C-5CF9-44A1-95BE-99124DED8A48}"/>
    <cellStyle name="PEG" xfId="133" xr:uid="{5745FC2F-D79D-4541-946E-51D1A01CA5E0}"/>
    <cellStyle name="Percent" xfId="1" builtinId="5"/>
    <cellStyle name="Percent [0]" xfId="134" xr:uid="{FBFB96F1-0726-4D86-8AB9-7AA2A4DA98A5}"/>
    <cellStyle name="Percent [1]" xfId="135" xr:uid="{90B3DE88-CFB2-4EBB-8B3D-C34B72BCFF2E}"/>
    <cellStyle name="Percent [2]" xfId="136" xr:uid="{9BD97382-F882-43E9-9F82-C6093A4DA19B}"/>
    <cellStyle name="PercentChange" xfId="137" xr:uid="{F411DB8C-050D-4CC6-BB3A-8C0C6F97494A}"/>
    <cellStyle name="PercentPresentation" xfId="138" xr:uid="{2AFE572E-D994-4C39-93CE-12239A4B121A}"/>
    <cellStyle name="PerShare" xfId="139" xr:uid="{C21C653F-DE85-4D91-B6B7-2F06D03B3FC1}"/>
    <cellStyle name="POPS" xfId="140" xr:uid="{7EFFC8D4-1EC7-42DF-B54B-280A65AAC006}"/>
    <cellStyle name="Presentation" xfId="141" xr:uid="{024446F5-64AE-412C-9E6E-8E90111F7C01}"/>
    <cellStyle name="PresentationZero" xfId="142" xr:uid="{3D1B3710-410C-4AC2-B570-BC4808662EED}"/>
    <cellStyle name="price" xfId="143" xr:uid="{CF80A0C6-F646-469B-A5CC-648DA46D0A0F}"/>
    <cellStyle name="q" xfId="144" xr:uid="{D640F8A5-4B2C-4640-98E5-2C908D6C7651}"/>
    <cellStyle name="q_CW's MAKER MODEL" xfId="145" xr:uid="{E508AAC1-D2BD-4F80-8F9E-72F9C083D19F}"/>
    <cellStyle name="QEPS-h" xfId="146" xr:uid="{2CA38DE8-3411-421D-8839-9330CA3C8E16}"/>
    <cellStyle name="QEPS-H1" xfId="147" xr:uid="{7086546C-BAC2-4A56-827F-BFB0974C2A81}"/>
    <cellStyle name="qRange" xfId="148" xr:uid="{AAE5C964-8B6C-465E-96E5-02C6DEBF541D}"/>
    <cellStyle name="range" xfId="149" xr:uid="{662A7A48-1C2C-47F6-B5DF-8B9CFE44BC8A}"/>
    <cellStyle name="RatioX" xfId="150" xr:uid="{CFE0FA33-1616-4FCD-B214-496C10AD348E}"/>
    <cellStyle name="Red font" xfId="201" xr:uid="{C8BCB55E-6BBF-4153-A5E2-63FFB171BB8F}"/>
    <cellStyle name="Report" xfId="151" xr:uid="{29331058-3D3C-49C1-961E-FE6BC7C5B63D}"/>
    <cellStyle name="Right" xfId="152" xr:uid="{F4A4B9C1-2216-4B93-AE7E-E19F06DF96FF}"/>
    <cellStyle name="SectionHeaderNormal" xfId="202" xr:uid="{51428550-0688-4EA3-9337-039D8CFBFE42}"/>
    <cellStyle name="SectionHeading" xfId="153" xr:uid="{1B7C24B7-EE79-4132-AD31-07C93CC96694}"/>
    <cellStyle name="Shares" xfId="154" xr:uid="{9F41EF1D-822F-4001-9ADD-8E1C1435400F}"/>
    <cellStyle name="StockPrice" xfId="155" xr:uid="{FB9E27A3-DB4F-41D3-A171-ED164FB6BDFF}"/>
    <cellStyle name="Style 1" xfId="156" xr:uid="{5505A8B5-E917-4EC4-8670-1D5DDF19481C}"/>
    <cellStyle name="Style 21" xfId="157" xr:uid="{BD9093AE-F2E4-495A-A5F2-A4CF2FBC1F60}"/>
    <cellStyle name="Style 22" xfId="158" xr:uid="{96D153D5-4997-45BC-8010-97BE862F87C1}"/>
    <cellStyle name="Style 23" xfId="159" xr:uid="{42B27BFE-D5A9-427A-9265-D3E254311C36}"/>
    <cellStyle name="Style 24" xfId="160" xr:uid="{ACF2E976-8FC5-40F2-B222-07D7605F5742}"/>
    <cellStyle name="Style 26" xfId="161" xr:uid="{202D12AC-7523-45EB-94C0-BAABACD99804}"/>
    <cellStyle name="Style 27" xfId="162" xr:uid="{CAC1748B-455F-4F7D-A299-19CD3AA554C0}"/>
    <cellStyle name="Style 34" xfId="163" xr:uid="{109A0061-FE6A-4C25-A4A4-02D415FA3A90}"/>
    <cellStyle name="Style 37" xfId="164" xr:uid="{5F065D9E-3615-427D-AE52-9D91EC0F46E6}"/>
    <cellStyle name="Style 63" xfId="165" xr:uid="{CAB9BB3D-14F5-4357-9D7F-46F9156BFA39}"/>
    <cellStyle name="SubDollar" xfId="166" xr:uid="{49491CEE-14AA-4286-9A78-8EF8669826E2}"/>
    <cellStyle name="SubGrowth" xfId="167" xr:uid="{7B50A7C8-1AEE-45D5-99E8-B89504EB4CD0}"/>
    <cellStyle name="SubGrowthRate" xfId="168" xr:uid="{D9EC816D-8F34-471B-B707-ED0E81CF2333}"/>
    <cellStyle name="SubMargins" xfId="169" xr:uid="{1E444B1A-3336-460A-A77F-D809CCF19C1E}"/>
    <cellStyle name="SubPenetration" xfId="170" xr:uid="{D8938539-821F-4E1A-98FD-0FBA18921CA5}"/>
    <cellStyle name="Subscribers" xfId="171" xr:uid="{2F8BF9CB-031C-40B9-BABD-8B51330ECAE2}"/>
    <cellStyle name="SubScript" xfId="203" xr:uid="{74D1E12F-1571-4FE4-A09A-AA33F34732E7}"/>
    <cellStyle name="SubVariable" xfId="172" xr:uid="{237C7744-5DAC-42F3-86FE-0E078C818EC5}"/>
    <cellStyle name="SuperScript" xfId="204" xr:uid="{67CAC5EA-A93B-4E8B-BC54-CDE0492432B5}"/>
    <cellStyle name="tcn" xfId="173" xr:uid="{44976D27-840D-4E1A-B3CA-D63AD4B7FFD8}"/>
    <cellStyle name="TextBold" xfId="205" xr:uid="{6E4C34C6-73CF-4850-8661-C4A985FFFAA0}"/>
    <cellStyle name="TextItalic" xfId="206" xr:uid="{E349B3AD-FC49-4D5D-BC62-DC85F65F5B6A}"/>
    <cellStyle name="TextNormal" xfId="207" xr:uid="{C82F40FE-5DFE-4210-97B4-EFA81502FCA5}"/>
    <cellStyle name="Times" xfId="208" xr:uid="{15F47F01-E49E-4E29-88CD-F4600929D5FA}"/>
    <cellStyle name="Times [1]" xfId="174" xr:uid="{A00B4357-1BFE-4D44-8035-C26461E5DF88}"/>
    <cellStyle name="Times [2]" xfId="175" xr:uid="{66FF2388-D2B5-445B-A53D-51194799FB16}"/>
    <cellStyle name="Title 2" xfId="176" xr:uid="{644C8BC8-164B-4856-985E-943B174B1A0C}"/>
    <cellStyle name="title2" xfId="177" xr:uid="{F1257023-13A1-49A0-88D5-E8A5FB41B92F}"/>
    <cellStyle name="TitleII" xfId="178" xr:uid="{50EDAB2D-A5D3-4738-B958-F0A3BAD6462E}"/>
    <cellStyle name="TitleNormal" xfId="209" xr:uid="{72965B5D-8ADA-4338-ABDE-356825FC2749}"/>
    <cellStyle name="Titles" xfId="179" xr:uid="{300EE407-BAC1-4722-9100-DE430EF67A54}"/>
    <cellStyle name="TitleSub" xfId="180" xr:uid="{B36F12D6-6D4D-4AD2-AFD9-9506F7EF45B7}"/>
    <cellStyle name="tn" xfId="181" xr:uid="{5E68871C-AA12-4B4F-9C6B-F021ABBB80C6}"/>
    <cellStyle name="Total 2" xfId="182" xr:uid="{FDDB81FD-DF62-484D-BE48-1163737C313E}"/>
    <cellStyle name="Warning Text 2" xfId="183" xr:uid="{ABD4B0AD-665A-44BD-97EC-455AC5F11428}"/>
    <cellStyle name="WholeNumber" xfId="184" xr:uid="{181978C1-20A3-48BC-8B3D-CE4A3EA58F69}"/>
    <cellStyle name="Year&quot;E&quot;" xfId="185" xr:uid="{6CC44D62-2934-45B1-A652-A8633B84D0FE}"/>
    <cellStyle name="Years" xfId="210" xr:uid="{55D760FF-99F1-4A5C-80E0-938315CAAF75}"/>
  </cellStyles>
  <dxfs count="2">
    <dxf>
      <fill>
        <patternFill>
          <bgColor theme="9" tint="0.59996337778862885"/>
        </patternFill>
      </fill>
    </dxf>
    <dxf>
      <fill>
        <patternFill>
          <bgColor rgb="FFFF7D7D"/>
        </patternFill>
      </fill>
    </dxf>
  </dxfs>
  <tableStyles count="0" defaultTableStyle="TableStyleMedium2" defaultPivotStyle="PivotStyleLight16"/>
  <colors>
    <mruColors>
      <color rgb="FFEAEAEA"/>
      <color rgb="FFFFFF99"/>
      <color rgb="FFD7E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DCF Equity Valuation Range </a:t>
            </a:r>
          </a:p>
        </c:rich>
      </c:tx>
      <c:layout>
        <c:manualLayout>
          <c:xMode val="edge"/>
          <c:yMode val="edge"/>
          <c:x val="0.40185252593592047"/>
          <c:y val="1.1248045984137598E-2"/>
        </c:manualLayout>
      </c:layout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noFill/>
          </c:spPr>
          <c:invertIfNegative val="0"/>
          <c:cat>
            <c:strRef>
              <c:f>Summary!$B$42:$B$44</c:f>
              <c:strCache>
                <c:ptCount val="3"/>
                <c:pt idx="0">
                  <c:v>DCF Value at 10.0x-14.0x Exit EBITDA Range @ 10.0% WACC</c:v>
                </c:pt>
                <c:pt idx="1">
                  <c:v>DCF Value at 1.8%-3.2% Perpetuity @ 10.0% WACC</c:v>
                </c:pt>
                <c:pt idx="2">
                  <c:v>52 Week Market High/Low</c:v>
                </c:pt>
              </c:strCache>
            </c:strRef>
          </c:cat>
          <c:val>
            <c:numRef>
              <c:f>Summary!$G$42:$G$44</c:f>
              <c:numCache>
                <c:formatCode>#,##0.00_);\(#,##0.00\)</c:formatCode>
                <c:ptCount val="3"/>
                <c:pt idx="0">
                  <c:v>68.33367852052487</c:v>
                </c:pt>
                <c:pt idx="1">
                  <c:v>71.210383132444221</c:v>
                </c:pt>
                <c:pt idx="2">
                  <c:v>54.84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15-49F6-8A5F-2A6D619EC63A}"/>
            </c:ext>
          </c:extLst>
        </c:ser>
        <c:ser>
          <c:idx val="1"/>
          <c:order val="1"/>
          <c:invertIfNegative val="0"/>
          <c:cat>
            <c:strRef>
              <c:f>Summary!$B$42:$B$44</c:f>
              <c:strCache>
                <c:ptCount val="3"/>
                <c:pt idx="0">
                  <c:v>DCF Value at 10.0x-14.0x Exit EBITDA Range @ 10.0% WACC</c:v>
                </c:pt>
                <c:pt idx="1">
                  <c:v>DCF Value at 1.8%-3.2% Perpetuity @ 10.0% WACC</c:v>
                </c:pt>
                <c:pt idx="2">
                  <c:v>52 Week Market High/Low</c:v>
                </c:pt>
              </c:strCache>
            </c:strRef>
          </c:cat>
          <c:val>
            <c:numRef>
              <c:f>Summary!$H$42:$H$44</c:f>
              <c:numCache>
                <c:formatCode>#,##0.00_);\(#,##0.00\)</c:formatCode>
                <c:ptCount val="3"/>
                <c:pt idx="0">
                  <c:v>18.799662584238646</c:v>
                </c:pt>
                <c:pt idx="1">
                  <c:v>11.307724714183351</c:v>
                </c:pt>
                <c:pt idx="2">
                  <c:v>32.159999999999997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15-49F6-8A5F-2A6D619EC63A}"/>
            </c:ext>
          </c:extLst>
        </c:ser>
        <c:ser>
          <c:idx val="2"/>
          <c:order val="2"/>
          <c:spPr>
            <a:noFill/>
          </c:spPr>
          <c:invertIfNegative val="0"/>
          <c:cat>
            <c:strRef>
              <c:f>Summary!$B$42:$B$44</c:f>
              <c:strCache>
                <c:ptCount val="3"/>
                <c:pt idx="0">
                  <c:v>DCF Value at 10.0x-14.0x Exit EBITDA Range @ 10.0% WACC</c:v>
                </c:pt>
                <c:pt idx="1">
                  <c:v>DCF Value at 1.8%-3.2% Perpetuity @ 10.0% WACC</c:v>
                </c:pt>
                <c:pt idx="2">
                  <c:v>52 Week Market High/Low</c:v>
                </c:pt>
              </c:strCache>
            </c:strRef>
          </c:cat>
          <c:val>
            <c:numRef>
              <c:f>Summary!$I$42:$I$44</c:f>
              <c:numCache>
                <c:formatCode>#,##0.00_);\(#,##0.00\)</c:formatCode>
                <c:ptCount val="3"/>
                <c:pt idx="0">
                  <c:v>87.133341104763517</c:v>
                </c:pt>
                <c:pt idx="1">
                  <c:v>82.518107846627572</c:v>
                </c:pt>
                <c:pt idx="2">
                  <c:v>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815-49F6-8A5F-2A6D619EC6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9639680"/>
        <c:axId val="99641216"/>
      </c:barChart>
      <c:catAx>
        <c:axId val="996396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99641216"/>
        <c:crosses val="autoZero"/>
        <c:auto val="1"/>
        <c:lblAlgn val="ctr"/>
        <c:lblOffset val="100"/>
        <c:noMultiLvlLbl val="0"/>
      </c:catAx>
      <c:valAx>
        <c:axId val="99641216"/>
        <c:scaling>
          <c:orientation val="minMax"/>
          <c:max val="90"/>
          <c:min val="50"/>
        </c:scaling>
        <c:delete val="0"/>
        <c:axPos val="l"/>
        <c:numFmt formatCode="#,##0.00_);\(#,##0.00\)" sourceLinked="1"/>
        <c:majorTickMark val="out"/>
        <c:minorTickMark val="none"/>
        <c:tickLblPos val="nextTo"/>
        <c:crossAx val="99639680"/>
        <c:crosses val="autoZero"/>
        <c:crossBetween val="between"/>
      </c:valAx>
    </c:plotArea>
    <c:plotVisOnly val="1"/>
    <c:dispBlanksAs val="gap"/>
    <c:showDLblsOverMax val="0"/>
  </c:chart>
  <c:spPr>
    <a:ln w="6350">
      <a:solidFill>
        <a:schemeClr val="tx1">
          <a:lumMod val="65000"/>
          <a:lumOff val="35000"/>
        </a:schemeClr>
      </a:solidFill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Total Revenue</a:t>
            </a:r>
          </a:p>
        </c:rich>
      </c:tx>
      <c:layout>
        <c:manualLayout>
          <c:xMode val="edge"/>
          <c:yMode val="edge"/>
          <c:x val="0.41578457692431742"/>
          <c:y val="2.06536875093444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Model!$E$10:$N$10</c15:sqref>
                  </c15:fullRef>
                </c:ext>
              </c:extLst>
              <c:f>Model!$G$10:$N$10</c:f>
              <c:strCache>
                <c:ptCount val="8"/>
                <c:pt idx="0">
                  <c:v>2023A</c:v>
                </c:pt>
                <c:pt idx="1">
                  <c:v>2024A</c:v>
                </c:pt>
                <c:pt idx="2">
                  <c:v>2025F</c:v>
                </c:pt>
                <c:pt idx="3">
                  <c:v>2026F</c:v>
                </c:pt>
                <c:pt idx="4">
                  <c:v>2027F</c:v>
                </c:pt>
                <c:pt idx="5">
                  <c:v>2028F</c:v>
                </c:pt>
                <c:pt idx="6">
                  <c:v>2029F</c:v>
                </c:pt>
                <c:pt idx="7">
                  <c:v>2030F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Model!$E$59:$N$59</c15:sqref>
                  </c15:fullRef>
                </c:ext>
              </c:extLst>
              <c:f>Model!$G$59:$N$59</c:f>
              <c:numCache>
                <c:formatCode>#,##0_);\(#,##0\)</c:formatCode>
                <c:ptCount val="8"/>
                <c:pt idx="0">
                  <c:v>37281</c:v>
                </c:pt>
                <c:pt idx="1">
                  <c:v>43978</c:v>
                </c:pt>
                <c:pt idx="2">
                  <c:v>51284.154764999999</c:v>
                </c:pt>
                <c:pt idx="3">
                  <c:v>59705.616907039119</c:v>
                </c:pt>
                <c:pt idx="4">
                  <c:v>68726.727933979477</c:v>
                </c:pt>
                <c:pt idx="5">
                  <c:v>78503.284412742709</c:v>
                </c:pt>
                <c:pt idx="6">
                  <c:v>88580.951756633396</c:v>
                </c:pt>
                <c:pt idx="7">
                  <c:v>99349.657174186548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59-4E56-AB1E-89BDEC6F68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53909759"/>
        <c:axId val="753910239"/>
      </c:barChart>
      <c:catAx>
        <c:axId val="753909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910239"/>
        <c:crosses val="autoZero"/>
        <c:auto val="1"/>
        <c:lblAlgn val="ctr"/>
        <c:lblOffset val="100"/>
        <c:noMultiLvlLbl val="0"/>
      </c:catAx>
      <c:valAx>
        <c:axId val="753910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9097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EBITDA</a:t>
            </a:r>
            <a:r>
              <a:rPr lang="en-US" sz="1200" baseline="0"/>
              <a:t> (Ex SBC)</a:t>
            </a:r>
            <a:endParaRPr lang="en-US" sz="1200"/>
          </a:p>
        </c:rich>
      </c:tx>
      <c:layout>
        <c:manualLayout>
          <c:xMode val="edge"/>
          <c:yMode val="edge"/>
          <c:x val="0.32890303371557666"/>
          <c:y val="2.06537312510469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Model!$E$10:$N$10</c15:sqref>
                  </c15:fullRef>
                </c:ext>
              </c:extLst>
              <c:f>Model!$G$10:$N$10</c:f>
              <c:strCache>
                <c:ptCount val="8"/>
                <c:pt idx="0">
                  <c:v>2023A</c:v>
                </c:pt>
                <c:pt idx="1">
                  <c:v>2024A</c:v>
                </c:pt>
                <c:pt idx="2">
                  <c:v>2025F</c:v>
                </c:pt>
                <c:pt idx="3">
                  <c:v>2026F</c:v>
                </c:pt>
                <c:pt idx="4">
                  <c:v>2027F</c:v>
                </c:pt>
                <c:pt idx="5">
                  <c:v>2028F</c:v>
                </c:pt>
                <c:pt idx="6">
                  <c:v>2029F</c:v>
                </c:pt>
                <c:pt idx="7">
                  <c:v>2030F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Model!$E$94:$N$94</c15:sqref>
                  </c15:fullRef>
                </c:ext>
              </c:extLst>
              <c:f>Model!$G$94:$N$94</c:f>
              <c:numCache>
                <c:formatCode>#,##0_);\(#,##0\)</c:formatCode>
                <c:ptCount val="8"/>
                <c:pt idx="0">
                  <c:v>3868</c:v>
                </c:pt>
                <c:pt idx="1">
                  <c:v>5306</c:v>
                </c:pt>
                <c:pt idx="2">
                  <c:v>6700.3381410169122</c:v>
                </c:pt>
                <c:pt idx="3">
                  <c:v>8397.6687369936117</c:v>
                </c:pt>
                <c:pt idx="4">
                  <c:v>10353.766420712895</c:v>
                </c:pt>
                <c:pt idx="5">
                  <c:v>12611.649569561076</c:v>
                </c:pt>
                <c:pt idx="6">
                  <c:v>15116.44878890259</c:v>
                </c:pt>
                <c:pt idx="7">
                  <c:v>17947.638236359478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AD-4D89-B3C1-44BED1438D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53909759"/>
        <c:axId val="753910239"/>
      </c:barChart>
      <c:catAx>
        <c:axId val="753909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910239"/>
        <c:crosses val="autoZero"/>
        <c:auto val="1"/>
        <c:lblAlgn val="ctr"/>
        <c:lblOffset val="100"/>
        <c:noMultiLvlLbl val="0"/>
      </c:catAx>
      <c:valAx>
        <c:axId val="753910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9097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Equity Value Per Share</a:t>
            </a:r>
          </a:p>
        </c:rich>
      </c:tx>
      <c:layout>
        <c:manualLayout>
          <c:xMode val="edge"/>
          <c:yMode val="edge"/>
          <c:x val="0.38591188539812621"/>
          <c:y val="2.997474390186387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5614516140301578E-2"/>
          <c:y val="0.13979571444793615"/>
          <c:w val="0.8872721372614627"/>
          <c:h val="0.80045507586022202"/>
        </c:manualLayout>
      </c:layout>
      <c:stockChart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none"/>
          </c:marker>
          <c:cat>
            <c:strRef>
              <c:f>Summary!$H$77:$H$79</c:f>
              <c:strCache>
                <c:ptCount val="3"/>
                <c:pt idx="0">
                  <c:v>52-Week Range</c:v>
                </c:pt>
                <c:pt idx="1">
                  <c:v>FCFF</c:v>
                </c:pt>
                <c:pt idx="2">
                  <c:v>Exit Multiple</c:v>
                </c:pt>
              </c:strCache>
            </c:strRef>
          </c:cat>
          <c:val>
            <c:numRef>
              <c:f>Summary!$I$77:$I$79</c:f>
              <c:numCache>
                <c:formatCode>_("$"* #,##0.00_);_("$"* \(#,##0.00\);_("$"* "-"??_);_(@_)</c:formatCode>
                <c:ptCount val="3"/>
                <c:pt idx="0">
                  <c:v>54.25</c:v>
                </c:pt>
                <c:pt idx="1">
                  <c:v>66.430000000000007</c:v>
                </c:pt>
                <c:pt idx="2">
                  <c:v>68.08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96-4BC4-A170-706FF5987059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none"/>
          </c:marker>
          <c:cat>
            <c:strRef>
              <c:f>Summary!$H$77:$H$79</c:f>
              <c:strCache>
                <c:ptCount val="3"/>
                <c:pt idx="0">
                  <c:v>52-Week Range</c:v>
                </c:pt>
                <c:pt idx="1">
                  <c:v>FCFF</c:v>
                </c:pt>
                <c:pt idx="2">
                  <c:v>Exit Multiple</c:v>
                </c:pt>
              </c:strCache>
            </c:strRef>
          </c:cat>
          <c:val>
            <c:numRef>
              <c:f>Summary!$J$77:$J$79</c:f>
              <c:numCache>
                <c:formatCode>_("$"* #,##0.00_);_("$"* \(#,##0.00\);_("$"* "-"??_);_(@_)</c:formatCode>
                <c:ptCount val="3"/>
                <c:pt idx="0">
                  <c:v>54.25</c:v>
                </c:pt>
                <c:pt idx="1">
                  <c:v>66.430000000000007</c:v>
                </c:pt>
                <c:pt idx="2">
                  <c:v>68.08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C96-4BC4-A170-706FF5987059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none"/>
          </c:marker>
          <c:cat>
            <c:strRef>
              <c:f>Summary!$H$77:$H$79</c:f>
              <c:strCache>
                <c:ptCount val="3"/>
                <c:pt idx="0">
                  <c:v>52-Week Range</c:v>
                </c:pt>
                <c:pt idx="1">
                  <c:v>FCFF</c:v>
                </c:pt>
                <c:pt idx="2">
                  <c:v>Exit Multiple</c:v>
                </c:pt>
              </c:strCache>
            </c:strRef>
          </c:cat>
          <c:val>
            <c:numRef>
              <c:f>Summary!$K$77:$K$79</c:f>
              <c:numCache>
                <c:formatCode>_("$"* #,##0.00_);_("$"* \(#,##0.00\);_("$"* "-"??_);_(@_)</c:formatCode>
                <c:ptCount val="3"/>
                <c:pt idx="0">
                  <c:v>85.9</c:v>
                </c:pt>
                <c:pt idx="1">
                  <c:v>90.29</c:v>
                </c:pt>
                <c:pt idx="2">
                  <c:v>91.65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C96-4BC4-A170-706FF5987059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none"/>
          </c:marker>
          <c:cat>
            <c:strRef>
              <c:f>Summary!$H$77:$H$79</c:f>
              <c:strCache>
                <c:ptCount val="3"/>
                <c:pt idx="0">
                  <c:v>52-Week Range</c:v>
                </c:pt>
                <c:pt idx="1">
                  <c:v>FCFF</c:v>
                </c:pt>
                <c:pt idx="2">
                  <c:v>Exit Multiple</c:v>
                </c:pt>
              </c:strCache>
            </c:strRef>
          </c:cat>
          <c:val>
            <c:numRef>
              <c:f>Summary!$L$77:$L$79</c:f>
              <c:numCache>
                <c:formatCode>_("$"* #,##0.00_);_("$"* \(#,##0.00\);_("$"* "-"??_);_(@_)</c:formatCode>
                <c:ptCount val="3"/>
                <c:pt idx="0">
                  <c:v>85.9</c:v>
                </c:pt>
                <c:pt idx="1">
                  <c:v>90.29</c:v>
                </c:pt>
                <c:pt idx="2">
                  <c:v>91.65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C96-4BC4-A170-706FF59870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>
              <a:solidFill>
                <a:schemeClr val="tx1">
                  <a:lumMod val="75000"/>
                  <a:lumOff val="25000"/>
                </a:schemeClr>
              </a:solidFill>
            </a:ln>
            <a:effectLst/>
          </c:spPr>
        </c:hiLowLines>
        <c:upDownBars>
          <c:gapWidth val="150"/>
          <c:upBars>
            <c:spPr>
              <a:solidFill>
                <a:schemeClr val="accent1"/>
              </a:solidFill>
              <a:ln w="9525"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</c:upBars>
          <c:downBars>
            <c:spPr>
              <a:solidFill>
                <a:schemeClr val="dk1">
                  <a:lumMod val="75000"/>
                  <a:lumOff val="25000"/>
                </a:schemeClr>
              </a:solidFill>
              <a:ln w="9525">
                <a:solidFill>
                  <a:schemeClr val="tx1">
                    <a:lumMod val="75000"/>
                    <a:lumOff val="25000"/>
                  </a:schemeClr>
                </a:solidFill>
              </a:ln>
              <a:effectLst/>
            </c:spPr>
          </c:downBars>
        </c:upDownBars>
        <c:axId val="179913232"/>
        <c:axId val="179905072"/>
      </c:stockChart>
      <c:catAx>
        <c:axId val="179913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905072"/>
        <c:crosses val="autoZero"/>
        <c:auto val="1"/>
        <c:lblAlgn val="ctr"/>
        <c:lblOffset val="100"/>
        <c:noMultiLvlLbl val="0"/>
      </c:catAx>
      <c:valAx>
        <c:axId val="179905072"/>
        <c:scaling>
          <c:orientation val="minMax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_);[Red]\(&quot;$&quot;#,##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91323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25</xdr:row>
      <xdr:rowOff>87465</xdr:rowOff>
    </xdr:from>
    <xdr:to>
      <xdr:col>9</xdr:col>
      <xdr:colOff>7950</xdr:colOff>
      <xdr:row>39</xdr:row>
      <xdr:rowOff>71562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8EA218C-FAA0-468F-838B-5B47EC37B7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453226</xdr:colOff>
      <xdr:row>1</xdr:row>
      <xdr:rowOff>55661</xdr:rowOff>
    </xdr:from>
    <xdr:to>
      <xdr:col>10</xdr:col>
      <xdr:colOff>620202</xdr:colOff>
      <xdr:row>11</xdr:row>
      <xdr:rowOff>71563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13EAA26-36F7-44EA-ADAE-B5E5895FFF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31806</xdr:colOff>
      <xdr:row>1</xdr:row>
      <xdr:rowOff>39756</xdr:rowOff>
    </xdr:from>
    <xdr:to>
      <xdr:col>16</xdr:col>
      <xdr:colOff>675860</xdr:colOff>
      <xdr:row>11</xdr:row>
      <xdr:rowOff>55658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F3B4188-CA30-41E9-873A-31CF15DC98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286248</xdr:colOff>
      <xdr:row>13</xdr:row>
      <xdr:rowOff>127221</xdr:rowOff>
    </xdr:from>
    <xdr:to>
      <xdr:col>17</xdr:col>
      <xdr:colOff>31805</xdr:colOff>
      <xdr:row>44</xdr:row>
      <xdr:rowOff>31805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F440C9B-53B8-43E8-BAF1-5C6B799541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286247</xdr:colOff>
      <xdr:row>30</xdr:row>
      <xdr:rowOff>25416</xdr:rowOff>
    </xdr:from>
    <xdr:to>
      <xdr:col>18</xdr:col>
      <xdr:colOff>500932</xdr:colOff>
      <xdr:row>30</xdr:row>
      <xdr:rowOff>39757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5B3C8560-7FE4-45D2-94A2-7BD847040745}"/>
            </a:ext>
          </a:extLst>
        </xdr:cNvPr>
        <xdr:cNvCxnSpPr/>
      </xdr:nvCxnSpPr>
      <xdr:spPr>
        <a:xfrm flipV="1">
          <a:off x="6528021" y="4867760"/>
          <a:ext cx="5693134" cy="14341"/>
        </a:xfrm>
        <a:prstGeom prst="line">
          <a:avLst/>
        </a:prstGeom>
        <a:ln w="19050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906451</xdr:colOff>
      <xdr:row>27</xdr:row>
      <xdr:rowOff>7952</xdr:rowOff>
    </xdr:from>
    <xdr:to>
      <xdr:col>20</xdr:col>
      <xdr:colOff>39762</xdr:colOff>
      <xdr:row>28</xdr:row>
      <xdr:rowOff>119269</xdr:rowOff>
    </xdr:to>
    <xdr:sp macro="" textlink="">
      <xdr:nvSpPr>
        <xdr:cNvPr id="14" name="Callout: Line 13">
          <a:extLst>
            <a:ext uri="{FF2B5EF4-FFF2-40B4-BE49-F238E27FC236}">
              <a16:creationId xmlns:a16="http://schemas.microsoft.com/office/drawing/2014/main" id="{818047E6-3613-405D-8623-4311CE1B4B15}"/>
            </a:ext>
          </a:extLst>
        </xdr:cNvPr>
        <xdr:cNvSpPr/>
      </xdr:nvSpPr>
      <xdr:spPr>
        <a:xfrm>
          <a:off x="12626674" y="4349364"/>
          <a:ext cx="1359676" cy="278295"/>
        </a:xfrm>
        <a:prstGeom prst="borderCallout1">
          <a:avLst>
            <a:gd name="adj1" fmla="val 50179"/>
            <a:gd name="adj2" fmla="val -146"/>
            <a:gd name="adj3" fmla="val 189644"/>
            <a:gd name="adj4" fmla="val -3190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$76.35</a:t>
          </a:r>
          <a:r>
            <a:rPr lang="en-US" sz="1100" baseline="0"/>
            <a:t> </a:t>
          </a:r>
          <a:r>
            <a:rPr lang="en-US" sz="1100"/>
            <a:t>Current Price</a:t>
          </a:r>
        </a:p>
      </xdr:txBody>
    </xdr:sp>
    <xdr:clientData/>
  </xdr:twoCellAnchor>
  <xdr:twoCellAnchor>
    <xdr:from>
      <xdr:col>9</xdr:col>
      <xdr:colOff>279621</xdr:colOff>
      <xdr:row>28</xdr:row>
      <xdr:rowOff>138059</xdr:rowOff>
    </xdr:from>
    <xdr:to>
      <xdr:col>18</xdr:col>
      <xdr:colOff>494306</xdr:colOff>
      <xdr:row>28</xdr:row>
      <xdr:rowOff>152400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AB595176-0BEC-4E1E-B733-C51F1C8DE398}"/>
            </a:ext>
          </a:extLst>
        </xdr:cNvPr>
        <xdr:cNvCxnSpPr/>
      </xdr:nvCxnSpPr>
      <xdr:spPr>
        <a:xfrm flipV="1">
          <a:off x="6521395" y="4813426"/>
          <a:ext cx="5693134" cy="14341"/>
        </a:xfrm>
        <a:prstGeom prst="line">
          <a:avLst/>
        </a:prstGeom>
        <a:ln w="19050" cap="flat" cmpd="sng" algn="ctr">
          <a:solidFill>
            <a:schemeClr val="accent6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899824</xdr:colOff>
      <xdr:row>22</xdr:row>
      <xdr:rowOff>104693</xdr:rowOff>
    </xdr:from>
    <xdr:to>
      <xdr:col>20</xdr:col>
      <xdr:colOff>540689</xdr:colOff>
      <xdr:row>25</xdr:row>
      <xdr:rowOff>49034</xdr:rowOff>
    </xdr:to>
    <xdr:sp macro="" textlink="">
      <xdr:nvSpPr>
        <xdr:cNvPr id="17" name="Callout: Line 16">
          <a:extLst>
            <a:ext uri="{FF2B5EF4-FFF2-40B4-BE49-F238E27FC236}">
              <a16:creationId xmlns:a16="http://schemas.microsoft.com/office/drawing/2014/main" id="{861977FC-DA7A-493D-BB6C-6C50AEDB73D4}"/>
            </a:ext>
          </a:extLst>
        </xdr:cNvPr>
        <xdr:cNvSpPr/>
      </xdr:nvSpPr>
      <xdr:spPr>
        <a:xfrm>
          <a:off x="12620047" y="3778196"/>
          <a:ext cx="1867230" cy="445273"/>
        </a:xfrm>
        <a:prstGeom prst="borderCallout1">
          <a:avLst>
            <a:gd name="adj1" fmla="val 55893"/>
            <a:gd name="adj2" fmla="val -304"/>
            <a:gd name="adj3" fmla="val 234100"/>
            <a:gd name="adj4" fmla="val -23649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$78.08</a:t>
          </a:r>
          <a:r>
            <a:rPr lang="en-US" sz="1100" baseline="0"/>
            <a:t> </a:t>
          </a:r>
          <a:r>
            <a:rPr lang="en-US" sz="1100"/>
            <a:t>Estimated Share Price</a:t>
          </a:r>
        </a:p>
      </xdr:txBody>
    </xdr:sp>
    <xdr:clientData/>
  </xdr:twoCellAnchor>
  <xdr:twoCellAnchor editAs="oneCell">
    <xdr:from>
      <xdr:col>1</xdr:col>
      <xdr:colOff>15903</xdr:colOff>
      <xdr:row>47</xdr:row>
      <xdr:rowOff>151075</xdr:rowOff>
    </xdr:from>
    <xdr:to>
      <xdr:col>17</xdr:col>
      <xdr:colOff>15903</xdr:colOff>
      <xdr:row>81</xdr:row>
      <xdr:rowOff>63610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D62E197A-F79B-F29D-B92D-DAA91EBEEA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16835" y="7999012"/>
          <a:ext cx="11147729" cy="5605669"/>
        </a:xfrm>
        <a:prstGeom prst="rect">
          <a:avLst/>
        </a:prstGeom>
        <a:ln>
          <a:solidFill>
            <a:schemeClr val="bg2">
              <a:lumMod val="75000"/>
            </a:schemeClr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8B904-532F-4C91-973A-1731650EA581}">
  <dimension ref="B3:H25"/>
  <sheetViews>
    <sheetView showGridLines="0" tabSelected="1" zoomScale="130" zoomScaleNormal="130" workbookViewId="0">
      <selection activeCell="E12" sqref="E12"/>
    </sheetView>
  </sheetViews>
  <sheetFormatPr defaultRowHeight="13.15"/>
  <cols>
    <col min="1" max="1" width="8.88671875" style="3"/>
    <col min="2" max="2" width="4.21875" style="3" customWidth="1"/>
    <col min="3" max="4" width="18.109375" style="3" customWidth="1"/>
    <col min="5" max="5" width="12.109375" style="3" bestFit="1" customWidth="1"/>
    <col min="6" max="6" width="18.109375" style="3" customWidth="1"/>
    <col min="7" max="7" width="9.33203125" style="3" customWidth="1"/>
    <col min="8" max="8" width="3.33203125" style="3" customWidth="1"/>
    <col min="9" max="16384" width="8.88671875" style="3"/>
  </cols>
  <sheetData>
    <row r="3" spans="2:8" ht="21.3">
      <c r="B3" s="248"/>
      <c r="C3" s="249"/>
      <c r="D3" s="249"/>
      <c r="E3" s="249"/>
      <c r="F3" s="249"/>
      <c r="G3" s="249"/>
      <c r="H3" s="250"/>
    </row>
    <row r="4" spans="2:8" ht="26.3">
      <c r="B4" s="251"/>
      <c r="C4" s="252" t="s">
        <v>354</v>
      </c>
      <c r="D4" s="253"/>
      <c r="E4" s="253"/>
      <c r="F4" s="253"/>
      <c r="G4" s="253"/>
      <c r="H4" s="254"/>
    </row>
    <row r="5" spans="2:8" ht="21.3">
      <c r="B5" s="251"/>
      <c r="C5" s="253"/>
      <c r="D5" s="253"/>
      <c r="E5" s="253"/>
      <c r="F5" s="253"/>
      <c r="G5" s="253"/>
      <c r="H5" s="254"/>
    </row>
    <row r="6" spans="2:8" ht="21.3">
      <c r="B6" s="251"/>
      <c r="C6" s="279" t="s">
        <v>1</v>
      </c>
      <c r="D6" s="279"/>
      <c r="E6" s="253" t="s">
        <v>328</v>
      </c>
      <c r="F6" s="253"/>
      <c r="G6" s="253"/>
      <c r="H6" s="254"/>
    </row>
    <row r="7" spans="2:8" ht="21.3">
      <c r="B7" s="251"/>
      <c r="C7" s="255"/>
      <c r="D7" s="255"/>
      <c r="E7" s="253"/>
      <c r="F7" s="253"/>
      <c r="G7" s="253"/>
      <c r="H7" s="254"/>
    </row>
    <row r="8" spans="2:8" ht="21.3">
      <c r="B8" s="251"/>
      <c r="C8" s="279" t="s">
        <v>2</v>
      </c>
      <c r="D8" s="279"/>
      <c r="E8" s="253" t="s">
        <v>0</v>
      </c>
      <c r="F8" s="253"/>
      <c r="G8" s="253"/>
      <c r="H8" s="254"/>
    </row>
    <row r="9" spans="2:8" ht="21.3">
      <c r="B9" s="251"/>
      <c r="C9" s="255"/>
      <c r="D9" s="255"/>
      <c r="E9" s="253"/>
      <c r="F9" s="253"/>
      <c r="G9" s="253"/>
      <c r="H9" s="254"/>
    </row>
    <row r="10" spans="2:8" ht="21.3">
      <c r="B10" s="251"/>
      <c r="C10" s="279" t="s">
        <v>3</v>
      </c>
      <c r="D10" s="279"/>
      <c r="E10" s="256">
        <f>Model!C3</f>
        <v>76.349999999999994</v>
      </c>
      <c r="F10" s="253"/>
      <c r="G10" s="253"/>
      <c r="H10" s="254"/>
    </row>
    <row r="11" spans="2:8" ht="21.3">
      <c r="B11" s="251"/>
      <c r="C11" s="253"/>
      <c r="D11" s="253"/>
      <c r="E11" s="253"/>
      <c r="F11" s="253"/>
      <c r="G11" s="253"/>
      <c r="H11" s="254"/>
    </row>
    <row r="12" spans="2:8" ht="21.3">
      <c r="B12" s="251"/>
      <c r="C12" s="279" t="s">
        <v>356</v>
      </c>
      <c r="D12" s="279"/>
      <c r="E12" s="257">
        <v>45723</v>
      </c>
      <c r="F12" s="253"/>
      <c r="G12" s="253"/>
      <c r="H12" s="254"/>
    </row>
    <row r="13" spans="2:8" ht="21.3">
      <c r="B13" s="251"/>
      <c r="C13" s="253"/>
      <c r="D13" s="253"/>
      <c r="E13" s="253"/>
      <c r="F13" s="253"/>
      <c r="G13" s="253"/>
      <c r="H13" s="254"/>
    </row>
    <row r="14" spans="2:8" ht="21.3">
      <c r="B14" s="251"/>
      <c r="C14" s="278" t="s">
        <v>4</v>
      </c>
      <c r="D14" s="278"/>
      <c r="E14" s="278"/>
      <c r="F14" s="278"/>
      <c r="G14" s="278"/>
      <c r="H14" s="254"/>
    </row>
    <row r="15" spans="2:8" ht="21.3">
      <c r="B15" s="251"/>
      <c r="C15" s="169" t="s">
        <v>5</v>
      </c>
      <c r="D15" s="276" t="s">
        <v>6</v>
      </c>
      <c r="E15" s="276"/>
      <c r="F15" s="276"/>
      <c r="G15" s="276"/>
      <c r="H15" s="254"/>
    </row>
    <row r="16" spans="2:8" ht="21.3">
      <c r="B16" s="251"/>
      <c r="C16" s="170" t="s">
        <v>7</v>
      </c>
      <c r="D16" s="277" t="s">
        <v>352</v>
      </c>
      <c r="E16" s="277"/>
      <c r="F16" s="277"/>
      <c r="G16" s="277"/>
      <c r="H16" s="254"/>
    </row>
    <row r="17" spans="2:8" ht="21.3">
      <c r="B17" s="251"/>
      <c r="C17" s="170" t="s">
        <v>8</v>
      </c>
      <c r="D17" s="277" t="s">
        <v>299</v>
      </c>
      <c r="E17" s="277"/>
      <c r="F17" s="277"/>
      <c r="G17" s="277"/>
      <c r="H17" s="254"/>
    </row>
    <row r="18" spans="2:8" ht="21.3">
      <c r="B18" s="251"/>
      <c r="C18" s="170" t="s">
        <v>300</v>
      </c>
      <c r="D18" s="277" t="s">
        <v>301</v>
      </c>
      <c r="E18" s="277"/>
      <c r="F18" s="277"/>
      <c r="G18" s="277"/>
      <c r="H18" s="254"/>
    </row>
    <row r="19" spans="2:8" ht="21.3">
      <c r="B19" s="251"/>
      <c r="C19" s="258"/>
      <c r="D19" s="253"/>
      <c r="E19" s="253"/>
      <c r="F19" s="253"/>
      <c r="G19" s="253"/>
      <c r="H19" s="254"/>
    </row>
    <row r="20" spans="2:8" ht="21.3">
      <c r="B20" s="251"/>
      <c r="C20" s="278" t="s">
        <v>302</v>
      </c>
      <c r="D20" s="278"/>
      <c r="E20" s="278"/>
      <c r="F20" s="278"/>
      <c r="G20" s="278"/>
      <c r="H20" s="254"/>
    </row>
    <row r="21" spans="2:8" ht="21.3">
      <c r="B21" s="251"/>
      <c r="C21" s="169" t="s">
        <v>304</v>
      </c>
      <c r="D21" s="276" t="s">
        <v>305</v>
      </c>
      <c r="E21" s="276"/>
      <c r="F21" s="276"/>
      <c r="G21" s="276"/>
      <c r="H21" s="254"/>
    </row>
    <row r="22" spans="2:8" ht="21.3">
      <c r="B22" s="251"/>
      <c r="C22" s="168" t="s">
        <v>303</v>
      </c>
      <c r="D22" s="275" t="s">
        <v>310</v>
      </c>
      <c r="E22" s="275"/>
      <c r="F22" s="275"/>
      <c r="G22" s="275"/>
      <c r="H22" s="254"/>
    </row>
    <row r="23" spans="2:8" ht="21.3">
      <c r="B23" s="251"/>
      <c r="C23" s="171" t="s">
        <v>309</v>
      </c>
      <c r="D23" s="275" t="s">
        <v>311</v>
      </c>
      <c r="E23" s="275"/>
      <c r="F23" s="275"/>
      <c r="G23" s="275"/>
      <c r="H23" s="254"/>
    </row>
    <row r="24" spans="2:8" ht="21.3">
      <c r="B24" s="251"/>
      <c r="C24" s="258"/>
      <c r="D24" s="253"/>
      <c r="E24" s="253"/>
      <c r="F24" s="253"/>
      <c r="G24" s="253"/>
      <c r="H24" s="254"/>
    </row>
    <row r="25" spans="2:8" ht="21.3">
      <c r="B25" s="259"/>
      <c r="C25" s="260"/>
      <c r="D25" s="261"/>
      <c r="E25" s="261"/>
      <c r="F25" s="261"/>
      <c r="G25" s="261"/>
      <c r="H25" s="262"/>
    </row>
  </sheetData>
  <mergeCells count="13">
    <mergeCell ref="C14:G14"/>
    <mergeCell ref="C6:D6"/>
    <mergeCell ref="C8:D8"/>
    <mergeCell ref="C10:D10"/>
    <mergeCell ref="C12:D12"/>
    <mergeCell ref="D23:G23"/>
    <mergeCell ref="D15:G15"/>
    <mergeCell ref="D16:G16"/>
    <mergeCell ref="D17:G17"/>
    <mergeCell ref="D18:G18"/>
    <mergeCell ref="C20:G20"/>
    <mergeCell ref="D21:G21"/>
    <mergeCell ref="D22:G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37188-F2FE-45D1-98F0-CDF71BEF3B67}">
  <dimension ref="B1:T79"/>
  <sheetViews>
    <sheetView showGridLines="0" zoomScaleNormal="100" workbookViewId="0">
      <selection activeCell="D7" sqref="D7"/>
    </sheetView>
  </sheetViews>
  <sheetFormatPr defaultRowHeight="13.15"/>
  <cols>
    <col min="1" max="1" width="7" style="3" customWidth="1"/>
    <col min="2" max="2" width="16.33203125" style="3" customWidth="1"/>
    <col min="3" max="3" width="10.44140625" style="3" customWidth="1"/>
    <col min="4" max="4" width="8" style="3" customWidth="1"/>
    <col min="5" max="5" width="6.6640625" style="3" customWidth="1"/>
    <col min="6" max="6" width="10.44140625" style="3" customWidth="1"/>
    <col min="7" max="7" width="7" style="3" customWidth="1"/>
    <col min="8" max="8" width="11.88671875" style="3" customWidth="1"/>
    <col min="9" max="17" width="9.44140625" style="3" customWidth="1"/>
    <col min="18" max="18" width="1" style="3" customWidth="1"/>
    <col min="19" max="19" width="26.109375" style="3" bestFit="1" customWidth="1"/>
    <col min="20" max="20" width="5" style="3" customWidth="1"/>
    <col min="21" max="21" width="18.44140625" style="3" bestFit="1" customWidth="1"/>
    <col min="22" max="16384" width="8.88671875" style="3"/>
  </cols>
  <sheetData>
    <row r="1" spans="2:20">
      <c r="B1" s="240" t="s">
        <v>326</v>
      </c>
      <c r="C1" s="241"/>
      <c r="D1" s="241"/>
      <c r="F1" s="247" t="s">
        <v>327</v>
      </c>
      <c r="G1" s="241"/>
      <c r="H1" s="241"/>
      <c r="I1" s="241"/>
      <c r="J1" s="241"/>
      <c r="K1" s="241"/>
      <c r="L1" s="241"/>
      <c r="M1" s="241"/>
      <c r="N1" s="241"/>
      <c r="O1" s="241"/>
      <c r="P1" s="241"/>
      <c r="Q1" s="241"/>
    </row>
    <row r="2" spans="2:20">
      <c r="S2" s="280" t="s">
        <v>338</v>
      </c>
    </row>
    <row r="3" spans="2:20">
      <c r="B3" s="3" t="s">
        <v>2</v>
      </c>
      <c r="C3" s="263" t="s">
        <v>0</v>
      </c>
      <c r="D3" s="263"/>
      <c r="G3" s="263"/>
      <c r="S3" s="280"/>
    </row>
    <row r="4" spans="2:20">
      <c r="B4" s="3" t="s">
        <v>330</v>
      </c>
      <c r="C4" s="263" t="s">
        <v>353</v>
      </c>
      <c r="D4" s="263"/>
      <c r="G4" s="263"/>
      <c r="S4" s="264" t="s">
        <v>336</v>
      </c>
      <c r="T4" s="265" t="str">
        <f>Model!C4</f>
        <v xml:space="preserve">Base </v>
      </c>
    </row>
    <row r="5" spans="2:20">
      <c r="B5" s="3" t="s">
        <v>3</v>
      </c>
      <c r="C5" s="272">
        <f>Model!C3</f>
        <v>76.349999999999994</v>
      </c>
      <c r="D5" s="263"/>
      <c r="E5" s="263"/>
      <c r="F5" s="263"/>
      <c r="G5" s="263"/>
      <c r="H5" s="263"/>
      <c r="I5" s="263"/>
      <c r="S5" s="264" t="s">
        <v>337</v>
      </c>
      <c r="T5" s="265" t="str">
        <f>Model!C5</f>
        <v xml:space="preserve">Base </v>
      </c>
    </row>
    <row r="6" spans="2:20">
      <c r="B6" s="3" t="s">
        <v>333</v>
      </c>
      <c r="C6" s="263" t="s">
        <v>350</v>
      </c>
      <c r="D6" s="263"/>
      <c r="E6" s="263"/>
      <c r="F6" s="263"/>
      <c r="G6" s="263"/>
      <c r="H6" s="263"/>
      <c r="I6" s="263"/>
    </row>
    <row r="7" spans="2:20">
      <c r="B7" s="3" t="s">
        <v>334</v>
      </c>
      <c r="C7" s="263" t="s">
        <v>355</v>
      </c>
      <c r="D7" s="263"/>
      <c r="E7" s="263"/>
      <c r="F7" s="263"/>
      <c r="G7" s="263"/>
      <c r="H7" s="263"/>
      <c r="I7" s="263"/>
    </row>
    <row r="8" spans="2:20">
      <c r="B8" s="3" t="s">
        <v>335</v>
      </c>
      <c r="C8" s="263" t="s">
        <v>351</v>
      </c>
      <c r="D8" s="263"/>
      <c r="E8" s="263"/>
      <c r="F8" s="263"/>
      <c r="G8" s="263"/>
      <c r="H8" s="263"/>
      <c r="I8" s="263"/>
    </row>
    <row r="9" spans="2:20">
      <c r="B9" s="5" t="s">
        <v>329</v>
      </c>
      <c r="C9" s="263">
        <v>16.5</v>
      </c>
      <c r="D9" s="263"/>
      <c r="E9" s="263"/>
      <c r="F9" s="263"/>
      <c r="G9" s="263"/>
      <c r="H9" s="263"/>
      <c r="I9" s="263"/>
    </row>
    <row r="10" spans="2:20">
      <c r="B10" s="5" t="s">
        <v>331</v>
      </c>
      <c r="C10" s="263">
        <v>40.5</v>
      </c>
    </row>
    <row r="11" spans="2:20">
      <c r="B11" s="5" t="s">
        <v>332</v>
      </c>
      <c r="C11" s="263">
        <v>3.6</v>
      </c>
    </row>
    <row r="13" spans="2:20">
      <c r="B13" s="240" t="s">
        <v>318</v>
      </c>
      <c r="C13" s="241"/>
      <c r="D13" s="241"/>
      <c r="E13" s="241"/>
      <c r="F13" s="241"/>
      <c r="G13" s="241"/>
      <c r="H13" s="241"/>
      <c r="I13" s="241"/>
      <c r="J13" s="241"/>
      <c r="K13" s="241"/>
      <c r="L13" s="241"/>
      <c r="M13" s="241"/>
      <c r="N13" s="241"/>
      <c r="O13" s="241"/>
      <c r="P13" s="241"/>
      <c r="Q13" s="241"/>
    </row>
    <row r="15" spans="2:20">
      <c r="B15" s="4" t="s">
        <v>319</v>
      </c>
      <c r="E15" s="4" t="s">
        <v>320</v>
      </c>
      <c r="H15" s="244">
        <f>0.5*((C16+C21)/2)+(0.25*((C17+C22)/2))+(0.25*((C18+C23)/2))</f>
        <v>78.076249999999987</v>
      </c>
    </row>
    <row r="16" spans="2:20">
      <c r="B16" s="17" t="s">
        <v>321</v>
      </c>
      <c r="C16" s="242">
        <v>77.739999999999995</v>
      </c>
      <c r="E16" s="266" t="s">
        <v>346</v>
      </c>
    </row>
    <row r="17" spans="2:8">
      <c r="B17" s="17" t="s">
        <v>189</v>
      </c>
      <c r="C17" s="242">
        <v>91.65</v>
      </c>
    </row>
    <row r="18" spans="2:8">
      <c r="B18" s="17" t="s">
        <v>184</v>
      </c>
      <c r="C18" s="242">
        <v>68.08</v>
      </c>
      <c r="E18" s="4" t="s">
        <v>219</v>
      </c>
      <c r="H18" s="245">
        <f>Model!C3</f>
        <v>76.349999999999994</v>
      </c>
    </row>
    <row r="19" spans="2:8">
      <c r="B19" s="17"/>
      <c r="C19" s="242"/>
      <c r="E19" s="243" t="s">
        <v>322</v>
      </c>
      <c r="H19" s="246">
        <f>H15/H18-1</f>
        <v>2.2609692206941645E-2</v>
      </c>
    </row>
    <row r="20" spans="2:8">
      <c r="B20" s="4" t="s">
        <v>323</v>
      </c>
    </row>
    <row r="21" spans="2:8">
      <c r="B21" s="17" t="s">
        <v>321</v>
      </c>
      <c r="C21" s="242">
        <v>76.34</v>
      </c>
    </row>
    <row r="22" spans="2:8">
      <c r="B22" s="17" t="s">
        <v>189</v>
      </c>
      <c r="C22" s="242">
        <v>90.29</v>
      </c>
      <c r="H22" s="20"/>
    </row>
    <row r="23" spans="2:8">
      <c r="B23" s="17" t="s">
        <v>184</v>
      </c>
      <c r="C23" s="242">
        <v>66.430000000000007</v>
      </c>
    </row>
    <row r="25" spans="2:8">
      <c r="B25" s="270" t="s">
        <v>345</v>
      </c>
    </row>
    <row r="41" spans="2:17">
      <c r="B41" s="229"/>
      <c r="C41" s="227"/>
      <c r="D41" s="227"/>
      <c r="E41" s="227"/>
      <c r="F41" s="227"/>
      <c r="G41" s="230" t="s">
        <v>314</v>
      </c>
      <c r="H41" s="230" t="s">
        <v>315</v>
      </c>
      <c r="I41" s="231" t="s">
        <v>316</v>
      </c>
    </row>
    <row r="42" spans="2:17">
      <c r="B42" s="232" t="str">
        <f>"DCF Value at "&amp;TEXT(Valuation!D36,"0.0x")&amp;"-"&amp;TEXT(Valuation!H36,"0.0x")&amp;" Exit EBITDA Range @ "&amp;TEXT(Valuation!C39,"0.0%")&amp;" WACC"</f>
        <v>DCF Value at 10.0x-14.0x Exit EBITDA Range @ 10.0% WACC</v>
      </c>
      <c r="G42" s="233">
        <f>Valuation!D39</f>
        <v>68.33367852052487</v>
      </c>
      <c r="H42" s="233">
        <f>I42-G42</f>
        <v>18.799662584238646</v>
      </c>
      <c r="I42" s="234">
        <f>Valuation!H39</f>
        <v>87.133341104763517</v>
      </c>
    </row>
    <row r="43" spans="2:17">
      <c r="B43" s="235" t="str">
        <f>"DCF Value at "&amp;TEXT(Valuation!D44,"0.0%")&amp;"-"&amp;TEXT(Valuation!H44,"0.0%")&amp;" Perpetuity @ "&amp;TEXT(Valuation!C47,"0.0%")&amp;" WACC"</f>
        <v>DCF Value at 1.8%-3.2% Perpetuity @ 10.0% WACC</v>
      </c>
      <c r="G43" s="233">
        <f>Valuation!D47</f>
        <v>71.210383132444221</v>
      </c>
      <c r="H43" s="233">
        <f>I43-G43</f>
        <v>11.307724714183351</v>
      </c>
      <c r="I43" s="234">
        <f>Valuation!H47</f>
        <v>82.518107846627572</v>
      </c>
    </row>
    <row r="44" spans="2:17">
      <c r="B44" s="236" t="s">
        <v>317</v>
      </c>
      <c r="C44" s="226"/>
      <c r="D44" s="226"/>
      <c r="E44" s="226"/>
      <c r="F44" s="226"/>
      <c r="G44" s="237">
        <v>54.84</v>
      </c>
      <c r="H44" s="238">
        <f>I44-G44</f>
        <v>32.159999999999997</v>
      </c>
      <c r="I44" s="239">
        <v>87</v>
      </c>
    </row>
    <row r="46" spans="2:17">
      <c r="B46" s="240" t="s">
        <v>324</v>
      </c>
      <c r="C46" s="241"/>
      <c r="D46" s="241"/>
      <c r="E46" s="241"/>
      <c r="F46" s="241"/>
      <c r="G46" s="241"/>
      <c r="H46" s="241"/>
      <c r="I46" s="241"/>
      <c r="J46" s="241"/>
      <c r="K46" s="241"/>
      <c r="L46" s="241"/>
      <c r="M46" s="241"/>
      <c r="N46" s="241"/>
      <c r="O46" s="241"/>
      <c r="P46" s="241"/>
      <c r="Q46" s="241"/>
    </row>
    <row r="47" spans="2:17">
      <c r="B47" s="25" t="s">
        <v>325</v>
      </c>
      <c r="J47" s="25"/>
    </row>
    <row r="50" spans="3:3">
      <c r="C50"/>
    </row>
    <row r="75" spans="8:12">
      <c r="H75" s="267" t="s">
        <v>339</v>
      </c>
      <c r="I75" s="267"/>
      <c r="J75" s="267"/>
      <c r="K75" s="267"/>
      <c r="L75" s="267"/>
    </row>
    <row r="76" spans="8:12" ht="14.4">
      <c r="H76" s="228"/>
      <c r="I76" s="268" t="s">
        <v>340</v>
      </c>
      <c r="J76" s="268" t="s">
        <v>341</v>
      </c>
      <c r="K76" s="268" t="s">
        <v>342</v>
      </c>
      <c r="L76" s="268" t="s">
        <v>343</v>
      </c>
    </row>
    <row r="77" spans="8:12">
      <c r="H77" s="267" t="s">
        <v>344</v>
      </c>
      <c r="I77" s="269">
        <v>54.25</v>
      </c>
      <c r="J77" s="269">
        <f>I77</f>
        <v>54.25</v>
      </c>
      <c r="K77" s="269">
        <v>85.9</v>
      </c>
      <c r="L77" s="269">
        <f>K77</f>
        <v>85.9</v>
      </c>
    </row>
    <row r="78" spans="8:12">
      <c r="H78" s="267" t="s">
        <v>204</v>
      </c>
      <c r="I78" s="269">
        <f>J78</f>
        <v>66.430000000000007</v>
      </c>
      <c r="J78" s="269">
        <f>C23</f>
        <v>66.430000000000007</v>
      </c>
      <c r="K78" s="269">
        <f>C22</f>
        <v>90.29</v>
      </c>
      <c r="L78" s="269">
        <f t="shared" ref="L78:L79" si="0">K78</f>
        <v>90.29</v>
      </c>
    </row>
    <row r="79" spans="8:12">
      <c r="H79" s="267" t="s">
        <v>221</v>
      </c>
      <c r="I79" s="269">
        <f>J79</f>
        <v>68.08</v>
      </c>
      <c r="J79" s="269">
        <f>C18</f>
        <v>68.08</v>
      </c>
      <c r="K79" s="269">
        <f>C17</f>
        <v>91.65</v>
      </c>
      <c r="L79" s="269">
        <f t="shared" si="0"/>
        <v>91.65</v>
      </c>
    </row>
  </sheetData>
  <mergeCells count="1">
    <mergeCell ref="S2:S3"/>
  </mergeCells>
  <conditionalFormatting sqref="H19">
    <cfRule type="cellIs" dxfId="1" priority="1" operator="lessThan">
      <formula>0</formula>
    </cfRule>
    <cfRule type="cellIs" dxfId="0" priority="2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D61E1-B2EF-49B2-8BB8-4284FA5B9BBD}">
  <dimension ref="B1:Z356"/>
  <sheetViews>
    <sheetView showGridLines="0" zoomScaleNormal="100" workbookViewId="0">
      <selection activeCell="B7" sqref="B7"/>
    </sheetView>
  </sheetViews>
  <sheetFormatPr defaultColWidth="10" defaultRowHeight="13.15" outlineLevelRow="1"/>
  <cols>
    <col min="1" max="1" width="1" style="3" customWidth="1"/>
    <col min="2" max="2" width="40.88671875" style="3" customWidth="1"/>
    <col min="3" max="4" width="10" style="3"/>
    <col min="5" max="5" width="9.33203125" style="3" customWidth="1"/>
    <col min="6" max="16384" width="10" style="3"/>
  </cols>
  <sheetData>
    <row r="1" spans="2:26" ht="15.65">
      <c r="B1" s="29" t="s">
        <v>307</v>
      </c>
    </row>
    <row r="3" spans="2:26">
      <c r="B3" s="30" t="s">
        <v>234</v>
      </c>
      <c r="C3" s="68">
        <v>76.349999999999994</v>
      </c>
    </row>
    <row r="4" spans="2:26">
      <c r="B4" s="30" t="s">
        <v>201</v>
      </c>
      <c r="C4" s="31" t="s">
        <v>183</v>
      </c>
    </row>
    <row r="5" spans="2:26">
      <c r="B5" s="30" t="s">
        <v>202</v>
      </c>
      <c r="C5" s="31" t="s">
        <v>183</v>
      </c>
    </row>
    <row r="6" spans="2:26" ht="6.3" customHeight="1"/>
    <row r="7" spans="2:26" ht="15.05">
      <c r="B7" s="285" t="s">
        <v>357</v>
      </c>
    </row>
    <row r="8" spans="2:26" s="284" customFormat="1" ht="8.15" customHeight="1">
      <c r="B8" s="283"/>
    </row>
    <row r="9" spans="2:26">
      <c r="B9" s="4" t="s">
        <v>199</v>
      </c>
    </row>
    <row r="10" spans="2:26" outlineLevel="1">
      <c r="B10" s="32" t="s">
        <v>55</v>
      </c>
      <c r="C10" s="33" t="s">
        <v>9</v>
      </c>
      <c r="D10" s="34" t="s">
        <v>10</v>
      </c>
      <c r="E10" s="34" t="s">
        <v>11</v>
      </c>
      <c r="F10" s="33" t="s">
        <v>12</v>
      </c>
      <c r="G10" s="33" t="s">
        <v>13</v>
      </c>
      <c r="H10" s="35" t="s">
        <v>14</v>
      </c>
      <c r="I10" s="36" t="s">
        <v>15</v>
      </c>
      <c r="J10" s="36" t="s">
        <v>16</v>
      </c>
      <c r="K10" s="36" t="s">
        <v>17</v>
      </c>
      <c r="L10" s="36" t="s">
        <v>18</v>
      </c>
      <c r="M10" s="36" t="s">
        <v>19</v>
      </c>
      <c r="N10" s="36" t="s">
        <v>20</v>
      </c>
      <c r="U10" s="4"/>
      <c r="V10" s="4"/>
      <c r="W10" s="4"/>
      <c r="X10" s="4"/>
      <c r="Y10" s="4"/>
      <c r="Z10" s="4"/>
    </row>
    <row r="11" spans="2:26" outlineLevel="1">
      <c r="B11" s="26" t="s">
        <v>56</v>
      </c>
      <c r="C11" s="2">
        <v>43830</v>
      </c>
      <c r="D11" s="2">
        <v>44196</v>
      </c>
      <c r="E11" s="2">
        <v>44561</v>
      </c>
      <c r="F11" s="2">
        <v>44926</v>
      </c>
      <c r="G11" s="2">
        <v>45291</v>
      </c>
      <c r="H11" s="2">
        <v>45657</v>
      </c>
      <c r="I11" s="26"/>
      <c r="J11" s="26"/>
      <c r="K11" s="26"/>
      <c r="L11" s="26"/>
      <c r="M11" s="26"/>
      <c r="N11" s="26"/>
    </row>
    <row r="12" spans="2:26" outlineLevel="1">
      <c r="B12" s="4"/>
    </row>
    <row r="13" spans="2:26" outlineLevel="1">
      <c r="B13" s="4" t="s">
        <v>185</v>
      </c>
      <c r="C13" s="37">
        <v>111</v>
      </c>
      <c r="D13" s="37">
        <v>93</v>
      </c>
      <c r="E13" s="37">
        <v>118</v>
      </c>
      <c r="F13" s="37">
        <v>131</v>
      </c>
      <c r="G13" s="37">
        <v>150</v>
      </c>
      <c r="H13" s="37">
        <v>171</v>
      </c>
      <c r="I13" s="73">
        <f>+H13*(1+I14)</f>
        <v>194.08500000000001</v>
      </c>
      <c r="J13" s="73">
        <f t="shared" ref="J13:N13" si="0">+I13*(1+J14)</f>
        <v>219.31604999999999</v>
      </c>
      <c r="K13" s="73">
        <f t="shared" si="0"/>
        <v>245.63397600000002</v>
      </c>
      <c r="L13" s="73">
        <f t="shared" si="0"/>
        <v>273.88188324000004</v>
      </c>
      <c r="M13" s="73">
        <f t="shared" si="0"/>
        <v>302.63948098020006</v>
      </c>
      <c r="N13" s="73">
        <f t="shared" si="0"/>
        <v>332.90342907822009</v>
      </c>
    </row>
    <row r="14" spans="2:26" outlineLevel="1">
      <c r="B14" s="25" t="s">
        <v>180</v>
      </c>
      <c r="C14" s="38"/>
      <c r="D14" s="76">
        <f>(D13/C13)-1</f>
        <v>-0.16216216216216217</v>
      </c>
      <c r="E14" s="76">
        <f t="shared" ref="E14:H14" si="1">(E13/D13)-1</f>
        <v>0.26881720430107525</v>
      </c>
      <c r="F14" s="76">
        <f t="shared" si="1"/>
        <v>0.11016949152542366</v>
      </c>
      <c r="G14" s="76">
        <f t="shared" si="1"/>
        <v>0.14503816793893121</v>
      </c>
      <c r="H14" s="76">
        <f t="shared" si="1"/>
        <v>0.1399999999999999</v>
      </c>
      <c r="I14" s="88">
        <f t="shared" ref="I14:N14" si="2">INDEX(I15:I17,MATCH($C$4,$B$15:$B$17,0))</f>
        <v>0.13500000000000001</v>
      </c>
      <c r="J14" s="88">
        <f t="shared" si="2"/>
        <v>0.13</v>
      </c>
      <c r="K14" s="88">
        <f t="shared" si="2"/>
        <v>0.12</v>
      </c>
      <c r="L14" s="88">
        <f t="shared" si="2"/>
        <v>0.115</v>
      </c>
      <c r="M14" s="88">
        <f t="shared" si="2"/>
        <v>0.105</v>
      </c>
      <c r="N14" s="88">
        <f t="shared" si="2"/>
        <v>0.1</v>
      </c>
    </row>
    <row r="15" spans="2:26" outlineLevel="1">
      <c r="B15" s="17" t="s">
        <v>182</v>
      </c>
      <c r="C15" s="40"/>
      <c r="D15" s="41"/>
      <c r="E15" s="41"/>
      <c r="F15" s="41"/>
      <c r="G15" s="41"/>
      <c r="H15" s="41"/>
      <c r="I15" s="42">
        <f>+I16+0.01</f>
        <v>0.14500000000000002</v>
      </c>
      <c r="J15" s="42">
        <f t="shared" ref="J15:N15" si="3">+J16+0.01</f>
        <v>0.14000000000000001</v>
      </c>
      <c r="K15" s="42">
        <f t="shared" si="3"/>
        <v>0.13</v>
      </c>
      <c r="L15" s="42">
        <f t="shared" si="3"/>
        <v>0.125</v>
      </c>
      <c r="M15" s="42">
        <f t="shared" si="3"/>
        <v>0.11499999999999999</v>
      </c>
      <c r="N15" s="42">
        <f t="shared" si="3"/>
        <v>0.11</v>
      </c>
    </row>
    <row r="16" spans="2:26" outlineLevel="1">
      <c r="B16" s="17" t="s">
        <v>183</v>
      </c>
      <c r="C16" s="40"/>
      <c r="D16" s="41"/>
      <c r="E16" s="41"/>
      <c r="F16" s="41"/>
      <c r="G16" s="41"/>
      <c r="H16" s="41"/>
      <c r="I16" s="42">
        <v>0.13500000000000001</v>
      </c>
      <c r="J16" s="42">
        <v>0.13</v>
      </c>
      <c r="K16" s="42">
        <v>0.12</v>
      </c>
      <c r="L16" s="42">
        <v>0.115</v>
      </c>
      <c r="M16" s="42">
        <v>0.105</v>
      </c>
      <c r="N16" s="42">
        <v>0.1</v>
      </c>
    </row>
    <row r="17" spans="2:15" outlineLevel="1">
      <c r="B17" s="17" t="s">
        <v>184</v>
      </c>
      <c r="C17" s="40"/>
      <c r="D17" s="41"/>
      <c r="E17" s="41"/>
      <c r="F17" s="41"/>
      <c r="G17" s="41"/>
      <c r="H17" s="41"/>
      <c r="I17" s="42">
        <v>0.13</v>
      </c>
      <c r="J17" s="42">
        <v>0.115</v>
      </c>
      <c r="K17" s="42">
        <v>0.105</v>
      </c>
      <c r="L17" s="42">
        <v>9.5000000000000001E-2</v>
      </c>
      <c r="M17" s="42">
        <v>8.5000000000000006E-2</v>
      </c>
      <c r="N17" s="42">
        <v>7.4999999999999997E-2</v>
      </c>
    </row>
    <row r="18" spans="2:15" ht="9.5500000000000007" customHeight="1" outlineLevel="1"/>
    <row r="19" spans="2:15" outlineLevel="1">
      <c r="B19" s="4" t="s">
        <v>186</v>
      </c>
      <c r="C19" s="37">
        <v>5220</v>
      </c>
      <c r="D19" s="37">
        <v>5025</v>
      </c>
      <c r="E19" s="37">
        <v>6368</v>
      </c>
      <c r="F19" s="37">
        <v>7642</v>
      </c>
      <c r="G19" s="37">
        <v>9448</v>
      </c>
      <c r="H19" s="37">
        <v>11273</v>
      </c>
      <c r="I19" s="73">
        <f>+I21*I13</f>
        <v>13396.213185000001</v>
      </c>
      <c r="J19" s="73">
        <f t="shared" ref="J19:N19" si="4">+J21*J13</f>
        <v>15781.074037259623</v>
      </c>
      <c r="K19" s="73">
        <f t="shared" si="4"/>
        <v>18337.608031295687</v>
      </c>
      <c r="L19" s="73">
        <f t="shared" si="4"/>
        <v>21110.942025928769</v>
      </c>
      <c r="M19" s="73">
        <f t="shared" si="4"/>
        <v>23969.099689464205</v>
      </c>
      <c r="N19" s="73">
        <f t="shared" si="4"/>
        <v>27025.159899870891</v>
      </c>
    </row>
    <row r="20" spans="2:15" outlineLevel="1">
      <c r="B20" s="25" t="s">
        <v>180</v>
      </c>
      <c r="C20" s="38"/>
      <c r="D20" s="76">
        <f>(D19/C19)-1</f>
        <v>-3.7356321839080442E-2</v>
      </c>
      <c r="E20" s="76">
        <f t="shared" ref="E20" si="5">(E19/D19)-1</f>
        <v>0.26726368159203973</v>
      </c>
      <c r="F20" s="76">
        <f t="shared" ref="F20" si="6">(F19/E19)-1</f>
        <v>0.20006281407035176</v>
      </c>
      <c r="G20" s="76">
        <f t="shared" ref="G20" si="7">(G19/F19)-1</f>
        <v>0.23632556922271664</v>
      </c>
      <c r="H20" s="76">
        <f t="shared" ref="H20" si="8">(H19/G19)-1</f>
        <v>0.19316257408975446</v>
      </c>
      <c r="I20" s="76">
        <f>(I19/H19)-1</f>
        <v>0.18834499999999998</v>
      </c>
      <c r="J20" s="76">
        <f t="shared" ref="J20" si="9">(J19/I19)-1</f>
        <v>0.17802499999999988</v>
      </c>
      <c r="K20" s="76">
        <f t="shared" ref="K20" si="10">(K19/J19)-1</f>
        <v>0.16200000000000037</v>
      </c>
      <c r="L20" s="76">
        <f t="shared" ref="L20" si="11">(L19/K19)-1</f>
        <v>0.15123749999999991</v>
      </c>
      <c r="M20" s="76">
        <f t="shared" ref="M20" si="12">(M19/L19)-1</f>
        <v>0.13538750000000022</v>
      </c>
      <c r="N20" s="76">
        <f t="shared" ref="N20" si="13">(N19/M19)-1</f>
        <v>0.12749999999999995</v>
      </c>
    </row>
    <row r="21" spans="2:15" outlineLevel="1">
      <c r="B21" s="43" t="s">
        <v>187</v>
      </c>
      <c r="C21" s="74">
        <f>+C19/C13</f>
        <v>47.027027027027025</v>
      </c>
      <c r="D21" s="74">
        <f t="shared" ref="D21:H21" si="14">+D19/D13</f>
        <v>54.032258064516128</v>
      </c>
      <c r="E21" s="74">
        <f t="shared" si="14"/>
        <v>53.966101694915253</v>
      </c>
      <c r="F21" s="74">
        <f t="shared" si="14"/>
        <v>58.335877862595417</v>
      </c>
      <c r="G21" s="74">
        <f t="shared" si="14"/>
        <v>62.986666666666665</v>
      </c>
      <c r="H21" s="74">
        <f t="shared" si="14"/>
        <v>65.923976608187132</v>
      </c>
      <c r="I21" s="74">
        <f>+H21*(1+I22)</f>
        <v>69.02240350877193</v>
      </c>
      <c r="J21" s="74">
        <f t="shared" ref="J21:N21" si="15">+I21*(1+J22)</f>
        <v>71.95585565789473</v>
      </c>
      <c r="K21" s="74">
        <f t="shared" si="15"/>
        <v>74.654200245065795</v>
      </c>
      <c r="L21" s="74">
        <f t="shared" si="15"/>
        <v>77.080461753030434</v>
      </c>
      <c r="M21" s="74">
        <f t="shared" si="15"/>
        <v>79.20017445123878</v>
      </c>
      <c r="N21" s="74">
        <f t="shared" si="15"/>
        <v>81.180178812519742</v>
      </c>
    </row>
    <row r="22" spans="2:15" outlineLevel="1">
      <c r="B22" s="25" t="s">
        <v>180</v>
      </c>
      <c r="C22" s="38"/>
      <c r="D22" s="76">
        <f>(D21/C21)-1</f>
        <v>0.14896180941787174</v>
      </c>
      <c r="E22" s="76">
        <f t="shared" ref="E22" si="16">(E21/D21)-1</f>
        <v>-1.2243865418669619E-3</v>
      </c>
      <c r="F22" s="76">
        <f t="shared" ref="F22" si="17">(F21/E21)-1</f>
        <v>8.0972611147339668E-2</v>
      </c>
      <c r="G22" s="76">
        <f t="shared" ref="G22" si="18">(G21/F21)-1</f>
        <v>7.9724330454505887E-2</v>
      </c>
      <c r="H22" s="76">
        <f t="shared" ref="H22" si="19">(H21/G21)-1</f>
        <v>4.6633836920837224E-2</v>
      </c>
      <c r="I22" s="88">
        <f t="shared" ref="I22:N22" si="20">INDEX(I23:I25,MATCH($C$4,$B$15:$B$17,0))</f>
        <v>4.7E-2</v>
      </c>
      <c r="J22" s="88">
        <f t="shared" si="20"/>
        <v>4.2500000000000003E-2</v>
      </c>
      <c r="K22" s="88">
        <f t="shared" si="20"/>
        <v>3.7500000000000006E-2</v>
      </c>
      <c r="L22" s="88">
        <f t="shared" si="20"/>
        <v>3.2500000000000001E-2</v>
      </c>
      <c r="M22" s="88">
        <f t="shared" si="20"/>
        <v>2.75E-2</v>
      </c>
      <c r="N22" s="88">
        <f t="shared" si="20"/>
        <v>2.4999999999999998E-2</v>
      </c>
    </row>
    <row r="23" spans="2:15" outlineLevel="1">
      <c r="B23" s="17" t="s">
        <v>182</v>
      </c>
      <c r="C23" s="40"/>
      <c r="D23" s="41"/>
      <c r="E23" s="41"/>
      <c r="F23" s="41"/>
      <c r="G23" s="41"/>
      <c r="H23" s="41"/>
      <c r="I23" s="42">
        <v>5.2499999999999998E-2</v>
      </c>
      <c r="J23" s="42">
        <v>4.7500000000000001E-2</v>
      </c>
      <c r="K23" s="42">
        <v>4.2500000000000003E-2</v>
      </c>
      <c r="L23" s="42">
        <v>3.7499999999999999E-2</v>
      </c>
      <c r="M23" s="42">
        <v>3.2500000000000001E-2</v>
      </c>
      <c r="N23" s="42">
        <v>0.03</v>
      </c>
    </row>
    <row r="24" spans="2:15" outlineLevel="1">
      <c r="B24" s="17" t="s">
        <v>183</v>
      </c>
      <c r="C24" s="40"/>
      <c r="D24" s="41"/>
      <c r="E24" s="41"/>
      <c r="F24" s="41"/>
      <c r="G24" s="41"/>
      <c r="H24" s="41"/>
      <c r="I24" s="42">
        <v>4.7E-2</v>
      </c>
      <c r="J24" s="42">
        <f t="shared" ref="J24:N24" si="21">+J23-0.005</f>
        <v>4.2500000000000003E-2</v>
      </c>
      <c r="K24" s="42">
        <f t="shared" si="21"/>
        <v>3.7500000000000006E-2</v>
      </c>
      <c r="L24" s="42">
        <f t="shared" si="21"/>
        <v>3.2500000000000001E-2</v>
      </c>
      <c r="M24" s="42">
        <f t="shared" si="21"/>
        <v>2.75E-2</v>
      </c>
      <c r="N24" s="42">
        <f t="shared" si="21"/>
        <v>2.4999999999999998E-2</v>
      </c>
    </row>
    <row r="25" spans="2:15" outlineLevel="1">
      <c r="B25" s="17" t="s">
        <v>184</v>
      </c>
      <c r="C25" s="40"/>
      <c r="D25" s="41"/>
      <c r="E25" s="41"/>
      <c r="F25" s="41"/>
      <c r="G25" s="41"/>
      <c r="H25" s="41"/>
      <c r="I25" s="42">
        <v>0.04</v>
      </c>
      <c r="J25" s="42">
        <v>3.5000000000000003E-2</v>
      </c>
      <c r="K25" s="42">
        <v>3.2500000000000001E-2</v>
      </c>
      <c r="L25" s="42">
        <v>0.03</v>
      </c>
      <c r="M25" s="42">
        <v>2.75E-2</v>
      </c>
      <c r="N25" s="42">
        <v>2.5000000000000001E-2</v>
      </c>
    </row>
    <row r="26" spans="2:15" ht="8.3000000000000007" customHeight="1" outlineLevel="1">
      <c r="B26" s="25"/>
      <c r="C26" s="40"/>
      <c r="D26" s="41"/>
      <c r="E26" s="41"/>
      <c r="F26" s="41"/>
      <c r="G26" s="41"/>
      <c r="H26" s="41"/>
    </row>
    <row r="27" spans="2:15" outlineLevel="1">
      <c r="B27" s="4" t="s">
        <v>190</v>
      </c>
      <c r="C27" s="37">
        <v>64264</v>
      </c>
      <c r="D27" s="37">
        <v>56884</v>
      </c>
      <c r="E27" s="37">
        <v>88281</v>
      </c>
      <c r="F27" s="37">
        <v>108443</v>
      </c>
      <c r="G27" s="37">
        <v>132623</v>
      </c>
      <c r="H27" s="37">
        <v>157638</v>
      </c>
      <c r="I27" s="73">
        <f t="shared" ref="I27:N27" si="22">I30*I19</f>
        <v>187328.32910999999</v>
      </c>
      <c r="J27" s="73">
        <f t="shared" si="22"/>
        <v>220677.45489980769</v>
      </c>
      <c r="K27" s="73">
        <f t="shared" si="22"/>
        <v>256427.20259357663</v>
      </c>
      <c r="L27" s="73">
        <f t="shared" si="22"/>
        <v>295208.6116458227</v>
      </c>
      <c r="M27" s="73">
        <f t="shared" si="22"/>
        <v>335176.16755502159</v>
      </c>
      <c r="N27" s="73">
        <f t="shared" si="22"/>
        <v>377911.12891828682</v>
      </c>
    </row>
    <row r="28" spans="2:15" outlineLevel="1">
      <c r="B28" s="25" t="s">
        <v>180</v>
      </c>
      <c r="C28" s="38"/>
      <c r="D28" s="76">
        <f>(D27/C27)-1</f>
        <v>-0.11483878999128594</v>
      </c>
      <c r="E28" s="76">
        <f t="shared" ref="E28" si="23">(E27/D27)-1</f>
        <v>0.55194782364109418</v>
      </c>
      <c r="F28" s="76">
        <f t="shared" ref="F28" si="24">(F27/E27)-1</f>
        <v>0.2283843635663394</v>
      </c>
      <c r="G28" s="76">
        <f t="shared" ref="G28" si="25">(G27/F27)-1</f>
        <v>0.22297428141973197</v>
      </c>
      <c r="H28" s="76">
        <f t="shared" ref="H28" si="26">(H27/G27)-1</f>
        <v>0.18861735897996579</v>
      </c>
      <c r="I28" s="76">
        <f t="shared" ref="I28" si="27">(I27/H27)-1</f>
        <v>0.18834499999999998</v>
      </c>
      <c r="J28" s="76">
        <f t="shared" ref="J28" si="28">(J27/I27)-1</f>
        <v>0.17802499999999966</v>
      </c>
      <c r="K28" s="76">
        <f>(K27/J27)-1</f>
        <v>0.16200000000000037</v>
      </c>
      <c r="L28" s="76">
        <f t="shared" ref="L28" si="29">(L27/K27)-1</f>
        <v>0.15123750000000014</v>
      </c>
      <c r="M28" s="76">
        <f>(M27/L27)-1</f>
        <v>0.13538750000000022</v>
      </c>
      <c r="N28" s="76">
        <f t="shared" ref="N28" si="30">(N27/M27)-1</f>
        <v>0.12749999999999995</v>
      </c>
    </row>
    <row r="29" spans="2:15" ht="6.3" customHeight="1" outlineLevel="1">
      <c r="B29" s="4"/>
      <c r="C29" s="45"/>
      <c r="D29" s="45"/>
      <c r="E29" s="45"/>
      <c r="F29" s="45"/>
      <c r="G29" s="45"/>
      <c r="H29" s="45"/>
    </row>
    <row r="30" spans="2:15" outlineLevel="1">
      <c r="B30" s="4" t="s">
        <v>188</v>
      </c>
      <c r="C30" s="75">
        <f t="shared" ref="C30:H30" si="31">+C27/C19</f>
        <v>12.311111111111112</v>
      </c>
      <c r="D30" s="75">
        <f t="shared" si="31"/>
        <v>11.320199004975125</v>
      </c>
      <c r="E30" s="75">
        <f t="shared" si="31"/>
        <v>13.863222361809045</v>
      </c>
      <c r="F30" s="75">
        <f t="shared" si="31"/>
        <v>14.190395184506674</v>
      </c>
      <c r="G30" s="75">
        <f t="shared" si="31"/>
        <v>14.037150719729043</v>
      </c>
      <c r="H30" s="75">
        <f t="shared" si="31"/>
        <v>13.983677814246429</v>
      </c>
      <c r="I30" s="75">
        <f>H30</f>
        <v>13.983677814246429</v>
      </c>
      <c r="J30" s="75">
        <f t="shared" ref="J30:N30" si="32">I30</f>
        <v>13.983677814246429</v>
      </c>
      <c r="K30" s="75">
        <f t="shared" si="32"/>
        <v>13.983677814246429</v>
      </c>
      <c r="L30" s="75">
        <f t="shared" si="32"/>
        <v>13.983677814246429</v>
      </c>
      <c r="M30" s="75">
        <f t="shared" si="32"/>
        <v>13.983677814246429</v>
      </c>
      <c r="N30" s="75">
        <f t="shared" si="32"/>
        <v>13.983677814246429</v>
      </c>
    </row>
    <row r="31" spans="2:15" ht="7.55" customHeight="1" outlineLevel="1">
      <c r="B31" s="4"/>
      <c r="C31" s="46"/>
      <c r="D31" s="46"/>
      <c r="E31" s="46"/>
      <c r="F31" s="46"/>
      <c r="G31" s="46"/>
      <c r="H31" s="46"/>
      <c r="I31" s="47"/>
      <c r="J31" s="47"/>
      <c r="K31" s="47"/>
      <c r="L31" s="47"/>
      <c r="M31" s="47"/>
      <c r="N31" s="47"/>
    </row>
    <row r="32" spans="2:15" outlineLevel="1">
      <c r="B32" s="4" t="s">
        <v>312</v>
      </c>
      <c r="C32" s="37">
        <v>12644</v>
      </c>
      <c r="D32" s="37">
        <v>10128</v>
      </c>
      <c r="E32" s="37">
        <v>15323</v>
      </c>
      <c r="F32" s="37">
        <v>24930</v>
      </c>
      <c r="G32" s="37">
        <v>32036</v>
      </c>
      <c r="H32" s="37">
        <v>38837</v>
      </c>
      <c r="I32" s="73">
        <f t="shared" ref="I32:N32" si="33">(I33*I27)</f>
        <v>46151.754764999998</v>
      </c>
      <c r="J32" s="73">
        <f t="shared" si="33"/>
        <v>54367.920907039115</v>
      </c>
      <c r="K32" s="73">
        <f t="shared" si="33"/>
        <v>63175.524093979475</v>
      </c>
      <c r="L32" s="73">
        <f t="shared" si="33"/>
        <v>72730.032419142706</v>
      </c>
      <c r="M32" s="73">
        <f t="shared" si="33"/>
        <v>82576.7696832894</v>
      </c>
      <c r="N32" s="73">
        <f t="shared" si="33"/>
        <v>93105.30781790879</v>
      </c>
      <c r="O32" s="48"/>
    </row>
    <row r="33" spans="2:14" outlineLevel="1">
      <c r="B33" s="25" t="s">
        <v>181</v>
      </c>
      <c r="C33" s="76">
        <f t="shared" ref="C33:H33" si="34">C32/C27</f>
        <v>0.1967509025270758</v>
      </c>
      <c r="D33" s="76">
        <f t="shared" si="34"/>
        <v>0.17804655087546586</v>
      </c>
      <c r="E33" s="76">
        <f t="shared" si="34"/>
        <v>0.17357075701453314</v>
      </c>
      <c r="F33" s="76">
        <f t="shared" si="34"/>
        <v>0.22989035714615053</v>
      </c>
      <c r="G33" s="76">
        <f t="shared" si="34"/>
        <v>0.24155689435467453</v>
      </c>
      <c r="H33" s="76">
        <f t="shared" si="34"/>
        <v>0.24636826145980031</v>
      </c>
      <c r="I33" s="77">
        <f>H33</f>
        <v>0.24636826145980031</v>
      </c>
      <c r="J33" s="77">
        <f t="shared" ref="J33:N33" si="35">I33</f>
        <v>0.24636826145980031</v>
      </c>
      <c r="K33" s="77">
        <f t="shared" si="35"/>
        <v>0.24636826145980031</v>
      </c>
      <c r="L33" s="77">
        <f t="shared" si="35"/>
        <v>0.24636826145980031</v>
      </c>
      <c r="M33" s="77">
        <f t="shared" si="35"/>
        <v>0.24636826145980031</v>
      </c>
      <c r="N33" s="77">
        <f t="shared" si="35"/>
        <v>0.24636826145980031</v>
      </c>
    </row>
    <row r="34" spans="2:14" ht="7.05" customHeight="1" outlineLevel="1">
      <c r="B34" s="25"/>
      <c r="C34" s="39"/>
      <c r="D34" s="39"/>
      <c r="E34" s="39"/>
      <c r="F34" s="39"/>
      <c r="G34" s="39"/>
      <c r="H34" s="39"/>
      <c r="I34" s="49"/>
      <c r="J34" s="49"/>
      <c r="K34" s="49"/>
      <c r="L34" s="49"/>
      <c r="M34" s="49"/>
      <c r="N34" s="49"/>
    </row>
    <row r="35" spans="2:14" outlineLevel="1">
      <c r="B35" s="25" t="s">
        <v>191</v>
      </c>
      <c r="C35" s="76">
        <f t="shared" ref="C35:H35" si="36">C38/C32</f>
        <v>0.73457766529579249</v>
      </c>
      <c r="D35" s="76">
        <f t="shared" si="36"/>
        <v>0.60120458135860977</v>
      </c>
      <c r="E35" s="76">
        <f t="shared" si="36"/>
        <v>0.45376231808392614</v>
      </c>
      <c r="F35" s="76">
        <f t="shared" si="36"/>
        <v>0.56273565984757323</v>
      </c>
      <c r="G35" s="76">
        <f t="shared" si="36"/>
        <v>0.61905356473966788</v>
      </c>
      <c r="H35" s="76">
        <f t="shared" si="36"/>
        <v>0.64595617581172593</v>
      </c>
      <c r="I35" s="77">
        <f>H35</f>
        <v>0.64595617581172593</v>
      </c>
      <c r="J35" s="77">
        <f t="shared" ref="J35:N35" si="37">I35</f>
        <v>0.64595617581172593</v>
      </c>
      <c r="K35" s="77">
        <f t="shared" si="37"/>
        <v>0.64595617581172593</v>
      </c>
      <c r="L35" s="77">
        <f t="shared" si="37"/>
        <v>0.64595617581172593</v>
      </c>
      <c r="M35" s="77">
        <f t="shared" si="37"/>
        <v>0.64595617581172593</v>
      </c>
      <c r="N35" s="77">
        <f t="shared" si="37"/>
        <v>0.64595617581172593</v>
      </c>
    </row>
    <row r="36" spans="2:14" outlineLevel="1">
      <c r="B36" s="25" t="s">
        <v>192</v>
      </c>
      <c r="C36" s="76">
        <f t="shared" ref="C36:H36" si="38">C42/C32</f>
        <v>6.1056627649478015E-2</v>
      </c>
      <c r="D36" s="76">
        <f t="shared" si="38"/>
        <v>0.3854660347551343</v>
      </c>
      <c r="E36" s="76">
        <f t="shared" si="38"/>
        <v>0.54571559094172162</v>
      </c>
      <c r="F36" s="76">
        <f t="shared" si="38"/>
        <v>0.43726434015242682</v>
      </c>
      <c r="G36" s="76">
        <f t="shared" si="38"/>
        <v>0.38094643526033212</v>
      </c>
      <c r="H36" s="76">
        <f t="shared" si="38"/>
        <v>0.35404382418827407</v>
      </c>
      <c r="I36" s="77">
        <f>H36</f>
        <v>0.35404382418827407</v>
      </c>
      <c r="J36" s="77">
        <f t="shared" ref="J36:N36" si="39">I36</f>
        <v>0.35404382418827407</v>
      </c>
      <c r="K36" s="77">
        <f t="shared" si="39"/>
        <v>0.35404382418827407</v>
      </c>
      <c r="L36" s="77">
        <f t="shared" si="39"/>
        <v>0.35404382418827407</v>
      </c>
      <c r="M36" s="77">
        <f t="shared" si="39"/>
        <v>0.35404382418827407</v>
      </c>
      <c r="N36" s="77">
        <f t="shared" si="39"/>
        <v>0.35404382418827407</v>
      </c>
    </row>
    <row r="37" spans="2:14" ht="6.3" customHeight="1" outlineLevel="1">
      <c r="B37" s="4"/>
      <c r="C37" s="45"/>
      <c r="D37" s="45"/>
      <c r="E37" s="45"/>
      <c r="F37" s="45"/>
      <c r="G37" s="45"/>
      <c r="H37" s="45"/>
    </row>
    <row r="38" spans="2:14" outlineLevel="1">
      <c r="B38" s="4" t="s">
        <v>67</v>
      </c>
      <c r="C38" s="37">
        <v>9288</v>
      </c>
      <c r="D38" s="37">
        <v>6089</v>
      </c>
      <c r="E38" s="37">
        <v>6953</v>
      </c>
      <c r="F38" s="37">
        <v>14029</v>
      </c>
      <c r="G38" s="37">
        <v>19832</v>
      </c>
      <c r="H38" s="37">
        <v>25087</v>
      </c>
      <c r="I38" s="73">
        <f t="shared" ref="I38:N38" si="40">I32*I35</f>
        <v>29812.011015</v>
      </c>
      <c r="J38" s="73">
        <f t="shared" si="40"/>
        <v>35119.294275945365</v>
      </c>
      <c r="K38" s="73">
        <f t="shared" si="40"/>
        <v>40808.619948648535</v>
      </c>
      <c r="L38" s="73">
        <f t="shared" si="40"/>
        <v>46980.413608132272</v>
      </c>
      <c r="M38" s="73">
        <f t="shared" si="40"/>
        <v>53340.974355503284</v>
      </c>
      <c r="N38" s="73">
        <f t="shared" si="40"/>
        <v>60141.948585829952</v>
      </c>
    </row>
    <row r="39" spans="2:14" outlineLevel="1">
      <c r="B39" s="3" t="s">
        <v>178</v>
      </c>
      <c r="C39" s="45"/>
      <c r="D39" s="45"/>
      <c r="E39" s="45"/>
      <c r="F39" s="45">
        <v>-3090</v>
      </c>
      <c r="G39" s="45">
        <v>-5130</v>
      </c>
      <c r="H39" s="45">
        <v>-6884</v>
      </c>
      <c r="I39" s="74">
        <f t="shared" ref="I39:N39" si="41">-I38*(1-I40)</f>
        <v>-8180.5669800000005</v>
      </c>
      <c r="J39" s="74">
        <f t="shared" si="41"/>
        <v>-9636.9124166144975</v>
      </c>
      <c r="K39" s="74">
        <f t="shared" si="41"/>
        <v>-11198.092228106052</v>
      </c>
      <c r="L39" s="74">
        <f t="shared" si="41"/>
        <v>-12891.663701454243</v>
      </c>
      <c r="M39" s="74">
        <f t="shared" si="41"/>
        <v>-14637.033820834878</v>
      </c>
      <c r="N39" s="74">
        <f t="shared" si="41"/>
        <v>-16503.255632991328</v>
      </c>
    </row>
    <row r="40" spans="2:14" outlineLevel="1">
      <c r="B40" s="25" t="s">
        <v>179</v>
      </c>
      <c r="C40" s="78">
        <f t="shared" ref="C40:H40" si="42">(C38+C39)/C38</f>
        <v>1</v>
      </c>
      <c r="D40" s="78">
        <f t="shared" si="42"/>
        <v>1</v>
      </c>
      <c r="E40" s="78">
        <f t="shared" si="42"/>
        <v>1</v>
      </c>
      <c r="F40" s="78">
        <f t="shared" si="42"/>
        <v>0.77974196307648447</v>
      </c>
      <c r="G40" s="78">
        <f t="shared" si="42"/>
        <v>0.74132714804356592</v>
      </c>
      <c r="H40" s="78">
        <f t="shared" si="42"/>
        <v>0.72559492964483596</v>
      </c>
      <c r="I40" s="79">
        <f>H40</f>
        <v>0.72559492964483596</v>
      </c>
      <c r="J40" s="79">
        <f t="shared" ref="J40:N40" si="43">I40</f>
        <v>0.72559492964483596</v>
      </c>
      <c r="K40" s="79">
        <f t="shared" si="43"/>
        <v>0.72559492964483596</v>
      </c>
      <c r="L40" s="79">
        <f t="shared" si="43"/>
        <v>0.72559492964483596</v>
      </c>
      <c r="M40" s="79">
        <f t="shared" si="43"/>
        <v>0.72559492964483596</v>
      </c>
      <c r="N40" s="79">
        <f t="shared" si="43"/>
        <v>0.72559492964483596</v>
      </c>
    </row>
    <row r="41" spans="2:14" ht="7.05" customHeight="1" outlineLevel="1">
      <c r="B41" s="25"/>
      <c r="C41" s="41"/>
      <c r="D41" s="41"/>
      <c r="E41" s="41"/>
      <c r="F41" s="41"/>
      <c r="G41" s="41"/>
      <c r="H41" s="41"/>
      <c r="I41" s="14"/>
      <c r="J41" s="14"/>
      <c r="K41" s="14"/>
      <c r="L41" s="14"/>
      <c r="M41" s="14"/>
      <c r="N41" s="14"/>
    </row>
    <row r="42" spans="2:14" outlineLevel="1">
      <c r="B42" s="4" t="s">
        <v>68</v>
      </c>
      <c r="C42" s="37">
        <v>772</v>
      </c>
      <c r="D42" s="37">
        <v>3904</v>
      </c>
      <c r="E42" s="37">
        <v>8362</v>
      </c>
      <c r="F42" s="37">
        <v>10901</v>
      </c>
      <c r="G42" s="37">
        <v>12204</v>
      </c>
      <c r="H42" s="37">
        <v>13750</v>
      </c>
      <c r="I42" s="73">
        <f t="shared" ref="I42:N42" si="44">+I32*I36</f>
        <v>16339.74375</v>
      </c>
      <c r="J42" s="73">
        <f t="shared" si="44"/>
        <v>19248.626631093746</v>
      </c>
      <c r="K42" s="73">
        <f t="shared" si="44"/>
        <v>22366.90414533094</v>
      </c>
      <c r="L42" s="73">
        <f t="shared" si="44"/>
        <v>25749.618811010434</v>
      </c>
      <c r="M42" s="73">
        <f t="shared" si="44"/>
        <v>29235.795327786112</v>
      </c>
      <c r="N42" s="73">
        <f t="shared" si="44"/>
        <v>32963.359232078838</v>
      </c>
    </row>
    <row r="43" spans="2:14" outlineLevel="1">
      <c r="B43" s="3" t="s">
        <v>178</v>
      </c>
      <c r="C43" s="45"/>
      <c r="D43" s="45"/>
      <c r="E43" s="45"/>
      <c r="F43" s="45">
        <v>-4788</v>
      </c>
      <c r="G43" s="45">
        <v>-5329</v>
      </c>
      <c r="H43" s="45">
        <v>-5591</v>
      </c>
      <c r="I43" s="74">
        <f t="shared" ref="I43:N43" si="45">-I42*(1-I44)</f>
        <v>-6644.0368949999993</v>
      </c>
      <c r="J43" s="74">
        <f t="shared" si="45"/>
        <v>-7826.8415632323722</v>
      </c>
      <c r="K43" s="74">
        <f t="shared" si="45"/>
        <v>-9094.7898964760188</v>
      </c>
      <c r="L43" s="74">
        <f t="shared" si="45"/>
        <v>-10470.263183444315</v>
      </c>
      <c r="M43" s="74">
        <f t="shared" si="45"/>
        <v>-11887.805940192882</v>
      </c>
      <c r="N43" s="74">
        <f t="shared" si="45"/>
        <v>-13403.501197567473</v>
      </c>
    </row>
    <row r="44" spans="2:14" outlineLevel="1">
      <c r="B44" s="25" t="s">
        <v>179</v>
      </c>
      <c r="C44" s="78">
        <f t="shared" ref="C44:H44" si="46">(C42+C43)/C42</f>
        <v>1</v>
      </c>
      <c r="D44" s="78">
        <f t="shared" si="46"/>
        <v>1</v>
      </c>
      <c r="E44" s="78">
        <f t="shared" si="46"/>
        <v>1</v>
      </c>
      <c r="F44" s="78">
        <f t="shared" si="46"/>
        <v>0.56077424089533068</v>
      </c>
      <c r="G44" s="78">
        <f t="shared" si="46"/>
        <v>0.56333988856112749</v>
      </c>
      <c r="H44" s="78">
        <f t="shared" si="46"/>
        <v>0.59338181818181823</v>
      </c>
      <c r="I44" s="79">
        <f>+H44</f>
        <v>0.59338181818181823</v>
      </c>
      <c r="J44" s="79">
        <f t="shared" ref="J44:N44" si="47">+I44</f>
        <v>0.59338181818181823</v>
      </c>
      <c r="K44" s="79">
        <f t="shared" si="47"/>
        <v>0.59338181818181823</v>
      </c>
      <c r="L44" s="79">
        <f t="shared" si="47"/>
        <v>0.59338181818181823</v>
      </c>
      <c r="M44" s="79">
        <f t="shared" si="47"/>
        <v>0.59338181818181823</v>
      </c>
      <c r="N44" s="79">
        <f t="shared" si="47"/>
        <v>0.59338181818181823</v>
      </c>
    </row>
    <row r="45" spans="2:14" ht="10.050000000000001" customHeight="1" outlineLevel="1">
      <c r="C45" s="45"/>
      <c r="D45" s="45"/>
      <c r="E45" s="45"/>
      <c r="F45" s="45"/>
      <c r="G45" s="45"/>
      <c r="H45" s="45"/>
    </row>
    <row r="46" spans="2:14" outlineLevel="1">
      <c r="B46" s="4" t="s">
        <v>193</v>
      </c>
      <c r="C46" s="4"/>
      <c r="D46" s="4"/>
      <c r="E46" s="4"/>
      <c r="F46" s="73">
        <f>F75-(F39+F43+F50)</f>
        <v>-5481</v>
      </c>
      <c r="G46" s="73">
        <f>G75-(G39+G43+G50)</f>
        <v>-7284</v>
      </c>
      <c r="H46" s="73">
        <f>H75-(H39+H43+H50)</f>
        <v>-9524</v>
      </c>
      <c r="I46" s="73">
        <f t="shared" ref="I46:N46" si="48">-I47*I32</f>
        <v>-11317.797780000001</v>
      </c>
      <c r="J46" s="73">
        <f t="shared" si="48"/>
        <v>-13332.648729784498</v>
      </c>
      <c r="K46" s="73">
        <f t="shared" si="48"/>
        <v>-15492.537824009592</v>
      </c>
      <c r="L46" s="73">
        <f t="shared" si="48"/>
        <v>-17835.590513168245</v>
      </c>
      <c r="M46" s="73">
        <f t="shared" si="48"/>
        <v>-20250.306523769814</v>
      </c>
      <c r="N46" s="73">
        <f t="shared" si="48"/>
        <v>-22832.220605550465</v>
      </c>
    </row>
    <row r="47" spans="2:14" outlineLevel="1">
      <c r="B47" s="1" t="s">
        <v>194</v>
      </c>
      <c r="C47" s="1"/>
      <c r="D47" s="1"/>
      <c r="E47" s="1"/>
      <c r="F47" s="78">
        <f>-F46/F32</f>
        <v>0.21985559566787002</v>
      </c>
      <c r="G47" s="78">
        <f>-G46/G32</f>
        <v>0.22736920963915594</v>
      </c>
      <c r="H47" s="78">
        <f>-H46/H32</f>
        <v>0.24523006411411799</v>
      </c>
      <c r="I47" s="79">
        <f>H47</f>
        <v>0.24523006411411799</v>
      </c>
      <c r="J47" s="79">
        <f t="shared" ref="J47:N47" si="49">I47</f>
        <v>0.24523006411411799</v>
      </c>
      <c r="K47" s="79">
        <f t="shared" si="49"/>
        <v>0.24523006411411799</v>
      </c>
      <c r="L47" s="79">
        <f t="shared" si="49"/>
        <v>0.24523006411411799</v>
      </c>
      <c r="M47" s="79">
        <f t="shared" si="49"/>
        <v>0.24523006411411799</v>
      </c>
      <c r="N47" s="79">
        <f t="shared" si="49"/>
        <v>0.24523006411411799</v>
      </c>
    </row>
    <row r="48" spans="2:14" ht="7.05" customHeight="1" outlineLevel="1">
      <c r="B48" s="4"/>
      <c r="C48" s="45"/>
      <c r="D48" s="45"/>
      <c r="E48" s="45"/>
      <c r="F48" s="45"/>
      <c r="G48" s="45"/>
      <c r="H48" s="45"/>
    </row>
    <row r="49" spans="2:19" outlineLevel="1">
      <c r="B49" s="4" t="s">
        <v>69</v>
      </c>
      <c r="C49" s="37">
        <v>356</v>
      </c>
      <c r="D49" s="37">
        <v>1011</v>
      </c>
      <c r="E49" s="37">
        <v>2132</v>
      </c>
      <c r="F49" s="37">
        <v>6947</v>
      </c>
      <c r="G49" s="37">
        <v>5245</v>
      </c>
      <c r="H49" s="37">
        <v>5141</v>
      </c>
      <c r="I49" s="73">
        <f>+I53*I54</f>
        <v>5132.4000000000005</v>
      </c>
      <c r="J49" s="73">
        <f t="shared" ref="J49:N49" si="50">+J53*J54</f>
        <v>5337.6959999999999</v>
      </c>
      <c r="K49" s="73">
        <f t="shared" si="50"/>
        <v>5551.2038400000001</v>
      </c>
      <c r="L49" s="73">
        <f t="shared" si="50"/>
        <v>5773.2519935999999</v>
      </c>
      <c r="M49" s="73">
        <f t="shared" si="50"/>
        <v>6004.1820733440009</v>
      </c>
      <c r="N49" s="73">
        <f t="shared" si="50"/>
        <v>6244.3493562777612</v>
      </c>
    </row>
    <row r="50" spans="2:19" outlineLevel="1">
      <c r="B50" s="3" t="s">
        <v>178</v>
      </c>
      <c r="C50" s="45"/>
      <c r="D50" s="45"/>
      <c r="E50" s="45"/>
      <c r="F50" s="45">
        <v>-6300</v>
      </c>
      <c r="G50" s="45">
        <v>-4714</v>
      </c>
      <c r="H50" s="45">
        <v>-4652</v>
      </c>
      <c r="I50" s="74">
        <f>-I49*(1-I51)</f>
        <v>-4644.2180120599105</v>
      </c>
      <c r="J50" s="74">
        <f t="shared" ref="J50:N50" si="51">-J49*(1-J51)</f>
        <v>-4829.9867325423065</v>
      </c>
      <c r="K50" s="74">
        <f t="shared" si="51"/>
        <v>-5023.1862018439988</v>
      </c>
      <c r="L50" s="74">
        <f t="shared" si="51"/>
        <v>-5224.1136499177592</v>
      </c>
      <c r="M50" s="74">
        <f t="shared" si="51"/>
        <v>-5433.0781959144706</v>
      </c>
      <c r="N50" s="74">
        <f t="shared" si="51"/>
        <v>-5650.4013237510489</v>
      </c>
    </row>
    <row r="51" spans="2:19" outlineLevel="1">
      <c r="B51" s="25" t="s">
        <v>179</v>
      </c>
      <c r="C51" s="78">
        <f t="shared" ref="C51:H51" si="52">(C49+C50)/C49</f>
        <v>1</v>
      </c>
      <c r="D51" s="78">
        <f t="shared" si="52"/>
        <v>1</v>
      </c>
      <c r="E51" s="78">
        <f t="shared" si="52"/>
        <v>1</v>
      </c>
      <c r="F51" s="78">
        <f t="shared" si="52"/>
        <v>9.3133726788541815E-2</v>
      </c>
      <c r="G51" s="78">
        <f t="shared" si="52"/>
        <v>0.10123927550047665</v>
      </c>
      <c r="H51" s="78">
        <f t="shared" si="52"/>
        <v>9.5117681384944558E-2</v>
      </c>
      <c r="I51" s="79">
        <f>+H51</f>
        <v>9.5117681384944558E-2</v>
      </c>
      <c r="J51" s="79">
        <f t="shared" ref="J51:N51" si="53">+I51</f>
        <v>9.5117681384944558E-2</v>
      </c>
      <c r="K51" s="79">
        <f t="shared" si="53"/>
        <v>9.5117681384944558E-2</v>
      </c>
      <c r="L51" s="79">
        <f t="shared" si="53"/>
        <v>9.5117681384944558E-2</v>
      </c>
      <c r="M51" s="79">
        <f t="shared" si="53"/>
        <v>9.5117681384944558E-2</v>
      </c>
      <c r="N51" s="79">
        <f t="shared" si="53"/>
        <v>9.5117681384944558E-2</v>
      </c>
    </row>
    <row r="52" spans="2:19" outlineLevel="1">
      <c r="B52" s="25"/>
      <c r="C52" s="41"/>
      <c r="D52" s="41"/>
      <c r="E52" s="41"/>
      <c r="F52" s="41"/>
      <c r="G52" s="41"/>
      <c r="H52" s="41"/>
    </row>
    <row r="53" spans="2:19" outlineLevel="1">
      <c r="B53" s="3" t="s">
        <v>200</v>
      </c>
      <c r="C53" s="50"/>
      <c r="D53" s="50"/>
      <c r="E53" s="50"/>
      <c r="F53" s="37">
        <v>875500</v>
      </c>
      <c r="G53" s="37">
        <v>940800</v>
      </c>
      <c r="H53" s="37">
        <v>987000</v>
      </c>
      <c r="I53" s="73">
        <f>+H53*1.04</f>
        <v>1026480</v>
      </c>
      <c r="J53" s="73">
        <f t="shared" ref="J53:N53" si="54">+I53*1.04</f>
        <v>1067539.2</v>
      </c>
      <c r="K53" s="73">
        <f t="shared" si="54"/>
        <v>1110240.7679999999</v>
      </c>
      <c r="L53" s="73">
        <f t="shared" si="54"/>
        <v>1154650.3987199999</v>
      </c>
      <c r="M53" s="73">
        <f t="shared" si="54"/>
        <v>1200836.4146688001</v>
      </c>
      <c r="N53" s="73">
        <f t="shared" si="54"/>
        <v>1248869.8712555522</v>
      </c>
      <c r="O53" s="12"/>
      <c r="P53" s="12"/>
      <c r="Q53" s="12"/>
      <c r="R53" s="12"/>
      <c r="S53" s="12"/>
    </row>
    <row r="54" spans="2:19" outlineLevel="1">
      <c r="B54" s="25" t="s">
        <v>203</v>
      </c>
      <c r="C54" s="41"/>
      <c r="D54" s="41"/>
      <c r="E54" s="41"/>
      <c r="F54" s="80">
        <f>+F49/F53</f>
        <v>7.9348943460879496E-3</v>
      </c>
      <c r="G54" s="80">
        <f>+G49/G53</f>
        <v>5.5750425170068025E-3</v>
      </c>
      <c r="H54" s="80">
        <f>H49/H53</f>
        <v>5.2087132725430595E-3</v>
      </c>
      <c r="I54" s="88">
        <f t="shared" ref="I54:N54" si="55">INDEX(I55:I57,MATCH($C$5,$B$55:$B$57,0))</f>
        <v>5.0000000000000001E-3</v>
      </c>
      <c r="J54" s="88">
        <f t="shared" si="55"/>
        <v>5.0000000000000001E-3</v>
      </c>
      <c r="K54" s="88">
        <f t="shared" si="55"/>
        <v>5.0000000000000001E-3</v>
      </c>
      <c r="L54" s="88">
        <f t="shared" si="55"/>
        <v>5.0000000000000001E-3</v>
      </c>
      <c r="M54" s="88">
        <f t="shared" si="55"/>
        <v>5.0000000000000001E-3</v>
      </c>
      <c r="N54" s="88">
        <f t="shared" si="55"/>
        <v>5.0000000000000001E-3</v>
      </c>
    </row>
    <row r="55" spans="2:19" outlineLevel="1">
      <c r="B55" s="17" t="s">
        <v>182</v>
      </c>
      <c r="C55" s="40"/>
      <c r="D55" s="41"/>
      <c r="E55" s="41"/>
      <c r="F55" s="41"/>
      <c r="G55" s="41"/>
      <c r="H55" s="41"/>
      <c r="I55" s="42">
        <v>6.4999999999999997E-3</v>
      </c>
      <c r="J55" s="42">
        <f>+I55+0.0015</f>
        <v>8.0000000000000002E-3</v>
      </c>
      <c r="K55" s="42">
        <f t="shared" ref="K55:N55" si="56">+J55+0.0015</f>
        <v>9.4999999999999998E-3</v>
      </c>
      <c r="L55" s="42">
        <f t="shared" si="56"/>
        <v>1.0999999999999999E-2</v>
      </c>
      <c r="M55" s="42">
        <f t="shared" si="56"/>
        <v>1.2499999999999999E-2</v>
      </c>
      <c r="N55" s="42">
        <f t="shared" si="56"/>
        <v>1.3999999999999999E-2</v>
      </c>
    </row>
    <row r="56" spans="2:19" outlineLevel="1">
      <c r="B56" s="17" t="s">
        <v>183</v>
      </c>
      <c r="C56" s="40"/>
      <c r="D56" s="41"/>
      <c r="E56" s="41"/>
      <c r="F56" s="41"/>
      <c r="G56" s="41"/>
      <c r="H56" s="41"/>
      <c r="I56" s="42">
        <v>5.0000000000000001E-3</v>
      </c>
      <c r="J56" s="42">
        <v>5.0000000000000001E-3</v>
      </c>
      <c r="K56" s="42">
        <v>5.0000000000000001E-3</v>
      </c>
      <c r="L56" s="42">
        <v>5.0000000000000001E-3</v>
      </c>
      <c r="M56" s="42">
        <v>5.0000000000000001E-3</v>
      </c>
      <c r="N56" s="42">
        <v>5.0000000000000001E-3</v>
      </c>
    </row>
    <row r="57" spans="2:19" outlineLevel="1">
      <c r="B57" s="17" t="s">
        <v>184</v>
      </c>
      <c r="C57" s="40"/>
      <c r="D57" s="41"/>
      <c r="E57" s="41"/>
      <c r="F57" s="41"/>
      <c r="G57" s="41"/>
      <c r="H57" s="41"/>
      <c r="I57" s="42">
        <v>4.4999999999999997E-3</v>
      </c>
      <c r="J57" s="42">
        <f>+I57-0.0005</f>
        <v>4.0000000000000001E-3</v>
      </c>
      <c r="K57" s="42">
        <f t="shared" ref="K57:N57" si="57">+J57-0.0005</f>
        <v>3.5000000000000001E-3</v>
      </c>
      <c r="L57" s="42">
        <f t="shared" si="57"/>
        <v>3.0000000000000001E-3</v>
      </c>
      <c r="M57" s="42">
        <f t="shared" si="57"/>
        <v>2.5000000000000001E-3</v>
      </c>
      <c r="N57" s="42">
        <f t="shared" si="57"/>
        <v>2E-3</v>
      </c>
    </row>
    <row r="58" spans="2:19" ht="9.5500000000000007" customHeight="1" outlineLevel="1">
      <c r="B58" s="17"/>
      <c r="C58" s="40"/>
      <c r="D58" s="41"/>
      <c r="E58" s="41"/>
      <c r="F58" s="41"/>
      <c r="G58" s="41"/>
      <c r="H58" s="41"/>
      <c r="I58" s="172"/>
      <c r="J58" s="172"/>
      <c r="K58" s="172"/>
      <c r="L58" s="172"/>
      <c r="M58" s="172"/>
      <c r="N58" s="172"/>
    </row>
    <row r="59" spans="2:19" outlineLevel="1">
      <c r="B59" s="7" t="s">
        <v>57</v>
      </c>
      <c r="C59" s="37">
        <f>C32+C49</f>
        <v>13000</v>
      </c>
      <c r="D59" s="37">
        <f t="shared" ref="D59:H59" si="58">D32+D49</f>
        <v>11139</v>
      </c>
      <c r="E59" s="37">
        <f t="shared" si="58"/>
        <v>17455</v>
      </c>
      <c r="F59" s="37">
        <f t="shared" si="58"/>
        <v>31877</v>
      </c>
      <c r="G59" s="37">
        <f t="shared" si="58"/>
        <v>37281</v>
      </c>
      <c r="H59" s="37">
        <f t="shared" si="58"/>
        <v>43978</v>
      </c>
      <c r="I59" s="162">
        <f>I32+I49</f>
        <v>51284.154764999999</v>
      </c>
      <c r="J59" s="162">
        <f>J32+J49</f>
        <v>59705.616907039119</v>
      </c>
      <c r="K59" s="162">
        <f t="shared" ref="K59:N59" si="59">K32+K49</f>
        <v>68726.727933979477</v>
      </c>
      <c r="L59" s="162">
        <f t="shared" si="59"/>
        <v>78503.284412742709</v>
      </c>
      <c r="M59" s="162">
        <f t="shared" si="59"/>
        <v>88580.951756633396</v>
      </c>
      <c r="N59" s="162">
        <f t="shared" si="59"/>
        <v>99349.657174186548</v>
      </c>
    </row>
    <row r="60" spans="2:19" outlineLevel="1">
      <c r="B60" s="25" t="s">
        <v>180</v>
      </c>
      <c r="C60" s="173"/>
      <c r="D60" s="174">
        <f>(D59/C59)-1</f>
        <v>-0.14315384615384619</v>
      </c>
      <c r="E60" s="174">
        <f t="shared" ref="E60:N60" si="60">(E59/D59)-1</f>
        <v>0.56701678786246523</v>
      </c>
      <c r="F60" s="174">
        <f t="shared" si="60"/>
        <v>0.8262389000286452</v>
      </c>
      <c r="G60" s="174">
        <f t="shared" si="60"/>
        <v>0.16952661793769797</v>
      </c>
      <c r="H60" s="174">
        <f t="shared" si="60"/>
        <v>0.17963573938467325</v>
      </c>
      <c r="I60" s="174">
        <f>(I59/H59)-1</f>
        <v>0.16613203795079357</v>
      </c>
      <c r="J60" s="174">
        <f t="shared" si="60"/>
        <v>0.16421177614467641</v>
      </c>
      <c r="K60" s="174">
        <f t="shared" si="60"/>
        <v>0.15109317170252368</v>
      </c>
      <c r="L60" s="174">
        <f t="shared" si="60"/>
        <v>0.14225261077691376</v>
      </c>
      <c r="M60" s="174">
        <f t="shared" si="60"/>
        <v>0.12837255688444649</v>
      </c>
      <c r="N60" s="174">
        <f t="shared" si="60"/>
        <v>0.12156908685220502</v>
      </c>
    </row>
    <row r="61" spans="2:19" outlineLevel="1">
      <c r="B61" s="25"/>
      <c r="C61" s="45"/>
      <c r="D61" s="45"/>
      <c r="E61" s="45"/>
      <c r="F61" s="45"/>
      <c r="G61" s="51"/>
      <c r="H61" s="51"/>
    </row>
    <row r="62" spans="2:19">
      <c r="B62" s="4" t="s">
        <v>64</v>
      </c>
    </row>
    <row r="63" spans="2:19" outlineLevel="1">
      <c r="B63" s="32" t="s">
        <v>55</v>
      </c>
      <c r="C63" s="33" t="s">
        <v>9</v>
      </c>
      <c r="D63" s="34" t="s">
        <v>10</v>
      </c>
      <c r="E63" s="34" t="s">
        <v>11</v>
      </c>
      <c r="F63" s="33" t="s">
        <v>12</v>
      </c>
      <c r="G63" s="33" t="s">
        <v>13</v>
      </c>
      <c r="H63" s="176" t="s">
        <v>14</v>
      </c>
      <c r="I63" s="36" t="s">
        <v>15</v>
      </c>
      <c r="J63" s="36" t="s">
        <v>16</v>
      </c>
      <c r="K63" s="36" t="s">
        <v>17</v>
      </c>
      <c r="L63" s="36" t="s">
        <v>18</v>
      </c>
      <c r="M63" s="36" t="s">
        <v>19</v>
      </c>
      <c r="N63" s="36" t="s">
        <v>20</v>
      </c>
    </row>
    <row r="64" spans="2:19" outlineLevel="1">
      <c r="B64" s="26" t="s">
        <v>56</v>
      </c>
      <c r="C64" s="2">
        <v>43830</v>
      </c>
      <c r="D64" s="2">
        <v>44196</v>
      </c>
      <c r="E64" s="2">
        <v>44561</v>
      </c>
      <c r="F64" s="2">
        <v>44926</v>
      </c>
      <c r="G64" s="2">
        <v>45291</v>
      </c>
      <c r="H64" s="177">
        <v>45657</v>
      </c>
      <c r="I64" s="26"/>
      <c r="J64" s="26"/>
      <c r="K64" s="26"/>
      <c r="L64" s="26"/>
      <c r="M64" s="26"/>
      <c r="N64" s="26"/>
    </row>
    <row r="65" spans="2:24" outlineLevel="1">
      <c r="H65" s="178"/>
    </row>
    <row r="66" spans="2:24" outlineLevel="1">
      <c r="B66" s="5" t="s">
        <v>67</v>
      </c>
      <c r="C66" s="45">
        <v>9288</v>
      </c>
      <c r="D66" s="45">
        <v>6089</v>
      </c>
      <c r="E66" s="45">
        <v>6953</v>
      </c>
      <c r="F66" s="45">
        <v>14029</v>
      </c>
      <c r="G66" s="45">
        <v>19832</v>
      </c>
      <c r="H66" s="179">
        <v>25087</v>
      </c>
      <c r="I66" s="74">
        <f t="shared" ref="I66:N66" si="61">I38</f>
        <v>29812.011015</v>
      </c>
      <c r="J66" s="74">
        <f t="shared" si="61"/>
        <v>35119.294275945365</v>
      </c>
      <c r="K66" s="74">
        <f t="shared" si="61"/>
        <v>40808.619948648535</v>
      </c>
      <c r="L66" s="74">
        <f t="shared" si="61"/>
        <v>46980.413608132272</v>
      </c>
      <c r="M66" s="74">
        <f t="shared" si="61"/>
        <v>53340.974355503284</v>
      </c>
      <c r="N66" s="74">
        <f t="shared" si="61"/>
        <v>60141.948585829952</v>
      </c>
    </row>
    <row r="67" spans="2:24" outlineLevel="1">
      <c r="B67" s="5" t="s">
        <v>68</v>
      </c>
      <c r="C67" s="45">
        <v>772</v>
      </c>
      <c r="D67" s="45">
        <v>3904</v>
      </c>
      <c r="E67" s="45">
        <v>8362</v>
      </c>
      <c r="F67" s="45">
        <v>10901</v>
      </c>
      <c r="G67" s="45">
        <v>12204</v>
      </c>
      <c r="H67" s="179">
        <v>13750</v>
      </c>
      <c r="I67" s="74">
        <f t="shared" ref="I67:N67" si="62">I42</f>
        <v>16339.74375</v>
      </c>
      <c r="J67" s="74">
        <f t="shared" si="62"/>
        <v>19248.626631093746</v>
      </c>
      <c r="K67" s="74">
        <f t="shared" si="62"/>
        <v>22366.90414533094</v>
      </c>
      <c r="L67" s="74">
        <f t="shared" si="62"/>
        <v>25749.618811010434</v>
      </c>
      <c r="M67" s="74">
        <f t="shared" si="62"/>
        <v>29235.795327786112</v>
      </c>
      <c r="N67" s="74">
        <f t="shared" si="62"/>
        <v>32963.359232078838</v>
      </c>
    </row>
    <row r="68" spans="2:24" outlineLevel="1">
      <c r="B68" s="6" t="s">
        <v>69</v>
      </c>
      <c r="C68" s="52">
        <v>356</v>
      </c>
      <c r="D68" s="52">
        <v>1011</v>
      </c>
      <c r="E68" s="52">
        <v>2132</v>
      </c>
      <c r="F68" s="52">
        <v>6947</v>
      </c>
      <c r="G68" s="52">
        <v>5245</v>
      </c>
      <c r="H68" s="180">
        <v>5141</v>
      </c>
      <c r="I68" s="208">
        <f>I49</f>
        <v>5132.4000000000005</v>
      </c>
      <c r="J68" s="208">
        <f t="shared" ref="J68:N68" si="63">J49</f>
        <v>5337.6959999999999</v>
      </c>
      <c r="K68" s="208">
        <f t="shared" si="63"/>
        <v>5551.2038400000001</v>
      </c>
      <c r="L68" s="208">
        <f t="shared" si="63"/>
        <v>5773.2519935999999</v>
      </c>
      <c r="M68" s="208">
        <f t="shared" si="63"/>
        <v>6004.1820733440009</v>
      </c>
      <c r="N68" s="208">
        <f t="shared" si="63"/>
        <v>6244.3493562777612</v>
      </c>
    </row>
    <row r="69" spans="2:24" outlineLevel="1">
      <c r="B69" s="4" t="s">
        <v>21</v>
      </c>
      <c r="C69" s="37">
        <v>13000</v>
      </c>
      <c r="D69" s="37">
        <v>11139</v>
      </c>
      <c r="E69" s="37">
        <v>17455</v>
      </c>
      <c r="F69" s="37">
        <v>31877</v>
      </c>
      <c r="G69" s="37">
        <v>37281</v>
      </c>
      <c r="H69" s="181">
        <v>43978</v>
      </c>
      <c r="I69" s="73">
        <f>SUM(I66:I68)</f>
        <v>51284.154764999999</v>
      </c>
      <c r="J69" s="73">
        <f t="shared" ref="J69:N69" si="64">SUM(J66:J68)</f>
        <v>59705.616907039104</v>
      </c>
      <c r="K69" s="73">
        <f t="shared" si="64"/>
        <v>68726.727933979477</v>
      </c>
      <c r="L69" s="73">
        <f t="shared" si="64"/>
        <v>78503.284412742709</v>
      </c>
      <c r="M69" s="73">
        <f t="shared" si="64"/>
        <v>88580.951756633396</v>
      </c>
      <c r="N69" s="73">
        <f t="shared" si="64"/>
        <v>99349.657174186548</v>
      </c>
    </row>
    <row r="70" spans="2:24" outlineLevel="1">
      <c r="B70" s="4"/>
      <c r="C70" s="37"/>
      <c r="D70" s="37"/>
      <c r="E70" s="37"/>
      <c r="F70" s="37"/>
      <c r="G70" s="37"/>
      <c r="H70" s="181"/>
      <c r="I70" s="12"/>
      <c r="J70" s="12"/>
      <c r="K70" s="12"/>
      <c r="L70" s="12"/>
      <c r="M70" s="12"/>
      <c r="N70" s="12"/>
    </row>
    <row r="71" spans="2:24" outlineLevel="1">
      <c r="B71" s="3" t="s">
        <v>195</v>
      </c>
      <c r="C71" s="37"/>
      <c r="D71" s="37"/>
      <c r="E71" s="37"/>
      <c r="F71" s="45">
        <v>-3090</v>
      </c>
      <c r="G71" s="45">
        <v>-5130</v>
      </c>
      <c r="H71" s="179">
        <v>-6884</v>
      </c>
      <c r="I71" s="74">
        <f t="shared" ref="I71:N71" si="65">+I39</f>
        <v>-8180.5669800000005</v>
      </c>
      <c r="J71" s="74">
        <f t="shared" si="65"/>
        <v>-9636.9124166144975</v>
      </c>
      <c r="K71" s="74">
        <f t="shared" si="65"/>
        <v>-11198.092228106052</v>
      </c>
      <c r="L71" s="74">
        <f t="shared" si="65"/>
        <v>-12891.663701454243</v>
      </c>
      <c r="M71" s="74">
        <f t="shared" si="65"/>
        <v>-14637.033820834878</v>
      </c>
      <c r="N71" s="74">
        <f t="shared" si="65"/>
        <v>-16503.255632991328</v>
      </c>
    </row>
    <row r="72" spans="2:24" outlineLevel="1">
      <c r="B72" s="3" t="s">
        <v>196</v>
      </c>
      <c r="C72" s="37"/>
      <c r="D72" s="37"/>
      <c r="E72" s="37"/>
      <c r="F72" s="45">
        <v>-4788</v>
      </c>
      <c r="G72" s="45">
        <v>-5329</v>
      </c>
      <c r="H72" s="179">
        <v>-5591</v>
      </c>
      <c r="I72" s="74">
        <f t="shared" ref="I72:N72" si="66">+I43</f>
        <v>-6644.0368949999993</v>
      </c>
      <c r="J72" s="74">
        <f t="shared" si="66"/>
        <v>-7826.8415632323722</v>
      </c>
      <c r="K72" s="74">
        <f t="shared" si="66"/>
        <v>-9094.7898964760188</v>
      </c>
      <c r="L72" s="74">
        <f t="shared" si="66"/>
        <v>-10470.263183444315</v>
      </c>
      <c r="M72" s="74">
        <f t="shared" si="66"/>
        <v>-11887.805940192882</v>
      </c>
      <c r="N72" s="74">
        <f t="shared" si="66"/>
        <v>-13403.501197567473</v>
      </c>
    </row>
    <row r="73" spans="2:24" outlineLevel="1">
      <c r="B73" s="3" t="s">
        <v>197</v>
      </c>
      <c r="C73" s="45"/>
      <c r="D73" s="45"/>
      <c r="E73" s="45"/>
      <c r="F73" s="45">
        <v>-6300</v>
      </c>
      <c r="G73" s="45">
        <v>-4714</v>
      </c>
      <c r="H73" s="179">
        <v>-4652</v>
      </c>
      <c r="I73" s="74">
        <f t="shared" ref="I73:N73" si="67">+I50</f>
        <v>-4644.2180120599105</v>
      </c>
      <c r="J73" s="74">
        <f t="shared" si="67"/>
        <v>-4829.9867325423065</v>
      </c>
      <c r="K73" s="74">
        <f t="shared" si="67"/>
        <v>-5023.1862018439988</v>
      </c>
      <c r="L73" s="74">
        <f t="shared" si="67"/>
        <v>-5224.1136499177592</v>
      </c>
      <c r="M73" s="74">
        <f t="shared" si="67"/>
        <v>-5433.0781959144706</v>
      </c>
      <c r="N73" s="74">
        <f t="shared" si="67"/>
        <v>-5650.4013237510489</v>
      </c>
    </row>
    <row r="74" spans="2:24" outlineLevel="1">
      <c r="B74" s="53" t="s">
        <v>193</v>
      </c>
      <c r="C74" s="52"/>
      <c r="D74" s="52"/>
      <c r="E74" s="52"/>
      <c r="F74" s="52">
        <v>-5481</v>
      </c>
      <c r="G74" s="52">
        <v>-7284</v>
      </c>
      <c r="H74" s="180">
        <v>-9524</v>
      </c>
      <c r="I74" s="208">
        <f t="shared" ref="I74:N74" si="68">+I46</f>
        <v>-11317.797780000001</v>
      </c>
      <c r="J74" s="208">
        <f t="shared" si="68"/>
        <v>-13332.648729784498</v>
      </c>
      <c r="K74" s="208">
        <f t="shared" si="68"/>
        <v>-15492.537824009592</v>
      </c>
      <c r="L74" s="208">
        <f t="shared" si="68"/>
        <v>-17835.590513168245</v>
      </c>
      <c r="M74" s="208">
        <f t="shared" si="68"/>
        <v>-20250.306523769814</v>
      </c>
      <c r="N74" s="208">
        <f t="shared" si="68"/>
        <v>-22832.220605550465</v>
      </c>
    </row>
    <row r="75" spans="2:24" outlineLevel="1">
      <c r="B75" s="4" t="s">
        <v>198</v>
      </c>
      <c r="C75" s="37">
        <v>-6061</v>
      </c>
      <c r="D75" s="37">
        <v>-5154</v>
      </c>
      <c r="E75" s="37">
        <v>-9351</v>
      </c>
      <c r="F75" s="37">
        <v>-19659</v>
      </c>
      <c r="G75" s="37">
        <v>-22457</v>
      </c>
      <c r="H75" s="181">
        <v>-26651</v>
      </c>
      <c r="I75" s="73">
        <f t="shared" ref="I75:N75" ca="1" si="69">-I69*I100</f>
        <v>-31078.584943426598</v>
      </c>
      <c r="J75" s="73">
        <f t="shared" ca="1" si="69"/>
        <v>-36182.054577049865</v>
      </c>
      <c r="K75" s="73">
        <f t="shared" ca="1" si="69"/>
        <v>-41648.915961810155</v>
      </c>
      <c r="L75" s="73">
        <f t="shared" ca="1" si="69"/>
        <v>-47573.582993405929</v>
      </c>
      <c r="M75" s="73">
        <f t="shared" ca="1" si="69"/>
        <v>-53680.725482423863</v>
      </c>
      <c r="N75" s="73">
        <f t="shared" ca="1" si="69"/>
        <v>-60206.642260886016</v>
      </c>
    </row>
    <row r="76" spans="2:24" outlineLevel="1">
      <c r="B76" s="4"/>
      <c r="C76" s="37"/>
      <c r="D76" s="37"/>
      <c r="E76" s="37"/>
      <c r="F76" s="37"/>
      <c r="G76" s="37"/>
      <c r="H76" s="181"/>
      <c r="I76" s="12"/>
      <c r="J76" s="12"/>
      <c r="K76" s="12"/>
      <c r="L76" s="12"/>
      <c r="M76" s="12"/>
      <c r="N76" s="12"/>
    </row>
    <row r="77" spans="2:24" outlineLevel="1">
      <c r="B77" s="4" t="s">
        <v>59</v>
      </c>
      <c r="C77" s="73">
        <f t="shared" ref="C77:N77" si="70">C69+C75</f>
        <v>6939</v>
      </c>
      <c r="D77" s="73">
        <f t="shared" si="70"/>
        <v>5985</v>
      </c>
      <c r="E77" s="73">
        <f t="shared" si="70"/>
        <v>8104</v>
      </c>
      <c r="F77" s="73">
        <f t="shared" si="70"/>
        <v>12218</v>
      </c>
      <c r="G77" s="73">
        <f t="shared" si="70"/>
        <v>14824</v>
      </c>
      <c r="H77" s="182">
        <f t="shared" si="70"/>
        <v>17327</v>
      </c>
      <c r="I77" s="73">
        <f t="shared" ca="1" si="70"/>
        <v>20205.569821573401</v>
      </c>
      <c r="J77" s="73">
        <f t="shared" ca="1" si="70"/>
        <v>23523.56232998924</v>
      </c>
      <c r="K77" s="73">
        <f t="shared" ca="1" si="70"/>
        <v>27077.811972169322</v>
      </c>
      <c r="L77" s="73">
        <f t="shared" ca="1" si="70"/>
        <v>30929.70141933678</v>
      </c>
      <c r="M77" s="73">
        <f t="shared" ca="1" si="70"/>
        <v>34900.226274209534</v>
      </c>
      <c r="N77" s="73">
        <f t="shared" ca="1" si="70"/>
        <v>39143.014913300532</v>
      </c>
    </row>
    <row r="78" spans="2:24" outlineLevel="1">
      <c r="B78" s="3" t="s">
        <v>58</v>
      </c>
      <c r="C78" s="45">
        <v>-7925</v>
      </c>
      <c r="D78" s="45">
        <v>-6249</v>
      </c>
      <c r="E78" s="45">
        <v>-7105</v>
      </c>
      <c r="F78" s="45">
        <v>-7892</v>
      </c>
      <c r="G78" s="45">
        <v>-7038</v>
      </c>
      <c r="H78" s="179">
        <v>-7976</v>
      </c>
      <c r="I78" s="44">
        <f t="shared" ref="I78:N78" si="71">-I69*I101</f>
        <v>-9044.6483608705294</v>
      </c>
      <c r="J78" s="44">
        <f t="shared" si="71"/>
        <v>-10231.358048277916</v>
      </c>
      <c r="K78" s="44">
        <f t="shared" si="71"/>
        <v>-11433.612746946474</v>
      </c>
      <c r="L78" s="44">
        <f t="shared" si="71"/>
        <v>-12667.557588748095</v>
      </c>
      <c r="M78" s="44">
        <f t="shared" si="71"/>
        <v>-13850.819587113494</v>
      </c>
      <c r="N78" s="44">
        <f t="shared" si="71"/>
        <v>-15037.902790602584</v>
      </c>
      <c r="P78" s="8"/>
      <c r="Q78" s="8"/>
      <c r="R78" s="8"/>
      <c r="S78" s="8"/>
      <c r="T78" s="8"/>
      <c r="U78" s="8"/>
      <c r="V78" s="8"/>
      <c r="W78" s="8"/>
      <c r="X78" s="8"/>
    </row>
    <row r="79" spans="2:24" ht="16.3" customHeight="1" outlineLevel="1">
      <c r="B79" s="3" t="s">
        <v>22</v>
      </c>
      <c r="C79" s="45">
        <v>-2302</v>
      </c>
      <c r="D79" s="45">
        <v>-1819</v>
      </c>
      <c r="E79" s="45">
        <v>-1877</v>
      </c>
      <c r="F79" s="45">
        <v>-2413</v>
      </c>
      <c r="G79" s="45">
        <v>-2689</v>
      </c>
      <c r="H79" s="179">
        <v>-2732</v>
      </c>
      <c r="I79" s="44">
        <f t="shared" ref="I79:N79" si="72">-I69*I102</f>
        <v>-3057.6623407690681</v>
      </c>
      <c r="J79" s="44">
        <f t="shared" si="72"/>
        <v>-3410.5024623298468</v>
      </c>
      <c r="K79" s="44">
        <f t="shared" si="72"/>
        <v>-3753.9892766275821</v>
      </c>
      <c r="L79" s="44">
        <f t="shared" si="72"/>
        <v>-4091.7458410245367</v>
      </c>
      <c r="M79" s="44">
        <f t="shared" si="72"/>
        <v>-4395.5613373665719</v>
      </c>
      <c r="N79" s="44">
        <f t="shared" si="72"/>
        <v>-4681.5515724176166</v>
      </c>
      <c r="P79" s="8"/>
      <c r="Q79" s="8"/>
      <c r="R79" s="8"/>
      <c r="S79" s="8"/>
      <c r="T79" s="8"/>
      <c r="U79" s="8"/>
      <c r="V79" s="8"/>
      <c r="W79" s="8"/>
      <c r="X79" s="8"/>
    </row>
    <row r="80" spans="2:24" outlineLevel="1">
      <c r="B80" s="3" t="s">
        <v>23</v>
      </c>
      <c r="C80" s="45">
        <v>-4836</v>
      </c>
      <c r="D80" s="45">
        <v>-2205</v>
      </c>
      <c r="E80" s="45">
        <v>-2054</v>
      </c>
      <c r="F80" s="45">
        <v>-2798</v>
      </c>
      <c r="G80" s="45">
        <v>-3164</v>
      </c>
      <c r="H80" s="179">
        <v>-3109</v>
      </c>
      <c r="I80" s="44">
        <f t="shared" ref="I80:N80" si="73">-I69*I103</f>
        <v>-3497.2941190765168</v>
      </c>
      <c r="J80" s="44">
        <f t="shared" si="73"/>
        <v>-3922.3269558028042</v>
      </c>
      <c r="K80" s="44">
        <f t="shared" si="73"/>
        <v>-4343.1469561744061</v>
      </c>
      <c r="L80" s="44">
        <f t="shared" si="73"/>
        <v>-4764.7127386461652</v>
      </c>
      <c r="M80" s="44">
        <f t="shared" si="73"/>
        <v>-5154.9187163344832</v>
      </c>
      <c r="N80" s="44">
        <f t="shared" si="73"/>
        <v>-5533.2233345411405</v>
      </c>
      <c r="P80" s="8"/>
      <c r="Q80" s="8"/>
      <c r="R80" s="8"/>
      <c r="S80" s="8"/>
      <c r="T80" s="8"/>
      <c r="U80" s="8"/>
      <c r="V80" s="8"/>
      <c r="W80" s="8"/>
      <c r="X80" s="8"/>
    </row>
    <row r="81" spans="2:24" outlineLevel="1">
      <c r="B81" s="26" t="s">
        <v>24</v>
      </c>
      <c r="C81" s="54">
        <v>-472</v>
      </c>
      <c r="D81" s="54">
        <v>-575</v>
      </c>
      <c r="E81" s="54">
        <v>-902</v>
      </c>
      <c r="F81" s="54">
        <v>-947</v>
      </c>
      <c r="G81" s="54">
        <v>-823</v>
      </c>
      <c r="H81" s="183">
        <v>-711</v>
      </c>
      <c r="I81" s="161">
        <f>Model!I201</f>
        <v>-1209.3255419002644</v>
      </c>
      <c r="J81" s="161">
        <f>Model!J201</f>
        <v>-1439.9511433209918</v>
      </c>
      <c r="K81" s="161">
        <f>Model!K201</f>
        <v>-1548.1410839256264</v>
      </c>
      <c r="L81" s="161">
        <f>Model!L201</f>
        <v>-1552.2042247342627</v>
      </c>
      <c r="M81" s="161">
        <f>Model!M201</f>
        <v>-1649.8372891664851</v>
      </c>
      <c r="N81" s="161">
        <f>Model!N201</f>
        <v>-1833.362778015028</v>
      </c>
      <c r="P81" s="8"/>
      <c r="Q81" s="8"/>
      <c r="R81" s="8"/>
      <c r="S81" s="8"/>
      <c r="T81" s="8"/>
      <c r="U81" s="8"/>
      <c r="V81" s="8"/>
      <c r="W81" s="8"/>
      <c r="X81" s="8"/>
    </row>
    <row r="82" spans="2:24" outlineLevel="1">
      <c r="B82" s="55" t="s">
        <v>60</v>
      </c>
      <c r="C82" s="81">
        <f>SUM(C77:C81)</f>
        <v>-8596</v>
      </c>
      <c r="D82" s="81">
        <f t="shared" ref="D82:H82" si="74">SUM(D77:D81)</f>
        <v>-4863</v>
      </c>
      <c r="E82" s="81">
        <f t="shared" si="74"/>
        <v>-3834</v>
      </c>
      <c r="F82" s="81">
        <f t="shared" si="74"/>
        <v>-1832</v>
      </c>
      <c r="G82" s="81">
        <f t="shared" si="74"/>
        <v>1110</v>
      </c>
      <c r="H82" s="184">
        <f t="shared" si="74"/>
        <v>2799</v>
      </c>
      <c r="I82" s="209">
        <f t="shared" ref="I82:N82" ca="1" si="75">SUM(I77:I81)</f>
        <v>3396.6394589570227</v>
      </c>
      <c r="J82" s="209">
        <f t="shared" ca="1" si="75"/>
        <v>4519.4237202576805</v>
      </c>
      <c r="K82" s="209">
        <f t="shared" ca="1" si="75"/>
        <v>5998.9219084952329</v>
      </c>
      <c r="L82" s="209">
        <f t="shared" ca="1" si="75"/>
        <v>7853.4810261837201</v>
      </c>
      <c r="M82" s="209">
        <f t="shared" ca="1" si="75"/>
        <v>9849.089344228496</v>
      </c>
      <c r="N82" s="209">
        <f t="shared" ca="1" si="75"/>
        <v>12056.974437724162</v>
      </c>
    </row>
    <row r="83" spans="2:24" outlineLevel="1">
      <c r="B83" s="3" t="s">
        <v>25</v>
      </c>
      <c r="C83" s="45">
        <v>-559</v>
      </c>
      <c r="D83" s="45">
        <v>-458</v>
      </c>
      <c r="E83" s="45">
        <v>-483</v>
      </c>
      <c r="F83" s="45">
        <v>-565</v>
      </c>
      <c r="G83" s="45">
        <v>-633</v>
      </c>
      <c r="H83" s="179">
        <v>-523</v>
      </c>
      <c r="I83" s="44">
        <f ca="1">Model!I290</f>
        <v>-382.92500000000001</v>
      </c>
      <c r="J83" s="44">
        <f ca="1">Model!J290</f>
        <v>-336.23750000000001</v>
      </c>
      <c r="K83" s="44">
        <f ca="1">Model!K290</f>
        <v>-291.78828125000001</v>
      </c>
      <c r="L83" s="44">
        <f ca="1">Model!L290</f>
        <v>-291.78829101562502</v>
      </c>
      <c r="M83" s="44">
        <f ca="1">Model!M290</f>
        <v>-272.81329113769533</v>
      </c>
      <c r="N83" s="44">
        <f ca="1">Model!N290</f>
        <v>-202.31329113922118</v>
      </c>
    </row>
    <row r="84" spans="2:24" outlineLevel="1">
      <c r="B84" s="26" t="s">
        <v>61</v>
      </c>
      <c r="C84" s="54">
        <v>722</v>
      </c>
      <c r="D84" s="54">
        <v>-1625</v>
      </c>
      <c r="E84" s="54">
        <v>3292</v>
      </c>
      <c r="F84" s="54">
        <v>-7029</v>
      </c>
      <c r="G84" s="54">
        <v>1844</v>
      </c>
      <c r="H84" s="183">
        <v>1849</v>
      </c>
      <c r="I84" s="161">
        <f ca="1">Model!I289</f>
        <v>892.74517149836856</v>
      </c>
      <c r="J84" s="161">
        <f ca="1">Model!J289</f>
        <v>963.30338578811381</v>
      </c>
      <c r="K84" s="161">
        <f ca="1">Model!K289</f>
        <v>1129.4740391260282</v>
      </c>
      <c r="L84" s="161">
        <f ca="1">Model!L289</f>
        <v>1388.9219805568393</v>
      </c>
      <c r="M84" s="161">
        <f ca="1">Model!M289</f>
        <v>1565.8510226662322</v>
      </c>
      <c r="N84" s="161">
        <f ca="1">Model!N289</f>
        <v>1966.3913418779023</v>
      </c>
    </row>
    <row r="85" spans="2:24" ht="15.65" customHeight="1" outlineLevel="1">
      <c r="B85" s="4" t="s">
        <v>62</v>
      </c>
      <c r="C85" s="73">
        <f>C82+C83+C84</f>
        <v>-8433</v>
      </c>
      <c r="D85" s="73">
        <f t="shared" ref="D85:H85" si="76">D82+D83+D84</f>
        <v>-6946</v>
      </c>
      <c r="E85" s="73">
        <f t="shared" si="76"/>
        <v>-1025</v>
      </c>
      <c r="F85" s="73">
        <f t="shared" si="76"/>
        <v>-9426</v>
      </c>
      <c r="G85" s="73">
        <f t="shared" si="76"/>
        <v>2321</v>
      </c>
      <c r="H85" s="182">
        <f t="shared" si="76"/>
        <v>4125</v>
      </c>
      <c r="I85" s="162">
        <f t="shared" ref="I85:N85" ca="1" si="77">I82+I83+I84</f>
        <v>3906.4596304553911</v>
      </c>
      <c r="J85" s="162">
        <f t="shared" ca="1" si="77"/>
        <v>5146.4896060457941</v>
      </c>
      <c r="K85" s="162">
        <f t="shared" ca="1" si="77"/>
        <v>6836.6076663712611</v>
      </c>
      <c r="L85" s="162">
        <f t="shared" ca="1" si="77"/>
        <v>8950.6147157249343</v>
      </c>
      <c r="M85" s="162">
        <f t="shared" ca="1" si="77"/>
        <v>11142.127075757033</v>
      </c>
      <c r="N85" s="162">
        <f t="shared" ca="1" si="77"/>
        <v>13821.052488462845</v>
      </c>
      <c r="O85" s="56"/>
    </row>
    <row r="86" spans="2:24" outlineLevel="1">
      <c r="B86" s="3" t="s">
        <v>26</v>
      </c>
      <c r="C86" s="45">
        <v>45</v>
      </c>
      <c r="D86" s="45">
        <v>-192</v>
      </c>
      <c r="E86" s="45">
        <v>-492</v>
      </c>
      <c r="F86" s="45">
        <v>-181</v>
      </c>
      <c r="G86" s="45">
        <v>213</v>
      </c>
      <c r="H86" s="179">
        <v>-5758</v>
      </c>
      <c r="I86" s="44">
        <f ca="1">-Model!I355</f>
        <v>0</v>
      </c>
      <c r="J86" s="44">
        <f ca="1">-Model!J355</f>
        <v>994.12933966524872</v>
      </c>
      <c r="K86" s="44">
        <f ca="1">-Model!K355</f>
        <v>1435.6876099379647</v>
      </c>
      <c r="L86" s="44">
        <f ca="1">-Model!L355</f>
        <v>1879.6290903022361</v>
      </c>
      <c r="M86" s="44">
        <f ca="1">-Model!M355</f>
        <v>2339.8466859089767</v>
      </c>
      <c r="N86" s="44">
        <f ca="1">-Model!N355</f>
        <v>2902.4210225771972</v>
      </c>
    </row>
    <row r="87" spans="2:24" outlineLevel="1">
      <c r="B87" s="3" t="s">
        <v>27</v>
      </c>
      <c r="C87" s="45">
        <v>-34</v>
      </c>
      <c r="D87" s="45">
        <v>-34</v>
      </c>
      <c r="E87" s="45">
        <v>-37</v>
      </c>
      <c r="F87" s="45">
        <v>107</v>
      </c>
      <c r="G87" s="45">
        <v>48</v>
      </c>
      <c r="H87" s="179">
        <v>-38</v>
      </c>
      <c r="I87" s="44">
        <f>AVERAGE($C$87:H87)</f>
        <v>2</v>
      </c>
      <c r="J87" s="44">
        <f>AVERAGE($C$87:I87)</f>
        <v>2</v>
      </c>
      <c r="K87" s="44">
        <f>AVERAGE($C$87:J87)</f>
        <v>2</v>
      </c>
      <c r="L87" s="44">
        <f>AVERAGE($C$87:K87)</f>
        <v>2</v>
      </c>
      <c r="M87" s="44">
        <f>AVERAGE($C$87:L87)</f>
        <v>2</v>
      </c>
      <c r="N87" s="44">
        <f>AVERAGE($C$87:M87)</f>
        <v>2</v>
      </c>
      <c r="O87" s="66" t="s">
        <v>118</v>
      </c>
    </row>
    <row r="88" spans="2:24" outlineLevel="1">
      <c r="B88" s="26" t="s">
        <v>76</v>
      </c>
      <c r="C88" s="54">
        <v>-6</v>
      </c>
      <c r="D88" s="54">
        <v>-20</v>
      </c>
      <c r="E88" s="54">
        <v>-74</v>
      </c>
      <c r="F88" s="54">
        <v>3</v>
      </c>
      <c r="G88" s="54">
        <v>269</v>
      </c>
      <c r="H88" s="183">
        <v>-11</v>
      </c>
      <c r="I88" s="161">
        <f>AVERAGE($C$88:$H$88)</f>
        <v>26.833333333333332</v>
      </c>
      <c r="J88" s="161">
        <f t="shared" ref="J88:N88" si="78">AVERAGE($C$88:$H$88)</f>
        <v>26.833333333333332</v>
      </c>
      <c r="K88" s="161">
        <f t="shared" si="78"/>
        <v>26.833333333333332</v>
      </c>
      <c r="L88" s="161">
        <f t="shared" si="78"/>
        <v>26.833333333333332</v>
      </c>
      <c r="M88" s="161">
        <f t="shared" si="78"/>
        <v>26.833333333333332</v>
      </c>
      <c r="N88" s="161">
        <f t="shared" si="78"/>
        <v>26.833333333333332</v>
      </c>
    </row>
    <row r="89" spans="2:24" outlineLevel="1">
      <c r="B89" s="7" t="s">
        <v>63</v>
      </c>
      <c r="C89" s="73">
        <f>C85-C86+C87-C88</f>
        <v>-8506</v>
      </c>
      <c r="D89" s="73">
        <f t="shared" ref="D89:G89" si="79">D85-D86+D87-D88</f>
        <v>-6768</v>
      </c>
      <c r="E89" s="73">
        <f t="shared" si="79"/>
        <v>-496</v>
      </c>
      <c r="F89" s="73">
        <f t="shared" si="79"/>
        <v>-9141</v>
      </c>
      <c r="G89" s="73">
        <f t="shared" si="79"/>
        <v>1887</v>
      </c>
      <c r="H89" s="182">
        <f t="shared" ref="H89:N89" si="80">H85-H86+H87-H88</f>
        <v>9856</v>
      </c>
      <c r="I89" s="162">
        <f t="shared" ca="1" si="80"/>
        <v>3881.6262971220576</v>
      </c>
      <c r="J89" s="162">
        <f t="shared" ca="1" si="80"/>
        <v>4127.526933047212</v>
      </c>
      <c r="K89" s="162">
        <f t="shared" ca="1" si="80"/>
        <v>5376.0867230999638</v>
      </c>
      <c r="L89" s="162">
        <f t="shared" ca="1" si="80"/>
        <v>7046.1522920893649</v>
      </c>
      <c r="M89" s="162">
        <f t="shared" ca="1" si="80"/>
        <v>8777.4470565147221</v>
      </c>
      <c r="N89" s="162">
        <f t="shared" ca="1" si="80"/>
        <v>10893.798132552314</v>
      </c>
    </row>
    <row r="90" spans="2:24" outlineLevel="1">
      <c r="B90" s="3" t="s">
        <v>65</v>
      </c>
      <c r="C90" s="206">
        <f>C89/C91</f>
        <v>-6.8137778336736483</v>
      </c>
      <c r="D90" s="206">
        <f t="shared" ref="D90:H90" si="81">D89/D91</f>
        <v>-3.8608981380065717</v>
      </c>
      <c r="E90" s="206">
        <f t="shared" si="81"/>
        <v>-0.26208081600130195</v>
      </c>
      <c r="F90" s="206">
        <f t="shared" si="81"/>
        <v>-4.6350876285601714</v>
      </c>
      <c r="G90" s="206">
        <f t="shared" si="81"/>
        <v>0.92697618599651899</v>
      </c>
      <c r="H90" s="206">
        <f t="shared" si="81"/>
        <v>4.7054285253236658</v>
      </c>
      <c r="I90" s="206">
        <f t="shared" ref="I90:N90" ca="1" si="82">I89/I91</f>
        <v>1.8334016349356488</v>
      </c>
      <c r="J90" s="206">
        <f t="shared" ca="1" si="82"/>
        <v>1.920626366433186</v>
      </c>
      <c r="K90" s="206">
        <f t="shared" ca="1" si="82"/>
        <v>2.4638894270306708</v>
      </c>
      <c r="L90" s="206">
        <f t="shared" ca="1" si="82"/>
        <v>3.1806251359838091</v>
      </c>
      <c r="M90" s="206">
        <f t="shared" ca="1" si="82"/>
        <v>3.8983653785250345</v>
      </c>
      <c r="N90" s="206">
        <f t="shared" ca="1" si="82"/>
        <v>4.7343452872708163</v>
      </c>
    </row>
    <row r="91" spans="2:24" outlineLevel="1">
      <c r="B91" s="3" t="s">
        <v>66</v>
      </c>
      <c r="C91" s="45">
        <v>1248.3530000000001</v>
      </c>
      <c r="D91" s="45">
        <v>1752.96</v>
      </c>
      <c r="E91" s="45">
        <v>1892.546</v>
      </c>
      <c r="F91" s="45">
        <v>1972.1310000000001</v>
      </c>
      <c r="G91" s="45">
        <v>2035.6510000000001</v>
      </c>
      <c r="H91" s="179">
        <v>2094.6019999999999</v>
      </c>
      <c r="I91" s="44">
        <f>Model!I255</f>
        <v>2117.1718313965071</v>
      </c>
      <c r="J91" s="44">
        <f>Model!J255</f>
        <v>2149.0525201486653</v>
      </c>
      <c r="K91" s="44">
        <f>Model!K255</f>
        <v>2181.9512938041603</v>
      </c>
      <c r="L91" s="44">
        <f>Model!L255</f>
        <v>2215.3356622800811</v>
      </c>
      <c r="M91" s="44">
        <f>Model!M255</f>
        <v>2251.5711597653558</v>
      </c>
      <c r="N91" s="44">
        <f>Model!N255</f>
        <v>2301.0147066886634</v>
      </c>
    </row>
    <row r="92" spans="2:24" outlineLevel="1">
      <c r="H92" s="178"/>
      <c r="R92" s="48"/>
    </row>
    <row r="93" spans="2:24" outlineLevel="1">
      <c r="B93" s="3" t="s">
        <v>137</v>
      </c>
      <c r="C93" s="74">
        <f>C82-C81</f>
        <v>-8124</v>
      </c>
      <c r="D93" s="74">
        <f t="shared" ref="D93:H93" si="83">D82-D81</f>
        <v>-4288</v>
      </c>
      <c r="E93" s="74">
        <f t="shared" si="83"/>
        <v>-2932</v>
      </c>
      <c r="F93" s="74">
        <f t="shared" si="83"/>
        <v>-885</v>
      </c>
      <c r="G93" s="74">
        <f t="shared" si="83"/>
        <v>1933</v>
      </c>
      <c r="H93" s="185">
        <f t="shared" si="83"/>
        <v>3510</v>
      </c>
      <c r="I93" s="74">
        <f t="shared" ref="I93:N93" ca="1" si="84">I82-I81</f>
        <v>4605.9650008572871</v>
      </c>
      <c r="J93" s="74">
        <f t="shared" ca="1" si="84"/>
        <v>5959.3748635786724</v>
      </c>
      <c r="K93" s="74">
        <f t="shared" ca="1" si="84"/>
        <v>7547.0629924208588</v>
      </c>
      <c r="L93" s="74">
        <f t="shared" ca="1" si="84"/>
        <v>9405.6852509179826</v>
      </c>
      <c r="M93" s="74">
        <f t="shared" ca="1" si="84"/>
        <v>11498.926633394982</v>
      </c>
      <c r="N93" s="74">
        <f t="shared" ca="1" si="84"/>
        <v>13890.33721573919</v>
      </c>
    </row>
    <row r="94" spans="2:24" outlineLevel="1">
      <c r="B94" s="3" t="s">
        <v>208</v>
      </c>
      <c r="C94" s="74">
        <f>+C93+C96</f>
        <v>-3528</v>
      </c>
      <c r="D94" s="74">
        <f t="shared" ref="D94:H94" si="85">+D93+D96</f>
        <v>-3461</v>
      </c>
      <c r="E94" s="74">
        <f t="shared" si="85"/>
        <v>-1764</v>
      </c>
      <c r="F94" s="74">
        <f t="shared" si="85"/>
        <v>908</v>
      </c>
      <c r="G94" s="74">
        <f t="shared" si="85"/>
        <v>3868</v>
      </c>
      <c r="H94" s="185">
        <f t="shared" si="85"/>
        <v>5306</v>
      </c>
      <c r="I94" s="74">
        <f t="shared" ref="I94:N94" ca="1" si="86">+I93+I96</f>
        <v>6700.3381410169122</v>
      </c>
      <c r="J94" s="74">
        <f t="shared" ca="1" si="86"/>
        <v>8397.6687369936117</v>
      </c>
      <c r="K94" s="74">
        <f t="shared" ca="1" si="86"/>
        <v>10353.766420712895</v>
      </c>
      <c r="L94" s="74">
        <f t="shared" ca="1" si="86"/>
        <v>12611.649569561076</v>
      </c>
      <c r="M94" s="74">
        <f t="shared" ca="1" si="86"/>
        <v>15116.44878890259</v>
      </c>
      <c r="N94" s="74">
        <f t="shared" ca="1" si="86"/>
        <v>17947.638236359478</v>
      </c>
    </row>
    <row r="95" spans="2:24" outlineLevel="1">
      <c r="C95" s="8"/>
      <c r="D95" s="8"/>
      <c r="E95" s="8"/>
      <c r="F95" s="8"/>
      <c r="G95" s="8"/>
      <c r="H95" s="186"/>
      <c r="I95" s="8"/>
      <c r="J95" s="8"/>
      <c r="K95" s="8"/>
      <c r="L95" s="8"/>
      <c r="M95" s="8"/>
      <c r="N95" s="8"/>
    </row>
    <row r="96" spans="2:24" outlineLevel="1">
      <c r="B96" s="3" t="s">
        <v>138</v>
      </c>
      <c r="C96" s="45">
        <v>4596</v>
      </c>
      <c r="D96" s="45">
        <v>827</v>
      </c>
      <c r="E96" s="45">
        <v>1168</v>
      </c>
      <c r="F96" s="45">
        <v>1793</v>
      </c>
      <c r="G96" s="45">
        <v>1935</v>
      </c>
      <c r="H96" s="179">
        <v>1796</v>
      </c>
      <c r="I96" s="74">
        <f t="shared" ref="I96:N96" si="87">+H96*(1+I106)</f>
        <v>2094.3731401596251</v>
      </c>
      <c r="J96" s="74">
        <f t="shared" si="87"/>
        <v>2438.2938734149402</v>
      </c>
      <c r="K96" s="74">
        <f t="shared" si="87"/>
        <v>2806.7034282920358</v>
      </c>
      <c r="L96" s="74">
        <f t="shared" si="87"/>
        <v>3205.9643186430922</v>
      </c>
      <c r="M96" s="74">
        <f t="shared" si="87"/>
        <v>3617.5221555076082</v>
      </c>
      <c r="N96" s="74">
        <f t="shared" si="87"/>
        <v>4057.3010206202885</v>
      </c>
      <c r="O96" s="66" t="s">
        <v>126</v>
      </c>
      <c r="U96" s="57"/>
    </row>
    <row r="97" spans="2:21" outlineLevel="1">
      <c r="H97" s="178"/>
    </row>
    <row r="98" spans="2:21" outlineLevel="1">
      <c r="H98" s="178"/>
      <c r="U98" s="48"/>
    </row>
    <row r="99" spans="2:21" outlineLevel="1">
      <c r="B99" s="58" t="s">
        <v>70</v>
      </c>
      <c r="H99" s="178"/>
      <c r="U99" s="48"/>
    </row>
    <row r="100" spans="2:21" outlineLevel="1">
      <c r="B100" s="17" t="s">
        <v>72</v>
      </c>
      <c r="C100" s="78">
        <f t="shared" ref="C100:N100" si="88">-C75/C69</f>
        <v>0.46623076923076923</v>
      </c>
      <c r="D100" s="78">
        <f t="shared" si="88"/>
        <v>0.4626986264476165</v>
      </c>
      <c r="E100" s="78">
        <f t="shared" si="88"/>
        <v>0.53572042394729302</v>
      </c>
      <c r="F100" s="78">
        <f t="shared" si="88"/>
        <v>0.61671424538068198</v>
      </c>
      <c r="G100" s="78">
        <f t="shared" si="88"/>
        <v>0.60237118103055176</v>
      </c>
      <c r="H100" s="187">
        <f t="shared" si="88"/>
        <v>0.60600754922916</v>
      </c>
      <c r="I100" s="210">
        <f t="shared" ca="1" si="88"/>
        <v>0.60600754922916</v>
      </c>
      <c r="J100" s="210">
        <f t="shared" ca="1" si="88"/>
        <v>0.60600754922916</v>
      </c>
      <c r="K100" s="210">
        <f t="shared" ca="1" si="88"/>
        <v>0.60600754922916</v>
      </c>
      <c r="L100" s="210">
        <f t="shared" ca="1" si="88"/>
        <v>0.60600754922916</v>
      </c>
      <c r="M100" s="210">
        <f t="shared" ca="1" si="88"/>
        <v>0.60600754922916</v>
      </c>
      <c r="N100" s="210">
        <f t="shared" ca="1" si="88"/>
        <v>0.60600754922915989</v>
      </c>
      <c r="U100" s="48"/>
    </row>
    <row r="101" spans="2:21" outlineLevel="1">
      <c r="B101" s="17" t="s">
        <v>73</v>
      </c>
      <c r="C101" s="78">
        <f t="shared" ref="C101:H101" si="89">-C78/C69</f>
        <v>0.60961538461538467</v>
      </c>
      <c r="D101" s="78">
        <f t="shared" si="89"/>
        <v>0.56100188526797734</v>
      </c>
      <c r="E101" s="78">
        <f t="shared" si="89"/>
        <v>0.40704669149240907</v>
      </c>
      <c r="F101" s="78">
        <f t="shared" si="89"/>
        <v>0.24757662264328512</v>
      </c>
      <c r="G101" s="78">
        <f t="shared" si="89"/>
        <v>0.18878248974008208</v>
      </c>
      <c r="H101" s="187">
        <f t="shared" si="89"/>
        <v>0.18136340897721587</v>
      </c>
      <c r="I101" s="210">
        <f>H101-0.005</f>
        <v>0.17636340897721586</v>
      </c>
      <c r="J101" s="210">
        <f>I101-0.005</f>
        <v>0.17136340897721586</v>
      </c>
      <c r="K101" s="210">
        <f t="shared" ref="K101:N101" si="90">J101-0.005</f>
        <v>0.16636340897721585</v>
      </c>
      <c r="L101" s="210">
        <f t="shared" si="90"/>
        <v>0.16136340897721585</v>
      </c>
      <c r="M101" s="210">
        <f t="shared" si="90"/>
        <v>0.15636340897721585</v>
      </c>
      <c r="N101" s="210">
        <f t="shared" si="90"/>
        <v>0.15136340897721584</v>
      </c>
      <c r="U101" s="48"/>
    </row>
    <row r="102" spans="2:21" outlineLevel="1">
      <c r="B102" s="17" t="s">
        <v>74</v>
      </c>
      <c r="C102" s="78">
        <f t="shared" ref="C102:H102" si="91">-C79/C69</f>
        <v>0.17707692307692308</v>
      </c>
      <c r="D102" s="78">
        <f t="shared" si="91"/>
        <v>0.16330011670706526</v>
      </c>
      <c r="E102" s="78">
        <f t="shared" si="91"/>
        <v>0.10753365797765684</v>
      </c>
      <c r="F102" s="78">
        <f t="shared" si="91"/>
        <v>7.5697211155378488E-2</v>
      </c>
      <c r="G102" s="78">
        <f t="shared" si="91"/>
        <v>7.2127893565086768E-2</v>
      </c>
      <c r="H102" s="187">
        <f t="shared" si="91"/>
        <v>6.2121970075947067E-2</v>
      </c>
      <c r="I102" s="210">
        <f>H102-0.0025</f>
        <v>5.9621970075947064E-2</v>
      </c>
      <c r="J102" s="210">
        <f t="shared" ref="J102:N102" si="92">I102-0.0025</f>
        <v>5.7121970075947062E-2</v>
      </c>
      <c r="K102" s="210">
        <f t="shared" si="92"/>
        <v>5.462197007594706E-2</v>
      </c>
      <c r="L102" s="210">
        <f t="shared" si="92"/>
        <v>5.2121970075947058E-2</v>
      </c>
      <c r="M102" s="210">
        <f t="shared" si="92"/>
        <v>4.9621970075947056E-2</v>
      </c>
      <c r="N102" s="210">
        <f t="shared" si="92"/>
        <v>4.7121970075947053E-2</v>
      </c>
      <c r="U102" s="48"/>
    </row>
    <row r="103" spans="2:21" outlineLevel="1">
      <c r="B103" s="17" t="s">
        <v>75</v>
      </c>
      <c r="C103" s="78">
        <f t="shared" ref="C103:H103" si="93">-C80/C69</f>
        <v>0.372</v>
      </c>
      <c r="D103" s="78">
        <f t="shared" si="93"/>
        <v>0.19795313762456235</v>
      </c>
      <c r="E103" s="78">
        <f t="shared" si="93"/>
        <v>0.11767401890575767</v>
      </c>
      <c r="F103" s="78">
        <f t="shared" si="93"/>
        <v>8.7774884713116036E-2</v>
      </c>
      <c r="G103" s="78">
        <f t="shared" si="93"/>
        <v>8.4868968107078668E-2</v>
      </c>
      <c r="H103" s="187">
        <f t="shared" si="93"/>
        <v>7.0694438128154985E-2</v>
      </c>
      <c r="I103" s="210">
        <f>H103-0.0025</f>
        <v>6.8194438128154983E-2</v>
      </c>
      <c r="J103" s="210">
        <f t="shared" ref="J103:N103" si="94">I103-0.0025</f>
        <v>6.5694438128154981E-2</v>
      </c>
      <c r="K103" s="210">
        <f t="shared" si="94"/>
        <v>6.3194438128154978E-2</v>
      </c>
      <c r="L103" s="210">
        <f t="shared" si="94"/>
        <v>6.0694438128154976E-2</v>
      </c>
      <c r="M103" s="210">
        <f t="shared" si="94"/>
        <v>5.8194438128154974E-2</v>
      </c>
      <c r="N103" s="210">
        <f t="shared" si="94"/>
        <v>5.5694438128154972E-2</v>
      </c>
      <c r="U103" s="48"/>
    </row>
    <row r="104" spans="2:21" ht="8.3000000000000007" customHeight="1" outlineLevel="1">
      <c r="B104" s="17"/>
      <c r="H104" s="178"/>
    </row>
    <row r="105" spans="2:21" outlineLevel="1">
      <c r="B105" s="59" t="s">
        <v>86</v>
      </c>
      <c r="H105" s="178"/>
    </row>
    <row r="106" spans="2:21" outlineLevel="1">
      <c r="B106" s="17" t="s">
        <v>21</v>
      </c>
      <c r="D106" s="78"/>
      <c r="E106" s="78"/>
      <c r="F106" s="78"/>
      <c r="G106" s="78"/>
      <c r="H106" s="187"/>
      <c r="I106" s="210">
        <f t="shared" ref="I106:N106" si="95">I69/H69-1</f>
        <v>0.16613203795079357</v>
      </c>
      <c r="J106" s="210">
        <f t="shared" si="95"/>
        <v>0.16421177614467619</v>
      </c>
      <c r="K106" s="210">
        <f t="shared" si="95"/>
        <v>0.1510931717025239</v>
      </c>
      <c r="L106" s="210">
        <f t="shared" si="95"/>
        <v>0.14225261077691376</v>
      </c>
      <c r="M106" s="210">
        <f t="shared" si="95"/>
        <v>0.12837255688444649</v>
      </c>
      <c r="N106" s="210">
        <f t="shared" si="95"/>
        <v>0.12156908685220502</v>
      </c>
    </row>
    <row r="107" spans="2:21" outlineLevel="1">
      <c r="B107" s="17" t="s">
        <v>59</v>
      </c>
      <c r="D107" s="78"/>
      <c r="E107" s="78"/>
      <c r="F107" s="78"/>
      <c r="G107" s="78"/>
      <c r="H107" s="187"/>
      <c r="I107" s="210">
        <f t="shared" ref="I107:N107" ca="1" si="96">I77/H77-1</f>
        <v>0.16613203795079357</v>
      </c>
      <c r="J107" s="210">
        <f t="shared" ca="1" si="96"/>
        <v>0.16421177614467641</v>
      </c>
      <c r="K107" s="210">
        <f t="shared" ca="1" si="96"/>
        <v>0.15109317170252368</v>
      </c>
      <c r="L107" s="210">
        <f t="shared" ca="1" si="96"/>
        <v>0.14225261077691376</v>
      </c>
      <c r="M107" s="210">
        <f t="shared" ca="1" si="96"/>
        <v>0.12837255688444649</v>
      </c>
      <c r="N107" s="210">
        <f t="shared" ca="1" si="96"/>
        <v>0.12156908685220547</v>
      </c>
    </row>
    <row r="108" spans="2:21" outlineLevel="1">
      <c r="B108" s="17" t="s">
        <v>87</v>
      </c>
      <c r="D108" s="78"/>
      <c r="E108" s="78"/>
      <c r="F108" s="78"/>
      <c r="G108" s="78"/>
      <c r="H108" s="187"/>
      <c r="I108" s="210">
        <f t="shared" ref="I108:N108" ca="1" si="97">I82/H82-1</f>
        <v>0.21351892067060474</v>
      </c>
      <c r="J108" s="210">
        <f t="shared" ca="1" si="97"/>
        <v>0.33055738616586106</v>
      </c>
      <c r="K108" s="210">
        <f t="shared" ca="1" si="97"/>
        <v>0.32736434550403182</v>
      </c>
      <c r="L108" s="210">
        <f t="shared" ca="1" si="97"/>
        <v>0.30914873471884952</v>
      </c>
      <c r="M108" s="210">
        <f t="shared" ca="1" si="97"/>
        <v>0.25410493912080057</v>
      </c>
      <c r="N108" s="210">
        <f t="shared" ca="1" si="97"/>
        <v>0.22417149609770504</v>
      </c>
    </row>
    <row r="109" spans="2:21" outlineLevel="1">
      <c r="B109" s="17" t="s">
        <v>63</v>
      </c>
      <c r="D109" s="78"/>
      <c r="E109" s="78"/>
      <c r="F109" s="78"/>
      <c r="G109" s="78"/>
      <c r="H109" s="187"/>
      <c r="I109" s="210">
        <f t="shared" ref="I109:N109" ca="1" si="98">+I89/H89-1</f>
        <v>-0.60616616303550552</v>
      </c>
      <c r="J109" s="210">
        <f t="shared" ca="1" si="98"/>
        <v>6.3349899527286313E-2</v>
      </c>
      <c r="K109" s="210">
        <f t="shared" ca="1" si="98"/>
        <v>0.30249585534042356</v>
      </c>
      <c r="L109" s="210">
        <f t="shared" ca="1" si="98"/>
        <v>0.31064706635282957</v>
      </c>
      <c r="M109" s="210">
        <f t="shared" ca="1" si="98"/>
        <v>0.24570782643586386</v>
      </c>
      <c r="N109" s="210">
        <f t="shared" ca="1" si="98"/>
        <v>0.24111237155988441</v>
      </c>
      <c r="Q109" s="69"/>
    </row>
    <row r="110" spans="2:21" outlineLevel="1">
      <c r="B110" s="17" t="s">
        <v>208</v>
      </c>
      <c r="D110" s="78"/>
      <c r="E110" s="78"/>
      <c r="F110" s="78"/>
      <c r="G110" s="78"/>
      <c r="H110" s="187"/>
      <c r="I110" s="210">
        <f t="shared" ref="I110:N110" ca="1" si="99">+I94/H94-1</f>
        <v>0.26278517546492886</v>
      </c>
      <c r="J110" s="210">
        <f t="shared" ca="1" si="99"/>
        <v>0.25332014000700798</v>
      </c>
      <c r="K110" s="210">
        <f t="shared" ca="1" si="99"/>
        <v>0.23293341818810198</v>
      </c>
      <c r="L110" s="210">
        <f t="shared" ca="1" si="99"/>
        <v>0.21807360308334234</v>
      </c>
      <c r="M110" s="210">
        <f t="shared" ca="1" si="99"/>
        <v>0.19860996022177679</v>
      </c>
      <c r="N110" s="210">
        <f t="shared" ca="1" si="99"/>
        <v>0.18729196830510508</v>
      </c>
    </row>
    <row r="111" spans="2:21" outlineLevel="1">
      <c r="H111" s="178"/>
    </row>
    <row r="112" spans="2:21">
      <c r="B112" s="4" t="s">
        <v>85</v>
      </c>
      <c r="H112" s="178"/>
    </row>
    <row r="113" spans="2:20" outlineLevel="1">
      <c r="B113" s="32" t="s">
        <v>55</v>
      </c>
      <c r="C113" s="33" t="s">
        <v>9</v>
      </c>
      <c r="D113" s="34" t="s">
        <v>10</v>
      </c>
      <c r="E113" s="34" t="s">
        <v>11</v>
      </c>
      <c r="F113" s="33" t="s">
        <v>12</v>
      </c>
      <c r="G113" s="33" t="s">
        <v>13</v>
      </c>
      <c r="H113" s="176" t="s">
        <v>14</v>
      </c>
      <c r="I113" s="36" t="s">
        <v>15</v>
      </c>
      <c r="J113" s="36" t="s">
        <v>16</v>
      </c>
      <c r="K113" s="36" t="s">
        <v>17</v>
      </c>
      <c r="L113" s="36" t="s">
        <v>18</v>
      </c>
      <c r="M113" s="36" t="s">
        <v>19</v>
      </c>
      <c r="N113" s="36" t="s">
        <v>20</v>
      </c>
    </row>
    <row r="114" spans="2:20" outlineLevel="1">
      <c r="B114" s="26" t="s">
        <v>56</v>
      </c>
      <c r="C114" s="2">
        <v>43830</v>
      </c>
      <c r="D114" s="2">
        <v>44196</v>
      </c>
      <c r="E114" s="2">
        <v>44561</v>
      </c>
      <c r="F114" s="2">
        <v>44926</v>
      </c>
      <c r="G114" s="2">
        <v>45291</v>
      </c>
      <c r="H114" s="177">
        <v>45657</v>
      </c>
      <c r="I114" s="26"/>
      <c r="J114" s="26"/>
      <c r="K114" s="26"/>
      <c r="L114" s="26"/>
      <c r="M114" s="26"/>
      <c r="N114" s="26"/>
    </row>
    <row r="115" spans="2:20" outlineLevel="1">
      <c r="C115" s="60"/>
      <c r="D115" s="60"/>
      <c r="E115" s="60"/>
      <c r="F115" s="60"/>
      <c r="G115" s="60"/>
      <c r="H115" s="188"/>
    </row>
    <row r="116" spans="2:20" outlineLevel="1">
      <c r="B116" s="4" t="s">
        <v>28</v>
      </c>
      <c r="H116" s="178"/>
    </row>
    <row r="117" spans="2:20" outlineLevel="1">
      <c r="B117" s="3" t="s">
        <v>88</v>
      </c>
      <c r="C117" s="45">
        <v>11412</v>
      </c>
      <c r="D117" s="45">
        <f>7077+517</f>
        <v>7594</v>
      </c>
      <c r="E117" s="45">
        <v>4926</v>
      </c>
      <c r="F117" s="45">
        <v>4991</v>
      </c>
      <c r="G117" s="45">
        <v>6212</v>
      </c>
      <c r="H117" s="179">
        <v>7522</v>
      </c>
      <c r="I117" s="44">
        <f t="shared" ref="I117:N117" ca="1" si="100">+H117+I180</f>
        <v>16316.004899953386</v>
      </c>
      <c r="J117" s="44">
        <f t="shared" ca="1" si="100"/>
        <v>22919.112859603796</v>
      </c>
      <c r="K117" s="44">
        <f t="shared" ca="1" si="100"/>
        <v>31880.783240946475</v>
      </c>
      <c r="L117" s="44">
        <f t="shared" ca="1" si="100"/>
        <v>41315.253838430523</v>
      </c>
      <c r="M117" s="44">
        <f t="shared" ca="1" si="100"/>
        <v>53443.040906649287</v>
      </c>
      <c r="N117" s="44">
        <f t="shared" ca="1" si="100"/>
        <v>69464.653675116089</v>
      </c>
      <c r="O117" s="43"/>
      <c r="T117" s="8"/>
    </row>
    <row r="118" spans="2:20" outlineLevel="1">
      <c r="B118" s="3" t="s">
        <v>89</v>
      </c>
      <c r="C118" s="45">
        <v>1214</v>
      </c>
      <c r="D118" s="45">
        <v>1073</v>
      </c>
      <c r="E118" s="45">
        <v>2439</v>
      </c>
      <c r="F118" s="45">
        <v>2779</v>
      </c>
      <c r="G118" s="45">
        <v>3404</v>
      </c>
      <c r="H118" s="179">
        <v>3333</v>
      </c>
      <c r="I118" s="44">
        <f ca="1">Model!I228</f>
        <v>3880.0366225175044</v>
      </c>
      <c r="J118" s="44">
        <f ca="1">Model!J228</f>
        <v>4489.0762560493376</v>
      </c>
      <c r="K118" s="44">
        <f ca="1">Model!K228</f>
        <v>5134.3793808947858</v>
      </c>
      <c r="L118" s="44">
        <f ca="1">Model!L228</f>
        <v>5826.676185028532</v>
      </c>
      <c r="M118" s="44">
        <f ca="1">Model!M228</f>
        <v>6588.6866928363843</v>
      </c>
      <c r="N118" s="44">
        <f ca="1">Model!N228</f>
        <v>7357.4929514889545</v>
      </c>
      <c r="O118" s="271" t="s">
        <v>113</v>
      </c>
    </row>
    <row r="119" spans="2:20" outlineLevel="1">
      <c r="B119" s="3" t="s">
        <v>90</v>
      </c>
      <c r="C119" s="45">
        <v>1299</v>
      </c>
      <c r="D119" s="45">
        <v>1215</v>
      </c>
      <c r="E119" s="45">
        <v>1454</v>
      </c>
      <c r="F119" s="45">
        <v>1479</v>
      </c>
      <c r="G119" s="45">
        <v>1681</v>
      </c>
      <c r="H119" s="179">
        <v>1390</v>
      </c>
      <c r="I119" s="44">
        <f ca="1">Model!I229</f>
        <v>1618.1370852983296</v>
      </c>
      <c r="J119" s="44">
        <f ca="1">Model!J229</f>
        <v>1872.1320119737713</v>
      </c>
      <c r="K119" s="44">
        <f ca="1">Model!K229</f>
        <v>2141.2503268658129</v>
      </c>
      <c r="L119" s="44">
        <f ca="1">Model!L229</f>
        <v>2429.966965853484</v>
      </c>
      <c r="M119" s="44">
        <f ca="1">Model!M229</f>
        <v>2747.7571266254313</v>
      </c>
      <c r="N119" s="44">
        <f ca="1">Model!N229</f>
        <v>3068.3813989107834</v>
      </c>
      <c r="O119" s="271" t="s">
        <v>113</v>
      </c>
    </row>
    <row r="120" spans="2:20" outlineLevel="1">
      <c r="C120" s="45"/>
      <c r="D120" s="45"/>
      <c r="E120" s="45"/>
      <c r="F120" s="45"/>
      <c r="G120" s="45"/>
      <c r="H120" s="179"/>
      <c r="I120" s="44"/>
      <c r="J120" s="44"/>
      <c r="K120" s="44"/>
      <c r="L120" s="44"/>
      <c r="M120" s="44"/>
      <c r="N120" s="44"/>
      <c r="O120" s="271"/>
    </row>
    <row r="121" spans="2:20" outlineLevel="1">
      <c r="B121" s="3" t="s">
        <v>29</v>
      </c>
      <c r="C121" s="45">
        <v>1095</v>
      </c>
      <c r="D121" s="45">
        <v>1494</v>
      </c>
      <c r="E121" s="45">
        <v>2879</v>
      </c>
      <c r="F121" s="45">
        <v>1789</v>
      </c>
      <c r="G121" s="45">
        <v>1519</v>
      </c>
      <c r="H121" s="179">
        <v>2172</v>
      </c>
      <c r="I121" s="44">
        <f>H121</f>
        <v>2172</v>
      </c>
      <c r="J121" s="44">
        <f t="shared" ref="J121:N121" si="101">I121</f>
        <v>2172</v>
      </c>
      <c r="K121" s="44">
        <f t="shared" si="101"/>
        <v>2172</v>
      </c>
      <c r="L121" s="44">
        <f t="shared" si="101"/>
        <v>2172</v>
      </c>
      <c r="M121" s="44">
        <f t="shared" si="101"/>
        <v>2172</v>
      </c>
      <c r="N121" s="44">
        <f t="shared" si="101"/>
        <v>2172</v>
      </c>
      <c r="O121" s="271" t="s">
        <v>101</v>
      </c>
    </row>
    <row r="122" spans="2:20" outlineLevel="1">
      <c r="B122" s="3" t="s">
        <v>30</v>
      </c>
      <c r="C122" s="45">
        <v>1199</v>
      </c>
      <c r="D122" s="45">
        <v>860</v>
      </c>
      <c r="E122" s="45">
        <v>0</v>
      </c>
      <c r="F122" s="45">
        <v>0</v>
      </c>
      <c r="G122" s="45">
        <v>0</v>
      </c>
      <c r="H122" s="179">
        <v>0</v>
      </c>
      <c r="I122" s="44">
        <f>H122</f>
        <v>0</v>
      </c>
      <c r="J122" s="44">
        <f t="shared" ref="J122:N122" si="102">I122</f>
        <v>0</v>
      </c>
      <c r="K122" s="44">
        <f t="shared" si="102"/>
        <v>0</v>
      </c>
      <c r="L122" s="44">
        <f t="shared" si="102"/>
        <v>0</v>
      </c>
      <c r="M122" s="44">
        <f t="shared" si="102"/>
        <v>0</v>
      </c>
      <c r="N122" s="44">
        <f t="shared" si="102"/>
        <v>0</v>
      </c>
      <c r="O122" s="271" t="s">
        <v>101</v>
      </c>
    </row>
    <row r="123" spans="2:20" outlineLevel="1">
      <c r="B123" s="3" t="s">
        <v>31</v>
      </c>
      <c r="C123" s="45">
        <v>0</v>
      </c>
      <c r="D123" s="45">
        <v>0</v>
      </c>
      <c r="E123" s="45">
        <v>0</v>
      </c>
      <c r="F123" s="45">
        <v>1614</v>
      </c>
      <c r="G123" s="45">
        <v>4779</v>
      </c>
      <c r="H123" s="179">
        <v>7019</v>
      </c>
      <c r="I123" s="44">
        <f>H123</f>
        <v>7019</v>
      </c>
      <c r="J123" s="44">
        <f t="shared" ref="J123:N123" si="103">I123</f>
        <v>7019</v>
      </c>
      <c r="K123" s="44">
        <f t="shared" si="103"/>
        <v>7019</v>
      </c>
      <c r="L123" s="44">
        <f t="shared" si="103"/>
        <v>7019</v>
      </c>
      <c r="M123" s="44">
        <f t="shared" si="103"/>
        <v>7019</v>
      </c>
      <c r="N123" s="44">
        <f t="shared" si="103"/>
        <v>7019</v>
      </c>
      <c r="O123" s="271" t="s">
        <v>101</v>
      </c>
    </row>
    <row r="124" spans="2:20" outlineLevel="1">
      <c r="B124" s="3" t="s">
        <v>32</v>
      </c>
      <c r="C124" s="45">
        <v>10527</v>
      </c>
      <c r="D124" s="45">
        <v>9052</v>
      </c>
      <c r="E124" s="45">
        <v>11806</v>
      </c>
      <c r="F124" s="45">
        <v>4401</v>
      </c>
      <c r="G124" s="45">
        <v>6101</v>
      </c>
      <c r="H124" s="179">
        <v>8460</v>
      </c>
      <c r="I124" s="44">
        <f>H124</f>
        <v>8460</v>
      </c>
      <c r="J124" s="44">
        <f t="shared" ref="J124:N124" si="104">I124</f>
        <v>8460</v>
      </c>
      <c r="K124" s="44">
        <f t="shared" si="104"/>
        <v>8460</v>
      </c>
      <c r="L124" s="44">
        <f t="shared" si="104"/>
        <v>8460</v>
      </c>
      <c r="M124" s="44">
        <f t="shared" si="104"/>
        <v>8460</v>
      </c>
      <c r="N124" s="44">
        <f t="shared" si="104"/>
        <v>8460</v>
      </c>
      <c r="O124" s="271" t="s">
        <v>101</v>
      </c>
    </row>
    <row r="125" spans="2:20" outlineLevel="1">
      <c r="B125" s="3" t="s">
        <v>33</v>
      </c>
      <c r="C125" s="45">
        <v>1364</v>
      </c>
      <c r="D125" s="45">
        <v>1079</v>
      </c>
      <c r="E125" s="45">
        <v>800</v>
      </c>
      <c r="F125" s="45">
        <v>870</v>
      </c>
      <c r="G125" s="45">
        <v>353</v>
      </c>
      <c r="H125" s="179">
        <v>302</v>
      </c>
      <c r="I125" s="44">
        <f>+H125</f>
        <v>302</v>
      </c>
      <c r="J125" s="44">
        <f t="shared" ref="J125:N125" si="105">+I125</f>
        <v>302</v>
      </c>
      <c r="K125" s="44">
        <f t="shared" si="105"/>
        <v>302</v>
      </c>
      <c r="L125" s="44">
        <f t="shared" si="105"/>
        <v>302</v>
      </c>
      <c r="M125" s="44">
        <f t="shared" si="105"/>
        <v>302</v>
      </c>
      <c r="N125" s="44">
        <f t="shared" si="105"/>
        <v>302</v>
      </c>
      <c r="O125" s="271" t="s">
        <v>101</v>
      </c>
    </row>
    <row r="126" spans="2:20" outlineLevel="1">
      <c r="B126" s="3" t="s">
        <v>34</v>
      </c>
      <c r="C126" s="45">
        <v>1731</v>
      </c>
      <c r="D126" s="45">
        <v>1814</v>
      </c>
      <c r="E126" s="45">
        <v>1853</v>
      </c>
      <c r="F126" s="45">
        <v>2082</v>
      </c>
      <c r="G126" s="45">
        <v>2073</v>
      </c>
      <c r="H126" s="179">
        <v>1952</v>
      </c>
      <c r="I126" s="44">
        <f>Model!I194</f>
        <v>1891.4126369238877</v>
      </c>
      <c r="J126" s="44">
        <f>Model!J194</f>
        <v>1813.0261332575858</v>
      </c>
      <c r="K126" s="44">
        <f>Model!K194</f>
        <v>1714.9623449985647</v>
      </c>
      <c r="L126" s="44">
        <f>Model!L194</f>
        <v>1616.441292780589</v>
      </c>
      <c r="M126" s="44">
        <f>Model!M194</f>
        <v>1517.3349244593066</v>
      </c>
      <c r="N126" s="44">
        <f>Model!N194</f>
        <v>1426.9609559613179</v>
      </c>
      <c r="O126" s="271" t="s">
        <v>114</v>
      </c>
    </row>
    <row r="127" spans="2:20" outlineLevel="1">
      <c r="B127" s="3" t="s">
        <v>35</v>
      </c>
      <c r="C127" s="45">
        <v>1594</v>
      </c>
      <c r="D127" s="45">
        <v>1274</v>
      </c>
      <c r="E127" s="45">
        <v>1388</v>
      </c>
      <c r="F127" s="45">
        <v>1449</v>
      </c>
      <c r="G127" s="45">
        <v>1241</v>
      </c>
      <c r="H127" s="179">
        <v>1158</v>
      </c>
      <c r="I127" s="44">
        <f>H127</f>
        <v>1158</v>
      </c>
      <c r="J127" s="44">
        <f t="shared" ref="J127:N127" si="106">I127</f>
        <v>1158</v>
      </c>
      <c r="K127" s="44">
        <f t="shared" si="106"/>
        <v>1158</v>
      </c>
      <c r="L127" s="44">
        <f t="shared" si="106"/>
        <v>1158</v>
      </c>
      <c r="M127" s="44">
        <f t="shared" si="106"/>
        <v>1158</v>
      </c>
      <c r="N127" s="44">
        <f t="shared" si="106"/>
        <v>1158</v>
      </c>
      <c r="O127" s="271" t="s">
        <v>101</v>
      </c>
    </row>
    <row r="128" spans="2:20" outlineLevel="1">
      <c r="B128" s="3" t="s">
        <v>36</v>
      </c>
      <c r="C128" s="45">
        <v>71</v>
      </c>
      <c r="D128" s="45">
        <v>1564</v>
      </c>
      <c r="E128" s="45">
        <v>2412</v>
      </c>
      <c r="F128" s="45">
        <v>1874</v>
      </c>
      <c r="G128" s="45">
        <v>1425</v>
      </c>
      <c r="H128" s="179">
        <v>1125</v>
      </c>
      <c r="I128" s="44">
        <f>H128</f>
        <v>1125</v>
      </c>
      <c r="J128" s="44">
        <f t="shared" ref="J128:N128" si="107">I128</f>
        <v>1125</v>
      </c>
      <c r="K128" s="44">
        <f t="shared" si="107"/>
        <v>1125</v>
      </c>
      <c r="L128" s="44">
        <f t="shared" si="107"/>
        <v>1125</v>
      </c>
      <c r="M128" s="44">
        <f t="shared" si="107"/>
        <v>1125</v>
      </c>
      <c r="N128" s="44">
        <f t="shared" si="107"/>
        <v>1125</v>
      </c>
      <c r="O128" s="271" t="s">
        <v>101</v>
      </c>
    </row>
    <row r="129" spans="2:15" ht="14.4" customHeight="1" outlineLevel="1">
      <c r="B129" s="3" t="s">
        <v>37</v>
      </c>
      <c r="C129" s="45">
        <v>167</v>
      </c>
      <c r="D129" s="45">
        <v>6109</v>
      </c>
      <c r="E129" s="45">
        <v>8420</v>
      </c>
      <c r="F129" s="45">
        <v>8263</v>
      </c>
      <c r="G129" s="45">
        <v>8151</v>
      </c>
      <c r="H129" s="179">
        <v>8066</v>
      </c>
      <c r="I129" s="44">
        <f>H129</f>
        <v>8066</v>
      </c>
      <c r="J129" s="44">
        <f t="shared" ref="J129:N129" si="108">I129</f>
        <v>8066</v>
      </c>
      <c r="K129" s="44">
        <f t="shared" si="108"/>
        <v>8066</v>
      </c>
      <c r="L129" s="44">
        <f t="shared" si="108"/>
        <v>8066</v>
      </c>
      <c r="M129" s="44">
        <f t="shared" si="108"/>
        <v>8066</v>
      </c>
      <c r="N129" s="44">
        <f t="shared" si="108"/>
        <v>8066</v>
      </c>
      <c r="O129" s="271" t="s">
        <v>160</v>
      </c>
    </row>
    <row r="130" spans="2:15" outlineLevel="1">
      <c r="B130" s="3" t="s">
        <v>38</v>
      </c>
      <c r="C130" s="45">
        <v>0</v>
      </c>
      <c r="D130" s="45">
        <v>0</v>
      </c>
      <c r="E130" s="45">
        <v>0</v>
      </c>
      <c r="F130" s="45">
        <v>0</v>
      </c>
      <c r="G130" s="45">
        <v>170</v>
      </c>
      <c r="H130" s="179">
        <v>6171</v>
      </c>
      <c r="I130" s="44">
        <f ca="1">H130+Model!I351</f>
        <v>2264.5403695446089</v>
      </c>
      <c r="J130" s="44">
        <f ca="1">I130+Model!J351</f>
        <v>1852</v>
      </c>
      <c r="K130" s="44">
        <f ca="1">J130+Model!K351</f>
        <v>1852</v>
      </c>
      <c r="L130" s="44">
        <f ca="1">K130+Model!L351</f>
        <v>1852</v>
      </c>
      <c r="M130" s="44">
        <f ca="1">L130+Model!M351</f>
        <v>1852</v>
      </c>
      <c r="N130" s="44">
        <f ca="1">M130+Model!N351</f>
        <v>1852</v>
      </c>
      <c r="O130" s="271" t="s">
        <v>349</v>
      </c>
    </row>
    <row r="131" spans="2:15" outlineLevel="1">
      <c r="B131" s="3" t="s">
        <v>39</v>
      </c>
      <c r="C131" s="45">
        <v>88</v>
      </c>
      <c r="D131" s="45">
        <v>124</v>
      </c>
      <c r="E131" s="45">
        <v>397</v>
      </c>
      <c r="F131" s="45">
        <v>518</v>
      </c>
      <c r="G131" s="45">
        <v>1590</v>
      </c>
      <c r="H131" s="179">
        <v>2574</v>
      </c>
      <c r="I131" s="44">
        <f>H131*(1+I106)</f>
        <v>3001.6238656853425</v>
      </c>
      <c r="J131" s="44">
        <f t="shared" ref="J131:N131" si="109">I131*(1+J106)</f>
        <v>3494.5258519877816</v>
      </c>
      <c r="K131" s="44">
        <f t="shared" si="109"/>
        <v>4022.5248465610803</v>
      </c>
      <c r="L131" s="44">
        <f t="shared" si="109"/>
        <v>4594.7395078993986</v>
      </c>
      <c r="M131" s="44">
        <f t="shared" si="109"/>
        <v>5184.5779667464276</v>
      </c>
      <c r="N131" s="44">
        <f t="shared" si="109"/>
        <v>5814.8623758778522</v>
      </c>
      <c r="O131" s="271" t="s">
        <v>126</v>
      </c>
    </row>
    <row r="132" spans="2:15" outlineLevel="1">
      <c r="B132" s="4" t="s">
        <v>91</v>
      </c>
      <c r="C132" s="73">
        <f>SUM(C117:C131)</f>
        <v>31761</v>
      </c>
      <c r="D132" s="73">
        <f t="shared" ref="D132:H132" si="110">SUM(D117:D131)</f>
        <v>33252</v>
      </c>
      <c r="E132" s="73">
        <f t="shared" si="110"/>
        <v>38774</v>
      </c>
      <c r="F132" s="73">
        <f t="shared" si="110"/>
        <v>32109</v>
      </c>
      <c r="G132" s="73">
        <f t="shared" si="110"/>
        <v>38699</v>
      </c>
      <c r="H132" s="182">
        <f t="shared" si="110"/>
        <v>51244</v>
      </c>
      <c r="I132" s="162">
        <f t="shared" ref="I132:N132" ca="1" si="111">SUM(I117:I131)</f>
        <v>57273.755479923064</v>
      </c>
      <c r="J132" s="162">
        <f t="shared" ca="1" si="111"/>
        <v>64741.873112872272</v>
      </c>
      <c r="K132" s="162">
        <f t="shared" ca="1" si="111"/>
        <v>75047.90014026672</v>
      </c>
      <c r="L132" s="162">
        <f t="shared" ca="1" si="111"/>
        <v>85937.077789992531</v>
      </c>
      <c r="M132" s="162">
        <f t="shared" ca="1" si="111"/>
        <v>99635.397617316834</v>
      </c>
      <c r="N132" s="162">
        <f t="shared" ca="1" si="111"/>
        <v>117286.351357355</v>
      </c>
      <c r="O132" s="271"/>
    </row>
    <row r="133" spans="2:15" outlineLevel="1">
      <c r="H133" s="178"/>
      <c r="I133" s="44"/>
      <c r="J133" s="44"/>
      <c r="K133" s="44"/>
      <c r="L133" s="44"/>
      <c r="M133" s="44"/>
      <c r="N133" s="44"/>
      <c r="O133" s="271"/>
    </row>
    <row r="134" spans="2:15" outlineLevel="1">
      <c r="B134" s="4" t="s">
        <v>47</v>
      </c>
      <c r="H134" s="178"/>
      <c r="I134" s="44"/>
      <c r="J134" s="44"/>
      <c r="K134" s="44"/>
      <c r="L134" s="44"/>
      <c r="M134" s="44"/>
      <c r="N134" s="44"/>
      <c r="O134" s="271"/>
    </row>
    <row r="135" spans="2:15" outlineLevel="1">
      <c r="B135" s="3" t="s">
        <v>40</v>
      </c>
      <c r="C135" s="45">
        <v>272</v>
      </c>
      <c r="D135" s="45">
        <v>235</v>
      </c>
      <c r="E135" s="45">
        <v>860</v>
      </c>
      <c r="F135" s="45">
        <v>728</v>
      </c>
      <c r="G135" s="45">
        <v>790</v>
      </c>
      <c r="H135" s="179">
        <v>858</v>
      </c>
      <c r="I135" s="44">
        <f ca="1">Model!I230</f>
        <v>998.82130876688393</v>
      </c>
      <c r="J135" s="44">
        <f ca="1">Model!J230</f>
        <v>1155.6037886859681</v>
      </c>
      <c r="K135" s="44">
        <f ca="1">Model!K230</f>
        <v>1321.7214247847965</v>
      </c>
      <c r="L135" s="44">
        <f ca="1">Model!L230</f>
        <v>1499.9364436707156</v>
      </c>
      <c r="M135" s="44">
        <f ca="1">Model!M230</f>
        <v>1696.097564492535</v>
      </c>
      <c r="N135" s="44">
        <f ca="1">Model!N230</f>
        <v>1894.0080865219084</v>
      </c>
      <c r="O135" s="271" t="s">
        <v>113</v>
      </c>
    </row>
    <row r="136" spans="2:15" outlineLevel="1">
      <c r="B136" s="3" t="s">
        <v>41</v>
      </c>
      <c r="C136" s="45">
        <v>1121</v>
      </c>
      <c r="D136" s="45">
        <v>1243</v>
      </c>
      <c r="E136" s="45">
        <v>1442</v>
      </c>
      <c r="F136" s="45">
        <v>1692</v>
      </c>
      <c r="G136" s="45">
        <v>2077</v>
      </c>
      <c r="H136" s="179">
        <v>2754</v>
      </c>
      <c r="I136" s="44">
        <f ca="1">Model!I231</f>
        <v>3206.0068582097915</v>
      </c>
      <c r="J136" s="44">
        <f ca="1">Model!J231</f>
        <v>3709.2457273206965</v>
      </c>
      <c r="K136" s="44">
        <f ca="1">Model!K231</f>
        <v>4242.4484893442068</v>
      </c>
      <c r="L136" s="44">
        <f ca="1">Model!L231</f>
        <v>4814.4813122018031</v>
      </c>
      <c r="M136" s="44">
        <f ca="1">Model!M231</f>
        <v>5444.1173573571505</v>
      </c>
      <c r="N136" s="44">
        <f ca="1">Model!N231</f>
        <v>6079.3686133815063</v>
      </c>
      <c r="O136" s="271" t="s">
        <v>113</v>
      </c>
    </row>
    <row r="137" spans="2:15" outlineLevel="1">
      <c r="B137" s="3" t="s">
        <v>42</v>
      </c>
      <c r="C137" s="45">
        <v>196</v>
      </c>
      <c r="D137" s="45">
        <v>175</v>
      </c>
      <c r="E137" s="45">
        <v>185</v>
      </c>
      <c r="F137" s="45">
        <v>201</v>
      </c>
      <c r="G137" s="45">
        <v>190</v>
      </c>
      <c r="H137" s="179">
        <v>175</v>
      </c>
      <c r="I137" s="44">
        <f ca="1">Model!I232</f>
        <v>203.7222949116605</v>
      </c>
      <c r="J137" s="44">
        <f ca="1">Model!J232</f>
        <v>235.70007344993508</v>
      </c>
      <c r="K137" s="44">
        <f ca="1">Model!K232</f>
        <v>269.58187568454497</v>
      </c>
      <c r="L137" s="44">
        <f ca="1">Model!L232</f>
        <v>305.93109282328038</v>
      </c>
      <c r="M137" s="44">
        <f ca="1">Model!M232</f>
        <v>345.94064543845366</v>
      </c>
      <c r="N137" s="44">
        <f ca="1">Model!N232</f>
        <v>386.30701065423534</v>
      </c>
      <c r="O137" s="67" t="s">
        <v>113</v>
      </c>
    </row>
    <row r="138" spans="2:15" outlineLevel="1">
      <c r="B138" s="3" t="s">
        <v>43</v>
      </c>
      <c r="C138" s="45">
        <v>4050</v>
      </c>
      <c r="D138" s="45">
        <v>5212</v>
      </c>
      <c r="E138" s="45">
        <v>6537</v>
      </c>
      <c r="F138" s="45">
        <v>6232</v>
      </c>
      <c r="G138" s="45">
        <f>6397-25</f>
        <v>6372</v>
      </c>
      <c r="H138" s="179">
        <f>7689-1150</f>
        <v>6539</v>
      </c>
      <c r="I138" s="44">
        <f ca="1">Model!I233</f>
        <v>7225.0371028368845</v>
      </c>
      <c r="J138" s="44">
        <f ca="1">Model!J233</f>
        <v>7867.419375360274</v>
      </c>
      <c r="K138" s="44">
        <f ca="1">Model!K233</f>
        <v>8998.358129307313</v>
      </c>
      <c r="L138" s="44">
        <f ca="1">Model!L233</f>
        <v>10211.656585309805</v>
      </c>
      <c r="M138" s="44">
        <f ca="1">Model!M233</f>
        <v>11547.133171450783</v>
      </c>
      <c r="N138" s="44">
        <f ca="1">Model!N233</f>
        <v>12894.51978513788</v>
      </c>
      <c r="O138" s="67" t="s">
        <v>113</v>
      </c>
    </row>
    <row r="139" spans="2:15" outlineLevel="1">
      <c r="B139" s="3" t="s">
        <v>156</v>
      </c>
      <c r="C139" s="45">
        <v>0</v>
      </c>
      <c r="D139" s="45">
        <v>0</v>
      </c>
      <c r="E139" s="45">
        <v>0</v>
      </c>
      <c r="F139" s="45">
        <v>0</v>
      </c>
      <c r="G139" s="45">
        <v>0</v>
      </c>
      <c r="H139" s="179">
        <v>0</v>
      </c>
      <c r="I139" s="44">
        <f ca="1">Model!I294</f>
        <v>400</v>
      </c>
      <c r="J139" s="44">
        <f ca="1">Model!J294</f>
        <v>400</v>
      </c>
      <c r="K139" s="44">
        <f ca="1">Model!K294</f>
        <v>400</v>
      </c>
      <c r="L139" s="44">
        <f ca="1">Model!L294</f>
        <v>400</v>
      </c>
      <c r="M139" s="44">
        <f ca="1">Model!M294</f>
        <v>400</v>
      </c>
      <c r="N139" s="44">
        <f ca="1">Model!N294</f>
        <v>400</v>
      </c>
      <c r="O139" s="67" t="s">
        <v>347</v>
      </c>
    </row>
    <row r="140" spans="2:15" outlineLevel="1">
      <c r="H140" s="178"/>
      <c r="I140" s="44"/>
      <c r="J140" s="44"/>
      <c r="K140" s="44"/>
      <c r="L140" s="44"/>
      <c r="M140" s="44"/>
      <c r="N140" s="44"/>
      <c r="O140" s="67"/>
    </row>
    <row r="141" spans="2:15" outlineLevel="1">
      <c r="B141" s="3" t="s">
        <v>44</v>
      </c>
      <c r="C141" s="45">
        <v>2297</v>
      </c>
      <c r="D141" s="45">
        <v>2223</v>
      </c>
      <c r="E141" s="45">
        <v>2546</v>
      </c>
      <c r="F141" s="45">
        <v>3028</v>
      </c>
      <c r="G141" s="45">
        <v>4909</v>
      </c>
      <c r="H141" s="179">
        <v>7042</v>
      </c>
      <c r="I141" s="44">
        <f>H141*(1+I106)</f>
        <v>8211.9018112494887</v>
      </c>
      <c r="J141" s="44">
        <f t="shared" ref="J141:N141" si="112">I141*(1+J106)</f>
        <v>9560.3927932004499</v>
      </c>
      <c r="K141" s="44">
        <f t="shared" si="112"/>
        <v>11004.902863047058</v>
      </c>
      <c r="L141" s="44">
        <f t="shared" si="112"/>
        <v>12570.379026661836</v>
      </c>
      <c r="M141" s="44">
        <f t="shared" si="112"/>
        <v>14184.070723321036</v>
      </c>
      <c r="N141" s="44">
        <f t="shared" si="112"/>
        <v>15908.41524900227</v>
      </c>
      <c r="O141" s="67" t="s">
        <v>348</v>
      </c>
    </row>
    <row r="142" spans="2:15" outlineLevel="1">
      <c r="B142" s="3" t="s">
        <v>172</v>
      </c>
      <c r="C142" s="45">
        <v>5707</v>
      </c>
      <c r="D142" s="45">
        <v>7560</v>
      </c>
      <c r="E142" s="45">
        <v>9276</v>
      </c>
      <c r="F142" s="45">
        <v>9265</v>
      </c>
      <c r="G142" s="45">
        <f>9459+25</f>
        <v>9484</v>
      </c>
      <c r="H142" s="179">
        <f>8347+1150</f>
        <v>9497</v>
      </c>
      <c r="I142" s="44">
        <f>Model!I307</f>
        <v>7762.6</v>
      </c>
      <c r="J142" s="44">
        <f>Model!J307</f>
        <v>7175.08</v>
      </c>
      <c r="K142" s="44">
        <f>Model!K307</f>
        <v>7185.0640000000003</v>
      </c>
      <c r="L142" s="44">
        <f>Model!L307</f>
        <v>5468.0511999999999</v>
      </c>
      <c r="M142" s="44">
        <f>Model!M307</f>
        <v>3974.4409599999999</v>
      </c>
      <c r="N142" s="44">
        <f>Model!N307</f>
        <v>2729.552768</v>
      </c>
      <c r="O142" s="67" t="s">
        <v>154</v>
      </c>
    </row>
    <row r="143" spans="2:15" outlineLevel="1">
      <c r="B143" s="3" t="s">
        <v>45</v>
      </c>
      <c r="C143" s="45">
        <v>1523</v>
      </c>
      <c r="D143" s="45">
        <v>1544</v>
      </c>
      <c r="E143" s="45">
        <v>1644</v>
      </c>
      <c r="F143" s="45">
        <v>1673</v>
      </c>
      <c r="G143" s="45">
        <v>1550</v>
      </c>
      <c r="H143" s="179">
        <v>1454</v>
      </c>
      <c r="I143" s="44">
        <f>AVERAGE(C143:H143)</f>
        <v>1564.6666666666667</v>
      </c>
      <c r="J143" s="44">
        <f t="shared" ref="J143:N143" si="113">AVERAGE(D143:I143)</f>
        <v>1571.6111111111111</v>
      </c>
      <c r="K143" s="44">
        <f t="shared" si="113"/>
        <v>1576.2129629629628</v>
      </c>
      <c r="L143" s="44">
        <f t="shared" si="113"/>
        <v>1564.9151234567901</v>
      </c>
      <c r="M143" s="44">
        <f t="shared" si="113"/>
        <v>1546.9009773662553</v>
      </c>
      <c r="N143" s="44">
        <f t="shared" si="113"/>
        <v>1546.3844735939645</v>
      </c>
      <c r="O143" s="67" t="s">
        <v>115</v>
      </c>
    </row>
    <row r="144" spans="2:15" outlineLevel="1">
      <c r="B144" s="3" t="s">
        <v>46</v>
      </c>
      <c r="C144" s="45">
        <v>1412</v>
      </c>
      <c r="D144" s="45">
        <v>1306</v>
      </c>
      <c r="E144" s="45">
        <v>935</v>
      </c>
      <c r="F144" s="45">
        <v>786</v>
      </c>
      <c r="G144" s="45">
        <v>645</v>
      </c>
      <c r="H144" s="179">
        <v>449</v>
      </c>
      <c r="I144" s="44">
        <f>H144</f>
        <v>449</v>
      </c>
      <c r="J144" s="44">
        <f t="shared" ref="J144:N144" si="114">I144</f>
        <v>449</v>
      </c>
      <c r="K144" s="44">
        <f t="shared" si="114"/>
        <v>449</v>
      </c>
      <c r="L144" s="44">
        <f t="shared" si="114"/>
        <v>449</v>
      </c>
      <c r="M144" s="44">
        <f t="shared" si="114"/>
        <v>449</v>
      </c>
      <c r="N144" s="44">
        <f t="shared" si="114"/>
        <v>449</v>
      </c>
      <c r="O144" s="67" t="s">
        <v>101</v>
      </c>
    </row>
    <row r="145" spans="2:15" outlineLevel="1">
      <c r="B145" s="4" t="s">
        <v>92</v>
      </c>
      <c r="C145" s="73">
        <f t="shared" ref="C145:H145" si="115">SUM(C135:C144)</f>
        <v>16578</v>
      </c>
      <c r="D145" s="73">
        <f t="shared" si="115"/>
        <v>19498</v>
      </c>
      <c r="E145" s="73">
        <f t="shared" si="115"/>
        <v>23425</v>
      </c>
      <c r="F145" s="73">
        <f t="shared" si="115"/>
        <v>23605</v>
      </c>
      <c r="G145" s="73">
        <f t="shared" si="115"/>
        <v>26017</v>
      </c>
      <c r="H145" s="182">
        <f t="shared" si="115"/>
        <v>28768</v>
      </c>
      <c r="I145" s="162">
        <f t="shared" ref="I145:N145" ca="1" si="116">SUM(I135:I144)</f>
        <v>30021.75604264138</v>
      </c>
      <c r="J145" s="162">
        <f t="shared" ca="1" si="116"/>
        <v>32124.052869128434</v>
      </c>
      <c r="K145" s="162">
        <f t="shared" ca="1" si="116"/>
        <v>35447.289745130882</v>
      </c>
      <c r="L145" s="162">
        <f t="shared" ca="1" si="116"/>
        <v>37284.350784124232</v>
      </c>
      <c r="M145" s="162">
        <f t="shared" ca="1" si="116"/>
        <v>39587.701399426209</v>
      </c>
      <c r="N145" s="162">
        <f t="shared" ca="1" si="116"/>
        <v>42287.555986291765</v>
      </c>
      <c r="O145" s="67"/>
    </row>
    <row r="146" spans="2:15" ht="21.95" customHeight="1" outlineLevel="1">
      <c r="H146" s="178"/>
      <c r="I146" s="44"/>
      <c r="J146" s="44"/>
      <c r="K146" s="44"/>
      <c r="L146" s="44"/>
      <c r="M146" s="44"/>
      <c r="N146" s="44"/>
      <c r="O146" s="66"/>
    </row>
    <row r="147" spans="2:15" outlineLevel="1">
      <c r="B147" s="4" t="s">
        <v>49</v>
      </c>
      <c r="H147" s="178"/>
      <c r="I147" s="44"/>
      <c r="J147" s="44"/>
      <c r="K147" s="44"/>
      <c r="L147" s="44"/>
      <c r="M147" s="44"/>
      <c r="N147" s="44"/>
      <c r="O147" s="66"/>
    </row>
    <row r="148" spans="2:15" outlineLevel="1">
      <c r="B148" s="3" t="s">
        <v>48</v>
      </c>
      <c r="C148" s="45">
        <v>311</v>
      </c>
      <c r="D148" s="45">
        <v>787</v>
      </c>
      <c r="E148" s="45">
        <v>204</v>
      </c>
      <c r="F148" s="45">
        <v>430</v>
      </c>
      <c r="G148" s="45">
        <v>654</v>
      </c>
      <c r="H148" s="179">
        <v>93</v>
      </c>
      <c r="I148" s="44">
        <f>H148</f>
        <v>93</v>
      </c>
      <c r="J148" s="44">
        <f t="shared" ref="J148:N148" si="117">I148</f>
        <v>93</v>
      </c>
      <c r="K148" s="44">
        <f t="shared" si="117"/>
        <v>93</v>
      </c>
      <c r="L148" s="44">
        <f t="shared" si="117"/>
        <v>93</v>
      </c>
      <c r="M148" s="44">
        <f t="shared" si="117"/>
        <v>93</v>
      </c>
      <c r="N148" s="44">
        <f t="shared" si="117"/>
        <v>93</v>
      </c>
      <c r="O148" s="66" t="s">
        <v>101</v>
      </c>
    </row>
    <row r="149" spans="2:15" outlineLevel="1">
      <c r="B149" s="3" t="s">
        <v>50</v>
      </c>
      <c r="C149" s="45">
        <v>30739</v>
      </c>
      <c r="D149" s="45">
        <v>35931</v>
      </c>
      <c r="E149" s="45">
        <v>38608</v>
      </c>
      <c r="F149" s="45">
        <v>40550</v>
      </c>
      <c r="G149" s="45">
        <v>42264</v>
      </c>
      <c r="H149" s="179">
        <v>42801</v>
      </c>
      <c r="I149" s="44">
        <f t="shared" ref="I149:N149" si="118">+H149+I96</f>
        <v>44895.373140159623</v>
      </c>
      <c r="J149" s="44">
        <f t="shared" si="118"/>
        <v>47333.667013574566</v>
      </c>
      <c r="K149" s="44">
        <f t="shared" si="118"/>
        <v>50140.370441866602</v>
      </c>
      <c r="L149" s="44">
        <f t="shared" si="118"/>
        <v>53346.334760509693</v>
      </c>
      <c r="M149" s="44">
        <f t="shared" si="118"/>
        <v>56963.856916017299</v>
      </c>
      <c r="N149" s="44">
        <f t="shared" si="118"/>
        <v>61021.157936637588</v>
      </c>
      <c r="O149" s="66"/>
    </row>
    <row r="150" spans="2:15" outlineLevel="1">
      <c r="B150" s="3" t="s">
        <v>117</v>
      </c>
      <c r="C150" s="45">
        <v>-16549</v>
      </c>
      <c r="D150" s="45">
        <v>-23665</v>
      </c>
      <c r="E150" s="45">
        <v>-24150</v>
      </c>
      <c r="F150" s="45">
        <v>-33210</v>
      </c>
      <c r="G150" s="45">
        <v>-31015</v>
      </c>
      <c r="H150" s="179">
        <v>-21243</v>
      </c>
      <c r="I150" s="44">
        <f ca="1">Model!I246</f>
        <v>-18561.373702877943</v>
      </c>
      <c r="J150" s="44">
        <f ca="1">Model!J246</f>
        <v>-15633.846769830732</v>
      </c>
      <c r="K150" s="44">
        <f ca="1">Model!K246</f>
        <v>-11457.760046730767</v>
      </c>
      <c r="L150" s="44">
        <f ca="1">Model!L246</f>
        <v>-5611.6077546414026</v>
      </c>
      <c r="M150" s="44">
        <f ca="1">Model!M246</f>
        <v>2165.8393018733195</v>
      </c>
      <c r="N150" s="44">
        <f ca="1">Model!N246</f>
        <v>13059.637434425633</v>
      </c>
      <c r="O150" s="66"/>
    </row>
    <row r="151" spans="2:15" outlineLevel="1">
      <c r="B151" s="61" t="s">
        <v>51</v>
      </c>
      <c r="C151" s="45">
        <v>682</v>
      </c>
      <c r="D151" s="45">
        <v>701</v>
      </c>
      <c r="E151" s="45">
        <v>687</v>
      </c>
      <c r="F151" s="45">
        <v>734</v>
      </c>
      <c r="G151" s="45">
        <v>779</v>
      </c>
      <c r="H151" s="179">
        <v>825</v>
      </c>
      <c r="I151" s="44">
        <f>H151</f>
        <v>825</v>
      </c>
      <c r="J151" s="44">
        <f t="shared" ref="J151:N151" si="119">I151</f>
        <v>825</v>
      </c>
      <c r="K151" s="44">
        <f t="shared" si="119"/>
        <v>825</v>
      </c>
      <c r="L151" s="44">
        <f t="shared" si="119"/>
        <v>825</v>
      </c>
      <c r="M151" s="44">
        <f t="shared" si="119"/>
        <v>825</v>
      </c>
      <c r="N151" s="44">
        <f t="shared" si="119"/>
        <v>825</v>
      </c>
      <c r="O151" s="66" t="s">
        <v>101</v>
      </c>
    </row>
    <row r="152" spans="2:15" outlineLevel="1">
      <c r="B152" s="4" t="s">
        <v>52</v>
      </c>
      <c r="C152" s="73">
        <f t="shared" ref="C152:H152" si="120">SUM(C148:C151)</f>
        <v>15183</v>
      </c>
      <c r="D152" s="73">
        <f t="shared" si="120"/>
        <v>13754</v>
      </c>
      <c r="E152" s="73">
        <f t="shared" si="120"/>
        <v>15349</v>
      </c>
      <c r="F152" s="73">
        <f t="shared" si="120"/>
        <v>8504</v>
      </c>
      <c r="G152" s="73">
        <f t="shared" si="120"/>
        <v>12682</v>
      </c>
      <c r="H152" s="182">
        <f t="shared" si="120"/>
        <v>22476</v>
      </c>
      <c r="I152" s="73">
        <f t="shared" ref="I152:N152" ca="1" si="121">SUM(I148:I151)</f>
        <v>27251.99943728168</v>
      </c>
      <c r="J152" s="73">
        <f t="shared" ca="1" si="121"/>
        <v>32617.820243743834</v>
      </c>
      <c r="K152" s="73">
        <f t="shared" ca="1" si="121"/>
        <v>39600.610395135838</v>
      </c>
      <c r="L152" s="73">
        <f t="shared" ca="1" si="121"/>
        <v>48652.727005868292</v>
      </c>
      <c r="M152" s="73">
        <f t="shared" ca="1" si="121"/>
        <v>60047.696217890618</v>
      </c>
      <c r="N152" s="73">
        <f t="shared" ca="1" si="121"/>
        <v>74998.795371063228</v>
      </c>
    </row>
    <row r="153" spans="2:15" outlineLevel="1">
      <c r="B153" s="4"/>
      <c r="C153" s="12"/>
      <c r="D153" s="12"/>
      <c r="E153" s="12"/>
      <c r="F153" s="12"/>
      <c r="G153" s="12"/>
      <c r="H153" s="189"/>
    </row>
    <row r="154" spans="2:15" outlineLevel="1">
      <c r="B154" s="4" t="s">
        <v>100</v>
      </c>
      <c r="C154" s="73">
        <f t="shared" ref="C154:H154" si="122">ROUND(C132-C145-C152,3)</f>
        <v>0</v>
      </c>
      <c r="D154" s="73">
        <f t="shared" si="122"/>
        <v>0</v>
      </c>
      <c r="E154" s="73">
        <f t="shared" si="122"/>
        <v>0</v>
      </c>
      <c r="F154" s="73">
        <f t="shared" si="122"/>
        <v>0</v>
      </c>
      <c r="G154" s="73">
        <f t="shared" si="122"/>
        <v>0</v>
      </c>
      <c r="H154" s="182">
        <f t="shared" si="122"/>
        <v>0</v>
      </c>
      <c r="I154" s="73">
        <f t="shared" ref="I154:N154" ca="1" si="123">ROUND(I132-I145-I152,3)</f>
        <v>0</v>
      </c>
      <c r="J154" s="73">
        <f t="shared" ca="1" si="123"/>
        <v>0</v>
      </c>
      <c r="K154" s="73">
        <f t="shared" ca="1" si="123"/>
        <v>0</v>
      </c>
      <c r="L154" s="73">
        <f t="shared" ca="1" si="123"/>
        <v>0</v>
      </c>
      <c r="M154" s="73">
        <f t="shared" ca="1" si="123"/>
        <v>0</v>
      </c>
      <c r="N154" s="73">
        <f t="shared" ca="1" si="123"/>
        <v>0</v>
      </c>
    </row>
    <row r="155" spans="2:15" outlineLevel="1">
      <c r="H155" s="178"/>
      <c r="J155" s="8"/>
      <c r="K155" s="8"/>
      <c r="L155" s="8"/>
      <c r="M155" s="8"/>
      <c r="N155" s="8"/>
    </row>
    <row r="156" spans="2:15">
      <c r="B156" s="4" t="s">
        <v>93</v>
      </c>
      <c r="H156" s="178"/>
    </row>
    <row r="157" spans="2:15" outlineLevel="1">
      <c r="B157" s="32" t="s">
        <v>55</v>
      </c>
      <c r="C157" s="33" t="s">
        <v>9</v>
      </c>
      <c r="D157" s="34" t="s">
        <v>10</v>
      </c>
      <c r="E157" s="34" t="s">
        <v>11</v>
      </c>
      <c r="F157" s="33" t="s">
        <v>12</v>
      </c>
      <c r="G157" s="33" t="s">
        <v>13</v>
      </c>
      <c r="H157" s="176" t="s">
        <v>14</v>
      </c>
      <c r="I157" s="36" t="s">
        <v>15</v>
      </c>
      <c r="J157" s="36" t="s">
        <v>16</v>
      </c>
      <c r="K157" s="36" t="s">
        <v>17</v>
      </c>
      <c r="L157" s="36" t="s">
        <v>18</v>
      </c>
      <c r="M157" s="36" t="s">
        <v>19</v>
      </c>
      <c r="N157" s="36" t="s">
        <v>20</v>
      </c>
    </row>
    <row r="158" spans="2:15" outlineLevel="1">
      <c r="B158" s="26" t="s">
        <v>56</v>
      </c>
      <c r="C158" s="2">
        <v>43830</v>
      </c>
      <c r="D158" s="2">
        <v>44196</v>
      </c>
      <c r="E158" s="2">
        <v>44561</v>
      </c>
      <c r="F158" s="2">
        <v>44926</v>
      </c>
      <c r="G158" s="2">
        <v>45291</v>
      </c>
      <c r="H158" s="177">
        <v>45657</v>
      </c>
      <c r="I158" s="26"/>
      <c r="J158" s="26"/>
      <c r="K158" s="26"/>
      <c r="L158" s="26"/>
      <c r="M158" s="26"/>
      <c r="N158" s="26"/>
    </row>
    <row r="159" spans="2:15" outlineLevel="1">
      <c r="H159" s="178"/>
    </row>
    <row r="160" spans="2:15" outlineLevel="1">
      <c r="B160" s="3" t="s">
        <v>94</v>
      </c>
      <c r="H160" s="178"/>
      <c r="I160" s="74">
        <f t="shared" ref="I160:N160" ca="1" si="124">+I89</f>
        <v>3881.6262971220576</v>
      </c>
      <c r="J160" s="74">
        <f t="shared" ca="1" si="124"/>
        <v>4127.526933047212</v>
      </c>
      <c r="K160" s="74">
        <f t="shared" ca="1" si="124"/>
        <v>5376.0867230999638</v>
      </c>
      <c r="L160" s="74">
        <f t="shared" ca="1" si="124"/>
        <v>7046.1522920893649</v>
      </c>
      <c r="M160" s="74">
        <f t="shared" ca="1" si="124"/>
        <v>8777.4470565147221</v>
      </c>
      <c r="N160" s="74">
        <f t="shared" ca="1" si="124"/>
        <v>10893.798132552314</v>
      </c>
    </row>
    <row r="161" spans="2:14" outlineLevel="1">
      <c r="B161" s="3" t="s">
        <v>24</v>
      </c>
      <c r="H161" s="178"/>
      <c r="I161" s="74">
        <f t="shared" ref="I161:N161" si="125">-I81</f>
        <v>1209.3255419002644</v>
      </c>
      <c r="J161" s="74">
        <f t="shared" si="125"/>
        <v>1439.9511433209918</v>
      </c>
      <c r="K161" s="74">
        <f t="shared" si="125"/>
        <v>1548.1410839256264</v>
      </c>
      <c r="L161" s="74">
        <f t="shared" si="125"/>
        <v>1552.2042247342627</v>
      </c>
      <c r="M161" s="74">
        <f t="shared" si="125"/>
        <v>1649.8372891664851</v>
      </c>
      <c r="N161" s="74">
        <f t="shared" si="125"/>
        <v>1833.362778015028</v>
      </c>
    </row>
    <row r="162" spans="2:14" outlineLevel="1">
      <c r="B162" s="3" t="s">
        <v>95</v>
      </c>
      <c r="H162" s="178"/>
      <c r="I162" s="74">
        <f t="shared" ref="I162:N162" si="126">I96</f>
        <v>2094.3731401596251</v>
      </c>
      <c r="J162" s="74">
        <f t="shared" si="126"/>
        <v>2438.2938734149402</v>
      </c>
      <c r="K162" s="74">
        <f t="shared" si="126"/>
        <v>2806.7034282920358</v>
      </c>
      <c r="L162" s="74">
        <f t="shared" si="126"/>
        <v>3205.9643186430922</v>
      </c>
      <c r="M162" s="74">
        <f t="shared" si="126"/>
        <v>3617.5221555076082</v>
      </c>
      <c r="N162" s="74">
        <f t="shared" si="126"/>
        <v>4057.3010206202885</v>
      </c>
    </row>
    <row r="163" spans="2:14" outlineLevel="1">
      <c r="B163" s="3" t="s">
        <v>96</v>
      </c>
      <c r="H163" s="178"/>
      <c r="I163" s="44">
        <f ca="1">(H118+H119)-(I118+I119)</f>
        <v>-775.17370781583395</v>
      </c>
      <c r="J163" s="44">
        <f t="shared" ref="J163:N163" ca="1" si="127">(I118+I119)-(J118+J119)</f>
        <v>-863.03456020727481</v>
      </c>
      <c r="K163" s="44">
        <f t="shared" ca="1" si="127"/>
        <v>-914.42143973748989</v>
      </c>
      <c r="L163" s="44">
        <f t="shared" ca="1" si="127"/>
        <v>-981.01344312141828</v>
      </c>
      <c r="M163" s="44">
        <f t="shared" ca="1" si="127"/>
        <v>-1079.8006685797991</v>
      </c>
      <c r="N163" s="44">
        <f t="shared" ca="1" si="127"/>
        <v>-1089.4305309379215</v>
      </c>
    </row>
    <row r="164" spans="2:14" outlineLevel="1">
      <c r="B164" s="3" t="s">
        <v>97</v>
      </c>
      <c r="H164" s="178"/>
      <c r="I164" s="44">
        <f t="shared" ref="I164:N164" ca="1" si="128">(I135+I136+I137+I138)-(H135+H136+H137+H138)</f>
        <v>1307.5875647252215</v>
      </c>
      <c r="J164" s="44">
        <f t="shared" ca="1" si="128"/>
        <v>1334.3814000916536</v>
      </c>
      <c r="K164" s="44">
        <f t="shared" ca="1" si="128"/>
        <v>1864.1409543039845</v>
      </c>
      <c r="L164" s="44">
        <f t="shared" ca="1" si="128"/>
        <v>1999.8955148847454</v>
      </c>
      <c r="M164" s="44">
        <f t="shared" ca="1" si="128"/>
        <v>2201.2833047333152</v>
      </c>
      <c r="N164" s="44">
        <f t="shared" ca="1" si="128"/>
        <v>2220.9147569566085</v>
      </c>
    </row>
    <row r="165" spans="2:14" outlineLevel="1">
      <c r="B165" s="3" t="s">
        <v>177</v>
      </c>
      <c r="H165" s="178"/>
      <c r="I165" s="44">
        <f>-Model!I206</f>
        <v>-1206.5287111761611</v>
      </c>
      <c r="J165" s="44">
        <f>-Model!J206</f>
        <v>-1520.9944037349067</v>
      </c>
      <c r="K165" s="44">
        <f>-Model!K206</f>
        <v>-1691.6920309806446</v>
      </c>
      <c r="L165" s="44">
        <f>-Model!L206</f>
        <v>-1741.4495313854695</v>
      </c>
      <c r="M165" s="44">
        <f>-Model!M206</f>
        <v>-1850.7130268115732</v>
      </c>
      <c r="N165" s="44">
        <f>-Model!N206</f>
        <v>-2072.2741402876954</v>
      </c>
    </row>
    <row r="166" spans="2:14" outlineLevel="1">
      <c r="B166" s="3" t="s">
        <v>98</v>
      </c>
      <c r="H166" s="178"/>
      <c r="I166" s="44">
        <f>SUM(H121+H122+H123+H124+H125+H127+H128+H129)-SUM(I121+I122+I123+I124+I125+I127+I128+I129)</f>
        <v>0</v>
      </c>
      <c r="J166" s="44">
        <f t="shared" ref="J166:N166" si="129">SUM(I121+I122+I123+I124+I125+I127+I128+I129)-SUM(J121+J122+J123+J124+J125+J127+J128+J129)</f>
        <v>0</v>
      </c>
      <c r="K166" s="44">
        <f t="shared" si="129"/>
        <v>0</v>
      </c>
      <c r="L166" s="44">
        <f t="shared" si="129"/>
        <v>0</v>
      </c>
      <c r="M166" s="44">
        <f t="shared" si="129"/>
        <v>0</v>
      </c>
      <c r="N166" s="44">
        <f t="shared" si="129"/>
        <v>0</v>
      </c>
    </row>
    <row r="167" spans="2:14" outlineLevel="1">
      <c r="B167" s="3" t="s">
        <v>99</v>
      </c>
      <c r="H167" s="178"/>
      <c r="I167" s="44">
        <f>SUM(I141+I143+I144)-SUM(H143+H144+H141)</f>
        <v>1280.5684779161547</v>
      </c>
      <c r="J167" s="44">
        <f t="shared" ref="J167:N167" si="130">SUM(J141+J143+J144)-SUM(I143+I144+I141)</f>
        <v>1355.4354263954065</v>
      </c>
      <c r="K167" s="44">
        <f t="shared" si="130"/>
        <v>1449.1119216984607</v>
      </c>
      <c r="L167" s="44">
        <f t="shared" si="130"/>
        <v>1554.178324108605</v>
      </c>
      <c r="M167" s="44">
        <f t="shared" si="130"/>
        <v>1595.6775505686637</v>
      </c>
      <c r="N167" s="44">
        <f t="shared" si="130"/>
        <v>1723.8280219089447</v>
      </c>
    </row>
    <row r="168" spans="2:14" outlineLevel="1">
      <c r="B168" s="53" t="s">
        <v>38</v>
      </c>
      <c r="C168" s="53"/>
      <c r="D168" s="53"/>
      <c r="E168" s="53"/>
      <c r="F168" s="53"/>
      <c r="G168" s="53"/>
      <c r="H168" s="190"/>
      <c r="I168" s="207">
        <f t="shared" ref="I168:N168" ca="1" si="131">H130-I130</f>
        <v>3906.4596304553911</v>
      </c>
      <c r="J168" s="207">
        <f t="shared" ca="1" si="131"/>
        <v>412.54036954460889</v>
      </c>
      <c r="K168" s="207">
        <f t="shared" ca="1" si="131"/>
        <v>0</v>
      </c>
      <c r="L168" s="207">
        <f t="shared" ca="1" si="131"/>
        <v>0</v>
      </c>
      <c r="M168" s="207">
        <f t="shared" ca="1" si="131"/>
        <v>0</v>
      </c>
      <c r="N168" s="207">
        <f t="shared" ca="1" si="131"/>
        <v>0</v>
      </c>
    </row>
    <row r="169" spans="2:14" outlineLevel="1">
      <c r="B169" s="4" t="s">
        <v>127</v>
      </c>
      <c r="H169" s="178"/>
      <c r="I169" s="162">
        <f t="shared" ref="I169:N169" ca="1" si="132">SUM(I160:I168)</f>
        <v>11698.23823328672</v>
      </c>
      <c r="J169" s="162">
        <f t="shared" ca="1" si="132"/>
        <v>8724.1001818726309</v>
      </c>
      <c r="K169" s="162">
        <f t="shared" ca="1" si="132"/>
        <v>10438.070640601936</v>
      </c>
      <c r="L169" s="162">
        <f t="shared" ca="1" si="132"/>
        <v>12635.931699953182</v>
      </c>
      <c r="M169" s="162">
        <f t="shared" ca="1" si="132"/>
        <v>14911.253661099423</v>
      </c>
      <c r="N169" s="162">
        <f t="shared" ca="1" si="132"/>
        <v>17567.500038827566</v>
      </c>
    </row>
    <row r="170" spans="2:14" outlineLevel="1">
      <c r="B170" s="4"/>
      <c r="H170" s="178"/>
      <c r="I170" s="43"/>
      <c r="J170" s="43"/>
      <c r="K170" s="43"/>
      <c r="L170" s="43"/>
      <c r="M170" s="43"/>
      <c r="N170" s="43"/>
    </row>
    <row r="171" spans="2:14" outlineLevel="1">
      <c r="B171" s="53" t="s">
        <v>155</v>
      </c>
      <c r="C171" s="53"/>
      <c r="D171" s="53"/>
      <c r="E171" s="53"/>
      <c r="F171" s="53"/>
      <c r="G171" s="53"/>
      <c r="H171" s="190"/>
      <c r="I171" s="207">
        <f>-Model!I192</f>
        <v>-369.83333333333331</v>
      </c>
      <c r="J171" s="207">
        <f>-Model!J192</f>
        <v>-333.47222222222223</v>
      </c>
      <c r="K171" s="207">
        <f>-Model!K192</f>
        <v>-286.38425925925924</v>
      </c>
      <c r="L171" s="207">
        <f>-Model!L192</f>
        <v>-284.4483024691358</v>
      </c>
      <c r="M171" s="207">
        <f>-Model!M192</f>
        <v>-289.85635288065845</v>
      </c>
      <c r="N171" s="207">
        <f>-Model!N192</f>
        <v>-300.99907836076818</v>
      </c>
    </row>
    <row r="172" spans="2:14" outlineLevel="1">
      <c r="B172" s="4" t="s">
        <v>128</v>
      </c>
      <c r="H172" s="178"/>
      <c r="I172" s="162">
        <f>SUM(I171)</f>
        <v>-369.83333333333331</v>
      </c>
      <c r="J172" s="162">
        <f t="shared" ref="J172:N172" si="133">SUM(J171)</f>
        <v>-333.47222222222223</v>
      </c>
      <c r="K172" s="162">
        <f t="shared" si="133"/>
        <v>-286.38425925925924</v>
      </c>
      <c r="L172" s="162">
        <f t="shared" si="133"/>
        <v>-284.4483024691358</v>
      </c>
      <c r="M172" s="162">
        <f t="shared" si="133"/>
        <v>-289.85635288065845</v>
      </c>
      <c r="N172" s="162">
        <f t="shared" si="133"/>
        <v>-300.99907836076818</v>
      </c>
    </row>
    <row r="173" spans="2:14" outlineLevel="1">
      <c r="H173" s="178"/>
      <c r="I173" s="43"/>
      <c r="J173" s="43"/>
      <c r="K173" s="43"/>
      <c r="L173" s="43"/>
      <c r="M173" s="43"/>
      <c r="N173" s="43"/>
    </row>
    <row r="174" spans="2:14" outlineLevel="1">
      <c r="H174" s="178"/>
      <c r="I174" s="43"/>
      <c r="J174" s="43"/>
      <c r="K174" s="43"/>
      <c r="L174" s="43"/>
      <c r="M174" s="43"/>
      <c r="N174" s="43"/>
    </row>
    <row r="175" spans="2:14" outlineLevel="1">
      <c r="B175" s="3" t="s">
        <v>157</v>
      </c>
      <c r="H175" s="178"/>
      <c r="I175" s="44">
        <f>+I142-H142</f>
        <v>-1734.3999999999996</v>
      </c>
      <c r="J175" s="44">
        <f t="shared" ref="J175:N175" si="134">+J142-I142</f>
        <v>-587.52000000000044</v>
      </c>
      <c r="K175" s="44">
        <f t="shared" si="134"/>
        <v>9.9840000000003783</v>
      </c>
      <c r="L175" s="44">
        <f t="shared" si="134"/>
        <v>-1717.0128000000004</v>
      </c>
      <c r="M175" s="44">
        <f t="shared" si="134"/>
        <v>-1493.61024</v>
      </c>
      <c r="N175" s="44">
        <f t="shared" si="134"/>
        <v>-1244.8881919999999</v>
      </c>
    </row>
    <row r="176" spans="2:14" outlineLevel="1">
      <c r="B176" s="3" t="s">
        <v>156</v>
      </c>
      <c r="H176" s="178"/>
      <c r="I176" s="44">
        <f t="shared" ref="I176:N176" ca="1" si="135">I139-H139</f>
        <v>400</v>
      </c>
      <c r="J176" s="44">
        <f t="shared" ca="1" si="135"/>
        <v>0</v>
      </c>
      <c r="K176" s="44">
        <f t="shared" ca="1" si="135"/>
        <v>0</v>
      </c>
      <c r="L176" s="44">
        <f t="shared" ca="1" si="135"/>
        <v>0</v>
      </c>
      <c r="M176" s="44">
        <f t="shared" ca="1" si="135"/>
        <v>0</v>
      </c>
      <c r="N176" s="44">
        <f t="shared" ca="1" si="135"/>
        <v>0</v>
      </c>
    </row>
    <row r="177" spans="2:14" outlineLevel="1">
      <c r="B177" s="53" t="s">
        <v>158</v>
      </c>
      <c r="C177" s="53"/>
      <c r="D177" s="53"/>
      <c r="E177" s="53"/>
      <c r="F177" s="53"/>
      <c r="G177" s="53"/>
      <c r="H177" s="190"/>
      <c r="I177" s="207">
        <f>+Model!I245</f>
        <v>-1200</v>
      </c>
      <c r="J177" s="207">
        <f>+Model!J245</f>
        <v>-1200</v>
      </c>
      <c r="K177" s="207">
        <f>+Model!K245</f>
        <v>-1200</v>
      </c>
      <c r="L177" s="207">
        <f>+Model!L245</f>
        <v>-1200</v>
      </c>
      <c r="M177" s="207">
        <f>+Model!M245</f>
        <v>-1000</v>
      </c>
      <c r="N177" s="207">
        <f>+Model!N245</f>
        <v>0</v>
      </c>
    </row>
    <row r="178" spans="2:14" outlineLevel="1">
      <c r="B178" s="4" t="s">
        <v>129</v>
      </c>
      <c r="H178" s="178"/>
      <c r="I178" s="162">
        <f t="shared" ref="I178:N178" ca="1" si="136">SUM(I175:I177)</f>
        <v>-2534.3999999999996</v>
      </c>
      <c r="J178" s="162">
        <f t="shared" ca="1" si="136"/>
        <v>-1787.5200000000004</v>
      </c>
      <c r="K178" s="162">
        <f t="shared" ca="1" si="136"/>
        <v>-1190.0159999999996</v>
      </c>
      <c r="L178" s="162">
        <f t="shared" ca="1" si="136"/>
        <v>-2917.0128000000004</v>
      </c>
      <c r="M178" s="162">
        <f t="shared" ca="1" si="136"/>
        <v>-2493.61024</v>
      </c>
      <c r="N178" s="162">
        <f t="shared" ca="1" si="136"/>
        <v>-1244.8881919999999</v>
      </c>
    </row>
    <row r="179" spans="2:14" outlineLevel="1">
      <c r="H179" s="178"/>
      <c r="I179" s="43"/>
      <c r="J179" s="43"/>
      <c r="K179" s="43"/>
      <c r="L179" s="43"/>
      <c r="M179" s="43"/>
      <c r="N179" s="43"/>
    </row>
    <row r="180" spans="2:14" outlineLevel="1">
      <c r="B180" s="4" t="s">
        <v>159</v>
      </c>
      <c r="H180" s="178"/>
      <c r="I180" s="162">
        <f t="shared" ref="I180:N180" ca="1" si="137">I169+I172+I178</f>
        <v>8794.0048999533865</v>
      </c>
      <c r="J180" s="162">
        <f t="shared" ca="1" si="137"/>
        <v>6603.1079596504078</v>
      </c>
      <c r="K180" s="162">
        <f t="shared" ca="1" si="137"/>
        <v>8961.6703813426775</v>
      </c>
      <c r="L180" s="162">
        <f t="shared" ca="1" si="137"/>
        <v>9434.4705974840454</v>
      </c>
      <c r="M180" s="162">
        <f t="shared" ca="1" si="137"/>
        <v>12127.787068218764</v>
      </c>
      <c r="N180" s="162">
        <f t="shared" ca="1" si="137"/>
        <v>16021.612768466797</v>
      </c>
    </row>
    <row r="181" spans="2:14" outlineLevel="1">
      <c r="B181" s="4"/>
      <c r="H181" s="178"/>
      <c r="I181" s="162"/>
      <c r="J181" s="162"/>
      <c r="K181" s="162"/>
      <c r="L181" s="162"/>
      <c r="M181" s="162"/>
      <c r="N181" s="162"/>
    </row>
    <row r="182" spans="2:14" outlineLevel="1">
      <c r="B182" s="4" t="s">
        <v>204</v>
      </c>
      <c r="H182" s="178"/>
      <c r="I182" s="73">
        <f t="shared" ref="I182:N182" ca="1" si="138">I169-(SUM(I83:I84)*(1-C346))+I171</f>
        <v>10925.646964469675</v>
      </c>
      <c r="J182" s="73">
        <f t="shared" ca="1" si="138"/>
        <v>7763.5620738622947</v>
      </c>
      <c r="K182" s="73">
        <f t="shared" ca="1" si="138"/>
        <v>9314.0006234666489</v>
      </c>
      <c r="L182" s="73">
        <f t="shared" ca="1" si="138"/>
        <v>11254.349707942831</v>
      </c>
      <c r="M182" s="73">
        <f t="shared" ca="1" si="138"/>
        <v>13328.359576690227</v>
      </c>
      <c r="N182" s="73">
        <f t="shared" ca="1" si="138"/>
        <v>15502.422909728117</v>
      </c>
    </row>
    <row r="183" spans="2:14" outlineLevel="1">
      <c r="H183" s="178"/>
    </row>
    <row r="184" spans="2:14" outlineLevel="1">
      <c r="H184" s="178"/>
    </row>
    <row r="185" spans="2:14">
      <c r="B185" s="4" t="s">
        <v>313</v>
      </c>
      <c r="H185" s="178"/>
    </row>
    <row r="186" spans="2:14" ht="15.65" outlineLevel="1">
      <c r="B186" s="175"/>
      <c r="H186" s="178"/>
    </row>
    <row r="187" spans="2:14" ht="15.05" customHeight="1" outlineLevel="1">
      <c r="B187" s="4" t="s">
        <v>161</v>
      </c>
      <c r="H187" s="178"/>
    </row>
    <row r="188" spans="2:14" outlineLevel="1">
      <c r="B188" s="32" t="s">
        <v>55</v>
      </c>
      <c r="C188" s="33" t="s">
        <v>9</v>
      </c>
      <c r="D188" s="34" t="s">
        <v>10</v>
      </c>
      <c r="E188" s="34" t="s">
        <v>11</v>
      </c>
      <c r="F188" s="33" t="s">
        <v>12</v>
      </c>
      <c r="G188" s="33" t="s">
        <v>13</v>
      </c>
      <c r="H188" s="176" t="s">
        <v>14</v>
      </c>
      <c r="I188" s="36" t="s">
        <v>15</v>
      </c>
      <c r="J188" s="36" t="s">
        <v>16</v>
      </c>
      <c r="K188" s="36" t="s">
        <v>17</v>
      </c>
      <c r="L188" s="36" t="s">
        <v>18</v>
      </c>
      <c r="M188" s="36" t="s">
        <v>19</v>
      </c>
      <c r="N188" s="36" t="s">
        <v>20</v>
      </c>
    </row>
    <row r="189" spans="2:14" outlineLevel="1">
      <c r="B189" s="26" t="s">
        <v>56</v>
      </c>
      <c r="C189" s="2">
        <v>43830</v>
      </c>
      <c r="D189" s="2">
        <v>44196</v>
      </c>
      <c r="E189" s="2">
        <v>44561</v>
      </c>
      <c r="F189" s="2">
        <v>44926</v>
      </c>
      <c r="G189" s="2">
        <v>45291</v>
      </c>
      <c r="H189" s="177">
        <v>45657</v>
      </c>
      <c r="I189" s="26"/>
      <c r="J189" s="26"/>
      <c r="K189" s="26"/>
      <c r="L189" s="26"/>
      <c r="M189" s="26"/>
      <c r="N189" s="26"/>
    </row>
    <row r="190" spans="2:14" outlineLevel="1">
      <c r="H190" s="178"/>
    </row>
    <row r="191" spans="2:14" outlineLevel="1">
      <c r="B191" s="5" t="s">
        <v>53</v>
      </c>
      <c r="C191" s="8"/>
      <c r="D191" s="8"/>
      <c r="E191" s="8"/>
      <c r="F191" s="8"/>
      <c r="G191" s="8"/>
      <c r="H191" s="186"/>
      <c r="I191" s="74">
        <f t="shared" ref="I191:N191" si="139">H194</f>
        <v>1952</v>
      </c>
      <c r="J191" s="74">
        <f t="shared" si="139"/>
        <v>1891.4126369238877</v>
      </c>
      <c r="K191" s="74">
        <f t="shared" si="139"/>
        <v>1813.0261332575858</v>
      </c>
      <c r="L191" s="74">
        <f t="shared" si="139"/>
        <v>1714.9623449985647</v>
      </c>
      <c r="M191" s="74">
        <f t="shared" si="139"/>
        <v>1616.441292780589</v>
      </c>
      <c r="N191" s="74">
        <f t="shared" si="139"/>
        <v>1517.3349244593066</v>
      </c>
    </row>
    <row r="192" spans="2:14" outlineLevel="1">
      <c r="B192" s="9" t="s">
        <v>77</v>
      </c>
      <c r="C192" s="45">
        <v>588</v>
      </c>
      <c r="D192" s="45">
        <v>616</v>
      </c>
      <c r="E192" s="45">
        <v>298</v>
      </c>
      <c r="F192" s="45">
        <v>252</v>
      </c>
      <c r="G192" s="45">
        <v>223</v>
      </c>
      <c r="H192" s="179">
        <v>242</v>
      </c>
      <c r="I192" s="211">
        <f>AVERAGE($C$192:$H$192)</f>
        <v>369.83333333333331</v>
      </c>
      <c r="J192" s="211">
        <f>AVERAGE(D192:I192)</f>
        <v>333.47222222222223</v>
      </c>
      <c r="K192" s="211">
        <f>AVERAGE(E192:J192)</f>
        <v>286.38425925925924</v>
      </c>
      <c r="L192" s="211">
        <f>AVERAGE(F192:K192)</f>
        <v>284.4483024691358</v>
      </c>
      <c r="M192" s="211">
        <f>AVERAGE(G192:L192)</f>
        <v>289.85635288065845</v>
      </c>
      <c r="N192" s="211">
        <f>AVERAGE(H192:M192)</f>
        <v>300.99907836076818</v>
      </c>
    </row>
    <row r="193" spans="2:14" outlineLevel="1">
      <c r="B193" s="10" t="s">
        <v>78</v>
      </c>
      <c r="C193" s="54">
        <v>-433</v>
      </c>
      <c r="D193" s="54">
        <v>-364</v>
      </c>
      <c r="E193" s="54">
        <v>-393</v>
      </c>
      <c r="F193" s="54">
        <v>-346</v>
      </c>
      <c r="G193" s="54">
        <v>-355</v>
      </c>
      <c r="H193" s="183">
        <v>-332</v>
      </c>
      <c r="I193" s="212">
        <f t="shared" ref="I193:N193" si="140">-(I196*I192)</f>
        <v>-430.42069640944572</v>
      </c>
      <c r="J193" s="212">
        <f t="shared" si="140"/>
        <v>-411.85872588852436</v>
      </c>
      <c r="K193" s="212">
        <f t="shared" si="140"/>
        <v>-384.44804751828036</v>
      </c>
      <c r="L193" s="212">
        <f t="shared" si="140"/>
        <v>-382.96935468711155</v>
      </c>
      <c r="M193" s="212">
        <f t="shared" si="140"/>
        <v>-388.96272120194084</v>
      </c>
      <c r="N193" s="212">
        <f t="shared" si="140"/>
        <v>-391.37304685875688</v>
      </c>
    </row>
    <row r="194" spans="2:14" outlineLevel="1">
      <c r="B194" s="19" t="s">
        <v>54</v>
      </c>
      <c r="C194" s="162">
        <f>Model!C126</f>
        <v>1731</v>
      </c>
      <c r="D194" s="162">
        <f>Model!D126</f>
        <v>1814</v>
      </c>
      <c r="E194" s="162">
        <f>Model!E126</f>
        <v>1853</v>
      </c>
      <c r="F194" s="162">
        <f>Model!F126</f>
        <v>2082</v>
      </c>
      <c r="G194" s="162">
        <f>Model!G126</f>
        <v>2073</v>
      </c>
      <c r="H194" s="191">
        <f>Model!H126</f>
        <v>1952</v>
      </c>
      <c r="I194" s="213">
        <f t="shared" ref="I194:N194" si="141">SUM(I191:I193)</f>
        <v>1891.4126369238877</v>
      </c>
      <c r="J194" s="213">
        <f t="shared" si="141"/>
        <v>1813.0261332575858</v>
      </c>
      <c r="K194" s="213">
        <f t="shared" si="141"/>
        <v>1714.9623449985647</v>
      </c>
      <c r="L194" s="213">
        <f t="shared" si="141"/>
        <v>1616.441292780589</v>
      </c>
      <c r="M194" s="213">
        <f t="shared" si="141"/>
        <v>1517.3349244593066</v>
      </c>
      <c r="N194" s="213">
        <f t="shared" si="141"/>
        <v>1426.9609559613179</v>
      </c>
    </row>
    <row r="195" spans="2:14" outlineLevel="1">
      <c r="C195" s="43"/>
      <c r="D195" s="43"/>
      <c r="E195" s="43"/>
      <c r="F195" s="43"/>
      <c r="G195" s="43"/>
      <c r="H195" s="192"/>
      <c r="I195" s="43"/>
      <c r="J195" s="43"/>
      <c r="K195" s="43"/>
      <c r="L195" s="43"/>
      <c r="M195" s="43"/>
      <c r="N195" s="43"/>
    </row>
    <row r="196" spans="2:14" outlineLevel="1">
      <c r="B196" s="5" t="s">
        <v>82</v>
      </c>
      <c r="C196" s="163">
        <f t="shared" ref="C196:H196" si="142">-C193/C192</f>
        <v>0.73639455782312924</v>
      </c>
      <c r="D196" s="163">
        <f t="shared" si="142"/>
        <v>0.59090909090909094</v>
      </c>
      <c r="E196" s="163">
        <f t="shared" si="142"/>
        <v>1.3187919463087248</v>
      </c>
      <c r="F196" s="163">
        <f t="shared" si="142"/>
        <v>1.373015873015873</v>
      </c>
      <c r="G196" s="163">
        <f t="shared" si="142"/>
        <v>1.5919282511210762</v>
      </c>
      <c r="H196" s="193">
        <f t="shared" si="142"/>
        <v>1.3719008264462811</v>
      </c>
      <c r="I196" s="214">
        <f t="shared" ref="I196:N196" si="143">AVERAGE(C196:H196)</f>
        <v>1.163823424270696</v>
      </c>
      <c r="J196" s="214">
        <f t="shared" si="143"/>
        <v>1.2350615686786237</v>
      </c>
      <c r="K196" s="214">
        <f t="shared" si="143"/>
        <v>1.3424203149735456</v>
      </c>
      <c r="L196" s="214">
        <f t="shared" si="143"/>
        <v>1.3463583764176825</v>
      </c>
      <c r="M196" s="214">
        <f t="shared" si="143"/>
        <v>1.3419154603179841</v>
      </c>
      <c r="N196" s="214">
        <f t="shared" si="143"/>
        <v>1.3002466618508022</v>
      </c>
    </row>
    <row r="197" spans="2:14" outlineLevel="1">
      <c r="C197" s="43"/>
      <c r="D197" s="43"/>
      <c r="E197" s="43"/>
      <c r="F197" s="43"/>
      <c r="G197" s="43"/>
      <c r="H197" s="192"/>
      <c r="I197" s="43"/>
      <c r="J197" s="43"/>
      <c r="K197" s="43"/>
      <c r="L197" s="43"/>
      <c r="M197" s="43"/>
      <c r="N197" s="43"/>
    </row>
    <row r="198" spans="2:14" outlineLevel="1">
      <c r="B198" s="62" t="s">
        <v>81</v>
      </c>
      <c r="C198" s="43"/>
      <c r="D198" s="43"/>
      <c r="E198" s="43"/>
      <c r="F198" s="43"/>
      <c r="G198" s="43"/>
      <c r="H198" s="192"/>
      <c r="I198" s="43"/>
      <c r="J198" s="43"/>
      <c r="K198" s="43"/>
      <c r="L198" s="43"/>
      <c r="M198" s="43"/>
      <c r="N198" s="43"/>
    </row>
    <row r="199" spans="2:14" outlineLevel="1">
      <c r="B199" s="5" t="s">
        <v>306</v>
      </c>
      <c r="C199" s="44">
        <f t="shared" ref="C199:H199" si="144">-C193+C201</f>
        <v>-39</v>
      </c>
      <c r="D199" s="44">
        <f t="shared" si="144"/>
        <v>-211</v>
      </c>
      <c r="E199" s="44">
        <f t="shared" si="144"/>
        <v>-509</v>
      </c>
      <c r="F199" s="44">
        <f t="shared" si="144"/>
        <v>-601</v>
      </c>
      <c r="G199" s="44">
        <f t="shared" si="144"/>
        <v>-468</v>
      </c>
      <c r="H199" s="194">
        <f t="shared" si="144"/>
        <v>-379</v>
      </c>
      <c r="I199" s="44">
        <f>I200*Model!I69</f>
        <v>-778.90484549081862</v>
      </c>
      <c r="J199" s="44">
        <f>J200*Model!J69</f>
        <v>-1028.0924174324675</v>
      </c>
      <c r="K199" s="44">
        <f>K200*Model!K69</f>
        <v>-1163.693036407346</v>
      </c>
      <c r="L199" s="44">
        <f>L200*Model!L69</f>
        <v>-1169.2348700471512</v>
      </c>
      <c r="M199" s="44">
        <f>M200*Model!M69</f>
        <v>-1260.8745679645442</v>
      </c>
      <c r="N199" s="44">
        <f>N200*Model!N69</f>
        <v>-1441.9897311562711</v>
      </c>
    </row>
    <row r="200" spans="2:14" outlineLevel="1">
      <c r="B200" s="15" t="s">
        <v>79</v>
      </c>
      <c r="C200" s="164">
        <f>C199/Model!C69</f>
        <v>-3.0000000000000001E-3</v>
      </c>
      <c r="D200" s="164">
        <f>D199/Model!D69</f>
        <v>-1.8942454439357215E-2</v>
      </c>
      <c r="E200" s="164">
        <f>E199/Model!E69</f>
        <v>-2.9160698940131766E-2</v>
      </c>
      <c r="F200" s="164">
        <f>F199/Model!F69</f>
        <v>-1.8853718982338362E-2</v>
      </c>
      <c r="G200" s="164">
        <f>G199/Model!G69</f>
        <v>-1.2553311338215177E-2</v>
      </c>
      <c r="H200" s="195">
        <f>H199/Model!H69</f>
        <v>-8.6179453363045156E-3</v>
      </c>
      <c r="I200" s="215">
        <f t="shared" ref="I200:N200" si="145">AVERAGE(C200:H200)</f>
        <v>-1.5188021506057839E-2</v>
      </c>
      <c r="J200" s="215">
        <f t="shared" si="145"/>
        <v>-1.7219358423734146E-2</v>
      </c>
      <c r="K200" s="215">
        <f t="shared" si="145"/>
        <v>-1.6932175754463635E-2</v>
      </c>
      <c r="L200" s="215">
        <f t="shared" si="145"/>
        <v>-1.4894088556852279E-2</v>
      </c>
      <c r="M200" s="215">
        <f t="shared" si="145"/>
        <v>-1.4234150152604602E-2</v>
      </c>
      <c r="N200" s="215">
        <f t="shared" si="145"/>
        <v>-1.4514289955002835E-2</v>
      </c>
    </row>
    <row r="201" spans="2:14" outlineLevel="1">
      <c r="B201" s="7" t="s">
        <v>80</v>
      </c>
      <c r="C201" s="162">
        <f>Model!C81</f>
        <v>-472</v>
      </c>
      <c r="D201" s="162">
        <f>Model!D81</f>
        <v>-575</v>
      </c>
      <c r="E201" s="162">
        <f>Model!E81</f>
        <v>-902</v>
      </c>
      <c r="F201" s="162">
        <f>Model!F81</f>
        <v>-947</v>
      </c>
      <c r="G201" s="162">
        <f>Model!G81</f>
        <v>-823</v>
      </c>
      <c r="H201" s="191">
        <f>Model!H81</f>
        <v>-711</v>
      </c>
      <c r="I201" s="162">
        <f t="shared" ref="I201:N201" si="146">I193+I199</f>
        <v>-1209.3255419002644</v>
      </c>
      <c r="J201" s="162">
        <f t="shared" si="146"/>
        <v>-1439.9511433209918</v>
      </c>
      <c r="K201" s="162">
        <f t="shared" si="146"/>
        <v>-1548.1410839256264</v>
      </c>
      <c r="L201" s="162">
        <f t="shared" si="146"/>
        <v>-1552.2042247342627</v>
      </c>
      <c r="M201" s="162">
        <f t="shared" si="146"/>
        <v>-1649.8372891664851</v>
      </c>
      <c r="N201" s="162">
        <f t="shared" si="146"/>
        <v>-1833.362778015028</v>
      </c>
    </row>
    <row r="202" spans="2:14" outlineLevel="1">
      <c r="B202" s="7"/>
      <c r="C202" s="162"/>
      <c r="D202" s="162"/>
      <c r="E202" s="162"/>
      <c r="F202" s="162"/>
      <c r="G202" s="162"/>
      <c r="H202" s="191"/>
      <c r="I202" s="162"/>
      <c r="J202" s="162"/>
      <c r="K202" s="162"/>
      <c r="L202" s="162"/>
      <c r="M202" s="162"/>
      <c r="N202" s="162"/>
    </row>
    <row r="203" spans="2:14" outlineLevel="1">
      <c r="B203" s="4" t="s">
        <v>39</v>
      </c>
      <c r="C203" s="162"/>
      <c r="D203" s="162"/>
      <c r="E203" s="162"/>
      <c r="F203" s="162"/>
      <c r="G203" s="162"/>
      <c r="H203" s="191"/>
      <c r="I203" s="162"/>
      <c r="J203" s="162"/>
      <c r="K203" s="162"/>
      <c r="L203" s="162"/>
      <c r="M203" s="162"/>
      <c r="N203" s="162"/>
    </row>
    <row r="204" spans="2:14" outlineLevel="1">
      <c r="B204" s="5" t="s">
        <v>53</v>
      </c>
      <c r="C204" s="44"/>
      <c r="D204" s="44">
        <f t="shared" ref="D204:N204" si="147">C207</f>
        <v>88</v>
      </c>
      <c r="E204" s="44">
        <f t="shared" si="147"/>
        <v>124</v>
      </c>
      <c r="F204" s="44">
        <f t="shared" si="147"/>
        <v>397</v>
      </c>
      <c r="G204" s="44">
        <f t="shared" si="147"/>
        <v>518</v>
      </c>
      <c r="H204" s="194">
        <f t="shared" si="147"/>
        <v>1590</v>
      </c>
      <c r="I204" s="44">
        <f t="shared" si="147"/>
        <v>2574</v>
      </c>
      <c r="J204" s="44">
        <f t="shared" si="147"/>
        <v>3001.6238656853425</v>
      </c>
      <c r="K204" s="44">
        <f t="shared" si="147"/>
        <v>3494.5258519877816</v>
      </c>
      <c r="L204" s="44">
        <f t="shared" si="147"/>
        <v>4022.5248465610803</v>
      </c>
      <c r="M204" s="44">
        <f t="shared" si="147"/>
        <v>4594.7395078993986</v>
      </c>
      <c r="N204" s="44">
        <f t="shared" si="147"/>
        <v>5184.5779667464276</v>
      </c>
    </row>
    <row r="205" spans="2:14" outlineLevel="1">
      <c r="B205" s="5" t="s">
        <v>162</v>
      </c>
      <c r="C205" s="162"/>
      <c r="D205" s="44"/>
      <c r="E205" s="44"/>
      <c r="F205" s="44"/>
      <c r="G205" s="44"/>
      <c r="H205" s="194"/>
      <c r="I205" s="44">
        <f t="shared" ref="I205:N205" si="148">I199</f>
        <v>-778.90484549081862</v>
      </c>
      <c r="J205" s="44">
        <f t="shared" si="148"/>
        <v>-1028.0924174324675</v>
      </c>
      <c r="K205" s="44">
        <f t="shared" si="148"/>
        <v>-1163.693036407346</v>
      </c>
      <c r="L205" s="44">
        <f t="shared" si="148"/>
        <v>-1169.2348700471512</v>
      </c>
      <c r="M205" s="44">
        <f t="shared" si="148"/>
        <v>-1260.8745679645442</v>
      </c>
      <c r="N205" s="44">
        <f t="shared" si="148"/>
        <v>-1441.9897311562711</v>
      </c>
    </row>
    <row r="206" spans="2:14" outlineLevel="1">
      <c r="B206" s="23" t="s">
        <v>163</v>
      </c>
      <c r="C206" s="165"/>
      <c r="D206" s="161"/>
      <c r="E206" s="161"/>
      <c r="F206" s="161"/>
      <c r="G206" s="161"/>
      <c r="H206" s="196"/>
      <c r="I206" s="161">
        <f t="shared" ref="I206:N206" si="149">I207-I204-I205</f>
        <v>1206.5287111761611</v>
      </c>
      <c r="J206" s="161">
        <f t="shared" si="149"/>
        <v>1520.9944037349067</v>
      </c>
      <c r="K206" s="161">
        <f t="shared" si="149"/>
        <v>1691.6920309806446</v>
      </c>
      <c r="L206" s="161">
        <f t="shared" si="149"/>
        <v>1741.4495313854695</v>
      </c>
      <c r="M206" s="161">
        <f t="shared" si="149"/>
        <v>1850.7130268115732</v>
      </c>
      <c r="N206" s="161">
        <f t="shared" si="149"/>
        <v>2072.2741402876954</v>
      </c>
    </row>
    <row r="207" spans="2:14" outlineLevel="1">
      <c r="B207" s="7" t="s">
        <v>125</v>
      </c>
      <c r="C207" s="162">
        <f>Model!C131</f>
        <v>88</v>
      </c>
      <c r="D207" s="162">
        <f>Model!D131</f>
        <v>124</v>
      </c>
      <c r="E207" s="162">
        <f>Model!E131</f>
        <v>397</v>
      </c>
      <c r="F207" s="162">
        <f>Model!F131</f>
        <v>518</v>
      </c>
      <c r="G207" s="162">
        <f>Model!G131</f>
        <v>1590</v>
      </c>
      <c r="H207" s="191">
        <f>Model!H131</f>
        <v>2574</v>
      </c>
      <c r="I207" s="162">
        <f>Model!I131</f>
        <v>3001.6238656853425</v>
      </c>
      <c r="J207" s="162">
        <f>Model!J131</f>
        <v>3494.5258519877816</v>
      </c>
      <c r="K207" s="162">
        <f>Model!K131</f>
        <v>4022.5248465610803</v>
      </c>
      <c r="L207" s="162">
        <f>Model!L131</f>
        <v>4594.7395078993986</v>
      </c>
      <c r="M207" s="162">
        <f>Model!M131</f>
        <v>5184.5779667464276</v>
      </c>
      <c r="N207" s="162">
        <f>Model!N131</f>
        <v>5814.8623758778522</v>
      </c>
    </row>
    <row r="208" spans="2:14" outlineLevel="1">
      <c r="B208" s="7"/>
      <c r="C208" s="12"/>
      <c r="D208" s="12"/>
      <c r="E208" s="12"/>
      <c r="F208" s="12"/>
      <c r="G208" s="12"/>
      <c r="H208" s="189"/>
      <c r="I208" s="12"/>
      <c r="J208" s="12"/>
      <c r="K208" s="12"/>
      <c r="L208" s="12"/>
      <c r="M208" s="12"/>
      <c r="N208" s="12"/>
    </row>
    <row r="209" spans="2:14" outlineLevel="1" collapsed="1">
      <c r="B209" s="4" t="s">
        <v>102</v>
      </c>
      <c r="H209" s="178"/>
    </row>
    <row r="210" spans="2:14" outlineLevel="1">
      <c r="B210" s="32" t="s">
        <v>55</v>
      </c>
      <c r="C210" s="33" t="s">
        <v>9</v>
      </c>
      <c r="D210" s="34" t="s">
        <v>10</v>
      </c>
      <c r="E210" s="34" t="s">
        <v>11</v>
      </c>
      <c r="F210" s="33" t="s">
        <v>12</v>
      </c>
      <c r="G210" s="33" t="s">
        <v>13</v>
      </c>
      <c r="H210" s="176" t="s">
        <v>14</v>
      </c>
      <c r="I210" s="36" t="s">
        <v>15</v>
      </c>
      <c r="J210" s="36" t="s">
        <v>16</v>
      </c>
      <c r="K210" s="36" t="s">
        <v>17</v>
      </c>
      <c r="L210" s="36" t="s">
        <v>18</v>
      </c>
      <c r="M210" s="36" t="s">
        <v>19</v>
      </c>
      <c r="N210" s="36" t="s">
        <v>20</v>
      </c>
    </row>
    <row r="211" spans="2:14" outlineLevel="1">
      <c r="B211" s="26" t="s">
        <v>56</v>
      </c>
      <c r="C211" s="2">
        <v>43830</v>
      </c>
      <c r="D211" s="2">
        <v>44196</v>
      </c>
      <c r="E211" s="2">
        <v>44561</v>
      </c>
      <c r="F211" s="2">
        <v>44926</v>
      </c>
      <c r="G211" s="2">
        <v>45291</v>
      </c>
      <c r="H211" s="177">
        <v>45657</v>
      </c>
      <c r="I211" s="26"/>
      <c r="J211" s="26"/>
      <c r="K211" s="26"/>
      <c r="L211" s="26"/>
      <c r="M211" s="26"/>
      <c r="N211" s="26"/>
    </row>
    <row r="212" spans="2:14" outlineLevel="1">
      <c r="C212" s="60"/>
      <c r="D212" s="60"/>
      <c r="E212" s="60"/>
      <c r="F212" s="60"/>
      <c r="G212" s="60"/>
      <c r="H212" s="188"/>
    </row>
    <row r="213" spans="2:14" outlineLevel="1">
      <c r="B213" s="3" t="s">
        <v>108</v>
      </c>
      <c r="C213" s="69">
        <v>365</v>
      </c>
      <c r="D213" s="69">
        <v>365</v>
      </c>
      <c r="E213" s="69">
        <v>365</v>
      </c>
      <c r="F213" s="69">
        <v>365</v>
      </c>
      <c r="G213" s="69">
        <v>365</v>
      </c>
      <c r="H213" s="197">
        <v>365</v>
      </c>
      <c r="I213" s="69">
        <v>365</v>
      </c>
      <c r="J213" s="69">
        <v>365</v>
      </c>
      <c r="K213" s="69">
        <v>365</v>
      </c>
      <c r="L213" s="69">
        <v>365</v>
      </c>
      <c r="M213" s="69">
        <v>365</v>
      </c>
      <c r="N213" s="69">
        <v>365</v>
      </c>
    </row>
    <row r="214" spans="2:14" outlineLevel="1">
      <c r="H214" s="178"/>
    </row>
    <row r="215" spans="2:14" outlineLevel="1">
      <c r="B215" s="7" t="s">
        <v>110</v>
      </c>
      <c r="H215" s="178"/>
    </row>
    <row r="216" spans="2:14" outlineLevel="1">
      <c r="B216" s="17" t="s">
        <v>21</v>
      </c>
      <c r="C216" s="44">
        <f>+Model!C69</f>
        <v>13000</v>
      </c>
      <c r="D216" s="44">
        <f>+Model!D69</f>
        <v>11139</v>
      </c>
      <c r="E216" s="44">
        <f>+Model!E69</f>
        <v>17455</v>
      </c>
      <c r="F216" s="44">
        <f>+Model!F69</f>
        <v>31877</v>
      </c>
      <c r="G216" s="44">
        <f>+Model!G69</f>
        <v>37281</v>
      </c>
      <c r="H216" s="194">
        <f>+Model!H69</f>
        <v>43978</v>
      </c>
      <c r="I216" s="44">
        <f>+Model!I69</f>
        <v>51284.154764999999</v>
      </c>
      <c r="J216" s="44">
        <f>+Model!J69</f>
        <v>59705.616907039104</v>
      </c>
      <c r="K216" s="44">
        <f>+Model!K69</f>
        <v>68726.727933979477</v>
      </c>
      <c r="L216" s="44">
        <f>+Model!L69</f>
        <v>78503.284412742709</v>
      </c>
      <c r="M216" s="44">
        <f>+Model!M69</f>
        <v>88580.951756633396</v>
      </c>
      <c r="N216" s="44">
        <f>+Model!N69</f>
        <v>99349.657174186548</v>
      </c>
    </row>
    <row r="217" spans="2:14" outlineLevel="1">
      <c r="B217" s="17" t="s">
        <v>109</v>
      </c>
      <c r="C217" s="44">
        <f>Model!C75</f>
        <v>-6061</v>
      </c>
      <c r="D217" s="44">
        <f>Model!D75</f>
        <v>-5154</v>
      </c>
      <c r="E217" s="44">
        <f>Model!E75</f>
        <v>-9351</v>
      </c>
      <c r="F217" s="44">
        <f>Model!F75</f>
        <v>-19659</v>
      </c>
      <c r="G217" s="44">
        <f>Model!G75</f>
        <v>-22457</v>
      </c>
      <c r="H217" s="194">
        <f>Model!H75</f>
        <v>-26651</v>
      </c>
      <c r="I217" s="44">
        <f ca="1">Model!I75</f>
        <v>-31078.584943426598</v>
      </c>
      <c r="J217" s="44">
        <f ca="1">Model!J75</f>
        <v>-36182.054577049865</v>
      </c>
      <c r="K217" s="44">
        <f ca="1">Model!K75</f>
        <v>-41648.915961810155</v>
      </c>
      <c r="L217" s="44">
        <f ca="1">Model!L75</f>
        <v>-47573.582993405929</v>
      </c>
      <c r="M217" s="44">
        <f ca="1">Model!M75</f>
        <v>-53680.725482423863</v>
      </c>
      <c r="N217" s="44">
        <f ca="1">Model!N75</f>
        <v>-60206.642260886016</v>
      </c>
    </row>
    <row r="218" spans="2:14" outlineLevel="1">
      <c r="B218" s="7"/>
      <c r="H218" s="178"/>
    </row>
    <row r="219" spans="2:14" outlineLevel="1">
      <c r="B219" s="7" t="s">
        <v>111</v>
      </c>
      <c r="H219" s="178"/>
    </row>
    <row r="220" spans="2:14" outlineLevel="1">
      <c r="B220" s="17" t="s">
        <v>89</v>
      </c>
      <c r="C220" s="83">
        <f t="shared" ref="C220:H221" si="150">(C228/C$216)*C$213</f>
        <v>34.085384615384619</v>
      </c>
      <c r="D220" s="83">
        <f t="shared" si="150"/>
        <v>35.159798904749081</v>
      </c>
      <c r="E220" s="83">
        <f t="shared" si="150"/>
        <v>51.001718705242048</v>
      </c>
      <c r="F220" s="83">
        <f t="shared" si="150"/>
        <v>31.820277943344731</v>
      </c>
      <c r="G220" s="83">
        <f t="shared" si="150"/>
        <v>33.326895737775274</v>
      </c>
      <c r="H220" s="198">
        <f t="shared" si="150"/>
        <v>27.662581290645321</v>
      </c>
      <c r="I220" s="83">
        <f t="shared" ref="I220:N220" ca="1" si="151">(I228/I$216)*I$213</f>
        <v>27.615027949830132</v>
      </c>
      <c r="J220" s="83">
        <f t="shared" ca="1" si="151"/>
        <v>27.44319409694991</v>
      </c>
      <c r="K220" s="83">
        <f t="shared" ca="1" si="151"/>
        <v>27.268117228378053</v>
      </c>
      <c r="L220" s="83">
        <f t="shared" ca="1" si="151"/>
        <v>27.091055150683616</v>
      </c>
      <c r="M220" s="83">
        <f t="shared" ca="1" si="151"/>
        <v>27.148846283480932</v>
      </c>
      <c r="N220" s="83">
        <f t="shared" ca="1" si="151"/>
        <v>27.030641108152935</v>
      </c>
    </row>
    <row r="221" spans="2:14" outlineLevel="1">
      <c r="B221" s="17" t="s">
        <v>104</v>
      </c>
      <c r="C221" s="83">
        <f t="shared" si="150"/>
        <v>36.471923076923076</v>
      </c>
      <c r="D221" s="83">
        <f t="shared" si="150"/>
        <v>39.812819822246162</v>
      </c>
      <c r="E221" s="83">
        <f t="shared" si="150"/>
        <v>30.404468633629332</v>
      </c>
      <c r="F221" s="83">
        <f t="shared" si="150"/>
        <v>16.934937415691564</v>
      </c>
      <c r="G221" s="83">
        <f t="shared" si="150"/>
        <v>16.457847160752127</v>
      </c>
      <c r="H221" s="198">
        <f t="shared" si="150"/>
        <v>11.53645004320342</v>
      </c>
      <c r="I221" s="83">
        <f t="shared" ref="I221:N221" ca="1" si="152">(I229/I$216)*I$213</f>
        <v>11.51661831691086</v>
      </c>
      <c r="J221" s="83">
        <f t="shared" ca="1" si="152"/>
        <v>11.44495643407152</v>
      </c>
      <c r="K221" s="83">
        <f t="shared" ca="1" si="152"/>
        <v>11.371942078441496</v>
      </c>
      <c r="L221" s="83">
        <f t="shared" ca="1" si="152"/>
        <v>11.298099807815854</v>
      </c>
      <c r="M221" s="83">
        <f t="shared" ca="1" si="152"/>
        <v>11.322201120323566</v>
      </c>
      <c r="N221" s="83">
        <f t="shared" ca="1" si="152"/>
        <v>11.272904632563025</v>
      </c>
    </row>
    <row r="222" spans="2:14" outlineLevel="1">
      <c r="B222" s="17" t="s">
        <v>105</v>
      </c>
      <c r="C222" s="83">
        <f t="shared" ref="C222:H225" si="153">(C230/C$217)*C$213</f>
        <v>-16.38013529120607</v>
      </c>
      <c r="D222" s="83">
        <f t="shared" si="153"/>
        <v>-16.642413659293751</v>
      </c>
      <c r="E222" s="83">
        <f t="shared" si="153"/>
        <v>-33.568602288525291</v>
      </c>
      <c r="F222" s="83">
        <f t="shared" si="153"/>
        <v>-13.51645556742459</v>
      </c>
      <c r="G222" s="83">
        <f t="shared" si="153"/>
        <v>-12.840094402636149</v>
      </c>
      <c r="H222" s="198">
        <f t="shared" si="153"/>
        <v>-11.750778582417171</v>
      </c>
      <c r="I222" s="83">
        <f t="shared" ref="I222:N222" ca="1" si="154">(I230/I$217)*I$213</f>
        <v>-11.730578414800782</v>
      </c>
      <c r="J222" s="83">
        <f t="shared" ca="1" si="154"/>
        <v>-11.657585170354629</v>
      </c>
      <c r="K222" s="83">
        <f t="shared" ca="1" si="154"/>
        <v>-11.583214326365946</v>
      </c>
      <c r="L222" s="83">
        <f t="shared" ca="1" si="154"/>
        <v>-11.508000186063255</v>
      </c>
      <c r="M222" s="83">
        <f t="shared" ca="1" si="154"/>
        <v>-11.532549261884936</v>
      </c>
      <c r="N222" s="83">
        <f t="shared" ca="1" si="154"/>
        <v>-11.482336925299959</v>
      </c>
    </row>
    <row r="223" spans="2:14" outlineLevel="1">
      <c r="B223" s="17" t="s">
        <v>41</v>
      </c>
      <c r="C223" s="83">
        <f t="shared" si="153"/>
        <v>-67.507836990595607</v>
      </c>
      <c r="D223" s="83">
        <f t="shared" si="153"/>
        <v>-88.027745440434614</v>
      </c>
      <c r="E223" s="83">
        <f t="shared" si="153"/>
        <v>-56.285958720992404</v>
      </c>
      <c r="F223" s="83">
        <f t="shared" si="153"/>
        <v>-31.41461925835495</v>
      </c>
      <c r="G223" s="83">
        <f t="shared" si="153"/>
        <v>-33.75807098009529</v>
      </c>
      <c r="H223" s="198">
        <f t="shared" si="153"/>
        <v>-37.717534051255107</v>
      </c>
      <c r="I223" s="83">
        <f t="shared" ref="I223:N223" ca="1" si="155">(I231/I$217)*I$213</f>
        <v>-37.652695751003947</v>
      </c>
      <c r="J223" s="83">
        <f t="shared" ca="1" si="155"/>
        <v>-37.418402749599842</v>
      </c>
      <c r="K223" s="83">
        <f t="shared" ca="1" si="155"/>
        <v>-37.179687942671116</v>
      </c>
      <c r="L223" s="83">
        <f t="shared" ca="1" si="155"/>
        <v>-36.938266331489714</v>
      </c>
      <c r="M223" s="83">
        <f t="shared" ca="1" si="155"/>
        <v>-37.01706371472153</v>
      </c>
      <c r="N223" s="83">
        <f t="shared" ca="1" si="155"/>
        <v>-36.855892648340408</v>
      </c>
    </row>
    <row r="224" spans="2:14" outlineLevel="1">
      <c r="B224" s="17" t="s">
        <v>42</v>
      </c>
      <c r="C224" s="83">
        <f t="shared" si="153"/>
        <v>-11.803332783369083</v>
      </c>
      <c r="D224" s="83">
        <f t="shared" si="153"/>
        <v>-12.393286767559177</v>
      </c>
      <c r="E224" s="83">
        <f t="shared" si="153"/>
        <v>-7.2211528178804398</v>
      </c>
      <c r="F224" s="83">
        <f t="shared" si="153"/>
        <v>-3.7318785289180529</v>
      </c>
      <c r="G224" s="83">
        <f t="shared" si="153"/>
        <v>-3.0881239702542636</v>
      </c>
      <c r="H224" s="198">
        <f t="shared" si="153"/>
        <v>-2.3967205733368355</v>
      </c>
      <c r="I224" s="83">
        <f t="shared" ref="I224:N224" ca="1" si="156">(I232/I$217)*I$213</f>
        <v>-2.3926004925292972</v>
      </c>
      <c r="J224" s="83">
        <f t="shared" ca="1" si="156"/>
        <v>-2.3777125930210476</v>
      </c>
      <c r="K224" s="83">
        <f t="shared" ca="1" si="156"/>
        <v>-2.3625437145851307</v>
      </c>
      <c r="L224" s="83">
        <f t="shared" ca="1" si="156"/>
        <v>-2.3472028351527561</v>
      </c>
      <c r="M224" s="83">
        <f t="shared" ca="1" si="156"/>
        <v>-2.3522099310371343</v>
      </c>
      <c r="N224" s="83">
        <f t="shared" ca="1" si="156"/>
        <v>-2.34196848709498</v>
      </c>
    </row>
    <row r="225" spans="2:14" outlineLevel="1">
      <c r="B225" s="17" t="s">
        <v>106</v>
      </c>
      <c r="C225" s="83">
        <f t="shared" si="153"/>
        <v>-243.89539679920807</v>
      </c>
      <c r="D225" s="83">
        <f t="shared" si="153"/>
        <v>-369.10748932867671</v>
      </c>
      <c r="E225" s="83">
        <f t="shared" si="153"/>
        <v>-255.16041065126726</v>
      </c>
      <c r="F225" s="83">
        <f t="shared" si="153"/>
        <v>-115.706800956305</v>
      </c>
      <c r="G225" s="83">
        <f t="shared" si="153"/>
        <v>-103.56592599189563</v>
      </c>
      <c r="H225" s="198">
        <f t="shared" si="153"/>
        <v>-89.555176165997523</v>
      </c>
      <c r="I225" s="83">
        <f ca="1">(I233/I$217)*I$213</f>
        <v>-84.853880810079843</v>
      </c>
      <c r="J225" s="83">
        <f t="shared" ref="J225:N225" ca="1" si="157">(J233/J$217)*J$213</f>
        <v>-79.365533703770097</v>
      </c>
      <c r="K225" s="83">
        <f t="shared" ca="1" si="157"/>
        <v>-78.859212571313748</v>
      </c>
      <c r="L225" s="83">
        <f t="shared" ca="1" si="157"/>
        <v>-78.347150227358441</v>
      </c>
      <c r="M225" s="83">
        <f t="shared" ca="1" si="157"/>
        <v>-78.514281796722614</v>
      </c>
      <c r="N225" s="83">
        <f t="shared" ca="1" si="157"/>
        <v>-78.172433220594357</v>
      </c>
    </row>
    <row r="226" spans="2:14" outlineLevel="1">
      <c r="B226" s="7"/>
      <c r="C226" s="18"/>
      <c r="D226" s="18"/>
      <c r="E226" s="18"/>
      <c r="F226" s="18"/>
      <c r="G226" s="18"/>
      <c r="H226" s="199"/>
    </row>
    <row r="227" spans="2:14" outlineLevel="1">
      <c r="B227" s="7" t="s">
        <v>112</v>
      </c>
      <c r="H227" s="178"/>
    </row>
    <row r="228" spans="2:14" outlineLevel="1">
      <c r="B228" s="17" t="s">
        <v>89</v>
      </c>
      <c r="C228" s="44">
        <f>Model!C118</f>
        <v>1214</v>
      </c>
      <c r="D228" s="44">
        <f>Model!D118</f>
        <v>1073</v>
      </c>
      <c r="E228" s="44">
        <f>Model!E118</f>
        <v>2439</v>
      </c>
      <c r="F228" s="44">
        <f>Model!F118</f>
        <v>2779</v>
      </c>
      <c r="G228" s="44">
        <f>Model!G118</f>
        <v>3404</v>
      </c>
      <c r="H228" s="194">
        <f>Model!H118</f>
        <v>3333</v>
      </c>
      <c r="I228" s="74">
        <f ca="1">(I$216/I$213)*I220</f>
        <v>3880.0366225175044</v>
      </c>
      <c r="J228" s="74">
        <f ca="1">(J216/J213)*J220</f>
        <v>4489.0762560493376</v>
      </c>
      <c r="K228" s="74">
        <f ca="1">(K216/K213)*K220</f>
        <v>5134.3793808947858</v>
      </c>
      <c r="L228" s="74">
        <f ca="1">(L216/L213)*L220</f>
        <v>5826.676185028532</v>
      </c>
      <c r="M228" s="74">
        <f ca="1">(M216/M213)*M220</f>
        <v>6588.6866928363843</v>
      </c>
      <c r="N228" s="74">
        <f ca="1">(N216/N213)*N220</f>
        <v>7357.4929514889545</v>
      </c>
    </row>
    <row r="229" spans="2:14" outlineLevel="1">
      <c r="B229" s="17" t="s">
        <v>104</v>
      </c>
      <c r="C229" s="44">
        <f>Model!C119</f>
        <v>1299</v>
      </c>
      <c r="D229" s="44">
        <f>Model!D119</f>
        <v>1215</v>
      </c>
      <c r="E229" s="44">
        <f>Model!E119</f>
        <v>1454</v>
      </c>
      <c r="F229" s="44">
        <f>Model!F119</f>
        <v>1479</v>
      </c>
      <c r="G229" s="44">
        <f>Model!G119</f>
        <v>1681</v>
      </c>
      <c r="H229" s="194">
        <f>Model!H119</f>
        <v>1390</v>
      </c>
      <c r="I229" s="74">
        <f ca="1">(I$216/I$213)*I221</f>
        <v>1618.1370852983296</v>
      </c>
      <c r="J229" s="74">
        <f ca="1">(J$216/J$213)*J221</f>
        <v>1872.1320119737713</v>
      </c>
      <c r="K229" s="74">
        <f ca="1">(K$216/K$213)*K221</f>
        <v>2141.2503268658129</v>
      </c>
      <c r="L229" s="74">
        <f ca="1">(L$216/L$213)*L221</f>
        <v>2429.966965853484</v>
      </c>
      <c r="M229" s="74">
        <f ca="1">(M$216/M$213)*M221</f>
        <v>2747.7571266254313</v>
      </c>
      <c r="N229" s="74">
        <f ca="1">(N$216/N$213)*N221</f>
        <v>3068.3813989107834</v>
      </c>
    </row>
    <row r="230" spans="2:14" outlineLevel="1">
      <c r="B230" s="17" t="s">
        <v>105</v>
      </c>
      <c r="C230" s="44">
        <f>Model!C135</f>
        <v>272</v>
      </c>
      <c r="D230" s="44">
        <f>Model!D135</f>
        <v>235</v>
      </c>
      <c r="E230" s="44">
        <f>Model!E135</f>
        <v>860</v>
      </c>
      <c r="F230" s="44">
        <f>Model!F135</f>
        <v>728</v>
      </c>
      <c r="G230" s="44">
        <f>Model!G135</f>
        <v>790</v>
      </c>
      <c r="H230" s="194">
        <f>Model!H135</f>
        <v>858</v>
      </c>
      <c r="I230" s="74">
        <f t="shared" ref="I230:N233" ca="1" si="158">(I$217/I$213)*I222</f>
        <v>998.82130876688393</v>
      </c>
      <c r="J230" s="74">
        <f t="shared" ca="1" si="158"/>
        <v>1155.6037886859681</v>
      </c>
      <c r="K230" s="74">
        <f t="shared" ca="1" si="158"/>
        <v>1321.7214247847965</v>
      </c>
      <c r="L230" s="74">
        <f t="shared" ca="1" si="158"/>
        <v>1499.9364436707156</v>
      </c>
      <c r="M230" s="74">
        <f t="shared" ca="1" si="158"/>
        <v>1696.097564492535</v>
      </c>
      <c r="N230" s="74">
        <f t="shared" ca="1" si="158"/>
        <v>1894.0080865219084</v>
      </c>
    </row>
    <row r="231" spans="2:14" outlineLevel="1">
      <c r="B231" s="17" t="s">
        <v>41</v>
      </c>
      <c r="C231" s="44">
        <f>Model!C136</f>
        <v>1121</v>
      </c>
      <c r="D231" s="44">
        <f>Model!D136</f>
        <v>1243</v>
      </c>
      <c r="E231" s="44">
        <f>Model!E136</f>
        <v>1442</v>
      </c>
      <c r="F231" s="44">
        <f>Model!F136</f>
        <v>1692</v>
      </c>
      <c r="G231" s="44">
        <f>Model!G136</f>
        <v>2077</v>
      </c>
      <c r="H231" s="194">
        <f>Model!H136</f>
        <v>2754</v>
      </c>
      <c r="I231" s="74">
        <f t="shared" ca="1" si="158"/>
        <v>3206.0068582097915</v>
      </c>
      <c r="J231" s="74">
        <f t="shared" ca="1" si="158"/>
        <v>3709.2457273206965</v>
      </c>
      <c r="K231" s="74">
        <f t="shared" ca="1" si="158"/>
        <v>4242.4484893442068</v>
      </c>
      <c r="L231" s="74">
        <f t="shared" ca="1" si="158"/>
        <v>4814.4813122018031</v>
      </c>
      <c r="M231" s="74">
        <f t="shared" ca="1" si="158"/>
        <v>5444.1173573571505</v>
      </c>
      <c r="N231" s="74">
        <f t="shared" ca="1" si="158"/>
        <v>6079.3686133815063</v>
      </c>
    </row>
    <row r="232" spans="2:14" outlineLevel="1">
      <c r="B232" s="17" t="s">
        <v>42</v>
      </c>
      <c r="C232" s="44">
        <f>Model!C137</f>
        <v>196</v>
      </c>
      <c r="D232" s="44">
        <f>Model!D137</f>
        <v>175</v>
      </c>
      <c r="E232" s="44">
        <f>Model!E137</f>
        <v>185</v>
      </c>
      <c r="F232" s="44">
        <f>Model!F137</f>
        <v>201</v>
      </c>
      <c r="G232" s="44">
        <f>Model!G137</f>
        <v>190</v>
      </c>
      <c r="H232" s="194">
        <f>Model!H137</f>
        <v>175</v>
      </c>
      <c r="I232" s="74">
        <f t="shared" ca="1" si="158"/>
        <v>203.7222949116605</v>
      </c>
      <c r="J232" s="74">
        <f t="shared" ca="1" si="158"/>
        <v>235.70007344993508</v>
      </c>
      <c r="K232" s="74">
        <f t="shared" ca="1" si="158"/>
        <v>269.58187568454497</v>
      </c>
      <c r="L232" s="74">
        <f t="shared" ca="1" si="158"/>
        <v>305.93109282328038</v>
      </c>
      <c r="M232" s="74">
        <f t="shared" ca="1" si="158"/>
        <v>345.94064543845366</v>
      </c>
      <c r="N232" s="74">
        <f t="shared" ca="1" si="158"/>
        <v>386.30701065423534</v>
      </c>
    </row>
    <row r="233" spans="2:14" outlineLevel="1">
      <c r="B233" s="15" t="s">
        <v>106</v>
      </c>
      <c r="C233" s="161">
        <f>Model!C138</f>
        <v>4050</v>
      </c>
      <c r="D233" s="161">
        <v>5212</v>
      </c>
      <c r="E233" s="161">
        <f>Model!E138</f>
        <v>6537</v>
      </c>
      <c r="F233" s="161">
        <f>Model!F138</f>
        <v>6232</v>
      </c>
      <c r="G233" s="161">
        <f>Model!G138</f>
        <v>6372</v>
      </c>
      <c r="H233" s="196">
        <f>Model!H138</f>
        <v>6539</v>
      </c>
      <c r="I233" s="212">
        <f t="shared" ca="1" si="158"/>
        <v>7225.0371028368845</v>
      </c>
      <c r="J233" s="212">
        <f t="shared" ca="1" si="158"/>
        <v>7867.419375360274</v>
      </c>
      <c r="K233" s="212">
        <f t="shared" ca="1" si="158"/>
        <v>8998.358129307313</v>
      </c>
      <c r="L233" s="212">
        <f t="shared" ca="1" si="158"/>
        <v>10211.656585309805</v>
      </c>
      <c r="M233" s="212">
        <f t="shared" ca="1" si="158"/>
        <v>11547.133171450783</v>
      </c>
      <c r="N233" s="212">
        <f t="shared" ca="1" si="158"/>
        <v>12894.51978513788</v>
      </c>
    </row>
    <row r="234" spans="2:14" outlineLevel="1">
      <c r="B234" s="7" t="s">
        <v>107</v>
      </c>
      <c r="C234" s="73">
        <f t="shared" ref="C234:N234" si="159">SUM(C228:C229)-SUM(C230:C233)</f>
        <v>-3126</v>
      </c>
      <c r="D234" s="73">
        <f t="shared" si="159"/>
        <v>-4577</v>
      </c>
      <c r="E234" s="73">
        <f t="shared" si="159"/>
        <v>-5131</v>
      </c>
      <c r="F234" s="73">
        <f t="shared" si="159"/>
        <v>-4595</v>
      </c>
      <c r="G234" s="73">
        <f t="shared" si="159"/>
        <v>-4344</v>
      </c>
      <c r="H234" s="182">
        <f t="shared" si="159"/>
        <v>-5603</v>
      </c>
      <c r="I234" s="73">
        <f t="shared" ca="1" si="159"/>
        <v>-6135.4138569093875</v>
      </c>
      <c r="J234" s="73">
        <f t="shared" ca="1" si="159"/>
        <v>-6606.7606967937663</v>
      </c>
      <c r="K234" s="73">
        <f t="shared" ca="1" si="159"/>
        <v>-7556.4802113602609</v>
      </c>
      <c r="L234" s="73">
        <f t="shared" ca="1" si="159"/>
        <v>-8575.362283123588</v>
      </c>
      <c r="M234" s="73">
        <f t="shared" ca="1" si="159"/>
        <v>-9696.8449192771041</v>
      </c>
      <c r="N234" s="73">
        <f t="shared" ca="1" si="159"/>
        <v>-10828.329145295791</v>
      </c>
    </row>
    <row r="235" spans="2:14" outlineLevel="1">
      <c r="B235" s="7"/>
      <c r="H235" s="178"/>
    </row>
    <row r="236" spans="2:14" outlineLevel="1">
      <c r="B236" s="7" t="s">
        <v>103</v>
      </c>
      <c r="D236" s="73">
        <f t="shared" ref="D236:N236" si="160">D234-C234</f>
        <v>-1451</v>
      </c>
      <c r="E236" s="73">
        <f t="shared" si="160"/>
        <v>-554</v>
      </c>
      <c r="F236" s="73">
        <f t="shared" si="160"/>
        <v>536</v>
      </c>
      <c r="G236" s="73">
        <f t="shared" si="160"/>
        <v>251</v>
      </c>
      <c r="H236" s="182">
        <f t="shared" si="160"/>
        <v>-1259</v>
      </c>
      <c r="I236" s="73">
        <f t="shared" ca="1" si="160"/>
        <v>-532.4138569093875</v>
      </c>
      <c r="J236" s="73">
        <f t="shared" ca="1" si="160"/>
        <v>-471.34683988437882</v>
      </c>
      <c r="K236" s="73">
        <f t="shared" ca="1" si="160"/>
        <v>-949.71951456649458</v>
      </c>
      <c r="L236" s="73">
        <f t="shared" ca="1" si="160"/>
        <v>-1018.8820717633271</v>
      </c>
      <c r="M236" s="73">
        <f t="shared" ca="1" si="160"/>
        <v>-1121.4826361535161</v>
      </c>
      <c r="N236" s="73">
        <f t="shared" ca="1" si="160"/>
        <v>-1131.484226018687</v>
      </c>
    </row>
    <row r="237" spans="2:14" outlineLevel="1">
      <c r="H237" s="178"/>
    </row>
    <row r="238" spans="2:14" outlineLevel="1">
      <c r="B238" s="4" t="s">
        <v>122</v>
      </c>
      <c r="H238" s="178"/>
    </row>
    <row r="239" spans="2:14" outlineLevel="1">
      <c r="B239" s="4" t="s">
        <v>83</v>
      </c>
      <c r="H239" s="178"/>
    </row>
    <row r="240" spans="2:14" outlineLevel="1">
      <c r="B240" s="32" t="s">
        <v>55</v>
      </c>
      <c r="C240" s="33" t="s">
        <v>9</v>
      </c>
      <c r="D240" s="34" t="s">
        <v>10</v>
      </c>
      <c r="E240" s="34" t="s">
        <v>11</v>
      </c>
      <c r="F240" s="33" t="s">
        <v>12</v>
      </c>
      <c r="G240" s="33" t="s">
        <v>13</v>
      </c>
      <c r="H240" s="176" t="s">
        <v>14</v>
      </c>
      <c r="I240" s="36" t="s">
        <v>15</v>
      </c>
      <c r="J240" s="36" t="s">
        <v>16</v>
      </c>
      <c r="K240" s="36" t="s">
        <v>17</v>
      </c>
      <c r="L240" s="36" t="s">
        <v>18</v>
      </c>
      <c r="M240" s="36" t="s">
        <v>19</v>
      </c>
      <c r="N240" s="36" t="s">
        <v>20</v>
      </c>
    </row>
    <row r="241" spans="2:14" outlineLevel="1">
      <c r="B241" s="26" t="s">
        <v>56</v>
      </c>
      <c r="C241" s="2">
        <v>43830</v>
      </c>
      <c r="D241" s="2">
        <v>44196</v>
      </c>
      <c r="E241" s="2">
        <v>44561</v>
      </c>
      <c r="F241" s="2">
        <v>44926</v>
      </c>
      <c r="G241" s="2">
        <v>45291</v>
      </c>
      <c r="H241" s="177">
        <v>45657</v>
      </c>
      <c r="I241" s="26"/>
      <c r="J241" s="26"/>
      <c r="K241" s="26"/>
      <c r="L241" s="26"/>
      <c r="M241" s="26"/>
      <c r="N241" s="26"/>
    </row>
    <row r="242" spans="2:14" outlineLevel="1">
      <c r="H242" s="178"/>
    </row>
    <row r="243" spans="2:14" outlineLevel="1">
      <c r="B243" s="3" t="s">
        <v>116</v>
      </c>
      <c r="H243" s="178"/>
      <c r="I243" s="74">
        <f t="shared" ref="I243:N243" si="161">H246</f>
        <v>-21243</v>
      </c>
      <c r="J243" s="74">
        <f t="shared" ca="1" si="161"/>
        <v>-18561.373702877943</v>
      </c>
      <c r="K243" s="74">
        <f t="shared" ca="1" si="161"/>
        <v>-15633.846769830732</v>
      </c>
      <c r="L243" s="74">
        <f t="shared" ca="1" si="161"/>
        <v>-11457.760046730767</v>
      </c>
      <c r="M243" s="74">
        <f t="shared" ca="1" si="161"/>
        <v>-5611.6077546414026</v>
      </c>
      <c r="N243" s="74">
        <f t="shared" ca="1" si="161"/>
        <v>2165.8393018733195</v>
      </c>
    </row>
    <row r="244" spans="2:14" outlineLevel="1">
      <c r="B244" s="17" t="s">
        <v>63</v>
      </c>
      <c r="C244" s="44">
        <f>Model!C89</f>
        <v>-8506</v>
      </c>
      <c r="D244" s="44">
        <f>Model!D89</f>
        <v>-6768</v>
      </c>
      <c r="E244" s="44">
        <f>Model!E89</f>
        <v>-496</v>
      </c>
      <c r="F244" s="44">
        <f>Model!F89</f>
        <v>-9141</v>
      </c>
      <c r="G244" s="44">
        <f>Model!G89</f>
        <v>1887</v>
      </c>
      <c r="H244" s="194">
        <f>Model!H89</f>
        <v>9856</v>
      </c>
      <c r="I244" s="44">
        <f ca="1">Model!I89</f>
        <v>3881.6262971220576</v>
      </c>
      <c r="J244" s="44">
        <f ca="1">Model!J89</f>
        <v>4127.526933047212</v>
      </c>
      <c r="K244" s="44">
        <f ca="1">Model!K89</f>
        <v>5376.0867230999638</v>
      </c>
      <c r="L244" s="44">
        <f ca="1">Model!L89</f>
        <v>7046.1522920893649</v>
      </c>
      <c r="M244" s="44">
        <f ca="1">Model!M89</f>
        <v>8777.4470565147221</v>
      </c>
      <c r="N244" s="44">
        <f ca="1">Model!N89</f>
        <v>10893.798132552314</v>
      </c>
    </row>
    <row r="245" spans="2:14" outlineLevel="1">
      <c r="B245" s="15" t="s">
        <v>84</v>
      </c>
      <c r="C245" s="11"/>
      <c r="D245" s="11"/>
      <c r="E245" s="11"/>
      <c r="F245" s="11"/>
      <c r="G245" s="11"/>
      <c r="H245" s="183">
        <v>-1200</v>
      </c>
      <c r="I245" s="54">
        <v>-1200</v>
      </c>
      <c r="J245" s="54">
        <v>-1200</v>
      </c>
      <c r="K245" s="54">
        <v>-1200</v>
      </c>
      <c r="L245" s="54">
        <v>-1200</v>
      </c>
      <c r="M245" s="54">
        <v>-1000</v>
      </c>
      <c r="N245" s="11"/>
    </row>
    <row r="246" spans="2:14" outlineLevel="1">
      <c r="B246" s="19" t="s">
        <v>54</v>
      </c>
      <c r="C246" s="37">
        <v>-16549</v>
      </c>
      <c r="D246" s="37">
        <v>-23665</v>
      </c>
      <c r="E246" s="37">
        <v>-24150</v>
      </c>
      <c r="F246" s="37">
        <v>-33210</v>
      </c>
      <c r="G246" s="37">
        <v>-31015</v>
      </c>
      <c r="H246" s="181">
        <v>-21243</v>
      </c>
      <c r="I246" s="73">
        <f t="shared" ref="I246:N246" ca="1" si="162">SUM(I243:I245)</f>
        <v>-18561.373702877943</v>
      </c>
      <c r="J246" s="73">
        <f t="shared" ca="1" si="162"/>
        <v>-15633.846769830732</v>
      </c>
      <c r="K246" s="73">
        <f t="shared" ca="1" si="162"/>
        <v>-11457.760046730767</v>
      </c>
      <c r="L246" s="73">
        <f t="shared" ca="1" si="162"/>
        <v>-5611.6077546414026</v>
      </c>
      <c r="M246" s="73">
        <f t="shared" ca="1" si="162"/>
        <v>2165.8393018733195</v>
      </c>
      <c r="N246" s="73">
        <f t="shared" ca="1" si="162"/>
        <v>13059.637434425633</v>
      </c>
    </row>
    <row r="247" spans="2:14" outlineLevel="1">
      <c r="B247" s="17"/>
      <c r="H247" s="178"/>
    </row>
    <row r="248" spans="2:14" outlineLevel="1">
      <c r="B248" s="4" t="s">
        <v>123</v>
      </c>
      <c r="H248" s="178"/>
    </row>
    <row r="249" spans="2:14" outlineLevel="1">
      <c r="B249" s="32" t="s">
        <v>55</v>
      </c>
      <c r="C249" s="33" t="s">
        <v>9</v>
      </c>
      <c r="D249" s="34" t="s">
        <v>10</v>
      </c>
      <c r="E249" s="34" t="s">
        <v>11</v>
      </c>
      <c r="F249" s="33" t="s">
        <v>12</v>
      </c>
      <c r="G249" s="33" t="s">
        <v>13</v>
      </c>
      <c r="H249" s="176" t="s">
        <v>14</v>
      </c>
      <c r="I249" s="36" t="s">
        <v>15</v>
      </c>
      <c r="J249" s="36" t="s">
        <v>16</v>
      </c>
      <c r="K249" s="36" t="s">
        <v>17</v>
      </c>
      <c r="L249" s="36" t="s">
        <v>18</v>
      </c>
      <c r="M249" s="36" t="s">
        <v>19</v>
      </c>
      <c r="N249" s="36" t="s">
        <v>20</v>
      </c>
    </row>
    <row r="250" spans="2:14" outlineLevel="1">
      <c r="B250" s="26" t="s">
        <v>56</v>
      </c>
      <c r="C250" s="2">
        <v>43830</v>
      </c>
      <c r="D250" s="2">
        <v>44196</v>
      </c>
      <c r="E250" s="2">
        <v>44561</v>
      </c>
      <c r="F250" s="2">
        <v>44926</v>
      </c>
      <c r="G250" s="2">
        <v>45291</v>
      </c>
      <c r="H250" s="177">
        <v>45657</v>
      </c>
      <c r="I250" s="26"/>
      <c r="J250" s="26"/>
      <c r="K250" s="26"/>
      <c r="L250" s="26"/>
      <c r="M250" s="26"/>
      <c r="N250" s="26"/>
    </row>
    <row r="251" spans="2:14" outlineLevel="1">
      <c r="H251" s="178"/>
    </row>
    <row r="252" spans="2:14" outlineLevel="1">
      <c r="B252" s="3" t="s">
        <v>116</v>
      </c>
      <c r="H252" s="178"/>
      <c r="I252" s="74">
        <f t="shared" ref="I252:N252" si="163">H255</f>
        <v>2094.6019999999999</v>
      </c>
      <c r="J252" s="74">
        <f t="shared" si="163"/>
        <v>2117.1718313965071</v>
      </c>
      <c r="K252" s="74">
        <f t="shared" si="163"/>
        <v>2149.0525201486653</v>
      </c>
      <c r="L252" s="74">
        <f t="shared" si="163"/>
        <v>2181.9512938041603</v>
      </c>
      <c r="M252" s="74">
        <f t="shared" si="163"/>
        <v>2215.3356622800811</v>
      </c>
      <c r="N252" s="74">
        <f t="shared" si="163"/>
        <v>2251.5711597653558</v>
      </c>
    </row>
    <row r="253" spans="2:14" outlineLevel="1">
      <c r="B253" s="17" t="s">
        <v>230</v>
      </c>
      <c r="H253" s="178"/>
      <c r="I253" s="216">
        <f>-I260+-I271</f>
        <v>38.286923734424988</v>
      </c>
      <c r="J253" s="216">
        <f t="shared" ref="J253:M253" si="164">-J260+-J271</f>
        <v>47.597781090075763</v>
      </c>
      <c r="K253" s="216">
        <f t="shared" si="164"/>
        <v>48.615865993412434</v>
      </c>
      <c r="L253" s="216">
        <f t="shared" si="164"/>
        <v>49.101460813838521</v>
      </c>
      <c r="M253" s="216">
        <f t="shared" si="164"/>
        <v>49.333074433539423</v>
      </c>
      <c r="N253" s="216">
        <f>-N260+-N271</f>
        <v>49.443546923307494</v>
      </c>
    </row>
    <row r="254" spans="2:14" outlineLevel="1">
      <c r="B254" s="15" t="s">
        <v>229</v>
      </c>
      <c r="C254" s="11"/>
      <c r="D254" s="11"/>
      <c r="E254" s="11"/>
      <c r="F254" s="11"/>
      <c r="G254" s="11"/>
      <c r="H254" s="200"/>
      <c r="I254" s="212">
        <f t="shared" ref="I254:N254" si="165">-I279</f>
        <v>-15.717092337917487</v>
      </c>
      <c r="J254" s="212">
        <f t="shared" si="165"/>
        <v>-15.717092337917487</v>
      </c>
      <c r="K254" s="212">
        <f t="shared" si="165"/>
        <v>-15.717092337917487</v>
      </c>
      <c r="L254" s="212">
        <f t="shared" si="165"/>
        <v>-15.717092337917487</v>
      </c>
      <c r="M254" s="212">
        <f t="shared" si="165"/>
        <v>-13.097576948264573</v>
      </c>
      <c r="N254" s="212">
        <f t="shared" si="165"/>
        <v>0</v>
      </c>
    </row>
    <row r="255" spans="2:14" outlineLevel="1">
      <c r="B255" s="19" t="s">
        <v>54</v>
      </c>
      <c r="C255" s="12"/>
      <c r="D255" s="12"/>
      <c r="E255" s="12"/>
      <c r="F255" s="12"/>
      <c r="G255" s="12"/>
      <c r="H255" s="191">
        <f>Model!H91</f>
        <v>2094.6019999999999</v>
      </c>
      <c r="I255" s="73">
        <f t="shared" ref="I255:N255" si="166">SUM(I252:I254)</f>
        <v>2117.1718313965071</v>
      </c>
      <c r="J255" s="73">
        <f t="shared" si="166"/>
        <v>2149.0525201486653</v>
      </c>
      <c r="K255" s="73">
        <f t="shared" si="166"/>
        <v>2181.9512938041603</v>
      </c>
      <c r="L255" s="73">
        <f t="shared" si="166"/>
        <v>2215.3356622800811</v>
      </c>
      <c r="M255" s="73">
        <f t="shared" si="166"/>
        <v>2251.5711597653558</v>
      </c>
      <c r="N255" s="73">
        <f t="shared" si="166"/>
        <v>2301.0147066886634</v>
      </c>
    </row>
    <row r="256" spans="2:14" outlineLevel="1">
      <c r="B256" s="19"/>
      <c r="C256" s="12"/>
      <c r="D256" s="12"/>
      <c r="E256" s="12"/>
      <c r="F256" s="12"/>
      <c r="G256" s="12"/>
      <c r="H256" s="189"/>
      <c r="I256" s="12"/>
      <c r="J256" s="12"/>
      <c r="K256" s="12"/>
      <c r="L256" s="12"/>
      <c r="M256" s="12"/>
      <c r="N256" s="12"/>
    </row>
    <row r="257" spans="2:14" outlineLevel="1">
      <c r="B257" s="19" t="s">
        <v>232</v>
      </c>
      <c r="C257" s="12"/>
      <c r="D257" s="12"/>
      <c r="E257" s="12"/>
      <c r="F257" s="12"/>
      <c r="G257" s="12"/>
      <c r="H257" s="189"/>
      <c r="I257" s="12"/>
      <c r="J257" s="12"/>
      <c r="K257" s="12"/>
      <c r="L257" s="12"/>
      <c r="M257" s="12"/>
      <c r="N257" s="12"/>
    </row>
    <row r="258" spans="2:14" outlineLevel="1">
      <c r="B258" s="27" t="s">
        <v>233</v>
      </c>
      <c r="C258" s="45">
        <v>84.742999999999995</v>
      </c>
      <c r="D258" s="45">
        <v>83.736000000000004</v>
      </c>
      <c r="E258" s="45">
        <v>71.460999999999999</v>
      </c>
      <c r="F258" s="45">
        <v>98.167000000000002</v>
      </c>
      <c r="G258" s="45">
        <v>90.826999999999998</v>
      </c>
      <c r="H258" s="179">
        <v>66.201999999999998</v>
      </c>
      <c r="I258" s="74">
        <f>+H258+I259+I260+I261</f>
        <v>83.964243285672268</v>
      </c>
      <c r="J258" s="74">
        <f t="shared" ref="J258:N258" si="167">+I258+J259+J260+J261</f>
        <v>86.173089333599364</v>
      </c>
      <c r="K258" s="74">
        <f t="shared" si="167"/>
        <v>87.226640168580488</v>
      </c>
      <c r="L258" s="74">
        <f t="shared" si="167"/>
        <v>87.729151134852273</v>
      </c>
      <c r="M258" s="74">
        <f t="shared" si="167"/>
        <v>87.968833229763149</v>
      </c>
      <c r="N258" s="74">
        <f t="shared" si="167"/>
        <v>88.083154131149826</v>
      </c>
    </row>
    <row r="259" spans="2:14" outlineLevel="1">
      <c r="B259" s="27" t="s">
        <v>236</v>
      </c>
      <c r="C259" s="45">
        <v>69.45</v>
      </c>
      <c r="D259" s="45">
        <v>50.308</v>
      </c>
      <c r="E259" s="45">
        <v>50.308</v>
      </c>
      <c r="F259" s="45">
        <v>90.769000000000005</v>
      </c>
      <c r="G259" s="45">
        <v>61.119</v>
      </c>
      <c r="H259" s="179">
        <v>28.75</v>
      </c>
      <c r="I259" s="74">
        <f t="shared" ref="I259:N259" si="168">+$I$265</f>
        <v>58.450666666666677</v>
      </c>
      <c r="J259" s="74">
        <f t="shared" si="168"/>
        <v>58.450666666666677</v>
      </c>
      <c r="K259" s="74">
        <f t="shared" si="168"/>
        <v>58.450666666666677</v>
      </c>
      <c r="L259" s="74">
        <f t="shared" si="168"/>
        <v>58.450666666666677</v>
      </c>
      <c r="M259" s="74">
        <f t="shared" si="168"/>
        <v>58.450666666666677</v>
      </c>
      <c r="N259" s="74">
        <f t="shared" si="168"/>
        <v>58.450666666666677</v>
      </c>
    </row>
    <row r="260" spans="2:14" outlineLevel="1">
      <c r="B260" s="27" t="s">
        <v>237</v>
      </c>
      <c r="C260" s="45">
        <v>-38.606000000000002</v>
      </c>
      <c r="D260" s="45">
        <v>-39.005000000000003</v>
      </c>
      <c r="E260" s="45">
        <v>-39.005000000000003</v>
      </c>
      <c r="F260" s="45">
        <v>-47.988999999999997</v>
      </c>
      <c r="G260" s="45">
        <v>-53.104999999999997</v>
      </c>
      <c r="H260" s="179">
        <v>-43.284999999999997</v>
      </c>
      <c r="I260" s="74">
        <f>-$I$263*H258</f>
        <v>-34.625705924242546</v>
      </c>
      <c r="J260" s="74">
        <f t="shared" ref="J260:N260" si="169">-$I$263*I258</f>
        <v>-43.915911847999226</v>
      </c>
      <c r="K260" s="74">
        <f t="shared" si="169"/>
        <v>-45.071207060945191</v>
      </c>
      <c r="L260" s="74">
        <f t="shared" si="169"/>
        <v>-45.622246929654544</v>
      </c>
      <c r="M260" s="74">
        <f t="shared" si="169"/>
        <v>-45.885075801015439</v>
      </c>
      <c r="N260" s="74">
        <f t="shared" si="169"/>
        <v>-46.01043699453966</v>
      </c>
    </row>
    <row r="261" spans="2:14" outlineLevel="1">
      <c r="B261" s="27" t="s">
        <v>238</v>
      </c>
      <c r="C261" s="45">
        <v>-31.850999999999999</v>
      </c>
      <c r="D261" s="45">
        <v>-23.577999999999999</v>
      </c>
      <c r="E261" s="45">
        <v>-23.757999999999999</v>
      </c>
      <c r="F261" s="45">
        <v>-16.074000000000002</v>
      </c>
      <c r="G261" s="45">
        <v>-15.353999999999999</v>
      </c>
      <c r="H261" s="179">
        <v>-10.09</v>
      </c>
      <c r="I261" s="74">
        <f>-$I$264*H259</f>
        <v>-6.0627174567518765</v>
      </c>
      <c r="J261" s="74">
        <f t="shared" ref="J261:N261" si="170">-$I$264*I259</f>
        <v>-12.32590877074035</v>
      </c>
      <c r="K261" s="74">
        <f t="shared" si="170"/>
        <v>-12.32590877074035</v>
      </c>
      <c r="L261" s="74">
        <f t="shared" si="170"/>
        <v>-12.32590877074035</v>
      </c>
      <c r="M261" s="74">
        <f t="shared" si="170"/>
        <v>-12.32590877074035</v>
      </c>
      <c r="N261" s="74">
        <f t="shared" si="170"/>
        <v>-12.32590877074035</v>
      </c>
    </row>
    <row r="262" spans="2:14" outlineLevel="1">
      <c r="B262" s="27"/>
      <c r="C262" s="8"/>
      <c r="D262" s="8"/>
      <c r="E262" s="8"/>
      <c r="F262" s="8"/>
      <c r="G262" s="8"/>
      <c r="H262" s="186"/>
      <c r="I262" s="12"/>
      <c r="J262" s="12"/>
      <c r="K262" s="12"/>
      <c r="L262" s="12"/>
      <c r="M262" s="12"/>
      <c r="N262" s="12"/>
    </row>
    <row r="263" spans="2:14" outlineLevel="1">
      <c r="B263" s="27" t="s">
        <v>240</v>
      </c>
      <c r="C263" s="28"/>
      <c r="D263" s="84">
        <f>-D260/C258</f>
        <v>0.46027400493256088</v>
      </c>
      <c r="E263" s="84">
        <f t="shared" ref="E263:H263" si="171">-E260/D258</f>
        <v>0.46580920989777397</v>
      </c>
      <c r="F263" s="84">
        <f t="shared" si="171"/>
        <v>0.67154112033136948</v>
      </c>
      <c r="G263" s="84">
        <f t="shared" si="171"/>
        <v>0.5409659050393717</v>
      </c>
      <c r="H263" s="201">
        <f t="shared" si="171"/>
        <v>0.47656533850066607</v>
      </c>
      <c r="I263" s="217">
        <f>AVERAGE(C263:H263)</f>
        <v>0.52303111574034844</v>
      </c>
      <c r="J263" s="12"/>
      <c r="K263" s="12"/>
      <c r="L263" s="12"/>
      <c r="M263" s="12"/>
      <c r="N263" s="12"/>
    </row>
    <row r="264" spans="2:14" outlineLevel="1">
      <c r="B264" s="27" t="s">
        <v>241</v>
      </c>
      <c r="C264" s="28"/>
      <c r="D264" s="84">
        <f>+-D261/C258</f>
        <v>0.27822947028073114</v>
      </c>
      <c r="E264" s="84">
        <f t="shared" ref="E264:H264" si="172">+-E261/D258</f>
        <v>0.28372504060380238</v>
      </c>
      <c r="F264" s="84">
        <f t="shared" si="172"/>
        <v>0.22493388001847164</v>
      </c>
      <c r="G264" s="84">
        <f t="shared" si="172"/>
        <v>0.15640693919545265</v>
      </c>
      <c r="H264" s="201">
        <f t="shared" si="172"/>
        <v>0.11109031455404231</v>
      </c>
      <c r="I264" s="217">
        <f>AVERAGE(C264:H264)</f>
        <v>0.21087712893050004</v>
      </c>
      <c r="J264" s="12"/>
      <c r="K264" s="12"/>
      <c r="L264" s="12"/>
      <c r="M264" s="12"/>
      <c r="N264" s="12"/>
    </row>
    <row r="265" spans="2:14" outlineLevel="1">
      <c r="B265" s="27" t="s">
        <v>242</v>
      </c>
      <c r="D265" s="8"/>
      <c r="E265" s="8"/>
      <c r="F265" s="8"/>
      <c r="G265" s="8"/>
      <c r="H265" s="186"/>
      <c r="I265" s="73">
        <f>AVERAGE(C259:H259)</f>
        <v>58.450666666666677</v>
      </c>
      <c r="J265" s="8"/>
      <c r="K265" s="8"/>
      <c r="L265" s="8"/>
      <c r="M265" s="8"/>
      <c r="N265" s="8"/>
    </row>
    <row r="266" spans="2:14" outlineLevel="1">
      <c r="B266" s="27"/>
      <c r="C266" s="8"/>
      <c r="D266" s="8"/>
      <c r="E266" s="8"/>
      <c r="F266" s="8"/>
      <c r="G266" s="8"/>
      <c r="H266" s="186"/>
      <c r="I266" s="12"/>
      <c r="J266" s="12"/>
      <c r="K266" s="12"/>
      <c r="L266" s="12"/>
      <c r="M266" s="12"/>
      <c r="N266" s="12"/>
    </row>
    <row r="267" spans="2:14" outlineLevel="1">
      <c r="B267" s="27"/>
      <c r="C267" s="12"/>
      <c r="D267" s="12"/>
      <c r="E267" s="12"/>
      <c r="F267" s="12"/>
      <c r="G267" s="12"/>
      <c r="H267" s="189"/>
      <c r="I267" s="12"/>
      <c r="J267" s="12"/>
      <c r="K267" s="12"/>
      <c r="L267" s="12"/>
      <c r="M267" s="12"/>
      <c r="N267" s="12"/>
    </row>
    <row r="268" spans="2:14" outlineLevel="1">
      <c r="B268" s="19" t="s">
        <v>231</v>
      </c>
      <c r="C268" s="12"/>
      <c r="D268" s="12"/>
      <c r="E268" s="12"/>
      <c r="F268" s="12"/>
      <c r="G268" s="12"/>
      <c r="H268" s="189"/>
      <c r="I268" s="12"/>
      <c r="J268" s="12"/>
      <c r="K268" s="12"/>
      <c r="L268" s="12"/>
      <c r="M268" s="12"/>
      <c r="N268" s="12"/>
    </row>
    <row r="269" spans="2:14" outlineLevel="1">
      <c r="B269" s="27" t="s">
        <v>233</v>
      </c>
      <c r="C269" s="37">
        <v>35</v>
      </c>
      <c r="D269" s="37">
        <v>29</v>
      </c>
      <c r="E269" s="37">
        <v>24</v>
      </c>
      <c r="F269" s="37">
        <v>20</v>
      </c>
      <c r="G269" s="37">
        <v>13</v>
      </c>
      <c r="H269" s="181">
        <v>7</v>
      </c>
      <c r="I269" s="74">
        <f>+H269+I270+I271+I272</f>
        <v>7.039484136359393</v>
      </c>
      <c r="J269" s="74">
        <f t="shared" ref="J269:N269" si="173">+I269+J270+J271+J272</f>
        <v>6.7771473355840239</v>
      </c>
      <c r="K269" s="74">
        <f t="shared" si="173"/>
        <v>6.6520208444179501</v>
      </c>
      <c r="L269" s="74">
        <f t="shared" si="173"/>
        <v>6.5923394015351411</v>
      </c>
      <c r="M269" s="74">
        <f t="shared" si="173"/>
        <v>6.5638732103123223</v>
      </c>
      <c r="N269" s="74">
        <f t="shared" si="173"/>
        <v>6.550295722845652</v>
      </c>
    </row>
    <row r="270" spans="2:14" outlineLevel="1">
      <c r="B270" s="27" t="s">
        <v>236</v>
      </c>
      <c r="C270" s="37">
        <v>12</v>
      </c>
      <c r="D270" s="37">
        <v>5</v>
      </c>
      <c r="E270" s="37">
        <v>5</v>
      </c>
      <c r="F270" s="37">
        <v>0</v>
      </c>
      <c r="G270" s="37">
        <v>1</v>
      </c>
      <c r="H270" s="181">
        <v>3</v>
      </c>
      <c r="I270" s="74">
        <f>+$I$276</f>
        <v>4.333333333333333</v>
      </c>
      <c r="J270" s="74">
        <f t="shared" ref="J270:N270" si="174">+$I$276</f>
        <v>4.333333333333333</v>
      </c>
      <c r="K270" s="74">
        <f t="shared" si="174"/>
        <v>4.333333333333333</v>
      </c>
      <c r="L270" s="74">
        <f t="shared" si="174"/>
        <v>4.333333333333333</v>
      </c>
      <c r="M270" s="74">
        <f t="shared" si="174"/>
        <v>4.333333333333333</v>
      </c>
      <c r="N270" s="74">
        <f t="shared" si="174"/>
        <v>4.333333333333333</v>
      </c>
    </row>
    <row r="271" spans="2:14" outlineLevel="1">
      <c r="B271" s="27" t="s">
        <v>239</v>
      </c>
      <c r="C271" s="37">
        <v>-17</v>
      </c>
      <c r="D271" s="37">
        <v>-10</v>
      </c>
      <c r="E271" s="37">
        <v>-9</v>
      </c>
      <c r="F271" s="37">
        <v>-4</v>
      </c>
      <c r="G271" s="37">
        <v>-8</v>
      </c>
      <c r="H271" s="181">
        <v>-8</v>
      </c>
      <c r="I271" s="74">
        <f>-$I$263*H269</f>
        <v>-3.6612178101824391</v>
      </c>
      <c r="J271" s="74">
        <f t="shared" ref="J271:N271" si="175">-$I$263*I269</f>
        <v>-3.6818692420765364</v>
      </c>
      <c r="K271" s="74">
        <f t="shared" si="175"/>
        <v>-3.5446589324672417</v>
      </c>
      <c r="L271" s="74">
        <f t="shared" si="175"/>
        <v>-3.479213884183975</v>
      </c>
      <c r="M271" s="74">
        <f t="shared" si="175"/>
        <v>-3.4479986325239858</v>
      </c>
      <c r="N271" s="74">
        <f t="shared" si="175"/>
        <v>-3.4331099287678368</v>
      </c>
    </row>
    <row r="272" spans="2:14" outlineLevel="1">
      <c r="B272" s="27" t="s">
        <v>238</v>
      </c>
      <c r="C272" s="37">
        <v>-2</v>
      </c>
      <c r="D272" s="37">
        <v>-1</v>
      </c>
      <c r="E272" s="37">
        <v>-1</v>
      </c>
      <c r="F272" s="37">
        <v>-1</v>
      </c>
      <c r="G272" s="37">
        <v>-1</v>
      </c>
      <c r="H272" s="181">
        <v>-1</v>
      </c>
      <c r="I272" s="74">
        <f>-$I$264*H270</f>
        <v>-0.63263138679150011</v>
      </c>
      <c r="J272" s="74">
        <f t="shared" ref="J272:N272" si="176">-$I$264*I270</f>
        <v>-0.91380089203216674</v>
      </c>
      <c r="K272" s="74">
        <f t="shared" si="176"/>
        <v>-0.91380089203216674</v>
      </c>
      <c r="L272" s="74">
        <f t="shared" si="176"/>
        <v>-0.91380089203216674</v>
      </c>
      <c r="M272" s="74">
        <f t="shared" si="176"/>
        <v>-0.91380089203216674</v>
      </c>
      <c r="N272" s="74">
        <f t="shared" si="176"/>
        <v>-0.91380089203216674</v>
      </c>
    </row>
    <row r="273" spans="2:15" outlineLevel="1">
      <c r="B273" s="27"/>
      <c r="C273" s="12"/>
      <c r="D273" s="12"/>
      <c r="E273" s="12"/>
      <c r="F273" s="12"/>
      <c r="G273" s="12"/>
      <c r="H273" s="189"/>
      <c r="I273" s="12"/>
      <c r="J273" s="12"/>
      <c r="K273" s="12"/>
      <c r="L273" s="12"/>
      <c r="M273" s="12"/>
      <c r="N273" s="12"/>
    </row>
    <row r="274" spans="2:15" outlineLevel="1">
      <c r="B274" s="27" t="s">
        <v>243</v>
      </c>
      <c r="C274" s="28"/>
      <c r="D274" s="84">
        <f>-D271/C269</f>
        <v>0.2857142857142857</v>
      </c>
      <c r="E274" s="84">
        <f t="shared" ref="E274:H274" si="177">-E271/D269</f>
        <v>0.31034482758620691</v>
      </c>
      <c r="F274" s="84">
        <f t="shared" si="177"/>
        <v>0.16666666666666666</v>
      </c>
      <c r="G274" s="84">
        <f t="shared" si="177"/>
        <v>0.4</v>
      </c>
      <c r="H274" s="201">
        <f t="shared" si="177"/>
        <v>0.61538461538461542</v>
      </c>
      <c r="I274" s="217">
        <f>AVERAGE(C274:H274)</f>
        <v>0.35562207907035492</v>
      </c>
      <c r="J274" s="12"/>
      <c r="K274" s="12"/>
      <c r="L274" s="12"/>
      <c r="M274" s="12"/>
      <c r="N274" s="12"/>
    </row>
    <row r="275" spans="2:15" outlineLevel="1">
      <c r="B275" s="27" t="s">
        <v>241</v>
      </c>
      <c r="C275" s="28"/>
      <c r="D275" s="84">
        <f>+-D272/C269</f>
        <v>2.8571428571428571E-2</v>
      </c>
      <c r="E275" s="84">
        <f t="shared" ref="E275:H275" si="178">+-E272/D269</f>
        <v>3.4482758620689655E-2</v>
      </c>
      <c r="F275" s="84">
        <f t="shared" si="178"/>
        <v>4.1666666666666664E-2</v>
      </c>
      <c r="G275" s="84">
        <f t="shared" si="178"/>
        <v>0.05</v>
      </c>
      <c r="H275" s="201">
        <f t="shared" si="178"/>
        <v>7.6923076923076927E-2</v>
      </c>
      <c r="I275" s="217">
        <f>AVERAGE(C275:H275)</f>
        <v>4.6328786156372356E-2</v>
      </c>
      <c r="J275" s="12"/>
      <c r="K275" s="12"/>
      <c r="L275" s="12"/>
      <c r="M275" s="12"/>
      <c r="N275" s="12"/>
    </row>
    <row r="276" spans="2:15" outlineLevel="1">
      <c r="B276" s="27" t="s">
        <v>242</v>
      </c>
      <c r="D276" s="8"/>
      <c r="E276" s="8"/>
      <c r="F276" s="8"/>
      <c r="G276" s="8"/>
      <c r="H276" s="186"/>
      <c r="I276" s="73">
        <f>AVERAGE(C270:H270)</f>
        <v>4.333333333333333</v>
      </c>
      <c r="J276" s="12"/>
      <c r="K276" s="12"/>
      <c r="L276" s="12"/>
      <c r="M276" s="12"/>
      <c r="N276" s="12"/>
    </row>
    <row r="277" spans="2:15" outlineLevel="1">
      <c r="B277" s="27"/>
      <c r="C277" s="12"/>
      <c r="D277" s="12"/>
      <c r="E277" s="12"/>
      <c r="F277" s="12"/>
      <c r="G277" s="12"/>
      <c r="H277" s="189"/>
      <c r="I277" s="12"/>
      <c r="J277" s="12"/>
      <c r="K277" s="12"/>
      <c r="L277" s="12"/>
      <c r="M277" s="12"/>
      <c r="N277" s="12"/>
    </row>
    <row r="278" spans="2:15" outlineLevel="1">
      <c r="B278" s="27"/>
      <c r="C278" s="12"/>
      <c r="D278" s="12"/>
      <c r="E278" s="12"/>
      <c r="F278" s="12"/>
      <c r="G278" s="12"/>
      <c r="H278" s="189"/>
      <c r="I278" s="12"/>
      <c r="J278" s="12"/>
      <c r="K278" s="12"/>
      <c r="L278" s="12"/>
      <c r="M278" s="12"/>
      <c r="N278" s="12"/>
    </row>
    <row r="279" spans="2:15" outlineLevel="1">
      <c r="B279" s="19" t="s">
        <v>120</v>
      </c>
      <c r="C279" s="8"/>
      <c r="D279" s="8"/>
      <c r="E279" s="8"/>
      <c r="F279" s="8"/>
      <c r="G279" s="8"/>
      <c r="H279" s="186"/>
      <c r="I279" s="74">
        <f t="shared" ref="I279:N279" si="179">(-I245/I280)</f>
        <v>15.717092337917487</v>
      </c>
      <c r="J279" s="74">
        <f t="shared" si="179"/>
        <v>15.717092337917487</v>
      </c>
      <c r="K279" s="74">
        <f t="shared" si="179"/>
        <v>15.717092337917487</v>
      </c>
      <c r="L279" s="74">
        <f t="shared" si="179"/>
        <v>15.717092337917487</v>
      </c>
      <c r="M279" s="74">
        <f t="shared" si="179"/>
        <v>13.097576948264573</v>
      </c>
      <c r="N279" s="74">
        <f t="shared" si="179"/>
        <v>0</v>
      </c>
      <c r="O279" s="8"/>
    </row>
    <row r="280" spans="2:15" outlineLevel="1">
      <c r="B280" s="17" t="s">
        <v>119</v>
      </c>
      <c r="C280" s="8"/>
      <c r="D280" s="8"/>
      <c r="E280" s="8"/>
      <c r="F280" s="8"/>
      <c r="G280" s="8"/>
      <c r="H280" s="186"/>
      <c r="I280" s="218">
        <f>Model!C3</f>
        <v>76.349999999999994</v>
      </c>
      <c r="J280" s="216">
        <f>I280</f>
        <v>76.349999999999994</v>
      </c>
      <c r="K280" s="216">
        <f>J280</f>
        <v>76.349999999999994</v>
      </c>
      <c r="L280" s="216">
        <f>K280</f>
        <v>76.349999999999994</v>
      </c>
      <c r="M280" s="216">
        <f>L280</f>
        <v>76.349999999999994</v>
      </c>
      <c r="N280" s="216">
        <f>M280</f>
        <v>76.349999999999994</v>
      </c>
    </row>
    <row r="281" spans="2:15" outlineLevel="1">
      <c r="B281" s="17"/>
      <c r="C281" s="8"/>
      <c r="D281" s="8"/>
      <c r="E281" s="8"/>
      <c r="F281" s="8"/>
      <c r="G281" s="8"/>
      <c r="H281" s="186"/>
      <c r="I281" s="8"/>
      <c r="J281" s="8"/>
      <c r="K281" s="8"/>
      <c r="L281" s="8"/>
      <c r="M281" s="8"/>
      <c r="N281" s="8"/>
    </row>
    <row r="282" spans="2:15" outlineLevel="1">
      <c r="B282" s="4" t="s">
        <v>121</v>
      </c>
      <c r="H282" s="178"/>
    </row>
    <row r="283" spans="2:15" outlineLevel="1">
      <c r="B283" s="32" t="s">
        <v>55</v>
      </c>
      <c r="C283" s="33" t="s">
        <v>9</v>
      </c>
      <c r="D283" s="34" t="s">
        <v>10</v>
      </c>
      <c r="E283" s="34" t="s">
        <v>11</v>
      </c>
      <c r="F283" s="33" t="s">
        <v>12</v>
      </c>
      <c r="G283" s="33" t="s">
        <v>13</v>
      </c>
      <c r="H283" s="176" t="s">
        <v>14</v>
      </c>
      <c r="I283" s="36" t="s">
        <v>15</v>
      </c>
      <c r="J283" s="36" t="s">
        <v>16</v>
      </c>
      <c r="K283" s="36" t="s">
        <v>17</v>
      </c>
      <c r="L283" s="36" t="s">
        <v>18</v>
      </c>
      <c r="M283" s="36" t="s">
        <v>19</v>
      </c>
      <c r="N283" s="36" t="s">
        <v>20</v>
      </c>
    </row>
    <row r="284" spans="2:15" outlineLevel="1">
      <c r="B284" s="26" t="s">
        <v>56</v>
      </c>
      <c r="C284" s="2">
        <v>43830</v>
      </c>
      <c r="D284" s="2">
        <v>44196</v>
      </c>
      <c r="E284" s="2">
        <v>44561</v>
      </c>
      <c r="F284" s="2">
        <v>44926</v>
      </c>
      <c r="G284" s="2">
        <v>45291</v>
      </c>
      <c r="H284" s="177">
        <v>45657</v>
      </c>
      <c r="I284" s="26"/>
      <c r="J284" s="26"/>
      <c r="K284" s="26"/>
      <c r="L284" s="26"/>
      <c r="M284" s="26"/>
      <c r="N284" s="26"/>
    </row>
    <row r="285" spans="2:15" outlineLevel="1">
      <c r="H285" s="178"/>
    </row>
    <row r="286" spans="2:15" outlineLevel="1">
      <c r="B286" s="3" t="s">
        <v>139</v>
      </c>
      <c r="C286" s="44">
        <f>IFERROR(Model!C117+Model!C121+Model!C123, "n.a.")</f>
        <v>12507</v>
      </c>
      <c r="D286" s="44">
        <f>Model!D117+Model!D121+Model!D123</f>
        <v>9088</v>
      </c>
      <c r="E286" s="44">
        <f>Model!E117+Model!E121+Model!E123</f>
        <v>7805</v>
      </c>
      <c r="F286" s="44">
        <f>Model!F117+Model!F121+Model!F123</f>
        <v>8394</v>
      </c>
      <c r="G286" s="44">
        <f>Model!G117+Model!G121+Model!G123</f>
        <v>12510</v>
      </c>
      <c r="H286" s="194">
        <f>Model!H117+Model!H121+Model!H123</f>
        <v>16713</v>
      </c>
      <c r="I286" s="44">
        <f ca="1">Model!I117+Model!I121+Model!I123</f>
        <v>25507.004899953386</v>
      </c>
      <c r="J286" s="44">
        <f ca="1">Model!J117+Model!J121+Model!J123</f>
        <v>32110.112859603796</v>
      </c>
      <c r="K286" s="44">
        <f ca="1">Model!K117+Model!K121+Model!K123</f>
        <v>41071.783240946475</v>
      </c>
      <c r="L286" s="44">
        <f ca="1">Model!L117+Model!L121+Model!L123</f>
        <v>50506.253838430523</v>
      </c>
      <c r="M286" s="44">
        <f ca="1">Model!M117+Model!M121+Model!M123</f>
        <v>62634.040906649287</v>
      </c>
      <c r="N286" s="44">
        <f ca="1">Model!N117+Model!N121+Model!N123</f>
        <v>78655.653675116089</v>
      </c>
    </row>
    <row r="287" spans="2:15" outlineLevel="1">
      <c r="B287" s="5"/>
      <c r="C287" s="8"/>
      <c r="D287" s="8"/>
      <c r="E287" s="8"/>
      <c r="F287" s="8"/>
      <c r="G287" s="8"/>
      <c r="H287" s="186"/>
      <c r="I287" s="8"/>
      <c r="J287" s="8"/>
      <c r="K287" s="8"/>
      <c r="L287" s="8"/>
      <c r="M287" s="8"/>
      <c r="N287" s="8"/>
    </row>
    <row r="288" spans="2:15" outlineLevel="1">
      <c r="B288" s="5" t="s">
        <v>140</v>
      </c>
      <c r="C288" s="8"/>
      <c r="D288" s="8"/>
      <c r="E288" s="8"/>
      <c r="F288" s="85">
        <f>F289/F286</f>
        <v>1.6559447224207768E-2</v>
      </c>
      <c r="G288" s="85">
        <f>G289/G286</f>
        <v>3.8689048760991204E-2</v>
      </c>
      <c r="H288" s="202">
        <f>H289/H286</f>
        <v>4.3140070603721652E-2</v>
      </c>
      <c r="I288" s="219">
        <v>3.5000000000000003E-2</v>
      </c>
      <c r="J288" s="220">
        <v>0.03</v>
      </c>
      <c r="K288" s="220">
        <v>2.75E-2</v>
      </c>
      <c r="L288" s="220">
        <v>2.75E-2</v>
      </c>
      <c r="M288" s="220">
        <v>2.5000000000000001E-2</v>
      </c>
      <c r="N288" s="220">
        <v>2.5000000000000001E-2</v>
      </c>
    </row>
    <row r="289" spans="2:15" outlineLevel="1">
      <c r="B289" s="5" t="s">
        <v>141</v>
      </c>
      <c r="C289" s="12"/>
      <c r="D289" s="12"/>
      <c r="E289" s="12"/>
      <c r="F289" s="45">
        <v>139</v>
      </c>
      <c r="G289" s="45">
        <v>484</v>
      </c>
      <c r="H289" s="179">
        <v>721</v>
      </c>
      <c r="I289" s="74">
        <f t="shared" ref="I289:N289" ca="1" si="180">I288*I286</f>
        <v>892.74517149836856</v>
      </c>
      <c r="J289" s="74">
        <f t="shared" ca="1" si="180"/>
        <v>963.30338578811381</v>
      </c>
      <c r="K289" s="74">
        <f t="shared" ca="1" si="180"/>
        <v>1129.4740391260282</v>
      </c>
      <c r="L289" s="74">
        <f t="shared" ca="1" si="180"/>
        <v>1388.9219805568393</v>
      </c>
      <c r="M289" s="74">
        <f t="shared" ca="1" si="180"/>
        <v>1565.8510226662322</v>
      </c>
      <c r="N289" s="74">
        <f t="shared" ca="1" si="180"/>
        <v>1966.3913418779023</v>
      </c>
    </row>
    <row r="290" spans="2:15" outlineLevel="1">
      <c r="B290" s="5" t="s">
        <v>174</v>
      </c>
      <c r="C290" s="44">
        <f>Model!C83</f>
        <v>-559</v>
      </c>
      <c r="D290" s="44">
        <f>Model!D83</f>
        <v>-458</v>
      </c>
      <c r="E290" s="44">
        <f>Model!E83</f>
        <v>-483</v>
      </c>
      <c r="F290" s="44">
        <f>Model!F83</f>
        <v>-565</v>
      </c>
      <c r="G290" s="44">
        <f>Model!G83</f>
        <v>-633</v>
      </c>
      <c r="H290" s="194">
        <f>Model!H83</f>
        <v>-523</v>
      </c>
      <c r="I290" s="44">
        <f t="shared" ref="I290:N290" ca="1" si="181">-(I322+I295)</f>
        <v>-382.92500000000001</v>
      </c>
      <c r="J290" s="74">
        <f t="shared" ca="1" si="181"/>
        <v>-336.23750000000001</v>
      </c>
      <c r="K290" s="74">
        <f t="shared" ca="1" si="181"/>
        <v>-291.78828125000001</v>
      </c>
      <c r="L290" s="74">
        <f t="shared" ca="1" si="181"/>
        <v>-291.78829101562502</v>
      </c>
      <c r="M290" s="74">
        <f t="shared" ca="1" si="181"/>
        <v>-272.81329113769533</v>
      </c>
      <c r="N290" s="74">
        <f t="shared" ca="1" si="181"/>
        <v>-202.31329113922118</v>
      </c>
    </row>
    <row r="291" spans="2:15" outlineLevel="1">
      <c r="B291" s="5"/>
      <c r="C291" s="12"/>
      <c r="D291" s="12"/>
      <c r="E291" s="12"/>
      <c r="F291" s="12"/>
      <c r="G291" s="12"/>
      <c r="H291" s="189"/>
      <c r="I291" s="12"/>
      <c r="J291" s="12"/>
      <c r="K291" s="12"/>
      <c r="L291" s="12"/>
      <c r="M291" s="12"/>
      <c r="N291" s="12"/>
    </row>
    <row r="292" spans="2:15" outlineLevel="1">
      <c r="B292" s="7" t="s">
        <v>156</v>
      </c>
      <c r="C292" s="12"/>
      <c r="D292" s="12"/>
      <c r="E292" s="12"/>
      <c r="F292" s="12"/>
      <c r="G292" s="12"/>
      <c r="H292" s="189"/>
      <c r="I292" s="12"/>
      <c r="J292" s="12"/>
      <c r="K292" s="12"/>
      <c r="L292" s="12"/>
      <c r="M292" s="12"/>
      <c r="N292" s="12"/>
    </row>
    <row r="293" spans="2:15" outlineLevel="1">
      <c r="B293" s="17" t="s">
        <v>175</v>
      </c>
      <c r="C293" s="12"/>
      <c r="D293" s="12"/>
      <c r="E293" s="12"/>
      <c r="F293" s="12"/>
      <c r="G293" s="12"/>
      <c r="H293" s="189"/>
      <c r="I293" s="220">
        <v>2.5000000000000001E-2</v>
      </c>
      <c r="J293" s="220">
        <v>2.5000000000000001E-2</v>
      </c>
      <c r="K293" s="220">
        <v>2.5000000000000001E-2</v>
      </c>
      <c r="L293" s="220">
        <v>2.5000000000000001E-2</v>
      </c>
      <c r="M293" s="220">
        <v>2.5000000000000001E-2</v>
      </c>
      <c r="N293" s="220">
        <v>2.5000000000000001E-2</v>
      </c>
    </row>
    <row r="294" spans="2:15" outlineLevel="1">
      <c r="B294" s="21" t="s">
        <v>176</v>
      </c>
      <c r="C294" s="22"/>
      <c r="D294" s="22"/>
      <c r="E294" s="22"/>
      <c r="F294" s="22"/>
      <c r="G294" s="22"/>
      <c r="H294" s="203"/>
      <c r="I294" s="208">
        <f t="shared" ref="I294:N294" ca="1" si="182">I340</f>
        <v>400</v>
      </c>
      <c r="J294" s="208">
        <f t="shared" ca="1" si="182"/>
        <v>400</v>
      </c>
      <c r="K294" s="208">
        <f t="shared" ca="1" si="182"/>
        <v>400</v>
      </c>
      <c r="L294" s="208">
        <f t="shared" ca="1" si="182"/>
        <v>400</v>
      </c>
      <c r="M294" s="208">
        <f t="shared" ca="1" si="182"/>
        <v>400</v>
      </c>
      <c r="N294" s="208">
        <f t="shared" ca="1" si="182"/>
        <v>400</v>
      </c>
    </row>
    <row r="295" spans="2:15" outlineLevel="1">
      <c r="B295" s="7" t="s">
        <v>25</v>
      </c>
      <c r="C295" s="12"/>
      <c r="D295" s="12"/>
      <c r="E295" s="12"/>
      <c r="F295" s="12"/>
      <c r="G295" s="12"/>
      <c r="H295" s="179">
        <v>0</v>
      </c>
      <c r="I295" s="73">
        <f t="shared" ref="I295:N295" ca="1" si="183">+AVERAGE(I294,H295)*I293</f>
        <v>5</v>
      </c>
      <c r="J295" s="73">
        <f t="shared" ca="1" si="183"/>
        <v>5.0625</v>
      </c>
      <c r="K295" s="73">
        <f t="shared" ca="1" si="183"/>
        <v>5.0632812500000002</v>
      </c>
      <c r="L295" s="73">
        <f t="shared" ca="1" si="183"/>
        <v>5.0632910156250004</v>
      </c>
      <c r="M295" s="73">
        <f t="shared" ca="1" si="183"/>
        <v>5.0632911376953125</v>
      </c>
      <c r="N295" s="73">
        <f t="shared" ca="1" si="183"/>
        <v>5.0632911392211923</v>
      </c>
    </row>
    <row r="296" spans="2:15" outlineLevel="1">
      <c r="B296" s="19"/>
      <c r="C296" s="12"/>
      <c r="D296" s="12"/>
      <c r="E296" s="12"/>
      <c r="F296" s="12"/>
      <c r="G296" s="12"/>
      <c r="H296" s="189"/>
      <c r="I296" s="12"/>
      <c r="J296" s="12"/>
      <c r="K296" s="12"/>
      <c r="L296" s="12"/>
      <c r="M296" s="12"/>
      <c r="N296" s="12"/>
    </row>
    <row r="297" spans="2:15" outlineLevel="1">
      <c r="B297" s="7" t="s">
        <v>150</v>
      </c>
      <c r="C297" s="12" t="s">
        <v>140</v>
      </c>
      <c r="E297" s="281" t="s">
        <v>282</v>
      </c>
      <c r="F297" s="281"/>
      <c r="G297" s="12"/>
      <c r="H297" s="189"/>
      <c r="I297" s="12"/>
      <c r="J297" s="12"/>
      <c r="K297" s="12"/>
      <c r="L297" s="12"/>
      <c r="M297" s="12"/>
      <c r="N297" s="12"/>
    </row>
    <row r="298" spans="2:15" outlineLevel="1">
      <c r="B298" s="5" t="s">
        <v>142</v>
      </c>
      <c r="C298" s="70">
        <v>4.4999999999999998E-2</v>
      </c>
      <c r="E298" s="150">
        <f t="shared" ref="E298:E305" si="184">H298/$H$307</f>
        <v>0.13162051174054964</v>
      </c>
      <c r="F298" s="87">
        <f t="shared" ref="F298:F305" si="185">E298*C298</f>
        <v>5.9229230283247341E-3</v>
      </c>
      <c r="G298" s="8"/>
      <c r="H298" s="179">
        <v>1250</v>
      </c>
      <c r="I298" s="74">
        <f t="shared" ref="I298:M300" si="186">H298</f>
        <v>1250</v>
      </c>
      <c r="J298" s="74">
        <f t="shared" si="186"/>
        <v>1250</v>
      </c>
      <c r="K298" s="74">
        <f t="shared" si="186"/>
        <v>1250</v>
      </c>
      <c r="L298" s="74">
        <f t="shared" si="186"/>
        <v>1250</v>
      </c>
      <c r="M298" s="74">
        <f t="shared" si="186"/>
        <v>1250</v>
      </c>
      <c r="N298" s="45">
        <v>0</v>
      </c>
    </row>
    <row r="299" spans="2:15" outlineLevel="1">
      <c r="B299" s="5" t="s">
        <v>143</v>
      </c>
      <c r="C299" s="70">
        <v>4.9000000000000002E-2</v>
      </c>
      <c r="E299" s="150">
        <f t="shared" si="184"/>
        <v>0.15794461408865956</v>
      </c>
      <c r="F299" s="87">
        <f t="shared" si="185"/>
        <v>7.7392860903443186E-3</v>
      </c>
      <c r="G299" s="8"/>
      <c r="H299" s="179">
        <v>1500</v>
      </c>
      <c r="I299" s="74">
        <f t="shared" si="186"/>
        <v>1500</v>
      </c>
      <c r="J299" s="74">
        <f t="shared" si="186"/>
        <v>1500</v>
      </c>
      <c r="K299" s="74">
        <f t="shared" si="186"/>
        <v>1500</v>
      </c>
      <c r="L299" s="74">
        <f t="shared" si="186"/>
        <v>1500</v>
      </c>
      <c r="M299" s="74">
        <f t="shared" si="186"/>
        <v>1500</v>
      </c>
      <c r="N299" s="74">
        <f>M299</f>
        <v>1500</v>
      </c>
      <c r="O299" s="12"/>
    </row>
    <row r="300" spans="2:15" outlineLevel="1">
      <c r="B300" s="5" t="s">
        <v>144</v>
      </c>
      <c r="C300" s="70">
        <v>5.3999999999999999E-2</v>
      </c>
      <c r="E300" s="150">
        <f t="shared" si="184"/>
        <v>0.13162051174054964</v>
      </c>
      <c r="F300" s="87">
        <f t="shared" si="185"/>
        <v>7.107507633989681E-3</v>
      </c>
      <c r="G300" s="8"/>
      <c r="H300" s="179">
        <v>1250</v>
      </c>
      <c r="I300" s="74">
        <f t="shared" si="186"/>
        <v>1250</v>
      </c>
      <c r="J300" s="74">
        <f t="shared" si="186"/>
        <v>1250</v>
      </c>
      <c r="K300" s="74">
        <f t="shared" si="186"/>
        <v>1250</v>
      </c>
      <c r="L300" s="74">
        <f t="shared" si="186"/>
        <v>1250</v>
      </c>
      <c r="M300" s="74">
        <f t="shared" si="186"/>
        <v>1250</v>
      </c>
      <c r="N300" s="74">
        <f>M300</f>
        <v>1250</v>
      </c>
    </row>
    <row r="301" spans="2:15" outlineLevel="1">
      <c r="B301" s="5" t="s">
        <v>145</v>
      </c>
      <c r="C301" s="70">
        <v>7.6999999999999999E-2</v>
      </c>
      <c r="E301" s="150">
        <f t="shared" si="184"/>
        <v>7.3707486574707798E-2</v>
      </c>
      <c r="F301" s="87">
        <f t="shared" si="185"/>
        <v>5.6754764662525006E-3</v>
      </c>
      <c r="G301" s="8"/>
      <c r="H301" s="179">
        <v>700</v>
      </c>
      <c r="I301" s="45">
        <v>350</v>
      </c>
      <c r="J301" s="45">
        <v>0</v>
      </c>
      <c r="K301" s="45">
        <v>0</v>
      </c>
      <c r="L301" s="45">
        <v>0</v>
      </c>
      <c r="M301" s="45">
        <v>0</v>
      </c>
      <c r="N301" s="45">
        <v>0</v>
      </c>
    </row>
    <row r="302" spans="2:15" outlineLevel="1">
      <c r="B302" s="5" t="s">
        <v>146</v>
      </c>
      <c r="C302" s="70">
        <v>7.0000000000000007E-2</v>
      </c>
      <c r="E302" s="150">
        <f t="shared" si="184"/>
        <v>5.2648204696219857E-2</v>
      </c>
      <c r="F302" s="87">
        <f t="shared" si="185"/>
        <v>3.6853743287353904E-3</v>
      </c>
      <c r="G302" s="8"/>
      <c r="H302" s="179">
        <v>500</v>
      </c>
      <c r="I302" s="45">
        <v>250</v>
      </c>
      <c r="J302" s="45">
        <v>0</v>
      </c>
      <c r="K302" s="45">
        <v>0</v>
      </c>
      <c r="L302" s="45">
        <v>0</v>
      </c>
      <c r="M302" s="45">
        <v>0</v>
      </c>
      <c r="N302" s="45">
        <v>0</v>
      </c>
    </row>
    <row r="303" spans="2:15" outlineLevel="1">
      <c r="B303" s="5" t="s">
        <v>147</v>
      </c>
      <c r="C303" s="70">
        <v>4.7E-2</v>
      </c>
      <c r="E303" s="150">
        <f t="shared" si="184"/>
        <v>0.15794461408865956</v>
      </c>
      <c r="F303" s="87">
        <f t="shared" si="185"/>
        <v>7.4233968621669998E-3</v>
      </c>
      <c r="G303" s="8"/>
      <c r="H303" s="179">
        <v>1500</v>
      </c>
      <c r="I303" s="45">
        <v>1500</v>
      </c>
      <c r="J303" s="45">
        <v>1500</v>
      </c>
      <c r="K303" s="45">
        <v>1500</v>
      </c>
      <c r="L303" s="45">
        <v>1500</v>
      </c>
      <c r="M303" s="45">
        <v>0</v>
      </c>
      <c r="N303" s="45">
        <v>0</v>
      </c>
    </row>
    <row r="304" spans="2:15" outlineLevel="1">
      <c r="B304" s="5" t="s">
        <v>148</v>
      </c>
      <c r="C304" s="70">
        <v>2E-3</v>
      </c>
      <c r="E304" s="150">
        <f t="shared" si="184"/>
        <v>0.12109087080130568</v>
      </c>
      <c r="F304" s="87">
        <f t="shared" si="185"/>
        <v>2.4218174160261136E-4</v>
      </c>
      <c r="G304" s="8"/>
      <c r="H304" s="179">
        <v>1150</v>
      </c>
      <c r="I304" s="45">
        <v>0</v>
      </c>
      <c r="J304" s="45">
        <v>0</v>
      </c>
      <c r="K304" s="45">
        <v>0</v>
      </c>
      <c r="L304" s="45">
        <v>0</v>
      </c>
      <c r="M304" s="45">
        <v>0</v>
      </c>
      <c r="N304" s="45">
        <v>0</v>
      </c>
    </row>
    <row r="305" spans="2:15" outlineLevel="1">
      <c r="B305" s="5" t="s">
        <v>149</v>
      </c>
      <c r="C305" s="71">
        <v>1.0999999999999999E-2</v>
      </c>
      <c r="E305" s="223">
        <f t="shared" si="184"/>
        <v>0.1816363062019585</v>
      </c>
      <c r="F305" s="224">
        <f t="shared" si="185"/>
        <v>1.9979993682215434E-3</v>
      </c>
      <c r="G305" s="8"/>
      <c r="H305" s="179">
        <v>1725</v>
      </c>
      <c r="I305" s="45">
        <v>1725</v>
      </c>
      <c r="J305" s="45">
        <v>1725</v>
      </c>
      <c r="K305" s="45">
        <v>1725</v>
      </c>
      <c r="L305" s="45">
        <v>0</v>
      </c>
      <c r="M305" s="45">
        <v>0</v>
      </c>
      <c r="N305" s="45">
        <v>0</v>
      </c>
    </row>
    <row r="306" spans="2:15" outlineLevel="1">
      <c r="B306" s="6" t="s">
        <v>173</v>
      </c>
      <c r="C306" s="22"/>
      <c r="D306" s="22"/>
      <c r="E306" s="22"/>
      <c r="F306" s="225">
        <f>SUM(F298:F305)</f>
        <v>3.979414551963778E-2</v>
      </c>
      <c r="G306" s="22"/>
      <c r="H306" s="180">
        <f>-78</f>
        <v>-78</v>
      </c>
      <c r="I306" s="208">
        <f t="shared" ref="I306:N306" si="187">0.8*H306</f>
        <v>-62.400000000000006</v>
      </c>
      <c r="J306" s="208">
        <f t="shared" si="187"/>
        <v>-49.920000000000009</v>
      </c>
      <c r="K306" s="208">
        <f t="shared" si="187"/>
        <v>-39.936000000000007</v>
      </c>
      <c r="L306" s="208">
        <f t="shared" si="187"/>
        <v>-31.948800000000006</v>
      </c>
      <c r="M306" s="208">
        <f t="shared" si="187"/>
        <v>-25.559040000000007</v>
      </c>
      <c r="N306" s="208">
        <f t="shared" si="187"/>
        <v>-20.447232000000007</v>
      </c>
    </row>
    <row r="307" spans="2:15" outlineLevel="1">
      <c r="B307" s="7" t="s">
        <v>151</v>
      </c>
      <c r="C307" s="12"/>
      <c r="D307" s="12"/>
      <c r="E307" s="12"/>
      <c r="F307" s="12"/>
      <c r="G307" s="12"/>
      <c r="H307" s="182">
        <f t="shared" ref="H307:N307" si="188">SUM(H298:H306)</f>
        <v>9497</v>
      </c>
      <c r="I307" s="73">
        <f t="shared" si="188"/>
        <v>7762.6</v>
      </c>
      <c r="J307" s="73">
        <f t="shared" si="188"/>
        <v>7175.08</v>
      </c>
      <c r="K307" s="73">
        <f t="shared" si="188"/>
        <v>7185.0640000000003</v>
      </c>
      <c r="L307" s="73">
        <f t="shared" si="188"/>
        <v>5468.0511999999999</v>
      </c>
      <c r="M307" s="73">
        <f t="shared" si="188"/>
        <v>3974.4409599999999</v>
      </c>
      <c r="N307" s="73">
        <f t="shared" si="188"/>
        <v>2729.552768</v>
      </c>
    </row>
    <row r="308" spans="2:15" outlineLevel="1">
      <c r="B308" s="7"/>
      <c r="C308" s="12"/>
      <c r="D308" s="12"/>
      <c r="E308" s="12"/>
      <c r="F308" s="12"/>
      <c r="G308" s="12"/>
      <c r="H308" s="189"/>
      <c r="I308" s="12"/>
      <c r="J308" s="12"/>
      <c r="K308" s="12"/>
      <c r="L308" s="12"/>
      <c r="M308" s="12"/>
      <c r="N308" s="12"/>
    </row>
    <row r="309" spans="2:15" outlineLevel="1">
      <c r="B309" s="7" t="s">
        <v>153</v>
      </c>
      <c r="C309" s="12"/>
      <c r="D309" s="12"/>
      <c r="E309" s="12"/>
      <c r="F309" s="12"/>
      <c r="G309" s="12"/>
      <c r="H309" s="182">
        <f>+I307-H307</f>
        <v>-1734.3999999999996</v>
      </c>
      <c r="I309" s="73">
        <f t="shared" ref="I309:N309" si="189">+J307-I307</f>
        <v>-587.52000000000044</v>
      </c>
      <c r="J309" s="73">
        <f t="shared" si="189"/>
        <v>9.9840000000003783</v>
      </c>
      <c r="K309" s="73">
        <f t="shared" si="189"/>
        <v>-1717.0128000000004</v>
      </c>
      <c r="L309" s="73">
        <f t="shared" si="189"/>
        <v>-1493.61024</v>
      </c>
      <c r="M309" s="73">
        <f t="shared" si="189"/>
        <v>-1244.8881919999999</v>
      </c>
      <c r="N309" s="73">
        <f t="shared" si="189"/>
        <v>-2729.552768</v>
      </c>
      <c r="O309" s="12"/>
    </row>
    <row r="310" spans="2:15" outlineLevel="1">
      <c r="B310" s="19"/>
      <c r="C310" s="12"/>
      <c r="D310" s="12"/>
      <c r="E310" s="12"/>
      <c r="F310" s="12"/>
      <c r="G310" s="12"/>
      <c r="H310" s="189"/>
      <c r="I310" s="12"/>
      <c r="J310" s="12"/>
      <c r="K310" s="12"/>
      <c r="L310" s="12"/>
      <c r="M310" s="12"/>
      <c r="N310" s="12"/>
    </row>
    <row r="311" spans="2:15" outlineLevel="1">
      <c r="B311" s="19"/>
      <c r="C311" s="12"/>
      <c r="D311" s="12"/>
      <c r="E311" s="12"/>
      <c r="F311" s="12"/>
      <c r="G311" s="12"/>
      <c r="H311" s="189"/>
      <c r="I311" s="12"/>
      <c r="J311" s="12"/>
      <c r="K311" s="12"/>
      <c r="L311" s="12"/>
      <c r="M311" s="12"/>
      <c r="N311" s="12"/>
    </row>
    <row r="312" spans="2:15" outlineLevel="1">
      <c r="B312" s="19"/>
      <c r="C312" s="12"/>
      <c r="D312" s="12"/>
      <c r="E312" s="12"/>
      <c r="F312" s="12"/>
      <c r="G312" s="12"/>
      <c r="H312" s="189"/>
      <c r="I312" s="12"/>
      <c r="J312" s="12"/>
      <c r="K312" s="12"/>
      <c r="L312" s="12"/>
      <c r="M312" s="12"/>
      <c r="N312" s="12"/>
    </row>
    <row r="313" spans="2:15" outlineLevel="1">
      <c r="B313" s="7" t="s">
        <v>150</v>
      </c>
      <c r="C313" s="12" t="s">
        <v>140</v>
      </c>
      <c r="D313" s="12"/>
      <c r="E313" s="12"/>
      <c r="F313" s="12"/>
      <c r="G313" s="12"/>
      <c r="H313" s="189"/>
      <c r="I313" s="12"/>
      <c r="J313" s="12"/>
      <c r="K313" s="12"/>
      <c r="L313" s="12"/>
      <c r="M313" s="12"/>
      <c r="N313" s="12"/>
    </row>
    <row r="314" spans="2:15" outlineLevel="1">
      <c r="B314" s="5" t="s">
        <v>142</v>
      </c>
      <c r="C314" s="70">
        <v>4.4999999999999998E-2</v>
      </c>
      <c r="D314" s="12"/>
      <c r="E314" s="12"/>
      <c r="F314" s="12"/>
      <c r="G314" s="12"/>
      <c r="H314" s="189"/>
      <c r="I314" s="74">
        <f t="shared" ref="I314:N321" si="190">H298*$C298</f>
        <v>56.25</v>
      </c>
      <c r="J314" s="74">
        <f t="shared" si="190"/>
        <v>56.25</v>
      </c>
      <c r="K314" s="74">
        <f t="shared" si="190"/>
        <v>56.25</v>
      </c>
      <c r="L314" s="74">
        <f t="shared" si="190"/>
        <v>56.25</v>
      </c>
      <c r="M314" s="74">
        <f t="shared" si="190"/>
        <v>56.25</v>
      </c>
      <c r="N314" s="74">
        <f t="shared" si="190"/>
        <v>56.25</v>
      </c>
    </row>
    <row r="315" spans="2:15" outlineLevel="1">
      <c r="B315" s="5" t="s">
        <v>143</v>
      </c>
      <c r="C315" s="70">
        <v>4.9000000000000002E-2</v>
      </c>
      <c r="D315" s="12"/>
      <c r="E315" s="12"/>
      <c r="F315" s="12"/>
      <c r="G315" s="12"/>
      <c r="H315" s="189"/>
      <c r="I315" s="74">
        <f t="shared" si="190"/>
        <v>73.5</v>
      </c>
      <c r="J315" s="74">
        <f t="shared" si="190"/>
        <v>73.5</v>
      </c>
      <c r="K315" s="74">
        <f t="shared" si="190"/>
        <v>73.5</v>
      </c>
      <c r="L315" s="74">
        <f t="shared" si="190"/>
        <v>73.5</v>
      </c>
      <c r="M315" s="74">
        <f t="shared" si="190"/>
        <v>73.5</v>
      </c>
      <c r="N315" s="74">
        <f t="shared" si="190"/>
        <v>73.5</v>
      </c>
    </row>
    <row r="316" spans="2:15" outlineLevel="1">
      <c r="B316" s="5" t="s">
        <v>144</v>
      </c>
      <c r="C316" s="70">
        <v>5.3999999999999999E-2</v>
      </c>
      <c r="D316" s="12"/>
      <c r="E316" s="12"/>
      <c r="F316" s="12"/>
      <c r="G316" s="12"/>
      <c r="H316" s="189"/>
      <c r="I316" s="74">
        <f t="shared" si="190"/>
        <v>67.5</v>
      </c>
      <c r="J316" s="74">
        <f t="shared" si="190"/>
        <v>67.5</v>
      </c>
      <c r="K316" s="74">
        <f t="shared" si="190"/>
        <v>67.5</v>
      </c>
      <c r="L316" s="74">
        <f t="shared" si="190"/>
        <v>67.5</v>
      </c>
      <c r="M316" s="74">
        <f t="shared" si="190"/>
        <v>67.5</v>
      </c>
      <c r="N316" s="74">
        <f t="shared" si="190"/>
        <v>67.5</v>
      </c>
    </row>
    <row r="317" spans="2:15" outlineLevel="1">
      <c r="B317" s="5" t="s">
        <v>145</v>
      </c>
      <c r="C317" s="70">
        <v>7.6999999999999999E-2</v>
      </c>
      <c r="D317" s="12"/>
      <c r="E317" s="12"/>
      <c r="F317" s="12"/>
      <c r="G317" s="12"/>
      <c r="H317" s="189"/>
      <c r="I317" s="74">
        <f t="shared" si="190"/>
        <v>53.9</v>
      </c>
      <c r="J317" s="74">
        <f t="shared" si="190"/>
        <v>26.95</v>
      </c>
      <c r="K317" s="74">
        <f t="shared" si="190"/>
        <v>0</v>
      </c>
      <c r="L317" s="74">
        <f t="shared" si="190"/>
        <v>0</v>
      </c>
      <c r="M317" s="74">
        <f t="shared" si="190"/>
        <v>0</v>
      </c>
      <c r="N317" s="74">
        <f t="shared" si="190"/>
        <v>0</v>
      </c>
    </row>
    <row r="318" spans="2:15" outlineLevel="1">
      <c r="B318" s="5" t="s">
        <v>146</v>
      </c>
      <c r="C318" s="70">
        <v>7.0000000000000007E-2</v>
      </c>
      <c r="D318" s="12"/>
      <c r="E318" s="12"/>
      <c r="F318" s="12"/>
      <c r="G318" s="12"/>
      <c r="H318" s="189"/>
      <c r="I318" s="74">
        <f t="shared" si="190"/>
        <v>35</v>
      </c>
      <c r="J318" s="74">
        <f t="shared" si="190"/>
        <v>17.5</v>
      </c>
      <c r="K318" s="74">
        <f t="shared" si="190"/>
        <v>0</v>
      </c>
      <c r="L318" s="74">
        <f t="shared" si="190"/>
        <v>0</v>
      </c>
      <c r="M318" s="74">
        <f t="shared" si="190"/>
        <v>0</v>
      </c>
      <c r="N318" s="74">
        <f t="shared" si="190"/>
        <v>0</v>
      </c>
    </row>
    <row r="319" spans="2:15" outlineLevel="1">
      <c r="B319" s="5" t="s">
        <v>147</v>
      </c>
      <c r="C319" s="70">
        <v>4.7E-2</v>
      </c>
      <c r="D319" s="12"/>
      <c r="E319" s="12"/>
      <c r="F319" s="12"/>
      <c r="G319" s="12"/>
      <c r="H319" s="189"/>
      <c r="I319" s="74">
        <f t="shared" si="190"/>
        <v>70.5</v>
      </c>
      <c r="J319" s="74">
        <f t="shared" si="190"/>
        <v>70.5</v>
      </c>
      <c r="K319" s="74">
        <f t="shared" si="190"/>
        <v>70.5</v>
      </c>
      <c r="L319" s="74">
        <f t="shared" si="190"/>
        <v>70.5</v>
      </c>
      <c r="M319" s="74">
        <f t="shared" si="190"/>
        <v>70.5</v>
      </c>
      <c r="N319" s="74">
        <f t="shared" si="190"/>
        <v>0</v>
      </c>
    </row>
    <row r="320" spans="2:15" outlineLevel="1">
      <c r="B320" s="5" t="s">
        <v>148</v>
      </c>
      <c r="C320" s="70">
        <v>2E-3</v>
      </c>
      <c r="D320" s="13"/>
      <c r="E320" s="13"/>
      <c r="F320" s="13"/>
      <c r="G320" s="13"/>
      <c r="H320" s="204"/>
      <c r="I320" s="74">
        <f t="shared" si="190"/>
        <v>2.3000000000000003</v>
      </c>
      <c r="J320" s="74">
        <f t="shared" si="190"/>
        <v>0</v>
      </c>
      <c r="K320" s="74">
        <f t="shared" si="190"/>
        <v>0</v>
      </c>
      <c r="L320" s="74">
        <f t="shared" si="190"/>
        <v>0</v>
      </c>
      <c r="M320" s="74">
        <f t="shared" si="190"/>
        <v>0</v>
      </c>
      <c r="N320" s="74">
        <f t="shared" si="190"/>
        <v>0</v>
      </c>
    </row>
    <row r="321" spans="2:14" outlineLevel="1">
      <c r="B321" s="23" t="s">
        <v>149</v>
      </c>
      <c r="C321" s="72">
        <v>1.0999999999999999E-2</v>
      </c>
      <c r="D321" s="16"/>
      <c r="E321" s="16"/>
      <c r="F321" s="16"/>
      <c r="G321" s="16"/>
      <c r="H321" s="203"/>
      <c r="I321" s="208">
        <f t="shared" si="190"/>
        <v>18.974999999999998</v>
      </c>
      <c r="J321" s="208">
        <f t="shared" si="190"/>
        <v>18.974999999999998</v>
      </c>
      <c r="K321" s="208">
        <f t="shared" si="190"/>
        <v>18.974999999999998</v>
      </c>
      <c r="L321" s="208">
        <f t="shared" si="190"/>
        <v>18.974999999999998</v>
      </c>
      <c r="M321" s="208">
        <f t="shared" si="190"/>
        <v>0</v>
      </c>
      <c r="N321" s="208">
        <f t="shared" si="190"/>
        <v>0</v>
      </c>
    </row>
    <row r="322" spans="2:14" outlineLevel="1">
      <c r="B322" s="7" t="s">
        <v>152</v>
      </c>
      <c r="C322" s="12"/>
      <c r="D322" s="12"/>
      <c r="E322" s="12"/>
      <c r="F322" s="12"/>
      <c r="G322" s="12"/>
      <c r="H322" s="189"/>
      <c r="I322" s="73">
        <f t="shared" ref="I322:N322" si="191">SUM(I314:I321)</f>
        <v>377.92500000000001</v>
      </c>
      <c r="J322" s="73">
        <f t="shared" si="191"/>
        <v>331.17500000000001</v>
      </c>
      <c r="K322" s="73">
        <f t="shared" si="191"/>
        <v>286.72500000000002</v>
      </c>
      <c r="L322" s="73">
        <f t="shared" si="191"/>
        <v>286.72500000000002</v>
      </c>
      <c r="M322" s="73">
        <f t="shared" si="191"/>
        <v>267.75</v>
      </c>
      <c r="N322" s="73">
        <f t="shared" si="191"/>
        <v>197.25</v>
      </c>
    </row>
    <row r="323" spans="2:14" outlineLevel="1">
      <c r="B323" s="19"/>
      <c r="C323" s="12"/>
      <c r="D323" s="12"/>
      <c r="E323" s="12"/>
      <c r="F323" s="12"/>
      <c r="G323" s="12"/>
      <c r="H323" s="189"/>
      <c r="I323" s="12"/>
      <c r="J323" s="12"/>
      <c r="K323" s="12"/>
      <c r="L323" s="12"/>
      <c r="M323" s="12"/>
      <c r="N323" s="12"/>
    </row>
    <row r="324" spans="2:14" outlineLevel="1">
      <c r="B324" s="4" t="s">
        <v>164</v>
      </c>
      <c r="H324" s="178"/>
    </row>
    <row r="325" spans="2:14" outlineLevel="1">
      <c r="B325" s="32" t="s">
        <v>55</v>
      </c>
      <c r="C325" s="33" t="s">
        <v>9</v>
      </c>
      <c r="D325" s="34" t="s">
        <v>10</v>
      </c>
      <c r="E325" s="34" t="s">
        <v>11</v>
      </c>
      <c r="F325" s="33" t="s">
        <v>12</v>
      </c>
      <c r="G325" s="33" t="s">
        <v>13</v>
      </c>
      <c r="H325" s="176" t="s">
        <v>14</v>
      </c>
      <c r="I325" s="36" t="s">
        <v>15</v>
      </c>
      <c r="J325" s="36" t="s">
        <v>16</v>
      </c>
      <c r="K325" s="36" t="s">
        <v>17</v>
      </c>
      <c r="L325" s="36" t="s">
        <v>18</v>
      </c>
      <c r="M325" s="36" t="s">
        <v>19</v>
      </c>
      <c r="N325" s="36" t="s">
        <v>20</v>
      </c>
    </row>
    <row r="326" spans="2:14" outlineLevel="1">
      <c r="B326" s="26" t="s">
        <v>56</v>
      </c>
      <c r="C326" s="2">
        <v>43830</v>
      </c>
      <c r="D326" s="2">
        <v>44196</v>
      </c>
      <c r="E326" s="2">
        <v>44561</v>
      </c>
      <c r="F326" s="2">
        <v>44926</v>
      </c>
      <c r="G326" s="2">
        <v>45291</v>
      </c>
      <c r="H326" s="177">
        <v>45657</v>
      </c>
      <c r="I326" s="26"/>
      <c r="J326" s="26"/>
      <c r="K326" s="26"/>
      <c r="L326" s="26"/>
      <c r="M326" s="26"/>
      <c r="N326" s="26"/>
    </row>
    <row r="327" spans="2:14" outlineLevel="1">
      <c r="H327" s="178"/>
    </row>
    <row r="328" spans="2:14" outlineLevel="1">
      <c r="C328" s="24"/>
      <c r="H328" s="178"/>
      <c r="I328" s="44"/>
      <c r="J328" s="44"/>
      <c r="K328" s="44"/>
      <c r="L328" s="44"/>
      <c r="M328" s="44"/>
      <c r="N328" s="44"/>
    </row>
    <row r="329" spans="2:14" outlineLevel="1">
      <c r="B329" s="3" t="s">
        <v>165</v>
      </c>
      <c r="C329" s="24"/>
      <c r="H329" s="178"/>
      <c r="I329" s="44">
        <f>Model!H117</f>
        <v>7522</v>
      </c>
      <c r="J329" s="44">
        <f ca="1">Model!I117</f>
        <v>16316.004899953386</v>
      </c>
      <c r="K329" s="44">
        <f ca="1">Model!J117</f>
        <v>22919.112859603796</v>
      </c>
      <c r="L329" s="44">
        <f ca="1">Model!K117</f>
        <v>31880.783240946475</v>
      </c>
      <c r="M329" s="44">
        <f ca="1">Model!L117</f>
        <v>41315.253838430523</v>
      </c>
      <c r="N329" s="44">
        <f ca="1">Model!M117</f>
        <v>53443.040906649287</v>
      </c>
    </row>
    <row r="330" spans="2:14" outlineLevel="1">
      <c r="B330" s="17" t="s">
        <v>166</v>
      </c>
      <c r="C330" s="24"/>
      <c r="H330" s="186"/>
      <c r="I330" s="44">
        <f>-I333*Model!I69</f>
        <v>-8718.3063100500003</v>
      </c>
      <c r="J330" s="44">
        <f>-J333*Model!J69</f>
        <v>-10149.954874196648</v>
      </c>
      <c r="K330" s="44">
        <f>-K333*Model!K69</f>
        <v>-11683.543748776512</v>
      </c>
      <c r="L330" s="44">
        <f>-L333*Model!L69</f>
        <v>-13345.558350166262</v>
      </c>
      <c r="M330" s="44">
        <f>-M333*Model!M69</f>
        <v>-15058.761798627678</v>
      </c>
      <c r="N330" s="44">
        <f>-N333*Model!N69</f>
        <v>-16889.441719611714</v>
      </c>
    </row>
    <row r="331" spans="2:14" outlineLevel="1">
      <c r="B331" s="15" t="s">
        <v>171</v>
      </c>
      <c r="C331" s="11"/>
      <c r="D331" s="11"/>
      <c r="E331" s="11"/>
      <c r="F331" s="11"/>
      <c r="G331" s="11"/>
      <c r="H331" s="200"/>
      <c r="I331" s="161">
        <f ca="1">Model!I178+Model!I172+Model!I169-Model!I176</f>
        <v>8394.0048999533865</v>
      </c>
      <c r="J331" s="161">
        <f ca="1">Model!J178+Model!J172+Model!J169-Model!J176</f>
        <v>6603.1079596504078</v>
      </c>
      <c r="K331" s="161">
        <f ca="1">Model!K178+Model!K172+Model!K169-Model!K176</f>
        <v>8961.6703813426775</v>
      </c>
      <c r="L331" s="161">
        <f ca="1">Model!L178+Model!L172+Model!L169-Model!L176</f>
        <v>9434.4705974840454</v>
      </c>
      <c r="M331" s="161">
        <f ca="1">Model!M178+Model!M172+Model!M169-Model!M176</f>
        <v>12127.787068218764</v>
      </c>
      <c r="N331" s="161">
        <f ca="1">Model!N178+Model!N172+Model!N169-Model!N176</f>
        <v>16021.612768466797</v>
      </c>
    </row>
    <row r="332" spans="2:14" outlineLevel="1">
      <c r="B332" s="4" t="s">
        <v>167</v>
      </c>
      <c r="C332" s="12"/>
      <c r="D332" s="12"/>
      <c r="E332" s="12"/>
      <c r="F332" s="12"/>
      <c r="G332" s="4"/>
      <c r="H332" s="189"/>
      <c r="I332" s="73">
        <f t="shared" ref="I332:N332" ca="1" si="192">SUM(I329:I331)</f>
        <v>7197.6985899033862</v>
      </c>
      <c r="J332" s="73">
        <f t="shared" ca="1" si="192"/>
        <v>12769.157985407146</v>
      </c>
      <c r="K332" s="73">
        <f t="shared" ca="1" si="192"/>
        <v>20197.23949216996</v>
      </c>
      <c r="L332" s="73">
        <f t="shared" ca="1" si="192"/>
        <v>27969.69548826426</v>
      </c>
      <c r="M332" s="73">
        <f t="shared" ca="1" si="192"/>
        <v>38384.279108021612</v>
      </c>
      <c r="N332" s="73">
        <f t="shared" ca="1" si="192"/>
        <v>52575.211955504368</v>
      </c>
    </row>
    <row r="333" spans="2:14" outlineLevel="1">
      <c r="B333" s="25" t="s">
        <v>124</v>
      </c>
      <c r="C333" s="8"/>
      <c r="D333" s="8"/>
      <c r="E333" s="8"/>
      <c r="F333" s="8"/>
      <c r="H333" s="178"/>
      <c r="I333" s="221">
        <v>0.17</v>
      </c>
      <c r="J333" s="221">
        <v>0.17</v>
      </c>
      <c r="K333" s="221">
        <v>0.17</v>
      </c>
      <c r="L333" s="221">
        <v>0.17</v>
      </c>
      <c r="M333" s="221">
        <v>0.17</v>
      </c>
      <c r="N333" s="221">
        <v>0.17</v>
      </c>
    </row>
    <row r="334" spans="2:14" outlineLevel="1">
      <c r="C334" s="8"/>
      <c r="D334" s="8"/>
      <c r="E334" s="8"/>
      <c r="F334" s="8"/>
      <c r="H334" s="178"/>
      <c r="I334" s="222"/>
      <c r="J334" s="222"/>
      <c r="K334" s="222"/>
      <c r="L334" s="222"/>
      <c r="M334" s="222"/>
      <c r="N334" s="222"/>
    </row>
    <row r="335" spans="2:14" outlineLevel="1">
      <c r="B335" s="3" t="s">
        <v>168</v>
      </c>
      <c r="C335" s="8"/>
      <c r="D335" s="8"/>
      <c r="E335" s="8"/>
      <c r="F335" s="8"/>
      <c r="G335" s="8"/>
      <c r="H335" s="186"/>
      <c r="I335" s="8"/>
      <c r="J335" s="8"/>
      <c r="K335" s="8"/>
      <c r="L335" s="8"/>
      <c r="M335" s="8"/>
      <c r="N335" s="8"/>
    </row>
    <row r="336" spans="2:14" outlineLevel="1">
      <c r="C336" s="8"/>
      <c r="D336" s="8"/>
      <c r="E336" s="8"/>
      <c r="F336" s="8"/>
      <c r="G336" s="8"/>
      <c r="H336" s="186"/>
      <c r="I336" s="8"/>
      <c r="J336" s="8"/>
      <c r="K336" s="8"/>
      <c r="L336" s="8"/>
      <c r="M336" s="8"/>
      <c r="N336" s="8"/>
    </row>
    <row r="337" spans="2:14" outlineLevel="1">
      <c r="B337" s="17" t="s">
        <v>53</v>
      </c>
      <c r="C337" s="8"/>
      <c r="D337" s="8"/>
      <c r="E337" s="8"/>
      <c r="F337" s="8"/>
      <c r="G337" s="8"/>
      <c r="H337" s="186"/>
      <c r="I337" s="74">
        <f t="shared" ref="I337:N337" si="193">H340</f>
        <v>0</v>
      </c>
      <c r="J337" s="74">
        <f t="shared" ca="1" si="193"/>
        <v>400</v>
      </c>
      <c r="K337" s="74">
        <f t="shared" ca="1" si="193"/>
        <v>400</v>
      </c>
      <c r="L337" s="74">
        <f t="shared" ca="1" si="193"/>
        <v>400</v>
      </c>
      <c r="M337" s="74">
        <f t="shared" ca="1" si="193"/>
        <v>400</v>
      </c>
      <c r="N337" s="74">
        <f t="shared" ca="1" si="193"/>
        <v>400</v>
      </c>
    </row>
    <row r="338" spans="2:14" outlineLevel="1">
      <c r="B338" s="17" t="s">
        <v>169</v>
      </c>
      <c r="C338" s="8"/>
      <c r="D338" s="8"/>
      <c r="E338" s="8"/>
      <c r="F338" s="8"/>
      <c r="G338" s="8"/>
      <c r="H338" s="186"/>
      <c r="I338" s="74">
        <f t="shared" ref="I338:N338" ca="1" si="194">-MIN(I332,I337)</f>
        <v>0</v>
      </c>
      <c r="J338" s="74">
        <f t="shared" ca="1" si="194"/>
        <v>-400</v>
      </c>
      <c r="K338" s="74">
        <f t="shared" ca="1" si="194"/>
        <v>-400</v>
      </c>
      <c r="L338" s="74">
        <f t="shared" ca="1" si="194"/>
        <v>-400</v>
      </c>
      <c r="M338" s="74">
        <f t="shared" ca="1" si="194"/>
        <v>-400</v>
      </c>
      <c r="N338" s="74">
        <f t="shared" ca="1" si="194"/>
        <v>-400</v>
      </c>
    </row>
    <row r="339" spans="2:14" outlineLevel="1">
      <c r="B339" s="15" t="s">
        <v>170</v>
      </c>
      <c r="C339" s="11"/>
      <c r="D339" s="11"/>
      <c r="E339" s="11"/>
      <c r="F339" s="11"/>
      <c r="G339" s="11"/>
      <c r="H339" s="200"/>
      <c r="I339" s="52">
        <v>400</v>
      </c>
      <c r="J339" s="52">
        <v>400</v>
      </c>
      <c r="K339" s="52">
        <v>400</v>
      </c>
      <c r="L339" s="52">
        <v>400</v>
      </c>
      <c r="M339" s="52">
        <v>400</v>
      </c>
      <c r="N339" s="52">
        <v>400</v>
      </c>
    </row>
    <row r="340" spans="2:14" outlineLevel="1">
      <c r="B340" s="4" t="s">
        <v>54</v>
      </c>
      <c r="C340" s="12"/>
      <c r="D340" s="12"/>
      <c r="E340" s="12"/>
      <c r="F340" s="12"/>
      <c r="G340" s="12"/>
      <c r="H340" s="181">
        <v>0</v>
      </c>
      <c r="I340" s="73">
        <f t="shared" ref="I340:N340" ca="1" si="195">SUM(I337:I339)</f>
        <v>400</v>
      </c>
      <c r="J340" s="73">
        <f t="shared" ca="1" si="195"/>
        <v>400</v>
      </c>
      <c r="K340" s="73">
        <f t="shared" ca="1" si="195"/>
        <v>400</v>
      </c>
      <c r="L340" s="73">
        <f t="shared" ca="1" si="195"/>
        <v>400</v>
      </c>
      <c r="M340" s="73">
        <f t="shared" ca="1" si="195"/>
        <v>400</v>
      </c>
      <c r="N340" s="73">
        <f t="shared" ca="1" si="195"/>
        <v>400</v>
      </c>
    </row>
    <row r="341" spans="2:14" outlineLevel="1">
      <c r="B341" s="19"/>
      <c r="C341" s="8"/>
      <c r="D341" s="8"/>
      <c r="E341" s="8"/>
      <c r="F341" s="8"/>
      <c r="G341" s="8"/>
      <c r="H341" s="186"/>
      <c r="I341" s="8"/>
      <c r="J341" s="8"/>
      <c r="K341" s="8"/>
      <c r="L341" s="8"/>
      <c r="M341" s="8"/>
      <c r="N341" s="8"/>
    </row>
    <row r="342" spans="2:14" outlineLevel="1">
      <c r="B342" s="4" t="s">
        <v>130</v>
      </c>
      <c r="H342" s="178"/>
    </row>
    <row r="343" spans="2:14" outlineLevel="1">
      <c r="B343" s="32" t="s">
        <v>55</v>
      </c>
      <c r="C343" s="33" t="s">
        <v>9</v>
      </c>
      <c r="D343" s="34" t="s">
        <v>10</v>
      </c>
      <c r="E343" s="34" t="s">
        <v>11</v>
      </c>
      <c r="F343" s="33" t="s">
        <v>12</v>
      </c>
      <c r="G343" s="33" t="s">
        <v>13</v>
      </c>
      <c r="H343" s="176" t="s">
        <v>14</v>
      </c>
      <c r="I343" s="36" t="s">
        <v>15</v>
      </c>
      <c r="J343" s="36" t="s">
        <v>16</v>
      </c>
      <c r="K343" s="36" t="s">
        <v>17</v>
      </c>
      <c r="L343" s="36" t="s">
        <v>18</v>
      </c>
      <c r="M343" s="36" t="s">
        <v>19</v>
      </c>
      <c r="N343" s="36" t="s">
        <v>20</v>
      </c>
    </row>
    <row r="344" spans="2:14" outlineLevel="1">
      <c r="B344" s="26" t="s">
        <v>56</v>
      </c>
      <c r="C344" s="2">
        <v>43830</v>
      </c>
      <c r="D344" s="2">
        <v>44196</v>
      </c>
      <c r="E344" s="2">
        <v>44561</v>
      </c>
      <c r="F344" s="2">
        <v>44926</v>
      </c>
      <c r="G344" s="2">
        <v>45291</v>
      </c>
      <c r="H344" s="177">
        <v>45657</v>
      </c>
      <c r="I344" s="26"/>
      <c r="J344" s="26"/>
      <c r="K344" s="26"/>
      <c r="L344" s="26"/>
      <c r="M344" s="26"/>
      <c r="N344" s="26"/>
    </row>
    <row r="345" spans="2:14" outlineLevel="1">
      <c r="H345" s="178"/>
    </row>
    <row r="346" spans="2:14" outlineLevel="1">
      <c r="B346" s="3" t="s">
        <v>71</v>
      </c>
      <c r="C346" s="167">
        <v>0.21</v>
      </c>
      <c r="H346" s="178"/>
      <c r="I346" s="8"/>
      <c r="J346" s="8"/>
      <c r="K346" s="8"/>
      <c r="L346" s="8"/>
      <c r="M346" s="8"/>
      <c r="N346" s="8"/>
    </row>
    <row r="347" spans="2:14" outlineLevel="1">
      <c r="C347" s="24"/>
      <c r="H347" s="178"/>
      <c r="I347" s="8"/>
      <c r="J347" s="8"/>
      <c r="K347" s="8"/>
      <c r="L347" s="8"/>
      <c r="M347" s="8"/>
      <c r="N347" s="8"/>
    </row>
    <row r="348" spans="2:14" outlineLevel="1">
      <c r="B348" s="3" t="s">
        <v>131</v>
      </c>
      <c r="C348" s="24"/>
      <c r="H348" s="186"/>
      <c r="I348" s="44">
        <f ca="1">Model!I85</f>
        <v>3906.4596304553911</v>
      </c>
      <c r="J348" s="44">
        <f ca="1">Model!J85</f>
        <v>5146.4896060457941</v>
      </c>
      <c r="K348" s="44">
        <f ca="1">Model!K85</f>
        <v>6836.6076663712611</v>
      </c>
      <c r="L348" s="44">
        <f ca="1">Model!L85</f>
        <v>8950.6147157249343</v>
      </c>
      <c r="M348" s="44">
        <f ca="1">Model!M85</f>
        <v>11142.127075757033</v>
      </c>
      <c r="N348" s="44">
        <f ca="1">Model!N85</f>
        <v>13821.052488462845</v>
      </c>
    </row>
    <row r="349" spans="2:14" outlineLevel="1">
      <c r="B349" s="17"/>
      <c r="C349" s="8"/>
      <c r="D349" s="8"/>
      <c r="E349" s="8"/>
      <c r="F349" s="8"/>
      <c r="G349" s="8"/>
      <c r="H349" s="186"/>
      <c r="I349" s="8"/>
      <c r="J349" s="8"/>
      <c r="K349" s="8"/>
      <c r="L349" s="8"/>
      <c r="M349" s="8"/>
      <c r="N349" s="8"/>
    </row>
    <row r="350" spans="2:14" outlineLevel="1">
      <c r="B350" s="63" t="s">
        <v>132</v>
      </c>
      <c r="C350" s="8"/>
      <c r="D350" s="8"/>
      <c r="E350" s="8"/>
      <c r="F350" s="8"/>
      <c r="H350" s="186"/>
      <c r="I350" s="45">
        <v>4319</v>
      </c>
      <c r="J350" s="74">
        <f ca="1">I352</f>
        <v>412.54036954460889</v>
      </c>
      <c r="K350" s="74">
        <f ca="1">J352</f>
        <v>0</v>
      </c>
      <c r="L350" s="74">
        <f ca="1">K352</f>
        <v>0</v>
      </c>
      <c r="M350" s="74">
        <f ca="1">L352</f>
        <v>0</v>
      </c>
      <c r="N350" s="74">
        <f ca="1">M352</f>
        <v>0</v>
      </c>
    </row>
    <row r="351" spans="2:14" outlineLevel="1">
      <c r="B351" s="64" t="s">
        <v>133</v>
      </c>
      <c r="C351" s="11"/>
      <c r="D351" s="11"/>
      <c r="E351" s="11"/>
      <c r="F351" s="11"/>
      <c r="G351" s="26"/>
      <c r="H351" s="205"/>
      <c r="I351" s="212">
        <f t="shared" ref="I351:N351" ca="1" si="196">-MIN(I348,I350)</f>
        <v>-3906.4596304553911</v>
      </c>
      <c r="J351" s="212">
        <f t="shared" ca="1" si="196"/>
        <v>-412.54036954460889</v>
      </c>
      <c r="K351" s="212">
        <f t="shared" ca="1" si="196"/>
        <v>0</v>
      </c>
      <c r="L351" s="212">
        <f t="shared" ca="1" si="196"/>
        <v>0</v>
      </c>
      <c r="M351" s="212">
        <f t="shared" ca="1" si="196"/>
        <v>0</v>
      </c>
      <c r="N351" s="212">
        <f t="shared" ca="1" si="196"/>
        <v>0</v>
      </c>
    </row>
    <row r="352" spans="2:14" outlineLevel="1">
      <c r="B352" s="63" t="s">
        <v>134</v>
      </c>
      <c r="C352" s="8"/>
      <c r="D352" s="8"/>
      <c r="E352" s="8"/>
      <c r="F352" s="8"/>
      <c r="G352" s="8"/>
      <c r="H352" s="186"/>
      <c r="I352" s="74">
        <f t="shared" ref="I352:N352" ca="1" si="197">SUM(I350:I351)</f>
        <v>412.54036954460889</v>
      </c>
      <c r="J352" s="74">
        <f t="shared" ca="1" si="197"/>
        <v>0</v>
      </c>
      <c r="K352" s="74">
        <f t="shared" ca="1" si="197"/>
        <v>0</v>
      </c>
      <c r="L352" s="74">
        <f t="shared" ca="1" si="197"/>
        <v>0</v>
      </c>
      <c r="M352" s="74">
        <f t="shared" ca="1" si="197"/>
        <v>0</v>
      </c>
      <c r="N352" s="74">
        <f t="shared" ca="1" si="197"/>
        <v>0</v>
      </c>
    </row>
    <row r="353" spans="2:14" outlineLevel="1">
      <c r="B353" s="65"/>
      <c r="C353" s="8"/>
      <c r="D353" s="8"/>
      <c r="E353" s="8"/>
      <c r="F353" s="8"/>
      <c r="G353" s="8"/>
      <c r="H353" s="186"/>
      <c r="I353" s="8"/>
      <c r="J353" s="8"/>
      <c r="K353" s="8"/>
      <c r="L353" s="8"/>
      <c r="M353" s="8"/>
      <c r="N353" s="8"/>
    </row>
    <row r="354" spans="2:14" outlineLevel="1">
      <c r="B354" s="65" t="s">
        <v>136</v>
      </c>
      <c r="C354" s="8"/>
      <c r="D354" s="8"/>
      <c r="E354" s="8"/>
      <c r="F354" s="8"/>
      <c r="G354" s="8"/>
      <c r="H354" s="186"/>
      <c r="I354" s="74">
        <f t="shared" ref="I354:N354" ca="1" si="198">I348+I351</f>
        <v>0</v>
      </c>
      <c r="J354" s="74">
        <f t="shared" ca="1" si="198"/>
        <v>4733.9492365011847</v>
      </c>
      <c r="K354" s="74">
        <f t="shared" ca="1" si="198"/>
        <v>6836.6076663712611</v>
      </c>
      <c r="L354" s="74">
        <f t="shared" ca="1" si="198"/>
        <v>8950.6147157249343</v>
      </c>
      <c r="M354" s="74">
        <f t="shared" ca="1" si="198"/>
        <v>11142.127075757033</v>
      </c>
      <c r="N354" s="74">
        <f t="shared" ca="1" si="198"/>
        <v>13821.052488462845</v>
      </c>
    </row>
    <row r="355" spans="2:14" outlineLevel="1">
      <c r="B355" s="17" t="s">
        <v>135</v>
      </c>
      <c r="C355" s="8"/>
      <c r="D355" s="8"/>
      <c r="E355" s="8"/>
      <c r="F355" s="8"/>
      <c r="G355" s="8"/>
      <c r="H355" s="186"/>
      <c r="I355" s="74">
        <f t="shared" ref="I355:N355" ca="1" si="199">-I354*$C$346</f>
        <v>0</v>
      </c>
      <c r="J355" s="74">
        <f t="shared" ca="1" si="199"/>
        <v>-994.12933966524872</v>
      </c>
      <c r="K355" s="74">
        <f t="shared" ca="1" si="199"/>
        <v>-1435.6876099379647</v>
      </c>
      <c r="L355" s="74">
        <f t="shared" ca="1" si="199"/>
        <v>-1879.6290903022361</v>
      </c>
      <c r="M355" s="74">
        <f t="shared" ca="1" si="199"/>
        <v>-2339.8466859089767</v>
      </c>
      <c r="N355" s="74">
        <f t="shared" ca="1" si="199"/>
        <v>-2902.4210225771972</v>
      </c>
    </row>
    <row r="356" spans="2:14" outlineLevel="1">
      <c r="B356" s="17"/>
      <c r="C356" s="8"/>
      <c r="D356" s="8"/>
      <c r="E356" s="8"/>
      <c r="F356" s="8"/>
      <c r="G356" s="8"/>
      <c r="H356" s="186"/>
      <c r="I356" s="8"/>
      <c r="J356" s="8"/>
      <c r="K356" s="8"/>
      <c r="L356" s="8"/>
      <c r="M356" s="8"/>
      <c r="N356" s="8"/>
    </row>
  </sheetData>
  <mergeCells count="1">
    <mergeCell ref="E297:F297"/>
  </mergeCells>
  <dataValidations count="2">
    <dataValidation type="list" allowBlank="1" showInputMessage="1" showErrorMessage="1" sqref="C4" xr:uid="{0BF7394E-E8AA-449D-BB5F-46CB6DD3C7E5}">
      <formula1>$B$15:$B$17</formula1>
    </dataValidation>
    <dataValidation type="list" allowBlank="1" showInputMessage="1" showErrorMessage="1" sqref="C5" xr:uid="{AE09FF88-0695-4BB7-85DA-3055455A1952}">
      <formula1>$B$55:$B$57</formula1>
    </dataValidation>
  </dataValidations>
  <pageMargins left="0.7" right="0.7" top="0.75" bottom="0.75" header="0.3" footer="0.3"/>
  <pageSetup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F5EE9-1793-4673-9DCE-DBFC98AE6B75}">
  <dimension ref="B2:O87"/>
  <sheetViews>
    <sheetView showGridLines="0" zoomScaleNormal="100" workbookViewId="0">
      <selection activeCell="M31" sqref="M31"/>
    </sheetView>
  </sheetViews>
  <sheetFormatPr defaultRowHeight="13.15"/>
  <cols>
    <col min="1" max="1" width="8.88671875" style="3"/>
    <col min="2" max="2" width="18.77734375" style="3" customWidth="1"/>
    <col min="3" max="3" width="15.44140625" style="3" customWidth="1"/>
    <col min="4" max="5" width="11.33203125" style="3" customWidth="1"/>
    <col min="6" max="8" width="10.77734375" style="3" customWidth="1"/>
    <col min="9" max="9" width="11" style="3" bestFit="1" customWidth="1"/>
    <col min="10" max="10" width="12.77734375" style="3" bestFit="1" customWidth="1"/>
    <col min="11" max="11" width="11" style="3" bestFit="1" customWidth="1"/>
    <col min="12" max="12" width="10.33203125" style="3" bestFit="1" customWidth="1"/>
    <col min="13" max="13" width="26.109375" style="3" bestFit="1" customWidth="1"/>
    <col min="14" max="14" width="10.33203125" style="3" bestFit="1" customWidth="1"/>
    <col min="15" max="15" width="24.5546875" style="3" customWidth="1"/>
    <col min="16" max="16384" width="8.88671875" style="3"/>
  </cols>
  <sheetData>
    <row r="2" spans="2:15">
      <c r="B2" s="32" t="s">
        <v>55</v>
      </c>
      <c r="C2" s="32"/>
      <c r="D2" s="32"/>
      <c r="E2" s="32"/>
      <c r="F2" s="36" t="s">
        <v>15</v>
      </c>
      <c r="G2" s="36" t="s">
        <v>16</v>
      </c>
      <c r="H2" s="36" t="s">
        <v>17</v>
      </c>
      <c r="I2" s="36" t="s">
        <v>18</v>
      </c>
      <c r="J2" s="36" t="s">
        <v>19</v>
      </c>
      <c r="K2" s="36" t="s">
        <v>20</v>
      </c>
      <c r="M2" s="30" t="s">
        <v>217</v>
      </c>
      <c r="N2" s="159">
        <v>12</v>
      </c>
    </row>
    <row r="3" spans="2:15">
      <c r="B3" s="26" t="s">
        <v>56</v>
      </c>
      <c r="C3" s="26"/>
      <c r="D3" s="26"/>
      <c r="E3" s="26"/>
      <c r="F3" s="89">
        <v>46022</v>
      </c>
      <c r="G3" s="89">
        <v>46387</v>
      </c>
      <c r="H3" s="89">
        <v>46752</v>
      </c>
      <c r="I3" s="89">
        <v>47117</v>
      </c>
      <c r="J3" s="89">
        <v>47482</v>
      </c>
      <c r="K3" s="89">
        <v>47847</v>
      </c>
      <c r="M3" s="30" t="s">
        <v>218</v>
      </c>
      <c r="N3" s="166">
        <f>Valuation!H73</f>
        <v>9.9673420582358563E-2</v>
      </c>
    </row>
    <row r="4" spans="2:15">
      <c r="F4" s="90"/>
      <c r="G4" s="90"/>
      <c r="H4" s="90"/>
      <c r="I4" s="90"/>
      <c r="J4" s="90"/>
      <c r="K4" s="90"/>
      <c r="M4" s="30" t="s">
        <v>220</v>
      </c>
      <c r="N4" s="160">
        <v>2.5000000000000001E-2</v>
      </c>
    </row>
    <row r="5" spans="2:15">
      <c r="B5" s="3" t="s">
        <v>205</v>
      </c>
      <c r="E5" s="158">
        <v>45718</v>
      </c>
      <c r="F5" s="131">
        <f>+F3</f>
        <v>46022</v>
      </c>
      <c r="G5" s="131">
        <f t="shared" ref="G5:K5" si="0">+G3</f>
        <v>46387</v>
      </c>
      <c r="H5" s="131">
        <f t="shared" si="0"/>
        <v>46752</v>
      </c>
      <c r="I5" s="131">
        <f t="shared" si="0"/>
        <v>47117</v>
      </c>
      <c r="J5" s="131">
        <f t="shared" si="0"/>
        <v>47482</v>
      </c>
      <c r="K5" s="131">
        <f t="shared" si="0"/>
        <v>47847</v>
      </c>
    </row>
    <row r="6" spans="2:15">
      <c r="B6" s="3" t="s">
        <v>206</v>
      </c>
      <c r="E6" s="131">
        <f>+E5</f>
        <v>45718</v>
      </c>
      <c r="F6" s="131">
        <f>+AVERAGE(E5:F5)</f>
        <v>45870</v>
      </c>
      <c r="G6" s="131">
        <f t="shared" ref="G6:K6" si="1">+AVERAGE(F5:G5)</f>
        <v>46204.5</v>
      </c>
      <c r="H6" s="131">
        <f t="shared" si="1"/>
        <v>46569.5</v>
      </c>
      <c r="I6" s="131">
        <f t="shared" si="1"/>
        <v>46934.5</v>
      </c>
      <c r="J6" s="131">
        <f t="shared" si="1"/>
        <v>47299.5</v>
      </c>
      <c r="K6" s="131">
        <f t="shared" si="1"/>
        <v>47664.5</v>
      </c>
      <c r="M6" s="264" t="s">
        <v>336</v>
      </c>
      <c r="N6" s="265" t="str">
        <f>Model!C4</f>
        <v xml:space="preserve">Base </v>
      </c>
      <c r="O6" s="282" t="s">
        <v>338</v>
      </c>
    </row>
    <row r="7" spans="2:15">
      <c r="B7" s="3" t="s">
        <v>207</v>
      </c>
      <c r="F7" s="132">
        <f>+YEARFRAC(E5,F5)</f>
        <v>0.8305555555555556</v>
      </c>
      <c r="G7" s="132">
        <f t="shared" ref="G7:K7" si="2">+YEARFRAC(F5,G5)</f>
        <v>1</v>
      </c>
      <c r="H7" s="132">
        <f t="shared" si="2"/>
        <v>1</v>
      </c>
      <c r="I7" s="132">
        <f t="shared" si="2"/>
        <v>1</v>
      </c>
      <c r="J7" s="132">
        <f t="shared" si="2"/>
        <v>1</v>
      </c>
      <c r="K7" s="132">
        <f t="shared" si="2"/>
        <v>1</v>
      </c>
      <c r="M7" s="264" t="s">
        <v>337</v>
      </c>
      <c r="N7" s="265" t="str">
        <f>Model!C5</f>
        <v xml:space="preserve">Base </v>
      </c>
      <c r="O7" s="282"/>
    </row>
    <row r="8" spans="2:15">
      <c r="J8" s="91"/>
      <c r="K8" s="91"/>
    </row>
    <row r="9" spans="2:15">
      <c r="B9" s="3" t="s">
        <v>208</v>
      </c>
      <c r="F9" s="156">
        <f ca="1">Model!I94</f>
        <v>6700.3381410169122</v>
      </c>
      <c r="G9" s="156">
        <f ca="1">Model!J94</f>
        <v>8397.6687369936117</v>
      </c>
      <c r="H9" s="156">
        <f ca="1">Model!K94</f>
        <v>10353.766420712895</v>
      </c>
      <c r="I9" s="156">
        <f ca="1">Model!L94</f>
        <v>12611.649569561076</v>
      </c>
      <c r="J9" s="156">
        <f ca="1">Model!M94</f>
        <v>15116.44878890259</v>
      </c>
      <c r="K9" s="156">
        <f ca="1">Model!N94</f>
        <v>17947.638236359478</v>
      </c>
    </row>
    <row r="10" spans="2:15">
      <c r="B10" s="3" t="s">
        <v>209</v>
      </c>
      <c r="F10" s="157">
        <f ca="1">Model!I182</f>
        <v>10925.646964469675</v>
      </c>
      <c r="G10" s="157">
        <f ca="1">Model!J182</f>
        <v>7763.5620738622947</v>
      </c>
      <c r="H10" s="157">
        <f ca="1">Model!K182</f>
        <v>9314.0006234666489</v>
      </c>
      <c r="I10" s="157">
        <f ca="1">Model!L182</f>
        <v>11254.349707942831</v>
      </c>
      <c r="J10" s="157">
        <f ca="1">Model!M182</f>
        <v>13328.359576690227</v>
      </c>
      <c r="K10" s="157">
        <f ca="1">Model!N182</f>
        <v>15502.422909728117</v>
      </c>
    </row>
    <row r="11" spans="2:15">
      <c r="J11" s="91"/>
      <c r="K11" s="91"/>
    </row>
    <row r="12" spans="2:15">
      <c r="B12" s="4" t="s">
        <v>210</v>
      </c>
      <c r="C12" s="4"/>
      <c r="D12" s="4"/>
      <c r="E12" s="4"/>
      <c r="F12" s="4"/>
    </row>
    <row r="13" spans="2:15">
      <c r="B13" s="3" t="s">
        <v>211</v>
      </c>
      <c r="K13" s="155">
        <f ca="1">K9*Valuation!N2</f>
        <v>215371.65883631376</v>
      </c>
    </row>
    <row r="14" spans="2:15">
      <c r="B14" s="3" t="s">
        <v>212</v>
      </c>
      <c r="K14" s="155">
        <f ca="1">(K10*(1+Valuation!N4)/(Valuation!N3-Valuation!N4))</f>
        <v>212793.03075377387</v>
      </c>
    </row>
    <row r="16" spans="2:15">
      <c r="B16" s="4" t="s">
        <v>213</v>
      </c>
      <c r="C16" s="4"/>
      <c r="D16" s="4"/>
      <c r="E16" s="69">
        <v>0</v>
      </c>
      <c r="F16" s="74">
        <f t="shared" ref="F16:K16" ca="1" si="3">+F9*F7</f>
        <v>5565.0030671223803</v>
      </c>
      <c r="G16" s="74">
        <f t="shared" ca="1" si="3"/>
        <v>8397.6687369936117</v>
      </c>
      <c r="H16" s="74">
        <f t="shared" ca="1" si="3"/>
        <v>10353.766420712895</v>
      </c>
      <c r="I16" s="74">
        <f t="shared" ca="1" si="3"/>
        <v>12611.649569561076</v>
      </c>
      <c r="J16" s="74">
        <f t="shared" ca="1" si="3"/>
        <v>15116.44878890259</v>
      </c>
      <c r="K16" s="74">
        <f t="shared" ca="1" si="3"/>
        <v>17947.638236359478</v>
      </c>
    </row>
    <row r="17" spans="2:11">
      <c r="B17" s="4" t="s">
        <v>214</v>
      </c>
      <c r="C17" s="4"/>
      <c r="D17" s="4"/>
      <c r="E17" s="69">
        <v>0</v>
      </c>
      <c r="F17" s="45">
        <v>0</v>
      </c>
      <c r="G17" s="45">
        <v>0</v>
      </c>
      <c r="H17" s="45">
        <v>0</v>
      </c>
      <c r="I17" s="45">
        <v>0</v>
      </c>
      <c r="J17" s="45">
        <v>0</v>
      </c>
      <c r="K17" s="74">
        <f ca="1">+K13</f>
        <v>215371.65883631376</v>
      </c>
    </row>
    <row r="18" spans="2:11">
      <c r="B18" s="4" t="s">
        <v>215</v>
      </c>
      <c r="C18" s="4"/>
      <c r="D18" s="4"/>
      <c r="E18" s="69">
        <v>0</v>
      </c>
      <c r="F18" s="74">
        <f t="shared" ref="F18:K18" ca="1" si="4">F10*F7</f>
        <v>9074.3567843789806</v>
      </c>
      <c r="G18" s="74">
        <f t="shared" ca="1" si="4"/>
        <v>7763.5620738622947</v>
      </c>
      <c r="H18" s="74">
        <f t="shared" ca="1" si="4"/>
        <v>9314.0006234666489</v>
      </c>
      <c r="I18" s="74">
        <f t="shared" ca="1" si="4"/>
        <v>11254.349707942831</v>
      </c>
      <c r="J18" s="74">
        <f t="shared" ca="1" si="4"/>
        <v>13328.359576690227</v>
      </c>
      <c r="K18" s="74">
        <f t="shared" ca="1" si="4"/>
        <v>15502.422909728117</v>
      </c>
    </row>
    <row r="19" spans="2:11">
      <c r="B19" s="4" t="s">
        <v>216</v>
      </c>
      <c r="C19" s="4"/>
      <c r="D19" s="4"/>
      <c r="E19" s="69">
        <v>0</v>
      </c>
      <c r="F19" s="45">
        <v>0</v>
      </c>
      <c r="G19" s="45">
        <v>0</v>
      </c>
      <c r="H19" s="45">
        <v>0</v>
      </c>
      <c r="I19" s="45">
        <v>0</v>
      </c>
      <c r="J19" s="45">
        <v>0</v>
      </c>
      <c r="K19" s="74">
        <f ca="1">K14</f>
        <v>212793.03075377387</v>
      </c>
    </row>
    <row r="21" spans="2:11">
      <c r="B21" s="92" t="s">
        <v>294</v>
      </c>
      <c r="C21" s="92"/>
      <c r="D21" s="92"/>
      <c r="E21" s="92"/>
      <c r="F21" s="92"/>
      <c r="G21" s="92"/>
      <c r="H21" s="92"/>
      <c r="I21" s="92"/>
      <c r="J21" s="92"/>
      <c r="K21" s="92"/>
    </row>
    <row r="22" spans="2:11">
      <c r="B22" s="93" t="s">
        <v>221</v>
      </c>
      <c r="C22" s="93"/>
      <c r="D22" s="4"/>
      <c r="H22" s="94" t="s">
        <v>204</v>
      </c>
      <c r="I22" s="95"/>
      <c r="J22" s="95"/>
    </row>
    <row r="23" spans="2:11">
      <c r="B23" s="3" t="s">
        <v>222</v>
      </c>
      <c r="C23" s="151">
        <f ca="1">XNPV(Valuation!N3,E16:K16,E6:K6)</f>
        <v>51066.04902006864</v>
      </c>
      <c r="F23" s="96"/>
      <c r="H23" s="3" t="s">
        <v>222</v>
      </c>
      <c r="J23" s="151">
        <f ca="1">XNPV(Valuation!N3,E18:K18,E6:K6)</f>
        <v>49400.102190255173</v>
      </c>
    </row>
    <row r="24" spans="2:11">
      <c r="B24" s="97" t="s">
        <v>223</v>
      </c>
      <c r="C24" s="152">
        <f ca="1">XNPV(Valuation!N3,E17:K17,E6:K6)</f>
        <v>129774.90026135319</v>
      </c>
      <c r="F24" s="96"/>
      <c r="G24" s="4"/>
      <c r="H24" s="3" t="s">
        <v>223</v>
      </c>
      <c r="J24" s="152">
        <f ca="1">XNPV(Valuation!N3,E19:K19,E6:K6)</f>
        <v>128221.11549677062</v>
      </c>
    </row>
    <row r="25" spans="2:11">
      <c r="B25" s="4" t="s">
        <v>224</v>
      </c>
      <c r="C25" s="133">
        <f ca="1">SUM(C23:C24)</f>
        <v>180840.94928142184</v>
      </c>
      <c r="D25" s="4"/>
      <c r="E25" s="4"/>
      <c r="F25" s="98"/>
      <c r="H25" s="99" t="s">
        <v>224</v>
      </c>
      <c r="I25" s="99"/>
      <c r="J25" s="133">
        <f ca="1">SUM(J23:J24)</f>
        <v>177621.21768702578</v>
      </c>
    </row>
    <row r="26" spans="2:11">
      <c r="B26" s="97" t="s">
        <v>225</v>
      </c>
      <c r="C26" s="134">
        <f>J26</f>
        <v>1975</v>
      </c>
      <c r="F26" s="96"/>
      <c r="G26" s="4"/>
      <c r="H26" s="97" t="s">
        <v>225</v>
      </c>
      <c r="I26" s="97"/>
      <c r="J26" s="153">
        <f>Model!H142-Model!H117</f>
        <v>1975</v>
      </c>
    </row>
    <row r="27" spans="2:11">
      <c r="B27" s="4" t="s">
        <v>226</v>
      </c>
      <c r="C27" s="133">
        <f ca="1">C25-C26</f>
        <v>178865.94928142184</v>
      </c>
      <c r="D27" s="4"/>
      <c r="E27" s="4"/>
      <c r="F27" s="98"/>
      <c r="H27" s="4" t="s">
        <v>226</v>
      </c>
      <c r="I27" s="4"/>
      <c r="J27" s="133">
        <f ca="1">J25-J26</f>
        <v>175646.21768702578</v>
      </c>
    </row>
    <row r="28" spans="2:11">
      <c r="B28" s="97" t="s">
        <v>227</v>
      </c>
      <c r="C28" s="134">
        <f>J28</f>
        <v>2301.0147066886634</v>
      </c>
      <c r="F28" s="96"/>
      <c r="G28" s="4"/>
      <c r="H28" s="53" t="s">
        <v>227</v>
      </c>
      <c r="I28" s="53"/>
      <c r="J28" s="154">
        <f>Model!N91</f>
        <v>2301.0147066886634</v>
      </c>
    </row>
    <row r="29" spans="2:11">
      <c r="B29" s="4" t="s">
        <v>228</v>
      </c>
      <c r="C29" s="135">
        <f ca="1">C27/C28</f>
        <v>77.733509812644201</v>
      </c>
      <c r="D29" s="4"/>
      <c r="E29" s="4"/>
      <c r="F29" s="100"/>
      <c r="H29" s="4" t="s">
        <v>228</v>
      </c>
      <c r="I29" s="4"/>
      <c r="J29" s="135">
        <f ca="1">J27/J28</f>
        <v>76.334243834449083</v>
      </c>
    </row>
    <row r="30" spans="2:11">
      <c r="B30" s="4"/>
      <c r="C30" s="101"/>
      <c r="D30" s="4"/>
      <c r="E30" s="4"/>
      <c r="F30" s="101"/>
      <c r="H30" s="4"/>
      <c r="I30" s="4"/>
      <c r="J30" s="101"/>
    </row>
    <row r="31" spans="2:11">
      <c r="B31" s="3" t="s">
        <v>297</v>
      </c>
      <c r="C31" s="136">
        <f ca="1">(C29/Model!$C$3)-1</f>
        <v>1.8120626229786607E-2</v>
      </c>
      <c r="F31" s="102"/>
      <c r="H31" s="3" t="s">
        <v>297</v>
      </c>
      <c r="J31" s="136">
        <f ca="1">(J29/Model!$C$3)-1</f>
        <v>-2.0636759071268607E-4</v>
      </c>
    </row>
    <row r="33" spans="2:11">
      <c r="B33" s="103" t="s">
        <v>295</v>
      </c>
      <c r="C33" s="103"/>
      <c r="D33" s="103"/>
      <c r="E33" s="103"/>
      <c r="F33" s="103"/>
      <c r="G33" s="103"/>
      <c r="H33" s="103"/>
      <c r="I33" s="103"/>
      <c r="J33" s="103"/>
      <c r="K33" s="104"/>
    </row>
    <row r="34" spans="2:11" s="108" customFormat="1">
      <c r="B34" s="105" t="s">
        <v>228</v>
      </c>
      <c r="C34" s="106"/>
      <c r="D34" s="106"/>
      <c r="E34" s="106"/>
      <c r="F34" s="106"/>
      <c r="G34" s="106"/>
      <c r="H34" s="106"/>
      <c r="I34" s="106"/>
      <c r="J34" s="106"/>
      <c r="K34" s="107"/>
    </row>
    <row r="35" spans="2:11">
      <c r="B35"/>
      <c r="C35"/>
      <c r="D35" s="109" t="s">
        <v>296</v>
      </c>
      <c r="E35" s="109"/>
      <c r="F35" s="109"/>
      <c r="G35" s="109"/>
      <c r="H35" s="109"/>
    </row>
    <row r="36" spans="2:11">
      <c r="B36"/>
      <c r="C36" s="140">
        <f ca="1">C29</f>
        <v>77.733509812644201</v>
      </c>
      <c r="D36" s="110">
        <f>E36-1</f>
        <v>10</v>
      </c>
      <c r="E36" s="110">
        <f>F36-1</f>
        <v>11</v>
      </c>
      <c r="F36" s="111">
        <v>12</v>
      </c>
      <c r="G36" s="110">
        <f>F36+1</f>
        <v>13</v>
      </c>
      <c r="H36" s="112">
        <f>G36+1</f>
        <v>14</v>
      </c>
    </row>
    <row r="37" spans="2:11">
      <c r="B37"/>
      <c r="C37" s="113">
        <f t="shared" ref="C37" si="5">C38+0.005</f>
        <v>0.10967342058235857</v>
      </c>
      <c r="D37" s="137">
        <f t="dataTable" ref="D37:H41" dt2D="1" dtr="1" r1="N2" r2="N3" ca="1"/>
        <v>65.489143842666081</v>
      </c>
      <c r="E37" s="137">
        <v>69.967611900243853</v>
      </c>
      <c r="F37" s="137">
        <v>74.446079957821595</v>
      </c>
      <c r="G37" s="137">
        <v>78.924548015399367</v>
      </c>
      <c r="H37" s="137">
        <v>83.40301607297711</v>
      </c>
    </row>
    <row r="38" spans="2:11">
      <c r="B38"/>
      <c r="C38" s="113">
        <f>C39+0.005</f>
        <v>0.10467342058235857</v>
      </c>
      <c r="D38" s="137">
        <v>66.891969221648182</v>
      </c>
      <c r="E38" s="138">
        <v>71.479574608085201</v>
      </c>
      <c r="F38" s="138">
        <v>76.06717999452222</v>
      </c>
      <c r="G38" s="138">
        <v>80.654785380959211</v>
      </c>
      <c r="H38" s="137">
        <v>85.24239076739623</v>
      </c>
    </row>
    <row r="39" spans="2:11">
      <c r="B39" s="114" t="s">
        <v>218</v>
      </c>
      <c r="C39" s="115">
        <v>9.9673420582358563E-2</v>
      </c>
      <c r="D39" s="137">
        <v>68.33367852052487</v>
      </c>
      <c r="E39" s="138">
        <v>73.033594166584535</v>
      </c>
      <c r="F39" s="139">
        <v>77.733509812644201</v>
      </c>
      <c r="G39" s="138">
        <v>82.433425458703852</v>
      </c>
      <c r="H39" s="137">
        <v>87.133341104763517</v>
      </c>
    </row>
    <row r="40" spans="2:11">
      <c r="B40"/>
      <c r="C40" s="113">
        <f>C39-0.005</f>
        <v>9.4673420582358558E-2</v>
      </c>
      <c r="D40" s="137">
        <v>69.815554115277024</v>
      </c>
      <c r="E40" s="138">
        <v>74.631060259073323</v>
      </c>
      <c r="F40" s="138">
        <v>79.446566402869607</v>
      </c>
      <c r="G40" s="138">
        <v>84.262072546665891</v>
      </c>
      <c r="H40" s="137">
        <v>89.07757869046219</v>
      </c>
    </row>
    <row r="41" spans="2:11">
      <c r="B41"/>
      <c r="C41" s="116">
        <f>C40-0.005</f>
        <v>8.9673420582358554E-2</v>
      </c>
      <c r="D41" s="137">
        <v>71.338927126257062</v>
      </c>
      <c r="E41" s="137">
        <v>76.273415456429674</v>
      </c>
      <c r="F41" s="137">
        <v>81.207903786602273</v>
      </c>
      <c r="G41" s="137">
        <v>86.142392116774886</v>
      </c>
      <c r="H41" s="137">
        <v>91.076880446947499</v>
      </c>
    </row>
    <row r="43" spans="2:11">
      <c r="B43"/>
      <c r="C43"/>
      <c r="D43" s="109" t="s">
        <v>298</v>
      </c>
      <c r="E43" s="109"/>
      <c r="F43" s="109"/>
      <c r="G43" s="109"/>
      <c r="H43" s="109"/>
    </row>
    <row r="44" spans="2:11">
      <c r="B44"/>
      <c r="C44" s="140">
        <f ca="1">J29</f>
        <v>76.334243834449083</v>
      </c>
      <c r="D44" s="117">
        <f>E44-0.0035</f>
        <v>1.8000000000000002E-2</v>
      </c>
      <c r="E44" s="117">
        <f>F44-0.0035</f>
        <v>2.1500000000000002E-2</v>
      </c>
      <c r="F44" s="118">
        <v>2.5000000000000001E-2</v>
      </c>
      <c r="G44" s="117">
        <f>F44+0.0035</f>
        <v>2.8500000000000001E-2</v>
      </c>
      <c r="H44" s="119">
        <f>G44+0.0035</f>
        <v>3.2000000000000001E-2</v>
      </c>
      <c r="J44" s="28"/>
    </row>
    <row r="45" spans="2:11">
      <c r="B45"/>
      <c r="C45" s="113">
        <f>C46+0.005</f>
        <v>0.10967342058235857</v>
      </c>
      <c r="D45" s="137">
        <f t="dataTable" ref="D45:H49" dt2D="1" dtr="1" r1="N4" r2="N3" ca="1"/>
        <v>63.004376337030571</v>
      </c>
      <c r="E45" s="137">
        <v>64.863053046638171</v>
      </c>
      <c r="F45" s="137">
        <v>66.875387620517287</v>
      </c>
      <c r="G45" s="137">
        <v>69.061256116166604</v>
      </c>
      <c r="H45" s="137">
        <v>71.444117088197444</v>
      </c>
      <c r="J45" s="28"/>
    </row>
    <row r="46" spans="2:11">
      <c r="B46"/>
      <c r="C46" s="113">
        <f>C47+0.005</f>
        <v>0.10467342058235857</v>
      </c>
      <c r="D46" s="137">
        <v>66.867660665608412</v>
      </c>
      <c r="E46" s="138">
        <v>68.992909454057951</v>
      </c>
      <c r="F46" s="138">
        <v>71.304879754027965</v>
      </c>
      <c r="G46" s="138">
        <v>73.829309885472853</v>
      </c>
      <c r="H46" s="137">
        <v>76.59689646639417</v>
      </c>
    </row>
    <row r="47" spans="2:11">
      <c r="B47" s="114" t="s">
        <v>218</v>
      </c>
      <c r="C47" s="115">
        <v>9.9673420582358563E-2</v>
      </c>
      <c r="D47" s="137">
        <v>71.210383132444221</v>
      </c>
      <c r="E47" s="138">
        <v>73.657610094984079</v>
      </c>
      <c r="F47" s="139">
        <v>76.334243834449083</v>
      </c>
      <c r="G47" s="138">
        <v>79.274128040492101</v>
      </c>
      <c r="H47" s="137">
        <v>82.518107846627572</v>
      </c>
    </row>
    <row r="48" spans="2:11">
      <c r="B48"/>
      <c r="C48" s="113">
        <f>C47-0.005</f>
        <v>9.4673420582358558E-2</v>
      </c>
      <c r="D48" s="137">
        <v>76.126519496235559</v>
      </c>
      <c r="E48" s="138">
        <v>78.966979225803399</v>
      </c>
      <c r="F48" s="138">
        <v>82.092816333728464</v>
      </c>
      <c r="G48" s="138">
        <v>85.549312784376241</v>
      </c>
      <c r="H48" s="137">
        <v>89.39186563548391</v>
      </c>
    </row>
    <row r="49" spans="2:11">
      <c r="B49"/>
      <c r="C49" s="116">
        <f>C48-0.005</f>
        <v>8.9673420582358554E-2</v>
      </c>
      <c r="D49" s="137">
        <v>81.736274859439035</v>
      </c>
      <c r="E49" s="137">
        <v>85.063066372967683</v>
      </c>
      <c r="F49" s="137">
        <v>88.749936886261651</v>
      </c>
      <c r="G49" s="137">
        <v>92.85869150130064</v>
      </c>
      <c r="H49" s="137">
        <v>97.466138269758943</v>
      </c>
    </row>
    <row r="52" spans="2:11">
      <c r="B52" s="92" t="s">
        <v>308</v>
      </c>
      <c r="C52" s="92"/>
      <c r="D52" s="92"/>
      <c r="E52" s="92"/>
      <c r="F52" s="92"/>
      <c r="G52" s="92"/>
      <c r="H52" s="92"/>
      <c r="I52" s="92"/>
      <c r="J52" s="92"/>
      <c r="K52" s="92"/>
    </row>
    <row r="54" spans="2:11">
      <c r="B54" s="93" t="s">
        <v>284</v>
      </c>
      <c r="C54" s="97"/>
      <c r="D54" s="97"/>
      <c r="E54" s="97"/>
      <c r="F54" s="97"/>
      <c r="G54" s="97"/>
    </row>
    <row r="55" spans="2:11">
      <c r="B55" s="3" t="s">
        <v>271</v>
      </c>
      <c r="C55" s="51">
        <v>9.5</v>
      </c>
      <c r="D55" s="3" t="s">
        <v>273</v>
      </c>
      <c r="G55" s="84">
        <f>C55/(C55+C56)</f>
        <v>5.6770646587785349E-2</v>
      </c>
    </row>
    <row r="56" spans="2:11">
      <c r="B56" s="3" t="s">
        <v>272</v>
      </c>
      <c r="C56" s="51">
        <v>157.84</v>
      </c>
      <c r="D56" s="3" t="s">
        <v>274</v>
      </c>
      <c r="G56" s="84">
        <f>C56/(C56+C55)</f>
        <v>0.9432293534122147</v>
      </c>
    </row>
    <row r="57" spans="2:11">
      <c r="B57" s="3" t="s">
        <v>266</v>
      </c>
      <c r="C57" s="51">
        <v>1.39</v>
      </c>
      <c r="D57" s="3" t="s">
        <v>276</v>
      </c>
      <c r="G57" s="142">
        <f>+G87</f>
        <v>3.5350830208891265E-2</v>
      </c>
    </row>
    <row r="58" spans="2:11">
      <c r="B58" s="3" t="s">
        <v>291</v>
      </c>
      <c r="C58" s="141">
        <f>J87</f>
        <v>1.3217271395328793</v>
      </c>
      <c r="D58" s="3" t="s">
        <v>277</v>
      </c>
      <c r="G58" s="142">
        <f>+F87</f>
        <v>0.96464916979110871</v>
      </c>
    </row>
    <row r="59" spans="2:11">
      <c r="B59" s="4"/>
    </row>
    <row r="60" spans="2:11">
      <c r="B60" s="4" t="s">
        <v>287</v>
      </c>
      <c r="F60" s="4" t="s">
        <v>279</v>
      </c>
    </row>
    <row r="61" spans="2:11">
      <c r="B61" s="17" t="s">
        <v>283</v>
      </c>
      <c r="D61" s="86">
        <v>4.2900000000000001E-2</v>
      </c>
      <c r="F61" s="17" t="s">
        <v>280</v>
      </c>
      <c r="H61" s="273">
        <f>Model!F306</f>
        <v>3.979414551963778E-2</v>
      </c>
    </row>
    <row r="62" spans="2:11">
      <c r="B62" s="17" t="s">
        <v>290</v>
      </c>
      <c r="D62" s="51">
        <v>1.39</v>
      </c>
      <c r="F62" s="121" t="s">
        <v>71</v>
      </c>
      <c r="G62" s="97"/>
      <c r="H62" s="274">
        <f>Model!C346</f>
        <v>0.21</v>
      </c>
    </row>
    <row r="63" spans="2:11">
      <c r="B63" s="121" t="s">
        <v>285</v>
      </c>
      <c r="C63" s="97"/>
      <c r="D63" s="122">
        <v>4.3299999999999998E-2</v>
      </c>
      <c r="F63" s="4" t="s">
        <v>281</v>
      </c>
      <c r="G63" s="4"/>
      <c r="H63" s="143">
        <f>H61*(1-H62)</f>
        <v>3.1437374960513846E-2</v>
      </c>
    </row>
    <row r="64" spans="2:11">
      <c r="B64" s="4" t="s">
        <v>278</v>
      </c>
      <c r="D64" s="85">
        <f>D61+D62*D63</f>
        <v>0.10308699999999998</v>
      </c>
    </row>
    <row r="65" spans="2:10">
      <c r="B65" s="4"/>
    </row>
    <row r="66" spans="2:10">
      <c r="B66" s="4" t="s">
        <v>288</v>
      </c>
    </row>
    <row r="67" spans="2:10">
      <c r="B67" s="17" t="s">
        <v>283</v>
      </c>
      <c r="D67" s="86">
        <v>4.2900000000000001E-2</v>
      </c>
    </row>
    <row r="68" spans="2:10">
      <c r="B68" s="17" t="s">
        <v>292</v>
      </c>
      <c r="D68" s="120">
        <f>C58*(1+(C55/C56)*(1-Model!C346))</f>
        <v>1.384572819855955</v>
      </c>
    </row>
    <row r="69" spans="2:10">
      <c r="B69" s="121" t="s">
        <v>285</v>
      </c>
      <c r="C69" s="97"/>
      <c r="D69" s="122">
        <v>4.3299999999999998E-2</v>
      </c>
    </row>
    <row r="70" spans="2:10">
      <c r="B70" s="4" t="s">
        <v>278</v>
      </c>
      <c r="D70" s="85">
        <f>D67+D68*D69</f>
        <v>0.10285200309976285</v>
      </c>
    </row>
    <row r="71" spans="2:10">
      <c r="B71" s="4"/>
    </row>
    <row r="72" spans="2:10">
      <c r="B72" s="3" t="s">
        <v>289</v>
      </c>
      <c r="D72" s="144">
        <f>D64*G56+H63*G55</f>
        <v>9.9019404458735985E-2</v>
      </c>
    </row>
    <row r="73" spans="2:10">
      <c r="F73" s="4" t="s">
        <v>293</v>
      </c>
      <c r="H73" s="145">
        <f>AVERAGE(D72,D74)</f>
        <v>9.9673420582358563E-2</v>
      </c>
    </row>
    <row r="74" spans="2:10">
      <c r="B74" s="3" t="s">
        <v>286</v>
      </c>
      <c r="D74" s="144">
        <f>+D70*G58+H63*G57</f>
        <v>0.10032743670598115</v>
      </c>
    </row>
    <row r="76" spans="2:10">
      <c r="B76" s="4"/>
    </row>
    <row r="77" spans="2:10">
      <c r="B77" s="4" t="s">
        <v>254</v>
      </c>
    </row>
    <row r="78" spans="2:10">
      <c r="D78" s="123" t="s">
        <v>235</v>
      </c>
      <c r="E78" s="123" t="s">
        <v>261</v>
      </c>
      <c r="F78" s="123" t="s">
        <v>275</v>
      </c>
      <c r="G78" s="123" t="s">
        <v>262</v>
      </c>
      <c r="H78" s="123" t="s">
        <v>270</v>
      </c>
      <c r="I78" s="123" t="s">
        <v>263</v>
      </c>
      <c r="J78" s="123" t="s">
        <v>264</v>
      </c>
    </row>
    <row r="79" spans="2:10">
      <c r="B79" s="93" t="s">
        <v>250</v>
      </c>
      <c r="C79" s="93" t="s">
        <v>251</v>
      </c>
      <c r="D79" s="124" t="s">
        <v>150</v>
      </c>
      <c r="E79" s="124" t="s">
        <v>49</v>
      </c>
      <c r="F79" s="124" t="s">
        <v>265</v>
      </c>
      <c r="G79" s="124" t="s">
        <v>265</v>
      </c>
      <c r="H79" s="124" t="s">
        <v>269</v>
      </c>
      <c r="I79" s="124" t="s">
        <v>267</v>
      </c>
      <c r="J79" s="124" t="s">
        <v>266</v>
      </c>
    </row>
    <row r="80" spans="2:10">
      <c r="B80" s="3" t="s">
        <v>260</v>
      </c>
      <c r="C80" s="3" t="s">
        <v>255</v>
      </c>
      <c r="D80" s="51">
        <v>1.26</v>
      </c>
      <c r="E80" s="51">
        <v>5.13</v>
      </c>
      <c r="F80" s="87">
        <f>+E80/(D80+E80)</f>
        <v>0.80281690140845074</v>
      </c>
      <c r="G80" s="87">
        <f>+D80/(D80+E80)</f>
        <v>0.19718309859154931</v>
      </c>
      <c r="H80" s="125">
        <v>0.21</v>
      </c>
      <c r="I80" s="51">
        <v>2.16</v>
      </c>
      <c r="J80" s="146">
        <f>I80/(1+(1-H80)*F80)</f>
        <v>1.3217271395328793</v>
      </c>
    </row>
    <row r="81" spans="2:10">
      <c r="B81" s="65" t="s">
        <v>244</v>
      </c>
      <c r="C81" s="65" t="s">
        <v>245</v>
      </c>
      <c r="D81" s="51">
        <v>1.1299999999999999</v>
      </c>
      <c r="E81" s="51">
        <v>134.69</v>
      </c>
      <c r="F81" s="87">
        <f t="shared" ref="F81:F86" si="6">+E81/(D81+E81)</f>
        <v>0.99168016492416433</v>
      </c>
      <c r="G81" s="87">
        <f t="shared" ref="G81:G86" si="7">+D81/(D81+E81)</f>
        <v>8.3198350758356653E-3</v>
      </c>
      <c r="H81" s="125">
        <v>0.26500000000000001</v>
      </c>
      <c r="I81" s="51">
        <v>2.6</v>
      </c>
      <c r="J81" s="146">
        <f t="shared" ref="J81:J86" si="8">I81/(1+(1-H81)*F81)</f>
        <v>1.5038594923752375</v>
      </c>
    </row>
    <row r="82" spans="2:10">
      <c r="B82" s="65" t="s">
        <v>259</v>
      </c>
      <c r="C82" s="65" t="s">
        <v>257</v>
      </c>
      <c r="D82" s="51">
        <v>0.54</v>
      </c>
      <c r="E82" s="51">
        <v>78.400000000000006</v>
      </c>
      <c r="F82" s="87">
        <f t="shared" si="6"/>
        <v>0.9931593615404104</v>
      </c>
      <c r="G82" s="87">
        <f t="shared" si="7"/>
        <v>6.8406384595895613E-3</v>
      </c>
      <c r="H82" s="125">
        <v>0.21</v>
      </c>
      <c r="I82" s="51">
        <v>1.7</v>
      </c>
      <c r="J82" s="146">
        <f t="shared" si="8"/>
        <v>0.95259660978449134</v>
      </c>
    </row>
    <row r="83" spans="2:10">
      <c r="B83" s="65" t="s">
        <v>246</v>
      </c>
      <c r="C83" s="65" t="s">
        <v>247</v>
      </c>
      <c r="D83" s="51">
        <v>0.66</v>
      </c>
      <c r="E83" s="51">
        <v>18.010000000000002</v>
      </c>
      <c r="F83" s="87">
        <f t="shared" si="6"/>
        <v>0.96464916979110871</v>
      </c>
      <c r="G83" s="87">
        <f t="shared" si="7"/>
        <v>3.5350830208891265E-2</v>
      </c>
      <c r="H83" s="125">
        <v>0.21</v>
      </c>
      <c r="I83" s="51">
        <v>2.34</v>
      </c>
      <c r="J83" s="146">
        <f t="shared" si="8"/>
        <v>1.3279814213065271</v>
      </c>
    </row>
    <row r="84" spans="2:10">
      <c r="B84" s="65" t="s">
        <v>248</v>
      </c>
      <c r="C84" s="65" t="s">
        <v>249</v>
      </c>
      <c r="D84" s="51">
        <v>2.4300000000000002</v>
      </c>
      <c r="E84" s="51">
        <v>5.0199999999999996</v>
      </c>
      <c r="F84" s="87">
        <f t="shared" si="6"/>
        <v>0.67382550335570468</v>
      </c>
      <c r="G84" s="87">
        <f t="shared" si="7"/>
        <v>0.32617449664429538</v>
      </c>
      <c r="H84" s="125">
        <v>0.21</v>
      </c>
      <c r="I84" s="51">
        <v>2.23</v>
      </c>
      <c r="J84" s="146">
        <f t="shared" si="8"/>
        <v>1.4553075561940467</v>
      </c>
    </row>
    <row r="85" spans="2:10">
      <c r="B85" s="65" t="s">
        <v>258</v>
      </c>
      <c r="C85" s="65" t="s">
        <v>256</v>
      </c>
      <c r="D85" s="51">
        <v>2.29</v>
      </c>
      <c r="E85" s="51">
        <v>84.87</v>
      </c>
      <c r="F85" s="87">
        <f t="shared" si="6"/>
        <v>0.97372648003671403</v>
      </c>
      <c r="G85" s="147">
        <f t="shared" si="7"/>
        <v>2.6273519963285908E-2</v>
      </c>
      <c r="H85" s="126">
        <v>0.21</v>
      </c>
      <c r="I85" s="51">
        <v>1.1100000000000001</v>
      </c>
      <c r="J85" s="146">
        <f t="shared" si="8"/>
        <v>0.62738664122904697</v>
      </c>
    </row>
    <row r="86" spans="2:10">
      <c r="B86" s="127" t="s">
        <v>252</v>
      </c>
      <c r="C86" s="128" t="s">
        <v>253</v>
      </c>
      <c r="D86" s="129">
        <v>7.86</v>
      </c>
      <c r="E86" s="129">
        <v>31.33</v>
      </c>
      <c r="F86" s="148">
        <f t="shared" si="6"/>
        <v>0.79943863230415924</v>
      </c>
      <c r="G86" s="148">
        <f t="shared" si="7"/>
        <v>0.20056136769584079</v>
      </c>
      <c r="H86" s="130">
        <v>0.21</v>
      </c>
      <c r="I86" s="129">
        <v>1.44</v>
      </c>
      <c r="J86" s="149">
        <f t="shared" si="8"/>
        <v>0.88259277737028219</v>
      </c>
    </row>
    <row r="87" spans="2:10">
      <c r="B87" s="4" t="s">
        <v>268</v>
      </c>
      <c r="D87" s="150">
        <f t="shared" ref="D87:I87" si="9">MEDIAN(D80:D86)</f>
        <v>1.26</v>
      </c>
      <c r="E87" s="150">
        <f t="shared" si="9"/>
        <v>31.33</v>
      </c>
      <c r="F87" s="87">
        <f t="shared" si="9"/>
        <v>0.96464916979110871</v>
      </c>
      <c r="G87" s="87">
        <f t="shared" si="9"/>
        <v>3.5350830208891265E-2</v>
      </c>
      <c r="H87" s="87">
        <f t="shared" si="9"/>
        <v>0.21</v>
      </c>
      <c r="I87" s="150">
        <f t="shared" si="9"/>
        <v>2.16</v>
      </c>
      <c r="J87" s="82">
        <f>MEDIAN(J80:J86)</f>
        <v>1.3217271395328793</v>
      </c>
    </row>
  </sheetData>
  <mergeCells count="1">
    <mergeCell ref="O6:O7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Summary</vt:lpstr>
      <vt:lpstr>Model</vt:lpstr>
      <vt:lpstr>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Grayson Harper</dc:creator>
  <cp:lastModifiedBy>Grayson Harper</cp:lastModifiedBy>
  <cp:lastPrinted>2025-03-06T22:11:13Z</cp:lastPrinted>
  <dcterms:created xsi:type="dcterms:W3CDTF">2025-02-19T23:14:36Z</dcterms:created>
  <dcterms:modified xsi:type="dcterms:W3CDTF">2025-03-09T21:46:20Z</dcterms:modified>
</cp:coreProperties>
</file>