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viesgroupus-my.sharepoint.com/personal/grayson_harper_davies-group_com/Documents/"/>
    </mc:Choice>
  </mc:AlternateContent>
  <xr:revisionPtr revIDLastSave="9722" documentId="8_{7A7F44E9-5DF1-4E80-843A-B11E71F8FF88}" xr6:coauthVersionLast="47" xr6:coauthVersionMax="47" xr10:uidLastSave="{D4863364-AADF-41C4-8A74-19023618BF8F}"/>
  <bookViews>
    <workbookView xWindow="-120" yWindow="-120" windowWidth="29040" windowHeight="15720" xr2:uid="{8B7A2F08-D694-49D5-B006-2973C256F6AA}"/>
  </bookViews>
  <sheets>
    <sheet name="Cover" sheetId="16" r:id="rId1"/>
    <sheet name="Valuation Summary" sheetId="17" r:id="rId2"/>
    <sheet name="Model" sheetId="1" r:id="rId3"/>
    <sheet name="3-Step Valuation" sheetId="10" r:id="rId4"/>
    <sheet name="Comps" sheetId="15" r:id="rId5"/>
    <sheet name="Target - Historical Multiple" sheetId="12" r:id="rId6"/>
  </sheets>
  <externalReferences>
    <externalReference r:id="rId7"/>
  </externalReferences>
  <calcPr calcId="191029" iterate="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0" l="1"/>
  <c r="L29" i="10"/>
  <c r="E29" i="10"/>
  <c r="AB14" i="10" l="1"/>
  <c r="AB17" i="10" s="1"/>
  <c r="O29" i="17"/>
  <c r="P29" i="17"/>
  <c r="Q29" i="17"/>
  <c r="R29" i="17"/>
  <c r="O30" i="17"/>
  <c r="P30" i="17"/>
  <c r="Q30" i="17"/>
  <c r="R30" i="17"/>
  <c r="O31" i="17"/>
  <c r="P31" i="17"/>
  <c r="Q31" i="17"/>
  <c r="R31" i="17"/>
  <c r="O32" i="17"/>
  <c r="P32" i="17"/>
  <c r="Q32" i="17"/>
  <c r="R32" i="17"/>
  <c r="O33" i="17"/>
  <c r="P33" i="17"/>
  <c r="Q33" i="17"/>
  <c r="R33" i="17"/>
  <c r="N30" i="17"/>
  <c r="N31" i="17"/>
  <c r="N32" i="17"/>
  <c r="N33" i="17"/>
  <c r="N29" i="17"/>
  <c r="O28" i="17"/>
  <c r="P28" i="17"/>
  <c r="Q28" i="17"/>
  <c r="R28" i="17"/>
  <c r="N28" i="17"/>
  <c r="M30" i="17"/>
  <c r="M31" i="17"/>
  <c r="M32" i="17"/>
  <c r="M33" i="17"/>
  <c r="M29" i="17"/>
  <c r="O21" i="17"/>
  <c r="P21" i="17"/>
  <c r="Q21" i="17"/>
  <c r="R21" i="17"/>
  <c r="O22" i="17"/>
  <c r="P22" i="17"/>
  <c r="Q22" i="17"/>
  <c r="R22" i="17"/>
  <c r="O23" i="17"/>
  <c r="P23" i="17"/>
  <c r="Q23" i="17"/>
  <c r="R23" i="17"/>
  <c r="O24" i="17"/>
  <c r="P24" i="17"/>
  <c r="Q24" i="17"/>
  <c r="R24" i="17"/>
  <c r="O25" i="17"/>
  <c r="P25" i="17"/>
  <c r="Q25" i="17"/>
  <c r="R25" i="17"/>
  <c r="N22" i="17"/>
  <c r="N23" i="17"/>
  <c r="N24" i="17"/>
  <c r="N25" i="17"/>
  <c r="N21" i="17"/>
  <c r="O20" i="17"/>
  <c r="P20" i="17"/>
  <c r="Q20" i="17"/>
  <c r="R20" i="17"/>
  <c r="N20" i="17"/>
  <c r="M22" i="17"/>
  <c r="M23" i="17"/>
  <c r="M24" i="17"/>
  <c r="M25" i="17"/>
  <c r="M21" i="17"/>
  <c r="Q51" i="10"/>
  <c r="P51" i="10" s="1"/>
  <c r="S51" i="10"/>
  <c r="T51" i="10"/>
  <c r="O53" i="10"/>
  <c r="O52" i="10" s="1"/>
  <c r="O55" i="10"/>
  <c r="O56" i="10"/>
  <c r="Q59" i="10"/>
  <c r="P59" i="10" s="1"/>
  <c r="S59" i="10"/>
  <c r="T59" i="10" s="1"/>
  <c r="O61" i="10"/>
  <c r="O60" i="10" s="1"/>
  <c r="O63" i="10"/>
  <c r="O64" i="10"/>
  <c r="E22" i="17"/>
  <c r="F22" i="17" s="1"/>
  <c r="D22" i="17"/>
  <c r="C22" i="17"/>
  <c r="F21" i="17"/>
  <c r="D21" i="17"/>
  <c r="AH96" i="1"/>
  <c r="AG96" i="1"/>
  <c r="AF96" i="1"/>
  <c r="AE96" i="1"/>
  <c r="AD96" i="1"/>
  <c r="AE94" i="1"/>
  <c r="AD94" i="1"/>
  <c r="AH92" i="1"/>
  <c r="AG92" i="1"/>
  <c r="AF92" i="1"/>
  <c r="AE92" i="1"/>
  <c r="AD92" i="1"/>
  <c r="AE90" i="1"/>
  <c r="AD90" i="1"/>
  <c r="AE89" i="1"/>
  <c r="AD89" i="1"/>
  <c r="AE87" i="1"/>
  <c r="AD87" i="1"/>
  <c r="AE97" i="1"/>
  <c r="AD97" i="1"/>
  <c r="AE95" i="1"/>
  <c r="AD95" i="1"/>
  <c r="AE93" i="1"/>
  <c r="AD93" i="1"/>
  <c r="AE91" i="1"/>
  <c r="AD91" i="1"/>
  <c r="AE88" i="1"/>
  <c r="AD88" i="1"/>
  <c r="AE86" i="1"/>
  <c r="AD86" i="1"/>
  <c r="AE72" i="1"/>
  <c r="AD72" i="1"/>
  <c r="AE69" i="1"/>
  <c r="AD69" i="1"/>
  <c r="AE54" i="1"/>
  <c r="AD54" i="1"/>
  <c r="R51" i="1"/>
  <c r="AE51" i="1"/>
  <c r="AD51" i="1"/>
  <c r="AE48" i="1"/>
  <c r="AD48" i="1"/>
  <c r="AE45" i="1"/>
  <c r="AD45" i="1"/>
  <c r="AE71" i="1"/>
  <c r="AD71" i="1"/>
  <c r="AE68" i="1"/>
  <c r="AD68" i="1"/>
  <c r="AE56" i="1"/>
  <c r="AD56" i="1"/>
  <c r="AE58" i="1"/>
  <c r="AE59" i="1" s="1"/>
  <c r="AD58" i="1"/>
  <c r="AE53" i="1"/>
  <c r="AD53" i="1"/>
  <c r="AE50" i="1"/>
  <c r="AD50" i="1"/>
  <c r="AE47" i="1"/>
  <c r="AD47" i="1"/>
  <c r="AE44" i="1"/>
  <c r="AD44" i="1"/>
  <c r="AE38" i="1"/>
  <c r="AE39" i="1" s="1"/>
  <c r="AD38" i="1"/>
  <c r="AE16" i="1"/>
  <c r="AE17" i="1" s="1"/>
  <c r="AD16" i="1"/>
  <c r="AE24" i="1"/>
  <c r="AE23" i="1"/>
  <c r="AD23" i="1"/>
  <c r="AG31" i="1"/>
  <c r="AF31" i="1"/>
  <c r="AE31" i="1"/>
  <c r="AH30" i="1"/>
  <c r="AH31" i="1" s="1"/>
  <c r="AG30" i="1"/>
  <c r="AF30" i="1"/>
  <c r="AE30" i="1"/>
  <c r="AD30" i="1"/>
  <c r="E14" i="16" l="1"/>
  <c r="E12" i="16"/>
  <c r="R19" i="1" l="1"/>
  <c r="E25" i="15"/>
  <c r="E4" i="10"/>
  <c r="S7" i="12"/>
  <c r="T7" i="12" s="1"/>
  <c r="U7" i="12" s="1"/>
  <c r="V7" i="12" s="1"/>
  <c r="W7" i="12" s="1"/>
  <c r="X7" i="12" s="1"/>
  <c r="Y7" i="12" s="1"/>
  <c r="Z7" i="12" s="1"/>
  <c r="AA7" i="12" s="1"/>
  <c r="R7" i="12"/>
  <c r="L6" i="1"/>
  <c r="Q33" i="15"/>
  <c r="P69" i="15"/>
  <c r="E80" i="15"/>
  <c r="I93" i="15" s="1"/>
  <c r="J66" i="15"/>
  <c r="J65" i="15"/>
  <c r="J64" i="15"/>
  <c r="J63" i="15"/>
  <c r="J62" i="15"/>
  <c r="J61" i="15"/>
  <c r="J60" i="15"/>
  <c r="J59" i="15"/>
  <c r="J58" i="15"/>
  <c r="E20" i="15"/>
  <c r="E22" i="15"/>
  <c r="F21" i="15"/>
  <c r="H21" i="15"/>
  <c r="I21" i="15"/>
  <c r="J21" i="15"/>
  <c r="K21" i="15"/>
  <c r="M21" i="15"/>
  <c r="N21" i="15"/>
  <c r="O21" i="15"/>
  <c r="P21" i="15"/>
  <c r="Q21" i="15"/>
  <c r="R21" i="15"/>
  <c r="U21" i="15"/>
  <c r="V21" i="15"/>
  <c r="W21" i="15"/>
  <c r="X21" i="15"/>
  <c r="Y21" i="15"/>
  <c r="Z21" i="15"/>
  <c r="AC21" i="15"/>
  <c r="AD21" i="15"/>
  <c r="AE21" i="15"/>
  <c r="AF21" i="15"/>
  <c r="AG21" i="15"/>
  <c r="E21" i="15"/>
  <c r="R50" i="15"/>
  <c r="Q50" i="15"/>
  <c r="R34" i="15"/>
  <c r="R35" i="15"/>
  <c r="R36" i="15"/>
  <c r="R37" i="15"/>
  <c r="R38" i="15"/>
  <c r="R39" i="15"/>
  <c r="R40" i="15"/>
  <c r="R33" i="15"/>
  <c r="Q34" i="15"/>
  <c r="Q35" i="15"/>
  <c r="Q36" i="15"/>
  <c r="Q37" i="15"/>
  <c r="Q38" i="15"/>
  <c r="Q39" i="15"/>
  <c r="Q40" i="15"/>
  <c r="Q46" i="15" l="1"/>
  <c r="R46" i="15"/>
  <c r="R43" i="15"/>
  <c r="R45" i="15"/>
  <c r="Q43" i="15"/>
  <c r="Q45" i="15"/>
  <c r="F22" i="15"/>
  <c r="H22" i="15"/>
  <c r="I22" i="15"/>
  <c r="J22" i="15"/>
  <c r="K22" i="15"/>
  <c r="M22" i="15"/>
  <c r="N22" i="15"/>
  <c r="O22" i="15"/>
  <c r="P22" i="15"/>
  <c r="Q22" i="15"/>
  <c r="R22" i="15"/>
  <c r="U22" i="15"/>
  <c r="V22" i="15"/>
  <c r="W22" i="15"/>
  <c r="X22" i="15"/>
  <c r="Y22" i="15"/>
  <c r="Z22" i="15"/>
  <c r="AC22" i="15"/>
  <c r="AD22" i="15"/>
  <c r="AE22" i="15"/>
  <c r="AF22" i="15"/>
  <c r="AG22" i="15"/>
  <c r="F18" i="15"/>
  <c r="H18" i="15"/>
  <c r="I18" i="15"/>
  <c r="J18" i="15"/>
  <c r="K18" i="15"/>
  <c r="M18" i="15"/>
  <c r="N18" i="15"/>
  <c r="O18" i="15"/>
  <c r="P18" i="15"/>
  <c r="Q18" i="15"/>
  <c r="R18" i="15"/>
  <c r="U18" i="15"/>
  <c r="V18" i="15"/>
  <c r="W18" i="15"/>
  <c r="X18" i="15"/>
  <c r="Y18" i="15"/>
  <c r="Z18" i="15"/>
  <c r="AC18" i="15"/>
  <c r="AD18" i="15"/>
  <c r="AE18" i="15"/>
  <c r="AF18" i="15"/>
  <c r="AG18" i="15"/>
  <c r="E18" i="15"/>
  <c r="F19" i="15"/>
  <c r="H19" i="15"/>
  <c r="I19" i="15"/>
  <c r="J19" i="15"/>
  <c r="K19" i="15"/>
  <c r="M19" i="15"/>
  <c r="N19" i="15"/>
  <c r="O19" i="15"/>
  <c r="P19" i="15"/>
  <c r="Q19" i="15"/>
  <c r="R19" i="15"/>
  <c r="U19" i="15"/>
  <c r="V19" i="15"/>
  <c r="W19" i="15"/>
  <c r="X19" i="15"/>
  <c r="Y19" i="15"/>
  <c r="Z19" i="15"/>
  <c r="AC19" i="15"/>
  <c r="AD19" i="15"/>
  <c r="AE19" i="15"/>
  <c r="AF19" i="15"/>
  <c r="AG19" i="15"/>
  <c r="E19" i="15"/>
  <c r="F20" i="15"/>
  <c r="H20" i="15"/>
  <c r="I20" i="15"/>
  <c r="J20" i="15"/>
  <c r="K20" i="15"/>
  <c r="M20" i="15"/>
  <c r="N20" i="15"/>
  <c r="O20" i="15"/>
  <c r="P20" i="15"/>
  <c r="Q20" i="15"/>
  <c r="R20" i="15"/>
  <c r="U20" i="15"/>
  <c r="V20" i="15"/>
  <c r="W20" i="15"/>
  <c r="X20" i="15"/>
  <c r="Y20" i="15"/>
  <c r="Z20" i="15"/>
  <c r="AC20" i="15"/>
  <c r="AD20" i="15"/>
  <c r="AE20" i="15"/>
  <c r="AF20" i="15"/>
  <c r="AG20" i="15"/>
  <c r="AP8" i="15" l="1"/>
  <c r="AQ8" i="15"/>
  <c r="AP9" i="15"/>
  <c r="AQ9" i="15"/>
  <c r="AP10" i="15"/>
  <c r="AQ10" i="15"/>
  <c r="AP11" i="15"/>
  <c r="AQ11" i="15"/>
  <c r="AP12" i="15"/>
  <c r="AQ12" i="15"/>
  <c r="AP13" i="15"/>
  <c r="AQ13" i="15"/>
  <c r="AP14" i="15"/>
  <c r="AQ14" i="15"/>
  <c r="AP15" i="15"/>
  <c r="AQ15" i="15"/>
  <c r="AP25" i="15"/>
  <c r="AQ25" i="15"/>
  <c r="AK8" i="15"/>
  <c r="AL8" i="15"/>
  <c r="AK9" i="15"/>
  <c r="AL9" i="15"/>
  <c r="AK10" i="15"/>
  <c r="AL10" i="15"/>
  <c r="AK11" i="15"/>
  <c r="AL11" i="15"/>
  <c r="AK12" i="15"/>
  <c r="AL12" i="15"/>
  <c r="AK13" i="15"/>
  <c r="AL13" i="15"/>
  <c r="AK14" i="15"/>
  <c r="AL14" i="15"/>
  <c r="AK15" i="15"/>
  <c r="AL15" i="15"/>
  <c r="AK25" i="15"/>
  <c r="AL25" i="15"/>
  <c r="AA9" i="15"/>
  <c r="AB9" i="15"/>
  <c r="AA10" i="15"/>
  <c r="AB10" i="15"/>
  <c r="AA11" i="15"/>
  <c r="AB11" i="15"/>
  <c r="AA12" i="15"/>
  <c r="AB12" i="15"/>
  <c r="AA13" i="15"/>
  <c r="AB13" i="15"/>
  <c r="AA14" i="15"/>
  <c r="AB14" i="15"/>
  <c r="AA15" i="15"/>
  <c r="AB15" i="15"/>
  <c r="AA25" i="15"/>
  <c r="AB25" i="15"/>
  <c r="AA8" i="15"/>
  <c r="AB8" i="15"/>
  <c r="T9" i="15"/>
  <c r="T10" i="15"/>
  <c r="T11" i="15"/>
  <c r="T12" i="15"/>
  <c r="T13" i="15"/>
  <c r="T14" i="15"/>
  <c r="T15" i="15"/>
  <c r="T25" i="15"/>
  <c r="T8" i="15"/>
  <c r="S9" i="15"/>
  <c r="S10" i="15"/>
  <c r="S11" i="15"/>
  <c r="S12" i="15"/>
  <c r="S13" i="15"/>
  <c r="S14" i="15"/>
  <c r="S15" i="15"/>
  <c r="S25" i="15"/>
  <c r="S8" i="15"/>
  <c r="AM9" i="15"/>
  <c r="AN9" i="15"/>
  <c r="AO9" i="15"/>
  <c r="AM10" i="15"/>
  <c r="AN10" i="15"/>
  <c r="AO10" i="15"/>
  <c r="AM11" i="15"/>
  <c r="AN11" i="15"/>
  <c r="AO11" i="15"/>
  <c r="AM12" i="15"/>
  <c r="AN12" i="15"/>
  <c r="AO12" i="15"/>
  <c r="AM13" i="15"/>
  <c r="AN13" i="15"/>
  <c r="AO13" i="15"/>
  <c r="AM14" i="15"/>
  <c r="AN14" i="15"/>
  <c r="AO14" i="15"/>
  <c r="AM15" i="15"/>
  <c r="AN15" i="15"/>
  <c r="AO15" i="15"/>
  <c r="AM25" i="15"/>
  <c r="AN25" i="15"/>
  <c r="AO25" i="15"/>
  <c r="AN8" i="15"/>
  <c r="AO8" i="15"/>
  <c r="AM8" i="15"/>
  <c r="AJ25" i="15"/>
  <c r="AJ8" i="15"/>
  <c r="AJ9" i="15"/>
  <c r="AJ10" i="15"/>
  <c r="AJ11" i="15"/>
  <c r="AJ12" i="15"/>
  <c r="AJ13" i="15"/>
  <c r="AJ14" i="15"/>
  <c r="AJ15" i="15"/>
  <c r="AI9" i="15"/>
  <c r="AI10" i="15"/>
  <c r="AI11" i="15"/>
  <c r="AI12" i="15"/>
  <c r="AI13" i="15"/>
  <c r="AI14" i="15"/>
  <c r="AI15" i="15"/>
  <c r="AI25" i="15"/>
  <c r="AI8" i="15"/>
  <c r="AH9" i="15"/>
  <c r="AH10" i="15"/>
  <c r="AH11" i="15"/>
  <c r="AH12" i="15"/>
  <c r="AH13" i="15"/>
  <c r="AH14" i="15"/>
  <c r="AH15" i="15"/>
  <c r="AH25" i="15"/>
  <c r="AH8" i="15"/>
  <c r="G9" i="15"/>
  <c r="G10" i="15"/>
  <c r="G11" i="15"/>
  <c r="G12" i="15"/>
  <c r="G13" i="15"/>
  <c r="G14" i="15"/>
  <c r="G15" i="15"/>
  <c r="G25" i="15"/>
  <c r="G8" i="15"/>
  <c r="AE33" i="1"/>
  <c r="AD33" i="1"/>
  <c r="S11" i="12"/>
  <c r="T11" i="12"/>
  <c r="U11" i="12" s="1"/>
  <c r="V11" i="12" s="1"/>
  <c r="W11" i="12" s="1"/>
  <c r="X11" i="12" s="1"/>
  <c r="Y11" i="12" s="1"/>
  <c r="Z11" i="12" s="1"/>
  <c r="AA11" i="12" s="1"/>
  <c r="R11" i="12"/>
  <c r="R96" i="1"/>
  <c r="S96" i="1" s="1"/>
  <c r="T96" i="1" s="1"/>
  <c r="U96" i="1" s="1"/>
  <c r="R92" i="1"/>
  <c r="S92" i="1" s="1"/>
  <c r="T92" i="1" s="1"/>
  <c r="U92" i="1" s="1"/>
  <c r="V92" i="1" s="1"/>
  <c r="W92" i="1" s="1"/>
  <c r="X92" i="1" s="1"/>
  <c r="Y92" i="1" s="1"/>
  <c r="Z92" i="1" s="1"/>
  <c r="AA92" i="1" s="1"/>
  <c r="AB92" i="1" s="1"/>
  <c r="H89" i="1"/>
  <c r="I89" i="1"/>
  <c r="J89" i="1"/>
  <c r="K89" i="1"/>
  <c r="L89" i="1"/>
  <c r="M89" i="1"/>
  <c r="N89" i="1"/>
  <c r="O89" i="1"/>
  <c r="P89" i="1"/>
  <c r="Q89" i="1"/>
  <c r="H90" i="1"/>
  <c r="I90" i="1"/>
  <c r="J90" i="1"/>
  <c r="K90" i="1"/>
  <c r="L90" i="1"/>
  <c r="M90" i="1"/>
  <c r="N90" i="1"/>
  <c r="O90" i="1"/>
  <c r="P90" i="1"/>
  <c r="Q90" i="1"/>
  <c r="G90" i="1"/>
  <c r="G89" i="1"/>
  <c r="H87" i="1"/>
  <c r="I87" i="1"/>
  <c r="J87" i="1"/>
  <c r="K87" i="1"/>
  <c r="L87" i="1"/>
  <c r="M87" i="1"/>
  <c r="N87" i="1"/>
  <c r="O87" i="1"/>
  <c r="P87" i="1"/>
  <c r="Q87" i="1"/>
  <c r="G87" i="1"/>
  <c r="G86" i="1"/>
  <c r="H86" i="1"/>
  <c r="H88" i="1" s="1"/>
  <c r="I86" i="1"/>
  <c r="J86" i="1"/>
  <c r="J88" i="1" s="1"/>
  <c r="K86" i="1"/>
  <c r="K88" i="1" s="1"/>
  <c r="L86" i="1"/>
  <c r="L88" i="1" s="1"/>
  <c r="M86" i="1"/>
  <c r="M88" i="1" s="1"/>
  <c r="N86" i="1"/>
  <c r="O86" i="1"/>
  <c r="O88" i="1" s="1"/>
  <c r="P86" i="1"/>
  <c r="P88" i="1" s="1"/>
  <c r="Q86" i="1"/>
  <c r="Q88" i="1" s="1"/>
  <c r="C86" i="1"/>
  <c r="C6" i="12"/>
  <c r="R4" i="12"/>
  <c r="R17" i="10"/>
  <c r="S17" i="10" s="1"/>
  <c r="T17" i="10" s="1"/>
  <c r="U17" i="10" s="1"/>
  <c r="V17" i="10" s="1"/>
  <c r="W17" i="10" s="1"/>
  <c r="X17" i="10" s="1"/>
  <c r="Y17" i="10" s="1"/>
  <c r="Z17" i="10" s="1"/>
  <c r="AA17" i="10" s="1"/>
  <c r="AE34" i="1" l="1"/>
  <c r="I88" i="1"/>
  <c r="Q91" i="1"/>
  <c r="Q93" i="1" s="1"/>
  <c r="Q95" i="1" s="1"/>
  <c r="Q97" i="1" s="1"/>
  <c r="Q10" i="12" s="1"/>
  <c r="P91" i="1"/>
  <c r="P93" i="1" s="1"/>
  <c r="P95" i="1" s="1"/>
  <c r="P97" i="1" s="1"/>
  <c r="P10" i="12" s="1"/>
  <c r="O91" i="1"/>
  <c r="O93" i="1" s="1"/>
  <c r="O95" i="1" s="1"/>
  <c r="O97" i="1" s="1"/>
  <c r="O10" i="12" s="1"/>
  <c r="N88" i="1"/>
  <c r="N91" i="1" s="1"/>
  <c r="N93" i="1" s="1"/>
  <c r="N95" i="1" s="1"/>
  <c r="N97" i="1" s="1"/>
  <c r="N10" i="12" s="1"/>
  <c r="G88" i="1"/>
  <c r="G91" i="1" s="1"/>
  <c r="G93" i="1" s="1"/>
  <c r="G95" i="1" s="1"/>
  <c r="G97" i="1" s="1"/>
  <c r="G10" i="12" s="1"/>
  <c r="V96" i="1"/>
  <c r="K91" i="1"/>
  <c r="K93" i="1" s="1"/>
  <c r="K95" i="1" s="1"/>
  <c r="K97" i="1" s="1"/>
  <c r="K10" i="12" s="1"/>
  <c r="J91" i="1"/>
  <c r="J93" i="1" s="1"/>
  <c r="J95" i="1" s="1"/>
  <c r="J97" i="1" s="1"/>
  <c r="J10" i="12" s="1"/>
  <c r="L91" i="1"/>
  <c r="L93" i="1" s="1"/>
  <c r="L95" i="1" s="1"/>
  <c r="L97" i="1" s="1"/>
  <c r="L10" i="12" s="1"/>
  <c r="I91" i="1"/>
  <c r="I93" i="1" s="1"/>
  <c r="I95" i="1" s="1"/>
  <c r="I97" i="1" s="1"/>
  <c r="I10" i="12" s="1"/>
  <c r="M91" i="1"/>
  <c r="M93" i="1" s="1"/>
  <c r="M95" i="1" s="1"/>
  <c r="M97" i="1" s="1"/>
  <c r="M10" i="12" s="1"/>
  <c r="H91" i="1"/>
  <c r="H93" i="1" s="1"/>
  <c r="H95" i="1" s="1"/>
  <c r="H97" i="1" s="1"/>
  <c r="H10" i="12" s="1"/>
  <c r="S21" i="15"/>
  <c r="AI21" i="15"/>
  <c r="AL21" i="15"/>
  <c r="AK21" i="15"/>
  <c r="AH21" i="15"/>
  <c r="AB21" i="15"/>
  <c r="AA21" i="15"/>
  <c r="AM21" i="15"/>
  <c r="AO21" i="15"/>
  <c r="AQ21" i="15"/>
  <c r="AJ21" i="15"/>
  <c r="G21" i="15"/>
  <c r="T21" i="15"/>
  <c r="AN21" i="15"/>
  <c r="AP21" i="15"/>
  <c r="P34" i="15"/>
  <c r="O34" i="15"/>
  <c r="N34" i="15"/>
  <c r="M34" i="15"/>
  <c r="P33" i="15"/>
  <c r="O33" i="15"/>
  <c r="N33" i="15"/>
  <c r="M33" i="15"/>
  <c r="L11" i="15"/>
  <c r="P36" i="15"/>
  <c r="O36" i="15"/>
  <c r="N36" i="15"/>
  <c r="M36" i="15"/>
  <c r="L10" i="15"/>
  <c r="P35" i="15"/>
  <c r="O35" i="15"/>
  <c r="N35" i="15"/>
  <c r="M35" i="15"/>
  <c r="L15" i="15"/>
  <c r="P40" i="15"/>
  <c r="O40" i="15"/>
  <c r="N40" i="15"/>
  <c r="M40" i="15"/>
  <c r="L14" i="15"/>
  <c r="N39" i="15"/>
  <c r="M39" i="15"/>
  <c r="P39" i="15"/>
  <c r="O39" i="15"/>
  <c r="L25" i="15"/>
  <c r="I82" i="15" s="1"/>
  <c r="I92" i="15" s="1"/>
  <c r="P50" i="15"/>
  <c r="O50" i="15"/>
  <c r="N50" i="15"/>
  <c r="M50" i="15"/>
  <c r="L13" i="15"/>
  <c r="P38" i="15"/>
  <c r="O38" i="15"/>
  <c r="N38" i="15"/>
  <c r="M38" i="15"/>
  <c r="L12" i="15"/>
  <c r="M37" i="15"/>
  <c r="P37" i="15"/>
  <c r="O37" i="15"/>
  <c r="N37" i="15"/>
  <c r="AI22" i="15"/>
  <c r="AI18" i="15"/>
  <c r="AB18" i="15"/>
  <c r="AB22" i="15"/>
  <c r="AA18" i="15"/>
  <c r="AA22" i="15"/>
  <c r="AM22" i="15"/>
  <c r="AM18" i="15"/>
  <c r="AO18" i="15"/>
  <c r="AO22" i="15"/>
  <c r="AP22" i="15"/>
  <c r="AP18" i="15"/>
  <c r="S22" i="15"/>
  <c r="S18" i="15"/>
  <c r="AL22" i="15"/>
  <c r="AL18" i="15"/>
  <c r="AK22" i="15"/>
  <c r="AK18" i="15"/>
  <c r="AH22" i="15"/>
  <c r="AH18" i="15"/>
  <c r="T22" i="15"/>
  <c r="T18" i="15"/>
  <c r="AN18" i="15"/>
  <c r="AN22" i="15"/>
  <c r="AJ22" i="15"/>
  <c r="AJ18" i="15"/>
  <c r="G22" i="15"/>
  <c r="G18" i="15"/>
  <c r="AQ22" i="15"/>
  <c r="AQ18" i="15"/>
  <c r="AI20" i="15"/>
  <c r="AI19" i="15"/>
  <c r="AH19" i="15"/>
  <c r="AH20" i="15"/>
  <c r="AB20" i="15"/>
  <c r="AB19" i="15"/>
  <c r="AA20" i="15"/>
  <c r="AA19" i="15"/>
  <c r="AM20" i="15"/>
  <c r="AM19" i="15"/>
  <c r="AO19" i="15"/>
  <c r="AO20" i="15"/>
  <c r="S20" i="15"/>
  <c r="S19" i="15"/>
  <c r="AL20" i="15"/>
  <c r="AL19" i="15"/>
  <c r="L9" i="15"/>
  <c r="AK19" i="15"/>
  <c r="AK20" i="15"/>
  <c r="AJ20" i="15"/>
  <c r="AJ19" i="15"/>
  <c r="L8" i="15"/>
  <c r="G19" i="15"/>
  <c r="G20" i="15"/>
  <c r="T19" i="15"/>
  <c r="T20" i="15"/>
  <c r="AQ20" i="15"/>
  <c r="AQ19" i="15"/>
  <c r="AN20" i="15"/>
  <c r="AN19" i="15"/>
  <c r="AP19" i="15"/>
  <c r="AP20" i="15"/>
  <c r="W96" i="1" l="1"/>
  <c r="M45" i="15"/>
  <c r="M43" i="15"/>
  <c r="M46" i="15"/>
  <c r="N46" i="15"/>
  <c r="N45" i="15"/>
  <c r="N43" i="15"/>
  <c r="O46" i="15"/>
  <c r="O45" i="15"/>
  <c r="O43" i="15"/>
  <c r="P43" i="15"/>
  <c r="P46" i="15"/>
  <c r="P45" i="15"/>
  <c r="L21" i="15"/>
  <c r="G38" i="15"/>
  <c r="F38" i="15"/>
  <c r="K38" i="15"/>
  <c r="H38" i="15"/>
  <c r="E38" i="15"/>
  <c r="L38" i="15"/>
  <c r="I38" i="15"/>
  <c r="J38" i="15"/>
  <c r="O44" i="15"/>
  <c r="O47" i="15"/>
  <c r="I39" i="15"/>
  <c r="F39" i="15"/>
  <c r="K39" i="15"/>
  <c r="H39" i="15"/>
  <c r="E39" i="15"/>
  <c r="L39" i="15"/>
  <c r="J39" i="15"/>
  <c r="G39" i="15"/>
  <c r="G40" i="15"/>
  <c r="K40" i="15"/>
  <c r="H40" i="15"/>
  <c r="E40" i="15"/>
  <c r="L40" i="15"/>
  <c r="I40" i="15"/>
  <c r="F40" i="15"/>
  <c r="J40" i="15"/>
  <c r="N47" i="15"/>
  <c r="N44" i="15"/>
  <c r="P44" i="15"/>
  <c r="P47" i="15"/>
  <c r="J37" i="15"/>
  <c r="I37" i="15"/>
  <c r="G37" i="15"/>
  <c r="K37" i="15"/>
  <c r="H37" i="15"/>
  <c r="E37" i="15"/>
  <c r="L37" i="15"/>
  <c r="F37" i="15"/>
  <c r="L35" i="15"/>
  <c r="I35" i="15"/>
  <c r="J35" i="15"/>
  <c r="G35" i="15"/>
  <c r="K35" i="15"/>
  <c r="H35" i="15"/>
  <c r="E35" i="15"/>
  <c r="F35" i="15"/>
  <c r="E36" i="15"/>
  <c r="L36" i="15"/>
  <c r="I36" i="15"/>
  <c r="F36" i="15"/>
  <c r="J36" i="15"/>
  <c r="G36" i="15"/>
  <c r="K36" i="15"/>
  <c r="H36" i="15"/>
  <c r="F34" i="15"/>
  <c r="J34" i="15"/>
  <c r="G34" i="15"/>
  <c r="K34" i="15"/>
  <c r="H34" i="15"/>
  <c r="E34" i="15"/>
  <c r="L34" i="15"/>
  <c r="I34" i="15"/>
  <c r="M47" i="15"/>
  <c r="M44" i="15"/>
  <c r="L33" i="15"/>
  <c r="I33" i="15"/>
  <c r="H33" i="15"/>
  <c r="F33" i="15"/>
  <c r="J33" i="15"/>
  <c r="G33" i="15"/>
  <c r="K33" i="15"/>
  <c r="E33" i="15"/>
  <c r="L50" i="15"/>
  <c r="E50" i="15"/>
  <c r="K50" i="15"/>
  <c r="J50" i="15"/>
  <c r="I50" i="15"/>
  <c r="H50" i="15"/>
  <c r="G50" i="15"/>
  <c r="F50" i="15"/>
  <c r="L22" i="15"/>
  <c r="L18" i="15"/>
  <c r="L20" i="15"/>
  <c r="L19" i="15"/>
  <c r="X96" i="1" l="1"/>
  <c r="K45" i="15"/>
  <c r="K43" i="15"/>
  <c r="K46" i="15"/>
  <c r="G46" i="15"/>
  <c r="G45" i="15"/>
  <c r="G43" i="15"/>
  <c r="J45" i="15"/>
  <c r="J43" i="15"/>
  <c r="J44" i="15"/>
  <c r="J46" i="15"/>
  <c r="F43" i="15"/>
  <c r="F46" i="15"/>
  <c r="F45" i="15"/>
  <c r="H43" i="15"/>
  <c r="H46" i="15"/>
  <c r="H45" i="15"/>
  <c r="I46" i="15"/>
  <c r="I43" i="15"/>
  <c r="I45" i="15"/>
  <c r="L43" i="15"/>
  <c r="L45" i="15"/>
  <c r="L46" i="15"/>
  <c r="E45" i="15"/>
  <c r="E43" i="15"/>
  <c r="I44" i="15"/>
  <c r="I47" i="15"/>
  <c r="E47" i="15"/>
  <c r="E44" i="15"/>
  <c r="L47" i="15"/>
  <c r="L44" i="15"/>
  <c r="K47" i="15"/>
  <c r="K44" i="15"/>
  <c r="G44" i="15"/>
  <c r="G47" i="15"/>
  <c r="F44" i="15"/>
  <c r="F47" i="15"/>
  <c r="E46" i="15"/>
  <c r="H44" i="15"/>
  <c r="H47" i="15"/>
  <c r="J47" i="15"/>
  <c r="K59" i="10"/>
  <c r="K62" i="10"/>
  <c r="Y96" i="1" l="1"/>
  <c r="E58" i="15" a="1"/>
  <c r="E58" i="15"/>
  <c r="E69" i="15" s="1"/>
  <c r="L58" i="15" s="1"/>
  <c r="I70" i="15"/>
  <c r="P59" i="15" s="1"/>
  <c r="I73" i="15"/>
  <c r="P62" i="15" s="1"/>
  <c r="I76" i="15"/>
  <c r="P65" i="15" s="1"/>
  <c r="E70" i="15"/>
  <c r="L59" i="15" s="1"/>
  <c r="F71" i="15"/>
  <c r="M60" i="15" s="1"/>
  <c r="F74" i="15"/>
  <c r="M63" i="15" s="1"/>
  <c r="F77" i="15"/>
  <c r="M66" i="15" s="1"/>
  <c r="F69" i="15"/>
  <c r="M58" i="15" s="1"/>
  <c r="G71" i="15"/>
  <c r="N60" i="15" s="1"/>
  <c r="G74" i="15"/>
  <c r="N63" i="15" s="1"/>
  <c r="G77" i="15"/>
  <c r="N66" i="15" s="1"/>
  <c r="G69" i="15"/>
  <c r="N58" i="15" s="1"/>
  <c r="H71" i="15"/>
  <c r="O60" i="15" s="1"/>
  <c r="H74" i="15"/>
  <c r="O63" i="15" s="1"/>
  <c r="H77" i="15"/>
  <c r="O66" i="15" s="1"/>
  <c r="H69" i="15"/>
  <c r="O58" i="15" s="1"/>
  <c r="F72" i="15"/>
  <c r="M61" i="15" s="1"/>
  <c r="F75" i="15"/>
  <c r="M64" i="15" s="1"/>
  <c r="E77" i="15"/>
  <c r="L66" i="15" s="1"/>
  <c r="G72" i="15"/>
  <c r="N61" i="15" s="1"/>
  <c r="G75" i="15"/>
  <c r="N64" i="15" s="1"/>
  <c r="E76" i="15"/>
  <c r="L65" i="15" s="1"/>
  <c r="H72" i="15"/>
  <c r="O61" i="15" s="1"/>
  <c r="H75" i="15"/>
  <c r="O64" i="15" s="1"/>
  <c r="E75" i="15"/>
  <c r="L64" i="15" s="1"/>
  <c r="I72" i="15"/>
  <c r="P61" i="15" s="1"/>
  <c r="I75" i="15"/>
  <c r="P64" i="15" s="1"/>
  <c r="E74" i="15"/>
  <c r="L63" i="15" s="1"/>
  <c r="F70" i="15"/>
  <c r="M59" i="15" s="1"/>
  <c r="F73" i="15"/>
  <c r="M62" i="15" s="1"/>
  <c r="F76" i="15"/>
  <c r="M65" i="15" s="1"/>
  <c r="E73" i="15"/>
  <c r="L62" i="15" s="1"/>
  <c r="G70" i="15"/>
  <c r="N59" i="15" s="1"/>
  <c r="G73" i="15"/>
  <c r="N62" i="15" s="1"/>
  <c r="G76" i="15"/>
  <c r="N65" i="15" s="1"/>
  <c r="E72" i="15"/>
  <c r="L61" i="15" s="1"/>
  <c r="H70" i="15"/>
  <c r="O59" i="15" s="1"/>
  <c r="H73" i="15"/>
  <c r="O62" i="15" s="1"/>
  <c r="H76" i="15"/>
  <c r="O65" i="15" s="1"/>
  <c r="I71" i="15"/>
  <c r="P60" i="15" s="1"/>
  <c r="I74" i="15"/>
  <c r="P63" i="15" s="1"/>
  <c r="I77" i="15"/>
  <c r="P66" i="15" s="1"/>
  <c r="I69" i="15"/>
  <c r="P58" i="15" s="1"/>
  <c r="E71" i="15"/>
  <c r="L60" i="15" s="1"/>
  <c r="Q47" i="15"/>
  <c r="Q44" i="15"/>
  <c r="R47" i="15"/>
  <c r="R44" i="15"/>
  <c r="K76" i="10"/>
  <c r="J82" i="10"/>
  <c r="I82" i="10"/>
  <c r="F82" i="10"/>
  <c r="E82" i="10"/>
  <c r="K81" i="10"/>
  <c r="H81" i="10"/>
  <c r="G81" i="10"/>
  <c r="K80" i="10"/>
  <c r="H80" i="10"/>
  <c r="G80" i="10"/>
  <c r="K79" i="10"/>
  <c r="H79" i="10"/>
  <c r="G79" i="10"/>
  <c r="K78" i="10"/>
  <c r="H78" i="10"/>
  <c r="G78" i="10"/>
  <c r="K77" i="10"/>
  <c r="H77" i="10"/>
  <c r="G77" i="10"/>
  <c r="H76" i="10"/>
  <c r="G76" i="10"/>
  <c r="F66" i="10"/>
  <c r="F52" i="10"/>
  <c r="F51" i="10"/>
  <c r="AB13" i="10"/>
  <c r="L42" i="10"/>
  <c r="AA13" i="10"/>
  <c r="Z13" i="10"/>
  <c r="Y13" i="10"/>
  <c r="Z14" i="10" s="1"/>
  <c r="X13" i="10"/>
  <c r="W13" i="10"/>
  <c r="V13" i="10"/>
  <c r="U13" i="10"/>
  <c r="T13" i="10"/>
  <c r="S13" i="10"/>
  <c r="R13" i="10"/>
  <c r="P13" i="10"/>
  <c r="Q12" i="10"/>
  <c r="Q13" i="10" l="1"/>
  <c r="R14" i="10" s="1"/>
  <c r="Q14" i="10"/>
  <c r="Z96" i="1"/>
  <c r="F70" i="10"/>
  <c r="G82" i="10"/>
  <c r="F54" i="10" s="1"/>
  <c r="H82" i="10"/>
  <c r="F53" i="10" s="1"/>
  <c r="F69" i="10" s="1"/>
  <c r="K82" i="10"/>
  <c r="F59" i="10" s="1"/>
  <c r="F62" i="10" s="1"/>
  <c r="U14" i="10"/>
  <c r="AA14" i="10"/>
  <c r="S14" i="10"/>
  <c r="W14" i="10"/>
  <c r="X14" i="10"/>
  <c r="T15" i="10"/>
  <c r="Y14" i="10"/>
  <c r="V14" i="10"/>
  <c r="AB15" i="10"/>
  <c r="AC12" i="10"/>
  <c r="P14" i="10"/>
  <c r="T14" i="10"/>
  <c r="U15" i="10"/>
  <c r="V15" i="10"/>
  <c r="W15" i="10"/>
  <c r="X15" i="10"/>
  <c r="Y15" i="10"/>
  <c r="Z15" i="10"/>
  <c r="AA15" i="10"/>
  <c r="AA19" i="10" s="1"/>
  <c r="Q15" i="10"/>
  <c r="S15" i="10"/>
  <c r="P17" i="10" l="1"/>
  <c r="AA96" i="1"/>
  <c r="F68" i="10"/>
  <c r="F56" i="10"/>
  <c r="AD12" i="10"/>
  <c r="AC13" i="10"/>
  <c r="R15" i="10"/>
  <c r="AB96" i="1" l="1"/>
  <c r="F71" i="10"/>
  <c r="E5" i="10" s="1"/>
  <c r="AD13" i="10"/>
  <c r="AC15" i="10"/>
  <c r="AC14" i="10"/>
  <c r="AC17" i="10" s="1"/>
  <c r="AD15" i="10" l="1"/>
  <c r="AD14" i="10"/>
  <c r="AD17" i="10" s="1"/>
  <c r="Q72" i="1" l="1"/>
  <c r="P72" i="1"/>
  <c r="O72" i="1"/>
  <c r="N72" i="1"/>
  <c r="M72" i="1"/>
  <c r="L72" i="1"/>
  <c r="K72" i="1"/>
  <c r="J72" i="1"/>
  <c r="I72" i="1"/>
  <c r="H72" i="1"/>
  <c r="G72" i="1"/>
  <c r="H65" i="1"/>
  <c r="I65" i="1"/>
  <c r="J65" i="1"/>
  <c r="J66" i="1" s="1"/>
  <c r="K65" i="1"/>
  <c r="L65" i="1"/>
  <c r="M65" i="1"/>
  <c r="N65" i="1"/>
  <c r="O65" i="1"/>
  <c r="P65" i="1"/>
  <c r="P66" i="1" s="1"/>
  <c r="Q65" i="1"/>
  <c r="G65" i="1"/>
  <c r="Q64" i="1"/>
  <c r="R64" i="1" s="1"/>
  <c r="P64" i="1"/>
  <c r="O64" i="1"/>
  <c r="N64" i="1"/>
  <c r="M64" i="1"/>
  <c r="L64" i="1"/>
  <c r="K64" i="1"/>
  <c r="J64" i="1"/>
  <c r="I64" i="1"/>
  <c r="H64" i="1"/>
  <c r="G64" i="1"/>
  <c r="H62" i="1"/>
  <c r="I62" i="1"/>
  <c r="J62" i="1"/>
  <c r="K62" i="1"/>
  <c r="L62" i="1"/>
  <c r="M62" i="1"/>
  <c r="N62" i="1"/>
  <c r="O62" i="1"/>
  <c r="P62" i="1"/>
  <c r="Q62" i="1"/>
  <c r="G62" i="1"/>
  <c r="H69" i="1"/>
  <c r="I69" i="1"/>
  <c r="J69" i="1"/>
  <c r="K69" i="1"/>
  <c r="L69" i="1"/>
  <c r="M69" i="1"/>
  <c r="N69" i="1"/>
  <c r="O69" i="1"/>
  <c r="P69" i="1"/>
  <c r="Q69" i="1"/>
  <c r="G69" i="1"/>
  <c r="H51" i="1"/>
  <c r="I51" i="1"/>
  <c r="J51" i="1"/>
  <c r="K51" i="1"/>
  <c r="L51" i="1"/>
  <c r="M51" i="1"/>
  <c r="N51" i="1"/>
  <c r="O51" i="1"/>
  <c r="P51" i="1"/>
  <c r="Q51" i="1"/>
  <c r="G51" i="1"/>
  <c r="H48" i="1"/>
  <c r="I48" i="1"/>
  <c r="J48" i="1"/>
  <c r="K48" i="1"/>
  <c r="L48" i="1"/>
  <c r="M48" i="1"/>
  <c r="N48" i="1"/>
  <c r="O48" i="1"/>
  <c r="P48" i="1"/>
  <c r="Q48" i="1"/>
  <c r="G48" i="1"/>
  <c r="H39" i="1"/>
  <c r="I39" i="1"/>
  <c r="J39" i="1"/>
  <c r="K39" i="1"/>
  <c r="L39" i="1"/>
  <c r="M39" i="1"/>
  <c r="N39" i="1"/>
  <c r="O39" i="1"/>
  <c r="P39" i="1"/>
  <c r="Q39" i="1"/>
  <c r="G39" i="1"/>
  <c r="H44" i="1"/>
  <c r="I44" i="1"/>
  <c r="J44" i="1"/>
  <c r="J45" i="1" s="1"/>
  <c r="K44" i="1"/>
  <c r="K45" i="1" s="1"/>
  <c r="L44" i="1"/>
  <c r="M44" i="1"/>
  <c r="N44" i="1"/>
  <c r="N45" i="1" s="1"/>
  <c r="O44" i="1"/>
  <c r="O45" i="1" s="1"/>
  <c r="P44" i="1"/>
  <c r="P53" i="1" s="1"/>
  <c r="P77" i="1" s="1"/>
  <c r="Q44" i="1"/>
  <c r="Q53" i="1" s="1"/>
  <c r="Q77" i="1" s="1"/>
  <c r="Q6" i="12" s="1"/>
  <c r="G44" i="1"/>
  <c r="G53" i="1" s="1"/>
  <c r="G77" i="1" s="1"/>
  <c r="Q31" i="1"/>
  <c r="P31" i="1"/>
  <c r="O31" i="1"/>
  <c r="N31" i="1"/>
  <c r="M31" i="1"/>
  <c r="L31" i="1"/>
  <c r="K31" i="1"/>
  <c r="Q17" i="1"/>
  <c r="P17" i="1"/>
  <c r="O17" i="1"/>
  <c r="N17" i="1"/>
  <c r="M17" i="1"/>
  <c r="L17" i="1"/>
  <c r="K17" i="1"/>
  <c r="Q24" i="1"/>
  <c r="P24" i="1"/>
  <c r="O24" i="1"/>
  <c r="N24" i="1"/>
  <c r="M24" i="1"/>
  <c r="L24" i="1"/>
  <c r="K24" i="1"/>
  <c r="L34" i="1"/>
  <c r="M34" i="1"/>
  <c r="N34" i="1"/>
  <c r="O34" i="1"/>
  <c r="P34" i="1"/>
  <c r="Q34" i="1"/>
  <c r="R12" i="1"/>
  <c r="I66" i="1" l="1"/>
  <c r="R72" i="1"/>
  <c r="S72" i="1" s="1"/>
  <c r="L66" i="1"/>
  <c r="G80" i="1"/>
  <c r="G6" i="12"/>
  <c r="P80" i="1"/>
  <c r="P6" i="12"/>
  <c r="Q45" i="1"/>
  <c r="P45" i="1"/>
  <c r="M66" i="1"/>
  <c r="Q80" i="1"/>
  <c r="R62" i="1"/>
  <c r="S62" i="1" s="1"/>
  <c r="G45" i="1"/>
  <c r="Q66" i="1"/>
  <c r="R42" i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R41" i="1"/>
  <c r="R39" i="1" s="1"/>
  <c r="R40" i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M45" i="1"/>
  <c r="M53" i="1"/>
  <c r="M77" i="1" s="1"/>
  <c r="M6" i="12" s="1"/>
  <c r="R69" i="1"/>
  <c r="L45" i="1"/>
  <c r="L53" i="1"/>
  <c r="L77" i="1" s="1"/>
  <c r="S64" i="1"/>
  <c r="H66" i="1"/>
  <c r="S51" i="1"/>
  <c r="N66" i="1"/>
  <c r="O66" i="1"/>
  <c r="K66" i="1"/>
  <c r="I45" i="1"/>
  <c r="I53" i="1"/>
  <c r="I77" i="1" s="1"/>
  <c r="I6" i="12" s="1"/>
  <c r="R48" i="1"/>
  <c r="H45" i="1"/>
  <c r="H53" i="1"/>
  <c r="H77" i="1" s="1"/>
  <c r="K53" i="1"/>
  <c r="K77" i="1" s="1"/>
  <c r="K6" i="12" s="1"/>
  <c r="G54" i="1"/>
  <c r="G56" i="1"/>
  <c r="G58" i="1" s="1"/>
  <c r="G74" i="1" s="1"/>
  <c r="J53" i="1"/>
  <c r="J77" i="1" s="1"/>
  <c r="Q54" i="1"/>
  <c r="Q56" i="1"/>
  <c r="Q58" i="1" s="1"/>
  <c r="P54" i="1"/>
  <c r="P56" i="1"/>
  <c r="P58" i="1" s="1"/>
  <c r="P74" i="1" s="1"/>
  <c r="O53" i="1"/>
  <c r="O77" i="1" s="1"/>
  <c r="O6" i="12" s="1"/>
  <c r="N53" i="1"/>
  <c r="N77" i="1" s="1"/>
  <c r="N6" i="12" s="1"/>
  <c r="R18" i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R26" i="1"/>
  <c r="R24" i="1" s="1"/>
  <c r="R23" i="1" s="1"/>
  <c r="R31" i="1"/>
  <c r="S31" i="1" s="1"/>
  <c r="K34" i="1"/>
  <c r="R30" i="1" l="1"/>
  <c r="H80" i="1"/>
  <c r="H6" i="12"/>
  <c r="J80" i="1"/>
  <c r="J6" i="12"/>
  <c r="L80" i="1"/>
  <c r="L6" i="12"/>
  <c r="L81" i="1"/>
  <c r="AD77" i="1"/>
  <c r="I80" i="1"/>
  <c r="Q74" i="1"/>
  <c r="N78" i="1"/>
  <c r="N80" i="1"/>
  <c r="T72" i="1"/>
  <c r="O78" i="1"/>
  <c r="O80" i="1"/>
  <c r="S41" i="1"/>
  <c r="T41" i="1" s="1"/>
  <c r="U41" i="1" s="1"/>
  <c r="V41" i="1" s="1"/>
  <c r="W41" i="1" s="1"/>
  <c r="X41" i="1" s="1"/>
  <c r="Y41" i="1" s="1"/>
  <c r="Z41" i="1" s="1"/>
  <c r="AA41" i="1" s="1"/>
  <c r="AB41" i="1" s="1"/>
  <c r="K78" i="1"/>
  <c r="K80" i="1"/>
  <c r="K81" i="1" s="1"/>
  <c r="P81" i="1"/>
  <c r="AE77" i="1"/>
  <c r="AE78" i="1" s="1"/>
  <c r="M80" i="1"/>
  <c r="Q81" i="1" s="1"/>
  <c r="L78" i="1"/>
  <c r="P78" i="1"/>
  <c r="L54" i="1"/>
  <c r="L56" i="1"/>
  <c r="L58" i="1" s="1"/>
  <c r="T62" i="1"/>
  <c r="M78" i="1"/>
  <c r="Q78" i="1"/>
  <c r="M54" i="1"/>
  <c r="T64" i="1"/>
  <c r="M56" i="1"/>
  <c r="M58" i="1" s="1"/>
  <c r="M74" i="1" s="1"/>
  <c r="S69" i="1"/>
  <c r="H54" i="1"/>
  <c r="H56" i="1"/>
  <c r="H58" i="1" s="1"/>
  <c r="H74" i="1" s="1"/>
  <c r="N54" i="1"/>
  <c r="N56" i="1"/>
  <c r="N58" i="1" s="1"/>
  <c r="O54" i="1"/>
  <c r="O56" i="1"/>
  <c r="O58" i="1"/>
  <c r="O74" i="1" s="1"/>
  <c r="J54" i="1"/>
  <c r="J56" i="1"/>
  <c r="J58" i="1" s="1"/>
  <c r="J74" i="1" s="1"/>
  <c r="I54" i="1"/>
  <c r="I56" i="1"/>
  <c r="I58" i="1" s="1"/>
  <c r="I74" i="1" s="1"/>
  <c r="S48" i="1"/>
  <c r="T51" i="1"/>
  <c r="U51" i="1" s="1"/>
  <c r="S26" i="1"/>
  <c r="S24" i="1" s="1"/>
  <c r="S23" i="1" s="1"/>
  <c r="K56" i="1"/>
  <c r="K58" i="1" s="1"/>
  <c r="K74" i="1" s="1"/>
  <c r="K54" i="1"/>
  <c r="R27" i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S19" i="1"/>
  <c r="T19" i="1" s="1"/>
  <c r="U19" i="1" s="1"/>
  <c r="V19" i="1" s="1"/>
  <c r="W19" i="1" s="1"/>
  <c r="X19" i="1" s="1"/>
  <c r="Y19" i="1" s="1"/>
  <c r="Z19" i="1" s="1"/>
  <c r="AA19" i="1" s="1"/>
  <c r="AB19" i="1" s="1"/>
  <c r="R20" i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R17" i="1"/>
  <c r="R16" i="1" s="1"/>
  <c r="R25" i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T31" i="1"/>
  <c r="S30" i="1"/>
  <c r="R33" i="1" l="1"/>
  <c r="N81" i="1"/>
  <c r="O81" i="1"/>
  <c r="T26" i="1"/>
  <c r="S39" i="1"/>
  <c r="L74" i="1"/>
  <c r="P75" i="1" s="1"/>
  <c r="M81" i="1"/>
  <c r="AE80" i="1"/>
  <c r="U72" i="1"/>
  <c r="V72" i="1" s="1"/>
  <c r="U17" i="1"/>
  <c r="U16" i="1" s="1"/>
  <c r="N74" i="1"/>
  <c r="AD80" i="1"/>
  <c r="Q59" i="1"/>
  <c r="L59" i="1"/>
  <c r="T69" i="1"/>
  <c r="U62" i="1"/>
  <c r="Q75" i="1"/>
  <c r="T17" i="1"/>
  <c r="T16" i="1" s="1"/>
  <c r="O59" i="1"/>
  <c r="O75" i="1"/>
  <c r="S17" i="1"/>
  <c r="S16" i="1" s="1"/>
  <c r="S33" i="1" s="1"/>
  <c r="K59" i="1"/>
  <c r="K75" i="1"/>
  <c r="U64" i="1"/>
  <c r="P59" i="1"/>
  <c r="M59" i="1"/>
  <c r="T48" i="1"/>
  <c r="N59" i="1"/>
  <c r="V51" i="1"/>
  <c r="W51" i="1" s="1"/>
  <c r="T39" i="1"/>
  <c r="U31" i="1"/>
  <c r="T30" i="1"/>
  <c r="V17" i="1"/>
  <c r="V16" i="1" s="1"/>
  <c r="AF16" i="1" l="1"/>
  <c r="AF17" i="1" s="1"/>
  <c r="R63" i="1"/>
  <c r="R38" i="1"/>
  <c r="R34" i="1"/>
  <c r="R61" i="1"/>
  <c r="R71" i="1"/>
  <c r="R47" i="1"/>
  <c r="R86" i="1"/>
  <c r="R68" i="1"/>
  <c r="R50" i="1"/>
  <c r="R65" i="1"/>
  <c r="R66" i="1" s="1"/>
  <c r="AE81" i="1"/>
  <c r="AE74" i="1"/>
  <c r="S71" i="1"/>
  <c r="S86" i="1"/>
  <c r="L75" i="1"/>
  <c r="U26" i="1"/>
  <c r="T24" i="1"/>
  <c r="T23" i="1" s="1"/>
  <c r="N75" i="1"/>
  <c r="W72" i="1"/>
  <c r="AD74" i="1"/>
  <c r="S50" i="1"/>
  <c r="S90" i="1" s="1"/>
  <c r="S63" i="1"/>
  <c r="S61" i="1"/>
  <c r="V62" i="1"/>
  <c r="V64" i="1"/>
  <c r="S68" i="1"/>
  <c r="U69" i="1"/>
  <c r="M75" i="1"/>
  <c r="S38" i="1"/>
  <c r="U48" i="1"/>
  <c r="V48" i="1" s="1"/>
  <c r="X51" i="1"/>
  <c r="Y51" i="1" s="1"/>
  <c r="S47" i="1"/>
  <c r="S89" i="1" s="1"/>
  <c r="U39" i="1"/>
  <c r="S34" i="1"/>
  <c r="U30" i="1"/>
  <c r="V31" i="1"/>
  <c r="W17" i="1"/>
  <c r="W16" i="1" s="1"/>
  <c r="T33" i="1" l="1"/>
  <c r="AF33" i="1" s="1"/>
  <c r="AF34" i="1" s="1"/>
  <c r="AF23" i="1"/>
  <c r="AF24" i="1" s="1"/>
  <c r="R89" i="1"/>
  <c r="R87" i="1"/>
  <c r="R90" i="1"/>
  <c r="S65" i="1"/>
  <c r="S66" i="1" s="1"/>
  <c r="T71" i="1"/>
  <c r="AF71" i="1" s="1"/>
  <c r="AF72" i="1" s="1"/>
  <c r="T86" i="1"/>
  <c r="AF86" i="1" s="1"/>
  <c r="S44" i="1"/>
  <c r="S45" i="1" s="1"/>
  <c r="S87" i="1"/>
  <c r="S88" i="1" s="1"/>
  <c r="S91" i="1" s="1"/>
  <c r="S93" i="1" s="1"/>
  <c r="AE75" i="1"/>
  <c r="X72" i="1"/>
  <c r="Y72" i="1" s="1"/>
  <c r="Z72" i="1" s="1"/>
  <c r="U24" i="1"/>
  <c r="U23" i="1" s="1"/>
  <c r="V26" i="1"/>
  <c r="T50" i="1"/>
  <c r="T90" i="1" s="1"/>
  <c r="T63" i="1"/>
  <c r="W64" i="1"/>
  <c r="V69" i="1"/>
  <c r="T68" i="1"/>
  <c r="AF68" i="1" s="1"/>
  <c r="AF69" i="1" s="1"/>
  <c r="W62" i="1"/>
  <c r="Z51" i="1"/>
  <c r="AA51" i="1" s="1"/>
  <c r="W48" i="1"/>
  <c r="X48" i="1" s="1"/>
  <c r="T47" i="1"/>
  <c r="T89" i="1" s="1"/>
  <c r="V39" i="1"/>
  <c r="T34" i="1"/>
  <c r="W31" i="1"/>
  <c r="V30" i="1"/>
  <c r="X17" i="1"/>
  <c r="X16" i="1" s="1"/>
  <c r="AG16" i="1" s="1"/>
  <c r="AG17" i="1" s="1"/>
  <c r="T61" i="1" l="1"/>
  <c r="T65" i="1" s="1"/>
  <c r="T66" i="1" s="1"/>
  <c r="AF50" i="1"/>
  <c r="AF51" i="1" s="1"/>
  <c r="U33" i="1"/>
  <c r="U68" i="1" s="1"/>
  <c r="T38" i="1"/>
  <c r="AF38" i="1" s="1"/>
  <c r="AF39" i="1" s="1"/>
  <c r="AF90" i="1"/>
  <c r="R88" i="1"/>
  <c r="AF47" i="1"/>
  <c r="AF48" i="1" s="1"/>
  <c r="AF89" i="1"/>
  <c r="S53" i="1"/>
  <c r="S77" i="1" s="1"/>
  <c r="S6" i="12" s="1"/>
  <c r="S94" i="1"/>
  <c r="S95" i="1" s="1"/>
  <c r="S97" i="1" s="1"/>
  <c r="S10" i="12" s="1"/>
  <c r="U71" i="1"/>
  <c r="U86" i="1"/>
  <c r="AA72" i="1"/>
  <c r="AB72" i="1" s="1"/>
  <c r="V24" i="1"/>
  <c r="V23" i="1" s="1"/>
  <c r="V33" i="1" s="1"/>
  <c r="V86" i="1" s="1"/>
  <c r="W26" i="1"/>
  <c r="X62" i="1"/>
  <c r="X64" i="1"/>
  <c r="W69" i="1"/>
  <c r="U63" i="1"/>
  <c r="U61" i="1"/>
  <c r="U50" i="1"/>
  <c r="U47" i="1"/>
  <c r="Y48" i="1"/>
  <c r="Z48" i="1" s="1"/>
  <c r="AB51" i="1"/>
  <c r="W39" i="1"/>
  <c r="X31" i="1"/>
  <c r="W30" i="1"/>
  <c r="Y17" i="1"/>
  <c r="Y16" i="1" s="1"/>
  <c r="U34" i="1" l="1"/>
  <c r="U65" i="1"/>
  <c r="U66" i="1" s="1"/>
  <c r="U38" i="1"/>
  <c r="T87" i="1"/>
  <c r="T88" i="1" s="1"/>
  <c r="T91" i="1" s="1"/>
  <c r="T93" i="1" s="1"/>
  <c r="T94" i="1" s="1"/>
  <c r="T95" i="1" s="1"/>
  <c r="T97" i="1" s="1"/>
  <c r="T10" i="12" s="1"/>
  <c r="T44" i="1"/>
  <c r="T45" i="1" s="1"/>
  <c r="U89" i="1"/>
  <c r="AF88" i="1"/>
  <c r="AF87" i="1"/>
  <c r="R91" i="1"/>
  <c r="S56" i="1"/>
  <c r="S58" i="1" s="1"/>
  <c r="S74" i="1" s="1"/>
  <c r="R19" i="10" s="1"/>
  <c r="S54" i="1"/>
  <c r="U90" i="1"/>
  <c r="S80" i="1"/>
  <c r="S81" i="1" s="1"/>
  <c r="S78" i="1"/>
  <c r="U44" i="1"/>
  <c r="U87" i="1"/>
  <c r="V71" i="1"/>
  <c r="V68" i="1"/>
  <c r="W24" i="1"/>
  <c r="W23" i="1" s="1"/>
  <c r="W33" i="1" s="1"/>
  <c r="X26" i="1"/>
  <c r="Y64" i="1"/>
  <c r="X69" i="1"/>
  <c r="V61" i="1"/>
  <c r="V63" i="1"/>
  <c r="Y62" i="1"/>
  <c r="V38" i="1"/>
  <c r="V50" i="1"/>
  <c r="V90" i="1" s="1"/>
  <c r="V47" i="1"/>
  <c r="V89" i="1" s="1"/>
  <c r="AA48" i="1"/>
  <c r="X39" i="1"/>
  <c r="V34" i="1"/>
  <c r="Y31" i="1"/>
  <c r="X30" i="1"/>
  <c r="Z17" i="1"/>
  <c r="Z16" i="1" s="1"/>
  <c r="T53" i="1" l="1"/>
  <c r="T77" i="1" s="1"/>
  <c r="T6" i="12" s="1"/>
  <c r="R93" i="1"/>
  <c r="AF91" i="1"/>
  <c r="U88" i="1"/>
  <c r="U45" i="1"/>
  <c r="S59" i="1"/>
  <c r="U53" i="1"/>
  <c r="T80" i="1"/>
  <c r="T81" i="1" s="1"/>
  <c r="W71" i="1"/>
  <c r="W86" i="1"/>
  <c r="T56" i="1"/>
  <c r="T58" i="1" s="1"/>
  <c r="T74" i="1" s="1"/>
  <c r="S19" i="10" s="1"/>
  <c r="V44" i="1"/>
  <c r="V45" i="1" s="1"/>
  <c r="V87" i="1"/>
  <c r="V88" i="1" s="1"/>
  <c r="V91" i="1" s="1"/>
  <c r="V93" i="1" s="1"/>
  <c r="T54" i="1"/>
  <c r="Y26" i="1"/>
  <c r="X24" i="1"/>
  <c r="X23" i="1" s="1"/>
  <c r="X33" i="1" s="1"/>
  <c r="X86" i="1" s="1"/>
  <c r="W63" i="1"/>
  <c r="W61" i="1"/>
  <c r="V65" i="1"/>
  <c r="V66" i="1" s="1"/>
  <c r="Y69" i="1"/>
  <c r="W68" i="1"/>
  <c r="S75" i="1"/>
  <c r="Z62" i="1"/>
  <c r="Z64" i="1"/>
  <c r="AB48" i="1"/>
  <c r="W38" i="1"/>
  <c r="W50" i="1"/>
  <c r="W90" i="1" s="1"/>
  <c r="W47" i="1"/>
  <c r="W89" i="1" s="1"/>
  <c r="Y39" i="1"/>
  <c r="W34" i="1"/>
  <c r="Z31" i="1"/>
  <c r="Y30" i="1"/>
  <c r="AB17" i="1"/>
  <c r="AB16" i="1" s="1"/>
  <c r="AA17" i="1"/>
  <c r="AA16" i="1" s="1"/>
  <c r="AH16" i="1" s="1"/>
  <c r="AH17" i="1" s="1"/>
  <c r="AG23" i="1" l="1"/>
  <c r="AG24" i="1" s="1"/>
  <c r="T78" i="1"/>
  <c r="AG86" i="1"/>
  <c r="U91" i="1"/>
  <c r="R94" i="1"/>
  <c r="AF93" i="1"/>
  <c r="AG33" i="1"/>
  <c r="AG34" i="1" s="1"/>
  <c r="AG50" i="1"/>
  <c r="AG51" i="1" s="1"/>
  <c r="U77" i="1"/>
  <c r="U6" i="12" s="1"/>
  <c r="U54" i="1"/>
  <c r="V53" i="1"/>
  <c r="V77" i="1" s="1"/>
  <c r="V80" i="1" s="1"/>
  <c r="V6" i="12"/>
  <c r="V94" i="1"/>
  <c r="V95" i="1" s="1"/>
  <c r="V97" i="1" s="1"/>
  <c r="V10" i="12" s="1"/>
  <c r="U56" i="1"/>
  <c r="T59" i="1"/>
  <c r="W44" i="1"/>
  <c r="W45" i="1" s="1"/>
  <c r="W87" i="1"/>
  <c r="W88" i="1" s="1"/>
  <c r="W91" i="1" s="1"/>
  <c r="W93" i="1" s="1"/>
  <c r="W65" i="1"/>
  <c r="W66" i="1" s="1"/>
  <c r="X71" i="1"/>
  <c r="AG71" i="1" s="1"/>
  <c r="AG72" i="1" s="1"/>
  <c r="X68" i="1"/>
  <c r="AG68" i="1" s="1"/>
  <c r="AG69" i="1" s="1"/>
  <c r="Z26" i="1"/>
  <c r="Y24" i="1"/>
  <c r="Y23" i="1" s="1"/>
  <c r="Z69" i="1"/>
  <c r="AA64" i="1"/>
  <c r="T75" i="1"/>
  <c r="AA62" i="1"/>
  <c r="X61" i="1"/>
  <c r="X63" i="1"/>
  <c r="X38" i="1"/>
  <c r="AG38" i="1" s="1"/>
  <c r="AG39" i="1" s="1"/>
  <c r="X50" i="1"/>
  <c r="X90" i="1" s="1"/>
  <c r="AG90" i="1" s="1"/>
  <c r="X47" i="1"/>
  <c r="X89" i="1" s="1"/>
  <c r="AG89" i="1" s="1"/>
  <c r="Z39" i="1"/>
  <c r="X34" i="1"/>
  <c r="AA31" i="1"/>
  <c r="Z30" i="1"/>
  <c r="V54" i="1" l="1"/>
  <c r="Y33" i="1"/>
  <c r="Y63" i="1" s="1"/>
  <c r="R95" i="1"/>
  <c r="AF94" i="1"/>
  <c r="AG47" i="1"/>
  <c r="AG48" i="1" s="1"/>
  <c r="U93" i="1"/>
  <c r="V56" i="1"/>
  <c r="V58" i="1" s="1"/>
  <c r="V74" i="1" s="1"/>
  <c r="U19" i="10" s="1"/>
  <c r="U58" i="1"/>
  <c r="U59" i="1" s="1"/>
  <c r="U78" i="1"/>
  <c r="U80" i="1"/>
  <c r="U81" i="1" s="1"/>
  <c r="V8" i="12"/>
  <c r="X65" i="1"/>
  <c r="X66" i="1" s="1"/>
  <c r="W94" i="1"/>
  <c r="W95" i="1" s="1"/>
  <c r="W97" i="1" s="1"/>
  <c r="W10" i="12" s="1"/>
  <c r="Y71" i="1"/>
  <c r="X44" i="1"/>
  <c r="X45" i="1" s="1"/>
  <c r="X87" i="1"/>
  <c r="W53" i="1"/>
  <c r="W77" i="1" s="1"/>
  <c r="W6" i="12" s="1"/>
  <c r="W8" i="12" s="1"/>
  <c r="Y34" i="1"/>
  <c r="AA26" i="1"/>
  <c r="Z24" i="1"/>
  <c r="Z23" i="1" s="1"/>
  <c r="Z33" i="1" s="1"/>
  <c r="Z86" i="1" s="1"/>
  <c r="Y61" i="1"/>
  <c r="AB62" i="1"/>
  <c r="AB64" i="1"/>
  <c r="AA69" i="1"/>
  <c r="AB39" i="1"/>
  <c r="AA39" i="1"/>
  <c r="AB31" i="1"/>
  <c r="AB30" i="1" s="1"/>
  <c r="AA30" i="1"/>
  <c r="Y68" i="1" l="1"/>
  <c r="Y47" i="1"/>
  <c r="Y89" i="1" s="1"/>
  <c r="Y50" i="1"/>
  <c r="Y90" i="1" s="1"/>
  <c r="Y38" i="1"/>
  <c r="Y44" i="1" s="1"/>
  <c r="Y86" i="1"/>
  <c r="R97" i="1"/>
  <c r="AF95" i="1"/>
  <c r="X88" i="1"/>
  <c r="AG87" i="1"/>
  <c r="U94" i="1"/>
  <c r="AG44" i="1"/>
  <c r="AG45" i="1" s="1"/>
  <c r="U74" i="1"/>
  <c r="Y65" i="1"/>
  <c r="Y66" i="1" s="1"/>
  <c r="W54" i="1"/>
  <c r="W80" i="1"/>
  <c r="W81" i="1" s="1"/>
  <c r="W78" i="1"/>
  <c r="W56" i="1"/>
  <c r="W58" i="1" s="1"/>
  <c r="W74" i="1" s="1"/>
  <c r="V19" i="10" s="1"/>
  <c r="X53" i="1"/>
  <c r="Z71" i="1"/>
  <c r="Z68" i="1"/>
  <c r="Z34" i="1"/>
  <c r="AB26" i="1"/>
  <c r="AB24" i="1" s="1"/>
  <c r="AB23" i="1" s="1"/>
  <c r="AB33" i="1" s="1"/>
  <c r="AA24" i="1"/>
  <c r="AA23" i="1" s="1"/>
  <c r="AA33" i="1" s="1"/>
  <c r="AA86" i="1" s="1"/>
  <c r="AB69" i="1"/>
  <c r="Z63" i="1"/>
  <c r="Z61" i="1"/>
  <c r="Z38" i="1"/>
  <c r="Z50" i="1"/>
  <c r="Z90" i="1" s="1"/>
  <c r="Z47" i="1"/>
  <c r="Z89" i="1" s="1"/>
  <c r="Y87" i="1" l="1"/>
  <c r="AH33" i="1"/>
  <c r="AH34" i="1" s="1"/>
  <c r="AH23" i="1"/>
  <c r="AH24" i="1" s="1"/>
  <c r="U95" i="1"/>
  <c r="Y88" i="1"/>
  <c r="Y91" i="1" s="1"/>
  <c r="Y45" i="1"/>
  <c r="R10" i="12"/>
  <c r="AF97" i="1"/>
  <c r="X91" i="1"/>
  <c r="AG88" i="1"/>
  <c r="T19" i="10"/>
  <c r="U75" i="1"/>
  <c r="X77" i="1"/>
  <c r="X6" i="12" s="1"/>
  <c r="X8" i="12" s="1"/>
  <c r="AG53" i="1"/>
  <c r="AG54" i="1" s="1"/>
  <c r="X56" i="1"/>
  <c r="X58" i="1" s="1"/>
  <c r="X59" i="1" s="1"/>
  <c r="AB71" i="1"/>
  <c r="AB86" i="1"/>
  <c r="AH86" i="1" s="1"/>
  <c r="X54" i="1"/>
  <c r="Y53" i="1"/>
  <c r="Z44" i="1"/>
  <c r="Z45" i="1" s="1"/>
  <c r="Z87" i="1"/>
  <c r="Z88" i="1" s="1"/>
  <c r="Z91" i="1" s="1"/>
  <c r="Z93" i="1" s="1"/>
  <c r="W59" i="1"/>
  <c r="AB63" i="1"/>
  <c r="AB34" i="1"/>
  <c r="AB61" i="1"/>
  <c r="AA71" i="1"/>
  <c r="AA34" i="1"/>
  <c r="Z65" i="1"/>
  <c r="Z66" i="1" s="1"/>
  <c r="AA63" i="1"/>
  <c r="AA61" i="1"/>
  <c r="W75" i="1"/>
  <c r="AB68" i="1"/>
  <c r="AA68" i="1"/>
  <c r="AB38" i="1"/>
  <c r="AB50" i="1"/>
  <c r="AB90" i="1" s="1"/>
  <c r="AB47" i="1"/>
  <c r="AB89" i="1" s="1"/>
  <c r="AA38" i="1"/>
  <c r="AA50" i="1"/>
  <c r="AA90" i="1" s="1"/>
  <c r="AA47" i="1"/>
  <c r="AA89" i="1" s="1"/>
  <c r="AH89" i="1" l="1"/>
  <c r="AH90" i="1"/>
  <c r="AH38" i="1"/>
  <c r="AH39" i="1" s="1"/>
  <c r="AH68" i="1"/>
  <c r="AH69" i="1" s="1"/>
  <c r="X78" i="1"/>
  <c r="X80" i="1"/>
  <c r="X81" i="1" s="1"/>
  <c r="AG77" i="1"/>
  <c r="Y93" i="1"/>
  <c r="AH47" i="1"/>
  <c r="AH48" i="1" s="1"/>
  <c r="AH71" i="1"/>
  <c r="AH72" i="1" s="1"/>
  <c r="X93" i="1"/>
  <c r="AG91" i="1"/>
  <c r="R12" i="12"/>
  <c r="S12" i="12"/>
  <c r="T12" i="12"/>
  <c r="AG58" i="1"/>
  <c r="U97" i="1"/>
  <c r="AH50" i="1"/>
  <c r="AH51" i="1" s="1"/>
  <c r="AG56" i="1"/>
  <c r="AB65" i="1"/>
  <c r="X74" i="1"/>
  <c r="W19" i="10" s="1"/>
  <c r="Z53" i="1"/>
  <c r="Z77" i="1" s="1"/>
  <c r="Z6" i="12" s="1"/>
  <c r="AA44" i="1"/>
  <c r="AA87" i="1"/>
  <c r="AA88" i="1" s="1"/>
  <c r="AA91" i="1" s="1"/>
  <c r="AA93" i="1" s="1"/>
  <c r="Z94" i="1"/>
  <c r="Z95" i="1" s="1"/>
  <c r="Z97" i="1" s="1"/>
  <c r="Z10" i="12" s="1"/>
  <c r="AB44" i="1"/>
  <c r="AB45" i="1" s="1"/>
  <c r="AB87" i="1"/>
  <c r="AB88" i="1" s="1"/>
  <c r="AB91" i="1" s="1"/>
  <c r="AB93" i="1" s="1"/>
  <c r="Y77" i="1"/>
  <c r="Y54" i="1"/>
  <c r="Y56" i="1"/>
  <c r="AG80" i="1"/>
  <c r="AA65" i="1"/>
  <c r="AA66" i="1" s="1"/>
  <c r="AH91" i="1" l="1"/>
  <c r="AG93" i="1"/>
  <c r="X94" i="1"/>
  <c r="AH88" i="1"/>
  <c r="U10" i="12"/>
  <c r="AA45" i="1"/>
  <c r="AH44" i="1"/>
  <c r="AH45" i="1" s="1"/>
  <c r="Y94" i="1"/>
  <c r="AH93" i="1"/>
  <c r="AH87" i="1"/>
  <c r="Y58" i="1"/>
  <c r="Z78" i="1"/>
  <c r="X75" i="1"/>
  <c r="AG74" i="1"/>
  <c r="Z56" i="1"/>
  <c r="Z58" i="1" s="1"/>
  <c r="Z74" i="1" s="1"/>
  <c r="Z80" i="1"/>
  <c r="Z81" i="1" s="1"/>
  <c r="Z54" i="1"/>
  <c r="AB94" i="1"/>
  <c r="AB95" i="1" s="1"/>
  <c r="AB97" i="1" s="1"/>
  <c r="AB10" i="12" s="1"/>
  <c r="AA94" i="1"/>
  <c r="AA95" i="1" s="1"/>
  <c r="AA97" i="1" s="1"/>
  <c r="AA10" i="12" s="1"/>
  <c r="Y6" i="12"/>
  <c r="Y78" i="1"/>
  <c r="Y80" i="1"/>
  <c r="Y81" i="1" s="1"/>
  <c r="AB53" i="1"/>
  <c r="AB77" i="1" s="1"/>
  <c r="AA53" i="1"/>
  <c r="AB66" i="1"/>
  <c r="AH53" i="1" l="1"/>
  <c r="AH54" i="1" s="1"/>
  <c r="X95" i="1"/>
  <c r="AG94" i="1"/>
  <c r="Y95" i="1"/>
  <c r="AH94" i="1"/>
  <c r="U12" i="12"/>
  <c r="V12" i="12"/>
  <c r="W12" i="12"/>
  <c r="Y59" i="1"/>
  <c r="Y74" i="1"/>
  <c r="Y75" i="1" s="1"/>
  <c r="Z59" i="1"/>
  <c r="Y8" i="12"/>
  <c r="Z8" i="12"/>
  <c r="AB6" i="12"/>
  <c r="AB80" i="1"/>
  <c r="AB81" i="1" s="1"/>
  <c r="AA77" i="1"/>
  <c r="AA54" i="1"/>
  <c r="AA56" i="1"/>
  <c r="AB54" i="1"/>
  <c r="AB56" i="1"/>
  <c r="AB58" i="1" s="1"/>
  <c r="AB74" i="1" s="1"/>
  <c r="AB78" i="1"/>
  <c r="Z75" i="1"/>
  <c r="Y19" i="10"/>
  <c r="X97" i="1" l="1"/>
  <c r="AG95" i="1"/>
  <c r="X19" i="10"/>
  <c r="Y97" i="1"/>
  <c r="AH95" i="1"/>
  <c r="AA58" i="1"/>
  <c r="AH58" i="1" s="1"/>
  <c r="AH59" i="1" s="1"/>
  <c r="AH56" i="1"/>
  <c r="AB75" i="1"/>
  <c r="AB59" i="1"/>
  <c r="AA6" i="12"/>
  <c r="AA80" i="1"/>
  <c r="AA78" i="1"/>
  <c r="AH77" i="1"/>
  <c r="AH78" i="1" s="1"/>
  <c r="AA74" i="1" l="1"/>
  <c r="Z19" i="10" s="1"/>
  <c r="AB21" i="10" s="1"/>
  <c r="AA59" i="1"/>
  <c r="X10" i="12"/>
  <c r="AG97" i="1"/>
  <c r="Y10" i="12"/>
  <c r="AB12" i="12" s="1"/>
  <c r="L5" i="1" s="1"/>
  <c r="AH97" i="1"/>
  <c r="AB8" i="12"/>
  <c r="L4" i="1" s="1"/>
  <c r="AA8" i="12"/>
  <c r="AA81" i="1"/>
  <c r="AA24" i="10"/>
  <c r="AB24" i="10" s="1"/>
  <c r="AC24" i="10" s="1"/>
  <c r="AD24" i="10" s="1"/>
  <c r="AD25" i="10" s="1"/>
  <c r="L30" i="10" s="1"/>
  <c r="AH80" i="1"/>
  <c r="AH81" i="1" s="1"/>
  <c r="AC21" i="10" l="1"/>
  <c r="AD21" i="10" s="1"/>
  <c r="AD22" i="10" s="1"/>
  <c r="E30" i="10" s="1"/>
  <c r="AH74" i="1"/>
  <c r="AH75" i="1" s="1"/>
  <c r="AA75" i="1"/>
  <c r="Y12" i="12"/>
  <c r="Z12" i="12"/>
  <c r="AA12" i="12"/>
  <c r="X12" i="12"/>
  <c r="R44" i="1"/>
  <c r="AF44" i="1" s="1"/>
  <c r="AF45" i="1" s="1"/>
  <c r="R45" i="1" l="1"/>
  <c r="R53" i="1"/>
  <c r="R77" i="1" l="1"/>
  <c r="R6" i="12" s="1"/>
  <c r="U8" i="12" s="1"/>
  <c r="AF53" i="1"/>
  <c r="AF54" i="1" s="1"/>
  <c r="V78" i="1"/>
  <c r="R54" i="1"/>
  <c r="R56" i="1"/>
  <c r="AF77" i="1" l="1"/>
  <c r="AG78" i="1" s="1"/>
  <c r="R80" i="1"/>
  <c r="R81" i="1" s="1"/>
  <c r="R78" i="1"/>
  <c r="R8" i="12"/>
  <c r="S8" i="12"/>
  <c r="T8" i="12"/>
  <c r="R58" i="1"/>
  <c r="V59" i="1" s="1"/>
  <c r="AF56" i="1"/>
  <c r="V81" i="1" l="1"/>
  <c r="AF80" i="1"/>
  <c r="AG81" i="1" s="1"/>
  <c r="AF78" i="1"/>
  <c r="R74" i="1"/>
  <c r="AF58" i="1"/>
  <c r="R59" i="1"/>
  <c r="AF81" i="1" l="1"/>
  <c r="AF74" i="1"/>
  <c r="R75" i="1"/>
  <c r="Q19" i="10"/>
  <c r="V75" i="1"/>
  <c r="AF59" i="1"/>
  <c r="AG59" i="1"/>
  <c r="L28" i="10" l="1"/>
  <c r="L31" i="10" s="1"/>
  <c r="L41" i="10" s="1"/>
  <c r="L43" i="10" s="1"/>
  <c r="O51" i="10" s="1"/>
  <c r="M20" i="17" s="1"/>
  <c r="E28" i="10"/>
  <c r="E31" i="10" s="1"/>
  <c r="E41" i="10" s="1"/>
  <c r="E43" i="10" s="1"/>
  <c r="O59" i="10" s="1"/>
  <c r="AF75" i="1"/>
  <c r="AG75" i="1"/>
  <c r="E45" i="10" l="1"/>
  <c r="L3" i="1" s="1"/>
  <c r="L7" i="1" l="1"/>
  <c r="L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Grayson Harper</author>
  </authors>
  <commentList>
    <comment ref="F60" authorId="0" shapeId="0" xr:uid="{2F490A8F-42F6-4CCB-8E70-2EC5572F452B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US T 10yr yield</t>
        </r>
      </text>
    </comment>
    <comment ref="K60" authorId="0" shapeId="0" xr:uid="{E5C2C246-6A2B-4682-87C0-950690D89BC5}">
      <text>
        <r>
          <rPr>
            <b/>
            <sz val="9"/>
            <color indexed="81"/>
            <rFont val="Tahoma"/>
            <family val="2"/>
          </rPr>
          <t>Grayson Harper:</t>
        </r>
        <r>
          <rPr>
            <sz val="9"/>
            <color indexed="81"/>
            <rFont val="Tahoma"/>
            <family val="2"/>
          </rPr>
          <t xml:space="preserve">
US T 10yr yield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<sst xmlns="http://schemas.openxmlformats.org/spreadsheetml/2006/main" count="538" uniqueCount="268">
  <si>
    <t>Gross Profit</t>
  </si>
  <si>
    <t>Fiscal Quarter</t>
  </si>
  <si>
    <t>1Q 2023A</t>
  </si>
  <si>
    <t>2Q 2023A</t>
  </si>
  <si>
    <t>3Q 2023A</t>
  </si>
  <si>
    <t>4Q 2023A</t>
  </si>
  <si>
    <t>1Q 2024A</t>
  </si>
  <si>
    <t>2Q 2024A</t>
  </si>
  <si>
    <t>3Q 2024A</t>
  </si>
  <si>
    <t>4Q 2024A</t>
  </si>
  <si>
    <t>2Q 2025F</t>
  </si>
  <si>
    <t>3Q 2025F</t>
  </si>
  <si>
    <t>4Q 2025F</t>
  </si>
  <si>
    <t>1Q 2026F</t>
  </si>
  <si>
    <t>2Q 2026F</t>
  </si>
  <si>
    <t>3Q 2026F</t>
  </si>
  <si>
    <t>4Q 2026F</t>
  </si>
  <si>
    <t>Period Ending</t>
  </si>
  <si>
    <t>Amounts in Thousands</t>
  </si>
  <si>
    <t>3Q 2022A</t>
  </si>
  <si>
    <t>4Q 2022A</t>
  </si>
  <si>
    <t>1Q 2025A</t>
  </si>
  <si>
    <t>1Q 2027F</t>
  </si>
  <si>
    <t>2Q 2027F</t>
  </si>
  <si>
    <t>3Q 2027F</t>
  </si>
  <si>
    <t>4Q 2027 F</t>
  </si>
  <si>
    <t>Revenue Build Out</t>
  </si>
  <si>
    <t>Shakes and other beverages</t>
  </si>
  <si>
    <t>Powders</t>
  </si>
  <si>
    <t>Other</t>
  </si>
  <si>
    <t>Total Revenue</t>
  </si>
  <si>
    <t xml:space="preserve">QoQ Growth </t>
  </si>
  <si>
    <t>Upside</t>
  </si>
  <si>
    <t>Base</t>
  </si>
  <si>
    <t>Downside</t>
  </si>
  <si>
    <t>Switches</t>
  </si>
  <si>
    <t>COGS</t>
  </si>
  <si>
    <t>Gross Profit Margin</t>
  </si>
  <si>
    <t>% of rev</t>
  </si>
  <si>
    <t>COGS % of rev</t>
  </si>
  <si>
    <t>SG&amp;A</t>
  </si>
  <si>
    <t>D&amp;A</t>
  </si>
  <si>
    <t>Operating Income (EBIT)</t>
  </si>
  <si>
    <t>EBIT margin</t>
  </si>
  <si>
    <t>Taxes</t>
  </si>
  <si>
    <t>Tax Rate</t>
  </si>
  <si>
    <t>NOPAT</t>
  </si>
  <si>
    <t>Current assets</t>
  </si>
  <si>
    <t>Current liabilities</t>
  </si>
  <si>
    <t>NWC</t>
  </si>
  <si>
    <t>Change in NWC</t>
  </si>
  <si>
    <t>CAPEX</t>
  </si>
  <si>
    <t>SBC</t>
  </si>
  <si>
    <t>FCFF</t>
  </si>
  <si>
    <t>Date</t>
  </si>
  <si>
    <t>Share Price</t>
  </si>
  <si>
    <t>WACC</t>
  </si>
  <si>
    <t>Long-term growth</t>
  </si>
  <si>
    <t>EBITDA Exit</t>
  </si>
  <si>
    <t>Valuation</t>
  </si>
  <si>
    <t>Valuation Date</t>
  </si>
  <si>
    <t>Terminal value</t>
  </si>
  <si>
    <t>EBITDA Exit Multiple</t>
  </si>
  <si>
    <t>NPV - FCF Explicit Period</t>
  </si>
  <si>
    <t>NPV - Terminal Value</t>
  </si>
  <si>
    <t>Enterprise Value</t>
  </si>
  <si>
    <t>(+) Cash &amp; Cash-Equivalents:</t>
  </si>
  <si>
    <t>(+) Equity Investments:</t>
  </si>
  <si>
    <t>-</t>
  </si>
  <si>
    <t>(+) Other Non-Core Assets, Net:</t>
  </si>
  <si>
    <t>(+) Net Operating Losses:</t>
  </si>
  <si>
    <t>(-) Total Debt &amp; Capital Leases:</t>
  </si>
  <si>
    <t>(-) Preferred Stock:</t>
  </si>
  <si>
    <t>(-) Noncontrolling Interests:</t>
  </si>
  <si>
    <t>(-) Unfunded Pension Obligations:</t>
  </si>
  <si>
    <t>(-) Restructuring &amp; Other Liabilities:</t>
  </si>
  <si>
    <t>Equity Value</t>
  </si>
  <si>
    <t>Shares Outstanding (thousands)</t>
  </si>
  <si>
    <t>Equity Value per Share</t>
  </si>
  <si>
    <t>Average Equity Value per Share</t>
  </si>
  <si>
    <t>EBITDA</t>
  </si>
  <si>
    <t>EBITDA + SBC</t>
  </si>
  <si>
    <t>2027F</t>
  </si>
  <si>
    <t>2028F</t>
  </si>
  <si>
    <t>2029F</t>
  </si>
  <si>
    <t>2030F</t>
  </si>
  <si>
    <t>FCFF Growth Rate</t>
  </si>
  <si>
    <t>NPV - Second Stage</t>
  </si>
  <si>
    <t>EBTIDA Growth Rate</t>
  </si>
  <si>
    <t>Date for Annual second stage NPV calc</t>
  </si>
  <si>
    <t>Date for Quarterly first stage NPV calc</t>
  </si>
  <si>
    <t>2026F</t>
  </si>
  <si>
    <t>2025F</t>
  </si>
  <si>
    <t>Year Frac Quarterly</t>
  </si>
  <si>
    <t>Terminal Value</t>
  </si>
  <si>
    <t>FCFF 2nd stage</t>
  </si>
  <si>
    <t>FCFF 1st stage</t>
  </si>
  <si>
    <t>2023A</t>
  </si>
  <si>
    <t>2024A</t>
  </si>
  <si>
    <t>Total Debt</t>
  </si>
  <si>
    <t>Mkt val Equity</t>
  </si>
  <si>
    <t>% Debt</t>
  </si>
  <si>
    <t>% Equity</t>
  </si>
  <si>
    <t>Median % Debt</t>
  </si>
  <si>
    <t>Median % Equity</t>
  </si>
  <si>
    <t>Beta</t>
  </si>
  <si>
    <t>Industry Beta</t>
  </si>
  <si>
    <t>Beta (relevered)</t>
  </si>
  <si>
    <t>Risk Free Rate</t>
  </si>
  <si>
    <t>Equity Risk Premium</t>
  </si>
  <si>
    <t>Cost of Debt</t>
  </si>
  <si>
    <t>Pre-Tax Cost of Debt</t>
  </si>
  <si>
    <t>Average WACC</t>
  </si>
  <si>
    <t>Comparable Companies</t>
  </si>
  <si>
    <t>Total</t>
  </si>
  <si>
    <t>Mkt. Val.</t>
  </si>
  <si>
    <t xml:space="preserve">Equity / </t>
  </si>
  <si>
    <t>Debt /</t>
  </si>
  <si>
    <t>Tax</t>
  </si>
  <si>
    <t>Levered</t>
  </si>
  <si>
    <t>Unlevered</t>
  </si>
  <si>
    <t>Name</t>
  </si>
  <si>
    <t>Ticker</t>
  </si>
  <si>
    <t>Debt</t>
  </si>
  <si>
    <t>Equity</t>
  </si>
  <si>
    <t>Capital</t>
  </si>
  <si>
    <t>Rate</t>
  </si>
  <si>
    <t>Beta (5-Yr)</t>
  </si>
  <si>
    <t>Median</t>
  </si>
  <si>
    <t>SMPL</t>
  </si>
  <si>
    <t>POST</t>
  </si>
  <si>
    <t>HLF</t>
  </si>
  <si>
    <t>NSRGY</t>
  </si>
  <si>
    <t>GIS</t>
  </si>
  <si>
    <t>HRL</t>
  </si>
  <si>
    <t>WACC (industry method)</t>
  </si>
  <si>
    <t>WACC (current)</t>
  </si>
  <si>
    <t>Cost of Equity (industry method)</t>
  </si>
  <si>
    <t>Cost of Equity (current)</t>
  </si>
  <si>
    <t>Beta (observed)</t>
  </si>
  <si>
    <t>WACC (current with industry capital structure)</t>
  </si>
  <si>
    <t>Three Step Valuation</t>
  </si>
  <si>
    <t>Average</t>
  </si>
  <si>
    <t>Implied Share Price</t>
  </si>
  <si>
    <t>EV/EBITDA (LTM)</t>
  </si>
  <si>
    <t>EPS</t>
  </si>
  <si>
    <t>P/E (LTM)</t>
  </si>
  <si>
    <t>Income Statement</t>
  </si>
  <si>
    <t>Operating Profit (EBIT)</t>
  </si>
  <si>
    <t>Other income (expense)</t>
  </si>
  <si>
    <t>EBT</t>
  </si>
  <si>
    <t>Net Income</t>
  </si>
  <si>
    <t>Shares</t>
  </si>
  <si>
    <t>EV/EBITDA LTM</t>
  </si>
  <si>
    <t>P/E LTM</t>
  </si>
  <si>
    <t>BRBR</t>
  </si>
  <si>
    <t>The Simply Good Foods Company</t>
  </si>
  <si>
    <t>Post Holdings, Inc.</t>
  </si>
  <si>
    <t>Herbalife Ltd.</t>
  </si>
  <si>
    <t>Nestle S.A.</t>
  </si>
  <si>
    <t>General Mills, Inc.</t>
  </si>
  <si>
    <t>Hormel Foods Corporation</t>
  </si>
  <si>
    <t>Net Profit Margin</t>
  </si>
  <si>
    <t>EBITDA Margin</t>
  </si>
  <si>
    <t>PEG</t>
  </si>
  <si>
    <t>Share</t>
  </si>
  <si>
    <t>Diluted</t>
  </si>
  <si>
    <t>Preferred</t>
  </si>
  <si>
    <t>Other &amp;</t>
  </si>
  <si>
    <t>Enterprise</t>
  </si>
  <si>
    <t>Revenue</t>
  </si>
  <si>
    <t>Company Name</t>
  </si>
  <si>
    <t>Price</t>
  </si>
  <si>
    <t>Value</t>
  </si>
  <si>
    <t>Cash</t>
  </si>
  <si>
    <t>Stock</t>
  </si>
  <si>
    <t>NCI</t>
  </si>
  <si>
    <t>LTM</t>
  </si>
  <si>
    <t>Vita Coco Company, Inc.</t>
  </si>
  <si>
    <t>COCO</t>
  </si>
  <si>
    <t>K</t>
  </si>
  <si>
    <t>Kellanova</t>
  </si>
  <si>
    <t>Revenue Growth</t>
  </si>
  <si>
    <t>EBITDA  Growth</t>
  </si>
  <si>
    <t>Operating Metrics</t>
  </si>
  <si>
    <t>2YR</t>
  </si>
  <si>
    <t>CAGR</t>
  </si>
  <si>
    <t>25th Percentile</t>
  </si>
  <si>
    <t>75th Percentile</t>
  </si>
  <si>
    <t>Valuation Metrics</t>
  </si>
  <si>
    <t>Max</t>
  </si>
  <si>
    <t>Min</t>
  </si>
  <si>
    <t>EV/EBITDA</t>
  </si>
  <si>
    <t>EV/Revenue</t>
  </si>
  <si>
    <t>P/E</t>
  </si>
  <si>
    <t>Implied Valuation</t>
  </si>
  <si>
    <t>Multiple</t>
  </si>
  <si>
    <t>25th %</t>
  </si>
  <si>
    <t>75th %</t>
  </si>
  <si>
    <t xml:space="preserve">BRBR </t>
  </si>
  <si>
    <t>Metric</t>
  </si>
  <si>
    <t>EV/EBITDA 2025F</t>
  </si>
  <si>
    <t>EV/EBITDA 2026F</t>
  </si>
  <si>
    <t>EV/Revenue LTM</t>
  </si>
  <si>
    <t>EV/Revenue 2025F</t>
  </si>
  <si>
    <t>EV/Revenue 2026F</t>
  </si>
  <si>
    <t>P/E 2025F</t>
  </si>
  <si>
    <t>P/E 2026F</t>
  </si>
  <si>
    <t>Relevant</t>
  </si>
  <si>
    <t>Multiples:</t>
  </si>
  <si>
    <t>Valuation Summary</t>
  </si>
  <si>
    <t>Diluted Shares Outstanding</t>
  </si>
  <si>
    <t>Range of Valuation Multiples</t>
  </si>
  <si>
    <t>Implied Share Value</t>
  </si>
  <si>
    <t>J.M. Smucker</t>
  </si>
  <si>
    <t>SJM</t>
  </si>
  <si>
    <t>Despite using the max for the implied share value, it is likely underestimated since BRBR has higher revenue growth, EBTIDA margin, and net profit margin than its comparable companies</t>
  </si>
  <si>
    <t>EV/EBITA Historical Multiple</t>
  </si>
  <si>
    <t>P/E LTM Historical Multiple</t>
  </si>
  <si>
    <t>Comps Analysis</t>
  </si>
  <si>
    <t>FCFF Build out</t>
  </si>
  <si>
    <t>Premium / Discount to Current Price</t>
  </si>
  <si>
    <t>Share price</t>
  </si>
  <si>
    <t>Quarterly Projections</t>
  </si>
  <si>
    <t>Annual Roll-up</t>
  </si>
  <si>
    <t>Company:</t>
  </si>
  <si>
    <t>Ticker:</t>
  </si>
  <si>
    <t>Last Price:</t>
  </si>
  <si>
    <t>Valuation Date:</t>
  </si>
  <si>
    <t>Model Structure</t>
  </si>
  <si>
    <t>Tab</t>
  </si>
  <si>
    <t>Description</t>
  </si>
  <si>
    <t>Model</t>
  </si>
  <si>
    <t>DCF Analysis + WACC Calculation</t>
  </si>
  <si>
    <t>Font Guide</t>
  </si>
  <si>
    <t>Color</t>
  </si>
  <si>
    <t>Meaning</t>
  </si>
  <si>
    <t>Blue</t>
  </si>
  <si>
    <t>Hardcoded values</t>
  </si>
  <si>
    <t>Black</t>
  </si>
  <si>
    <t>Calculations or cell references</t>
  </si>
  <si>
    <t>DCF</t>
  </si>
  <si>
    <t>DCF &amp; Comps Analysis</t>
  </si>
  <si>
    <t>Bellring Brands, Inc.</t>
  </si>
  <si>
    <t>$BRBR</t>
  </si>
  <si>
    <t>`</t>
  </si>
  <si>
    <t>Base Case</t>
  </si>
  <si>
    <t>Upside Case</t>
  </si>
  <si>
    <t>Downside Case</t>
  </si>
  <si>
    <t>3-Step Valuation</t>
  </si>
  <si>
    <t>Comps</t>
  </si>
  <si>
    <t>Target - Historical Multiple</t>
  </si>
  <si>
    <t>Revenue/FCF Build out and Projections</t>
  </si>
  <si>
    <t>Implied Share Values for Base/Upside/Downside Cases</t>
  </si>
  <si>
    <t>Inudstry:</t>
  </si>
  <si>
    <t>Personal Care Products</t>
  </si>
  <si>
    <t>Sensitivity Tables</t>
  </si>
  <si>
    <t>Exit EBITDA Multiple</t>
  </si>
  <si>
    <t>LT Growth Rate</t>
  </si>
  <si>
    <t>Sensitivity Analysis for 3-step valuation  (Base Case)</t>
  </si>
  <si>
    <t>Football Field Chart</t>
  </si>
  <si>
    <t>low</t>
  </si>
  <si>
    <t>low2</t>
  </si>
  <si>
    <t>high</t>
  </si>
  <si>
    <t>high2</t>
  </si>
  <si>
    <t>52-Week Range</t>
  </si>
  <si>
    <t>Comps analysis &amp; Relative Valuation</t>
  </si>
  <si>
    <t>Valuation based on histrocial &amp; projected multiples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</si>
</sst>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_);\(#,##0.0\)"/>
    <numFmt numFmtId="166" formatCode="&quot;$&quot;#,##0.00"/>
    <numFmt numFmtId="167" formatCode="_(* #,##0_);_(* \(#,##0\);_(* &quot;-&quot;??_);_(@_)"/>
    <numFmt numFmtId="168" formatCode="&quot;$&quot;#,##0.0000_);[Red]\(&quot;$&quot;#,##0.0000\)"/>
    <numFmt numFmtId="170" formatCode="_(* #,##0.0_);_(* \(#,##0.0\);_(* &quot;-&quot;??_);_(@_)"/>
    <numFmt numFmtId="171" formatCode="&quot;FY&quot;yy"/>
    <numFmt numFmtId="176" formatCode="&quot;$&quot;#,##0.00_);\(&quot;$&quot;#,##0.00\);@_)"/>
    <numFmt numFmtId="177" formatCode="0.0\x_);\(0.0\x\);@_)"/>
  </numFmts>
  <fonts count="6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  <font>
      <b/>
      <sz val="10"/>
      <color theme="0"/>
      <name val="Aptos narrow"/>
      <family val="2"/>
    </font>
    <font>
      <b/>
      <sz val="10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i/>
      <sz val="9"/>
      <color theme="1"/>
      <name val="Aptos narrow"/>
      <family val="2"/>
    </font>
    <font>
      <i/>
      <sz val="11"/>
      <color theme="1"/>
      <name val="Aptos Narrow"/>
      <family val="2"/>
      <scheme val="minor"/>
    </font>
    <font>
      <sz val="11"/>
      <color rgb="FF0000FF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i/>
      <sz val="10"/>
      <color rgb="FF0000FF"/>
      <name val="Aptos Narrow"/>
      <family val="2"/>
      <scheme val="minor"/>
    </font>
    <font>
      <sz val="10"/>
      <color theme="1"/>
      <name val="Aptos narrow"/>
      <family val="2"/>
    </font>
    <font>
      <b/>
      <sz val="10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0"/>
      <color rgb="FF0000FF"/>
      <name val="Aptos Narrow"/>
      <family val="2"/>
      <scheme val="minor"/>
    </font>
    <font>
      <sz val="10"/>
      <name val="Times New Roman"/>
      <family val="1"/>
    </font>
    <font>
      <b/>
      <sz val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theme="0"/>
      <name val="Aptos narrow"/>
      <family val="2"/>
    </font>
    <font>
      <b/>
      <sz val="10"/>
      <color theme="1"/>
      <name val="Aptos narrow"/>
      <family val="2"/>
    </font>
    <font>
      <sz val="12"/>
      <color indexed="9"/>
      <name val="Aptos Narrow"/>
      <family val="2"/>
      <scheme val="minor"/>
    </font>
    <font>
      <b/>
      <sz val="12"/>
      <color indexed="9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0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0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6"/>
      <name val="Aptos Narrow"/>
      <family val="2"/>
      <scheme val="minor"/>
    </font>
    <font>
      <b/>
      <sz val="20"/>
      <name val="Aptos Narrow"/>
      <family val="2"/>
      <scheme val="minor"/>
    </font>
    <font>
      <b/>
      <sz val="16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name val="Aptos Narrow"/>
      <family val="2"/>
      <scheme val="minor"/>
    </font>
    <font>
      <b/>
      <sz val="14"/>
      <color rgb="FF0000FF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b/>
      <sz val="24"/>
      <name val="Aptos Narrow"/>
      <family val="2"/>
      <scheme val="minor"/>
    </font>
    <font>
      <sz val="10"/>
      <color rgb="FF000000"/>
      <name val="Arial Nova"/>
      <family val="2"/>
    </font>
    <font>
      <sz val="9"/>
      <color theme="1" tint="0.34998626667073579"/>
      <name val="Arial Nova"/>
      <family val="2"/>
    </font>
    <font>
      <sz val="11"/>
      <color theme="1"/>
      <name val="Arial Nova"/>
      <family val="2"/>
    </font>
    <font>
      <sz val="10"/>
      <name val="Arial Nova"/>
      <family val="2"/>
    </font>
    <font>
      <b/>
      <u/>
      <sz val="16"/>
      <color theme="1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0"/>
      <name val="Arial Nova"/>
      <family val="2"/>
    </font>
    <font>
      <sz val="12"/>
      <color rgb="FF000000"/>
      <name val="Aptos Narrow"/>
      <family val="2"/>
      <scheme val="minor"/>
    </font>
    <font>
      <sz val="12"/>
      <color rgb="FF0000FF"/>
      <name val="Aptos Narrow"/>
      <family val="2"/>
      <scheme val="minor"/>
    </font>
    <font>
      <sz val="12"/>
      <color rgb="FF000000"/>
      <name val="Arial Nova"/>
      <family val="2"/>
    </font>
  </fonts>
  <fills count="1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E4E8F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97">
    <border>
      <left/>
      <right/>
      <top/>
      <bottom/>
      <diagonal/>
    </border>
    <border>
      <left/>
      <right/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/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/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499984740745262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/>
      <bottom style="hair">
        <color theme="0" tint="-0.34998626667073579"/>
      </bottom>
      <diagonal/>
    </border>
    <border>
      <left/>
      <right style="hair">
        <color theme="0" tint="-0.499984740745262"/>
      </right>
      <top/>
      <bottom style="hair">
        <color theme="0" tint="-0.34998626667073579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/>
      <bottom/>
      <diagonal/>
    </border>
    <border>
      <left/>
      <right style="hair">
        <color theme="0" tint="-0.499984740745262"/>
      </right>
      <top/>
      <bottom/>
      <diagonal/>
    </border>
    <border>
      <left/>
      <right/>
      <top/>
      <bottom style="hair">
        <color theme="0" tint="-0.14999847407452621"/>
      </bottom>
      <diagonal/>
    </border>
    <border>
      <left style="medium">
        <color theme="0" tint="-0.14999847407452621"/>
      </left>
      <right style="medium">
        <color theme="0" tint="-0.14999847407452621"/>
      </right>
      <top style="medium">
        <color theme="0" tint="-0.14999847407452621"/>
      </top>
      <bottom style="medium">
        <color theme="0" tint="-0.14999847407452621"/>
      </bottom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2" tint="-0.499984740745262"/>
      </bottom>
      <diagonal/>
    </border>
    <border>
      <left/>
      <right/>
      <top style="hair">
        <color theme="0" tint="-0.499984740745262"/>
      </top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hair">
        <color theme="0" tint="-0.499984740745262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dashed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/>
      </left>
      <right/>
      <top style="thin">
        <color theme="0" tint="-0.499984740745262"/>
      </top>
      <bottom style="thin">
        <color theme="0"/>
      </bottom>
      <diagonal/>
    </border>
    <border>
      <left/>
      <right/>
      <top style="thin">
        <color theme="0" tint="-0.499984740745262"/>
      </top>
      <bottom style="thin">
        <color theme="0"/>
      </bottom>
      <diagonal/>
    </border>
    <border>
      <left/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/>
      </bottom>
      <diagonal/>
    </border>
    <border>
      <left/>
      <right style="thin">
        <color theme="0" tint="-0.499984740745262"/>
      </right>
      <top style="thin">
        <color theme="0"/>
      </top>
      <bottom/>
      <diagonal/>
    </border>
    <border>
      <left/>
      <right style="thin">
        <color theme="0" tint="-0.499984740745262"/>
      </right>
      <top/>
      <bottom style="thin">
        <color theme="0"/>
      </bottom>
      <diagonal/>
    </border>
    <border>
      <left/>
      <right style="hair">
        <color theme="0" tint="-0.499984740745262"/>
      </right>
      <top/>
      <bottom style="thin">
        <color theme="0"/>
      </bottom>
      <diagonal/>
    </border>
    <border>
      <left style="thin">
        <color theme="0" tint="-0.499984740745262"/>
      </left>
      <right/>
      <top/>
      <bottom style="thin">
        <color theme="0"/>
      </bottom>
      <diagonal/>
    </border>
    <border>
      <left/>
      <right style="dashed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dashed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dashed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ashed">
        <color theme="0" tint="-0.499984740745262"/>
      </left>
      <right/>
      <top/>
      <bottom/>
      <diagonal/>
    </border>
    <border>
      <left style="dashed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/>
      <right/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34998626667073579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/>
      <bottom style="hair">
        <color theme="0" tint="-0.499984740745262"/>
      </bottom>
      <diagonal/>
    </border>
    <border>
      <left style="hair">
        <color theme="0" tint="-0.34998626667073579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/>
      <bottom style="medium">
        <color theme="0" tint="-0.499984740745262"/>
      </bottom>
      <diagonal/>
    </border>
    <border>
      <left style="hair">
        <color theme="0" tint="-0.34998626667073579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hair">
        <color theme="0" tint="-0.34998626667073579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theme="2" tint="-0.499984740745262"/>
      </right>
      <top style="thin">
        <color rgb="FF000000"/>
      </top>
      <bottom style="thin">
        <color theme="2" tint="-0.499984740745262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6" fillId="0" borderId="0"/>
    <xf numFmtId="0" fontId="19" fillId="0" borderId="0"/>
  </cellStyleXfs>
  <cellXfs count="412">
    <xf numFmtId="0" fontId="0" fillId="0" borderId="0" xfId="0"/>
    <xf numFmtId="0" fontId="2" fillId="0" borderId="0" xfId="0" applyFont="1"/>
    <xf numFmtId="0" fontId="3" fillId="2" borderId="0" xfId="4" quotePrefix="1" applyFont="1" applyFill="1" applyAlignment="1">
      <alignment vertical="top"/>
    </xf>
    <xf numFmtId="0" fontId="4" fillId="2" borderId="0" xfId="0" applyFont="1" applyFill="1" applyAlignment="1">
      <alignment horizontal="center"/>
    </xf>
    <xf numFmtId="0" fontId="5" fillId="3" borderId="0" xfId="4" applyFont="1" applyFill="1" applyAlignment="1">
      <alignment horizontal="center" vertical="center" wrapText="1"/>
    </xf>
    <xf numFmtId="0" fontId="6" fillId="0" borderId="1" xfId="0" applyFont="1" applyBorder="1"/>
    <xf numFmtId="14" fontId="7" fillId="0" borderId="1" xfId="0" applyNumberFormat="1" applyFont="1" applyBorder="1" applyAlignment="1">
      <alignment horizontal="center"/>
    </xf>
    <xf numFmtId="14" fontId="7" fillId="0" borderId="2" xfId="0" applyNumberFormat="1" applyFont="1" applyBorder="1" applyAlignment="1">
      <alignment horizontal="center"/>
    </xf>
    <xf numFmtId="0" fontId="8" fillId="0" borderId="0" xfId="0" applyFont="1"/>
    <xf numFmtId="14" fontId="7" fillId="0" borderId="0" xfId="0" applyNumberFormat="1" applyFont="1" applyAlignment="1">
      <alignment horizontal="center"/>
    </xf>
    <xf numFmtId="37" fontId="0" fillId="0" borderId="0" xfId="0" applyNumberFormat="1"/>
    <xf numFmtId="37" fontId="9" fillId="0" borderId="0" xfId="0" applyNumberFormat="1" applyFont="1"/>
    <xf numFmtId="0" fontId="10" fillId="0" borderId="0" xfId="0" applyFont="1"/>
    <xf numFmtId="164" fontId="10" fillId="0" borderId="0" xfId="3" applyNumberFormat="1" applyFont="1"/>
    <xf numFmtId="164" fontId="11" fillId="0" borderId="0" xfId="3" applyNumberFormat="1" applyFont="1"/>
    <xf numFmtId="164" fontId="7" fillId="4" borderId="3" xfId="3" applyNumberFormat="1" applyFont="1" applyFill="1" applyBorder="1"/>
    <xf numFmtId="164" fontId="7" fillId="4" borderId="4" xfId="3" applyNumberFormat="1" applyFont="1" applyFill="1" applyBorder="1"/>
    <xf numFmtId="0" fontId="7" fillId="0" borderId="0" xfId="0" applyFont="1" applyAlignment="1">
      <alignment horizontal="left" indent="1"/>
    </xf>
    <xf numFmtId="0" fontId="13" fillId="0" borderId="5" xfId="0" applyFont="1" applyBorder="1"/>
    <xf numFmtId="0" fontId="6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0" fillId="0" borderId="8" xfId="0" applyBorder="1"/>
    <xf numFmtId="0" fontId="6" fillId="0" borderId="10" xfId="0" applyFont="1" applyBorder="1"/>
    <xf numFmtId="0" fontId="0" fillId="0" borderId="11" xfId="0" applyBorder="1"/>
    <xf numFmtId="164" fontId="10" fillId="0" borderId="0" xfId="0" applyNumberFormat="1" applyFont="1"/>
    <xf numFmtId="37" fontId="14" fillId="0" borderId="0" xfId="0" applyNumberFormat="1" applyFont="1"/>
    <xf numFmtId="37" fontId="2" fillId="0" borderId="0" xfId="0" applyNumberFormat="1" applyFont="1"/>
    <xf numFmtId="0" fontId="0" fillId="0" borderId="1" xfId="0" applyBorder="1"/>
    <xf numFmtId="164" fontId="10" fillId="0" borderId="1" xfId="3" applyNumberFormat="1" applyFont="1" applyBorder="1"/>
    <xf numFmtId="9" fontId="0" fillId="4" borderId="4" xfId="3" applyFont="1" applyFill="1" applyBorder="1"/>
    <xf numFmtId="165" fontId="9" fillId="0" borderId="0" xfId="0" applyNumberFormat="1" applyFont="1"/>
    <xf numFmtId="10" fontId="10" fillId="0" borderId="0" xfId="3" applyNumberFormat="1" applyFont="1"/>
    <xf numFmtId="165" fontId="0" fillId="0" borderId="0" xfId="0" applyNumberFormat="1"/>
    <xf numFmtId="39" fontId="2" fillId="0" borderId="0" xfId="0" applyNumberFormat="1" applyFont="1"/>
    <xf numFmtId="0" fontId="0" fillId="0" borderId="12" xfId="0" applyBorder="1"/>
    <xf numFmtId="0" fontId="0" fillId="0" borderId="7" xfId="0" applyBorder="1"/>
    <xf numFmtId="14" fontId="0" fillId="0" borderId="4" xfId="0" applyNumberFormat="1" applyBorder="1"/>
    <xf numFmtId="166" fontId="0" fillId="0" borderId="4" xfId="2" applyNumberFormat="1" applyFont="1" applyBorder="1"/>
    <xf numFmtId="164" fontId="0" fillId="0" borderId="4" xfId="3" applyNumberFormat="1" applyFont="1" applyBorder="1"/>
    <xf numFmtId="0" fontId="0" fillId="0" borderId="4" xfId="0" applyBorder="1"/>
    <xf numFmtId="0" fontId="13" fillId="0" borderId="0" xfId="0" applyFont="1"/>
    <xf numFmtId="14" fontId="6" fillId="0" borderId="0" xfId="0" applyNumberFormat="1" applyFont="1"/>
    <xf numFmtId="14" fontId="7" fillId="0" borderId="13" xfId="0" applyNumberFormat="1" applyFont="1" applyBorder="1"/>
    <xf numFmtId="43" fontId="6" fillId="0" borderId="0" xfId="1" applyFont="1" applyBorder="1"/>
    <xf numFmtId="0" fontId="0" fillId="0" borderId="13" xfId="0" applyBorder="1"/>
    <xf numFmtId="43" fontId="6" fillId="0" borderId="0" xfId="1" applyFont="1"/>
    <xf numFmtId="37" fontId="6" fillId="0" borderId="0" xfId="0" applyNumberFormat="1" applyFont="1"/>
    <xf numFmtId="37" fontId="6" fillId="0" borderId="14" xfId="0" applyNumberFormat="1" applyFont="1" applyBorder="1"/>
    <xf numFmtId="0" fontId="13" fillId="0" borderId="15" xfId="0" applyFont="1" applyBorder="1"/>
    <xf numFmtId="0" fontId="6" fillId="0" borderId="15" xfId="0" applyFont="1" applyBorder="1"/>
    <xf numFmtId="37" fontId="13" fillId="0" borderId="0" xfId="0" applyNumberFormat="1" applyFont="1"/>
    <xf numFmtId="37" fontId="6" fillId="0" borderId="0" xfId="0" applyNumberFormat="1" applyFont="1" applyAlignment="1">
      <alignment horizontal="right"/>
    </xf>
    <xf numFmtId="166" fontId="13" fillId="6" borderId="16" xfId="2" applyNumberFormat="1" applyFont="1" applyFill="1" applyBorder="1"/>
    <xf numFmtId="164" fontId="0" fillId="0" borderId="0" xfId="3" applyNumberFormat="1" applyFont="1" applyFill="1" applyBorder="1"/>
    <xf numFmtId="37" fontId="6" fillId="0" borderId="1" xfId="0" applyNumberFormat="1" applyFont="1" applyBorder="1"/>
    <xf numFmtId="0" fontId="5" fillId="3" borderId="13" xfId="4" applyFont="1" applyFill="1" applyBorder="1" applyAlignment="1">
      <alignment horizontal="center" vertical="center" wrapText="1"/>
    </xf>
    <xf numFmtId="14" fontId="7" fillId="0" borderId="13" xfId="0" applyNumberFormat="1" applyFont="1" applyBorder="1" applyAlignment="1">
      <alignment horizontal="center"/>
    </xf>
    <xf numFmtId="43" fontId="6" fillId="0" borderId="13" xfId="1" applyFont="1" applyBorder="1"/>
    <xf numFmtId="37" fontId="6" fillId="0" borderId="13" xfId="0" applyNumberFormat="1" applyFont="1" applyBorder="1"/>
    <xf numFmtId="167" fontId="6" fillId="0" borderId="13" xfId="0" applyNumberFormat="1" applyFont="1" applyBorder="1"/>
    <xf numFmtId="168" fontId="0" fillId="0" borderId="0" xfId="0" applyNumberFormat="1"/>
    <xf numFmtId="43" fontId="6" fillId="0" borderId="0" xfId="0" applyNumberFormat="1" applyFont="1"/>
    <xf numFmtId="0" fontId="10" fillId="0" borderId="1" xfId="0" applyFont="1" applyBorder="1"/>
    <xf numFmtId="10" fontId="10" fillId="0" borderId="1" xfId="3" applyNumberFormat="1" applyFont="1" applyBorder="1"/>
    <xf numFmtId="37" fontId="5" fillId="7" borderId="0" xfId="0" applyNumberFormat="1" applyFont="1" applyFill="1" applyAlignment="1">
      <alignment vertical="center"/>
    </xf>
    <xf numFmtId="37" fontId="5" fillId="0" borderId="0" xfId="0" applyNumberFormat="1" applyFont="1" applyAlignment="1">
      <alignment vertical="center"/>
    </xf>
    <xf numFmtId="37" fontId="15" fillId="0" borderId="17" xfId="0" applyNumberFormat="1" applyFont="1" applyBorder="1"/>
    <xf numFmtId="9" fontId="6" fillId="0" borderId="17" xfId="3" applyFont="1" applyBorder="1"/>
    <xf numFmtId="2" fontId="6" fillId="0" borderId="17" xfId="0" applyNumberFormat="1" applyFont="1" applyBorder="1"/>
    <xf numFmtId="0" fontId="13" fillId="0" borderId="18" xfId="0" applyFont="1" applyBorder="1"/>
    <xf numFmtId="0" fontId="6" fillId="0" borderId="18" xfId="0" applyFont="1" applyBorder="1"/>
    <xf numFmtId="2" fontId="6" fillId="0" borderId="0" xfId="0" applyNumberFormat="1" applyFont="1"/>
    <xf numFmtId="0" fontId="6" fillId="0" borderId="0" xfId="0" applyFont="1" applyAlignment="1">
      <alignment horizontal="left"/>
    </xf>
    <xf numFmtId="164" fontId="15" fillId="0" borderId="0" xfId="3" applyNumberFormat="1" applyFont="1"/>
    <xf numFmtId="0" fontId="6" fillId="0" borderId="19" xfId="0" applyFont="1" applyBorder="1" applyAlignment="1">
      <alignment horizontal="left"/>
    </xf>
    <xf numFmtId="0" fontId="6" fillId="0" borderId="19" xfId="0" applyFont="1" applyBorder="1"/>
    <xf numFmtId="164" fontId="15" fillId="0" borderId="19" xfId="3" applyNumberFormat="1" applyFont="1" applyBorder="1"/>
    <xf numFmtId="164" fontId="13" fillId="0" borderId="0" xfId="3" applyNumberFormat="1" applyFont="1"/>
    <xf numFmtId="164" fontId="15" fillId="0" borderId="20" xfId="3" applyNumberFormat="1" applyFont="1" applyBorder="1"/>
    <xf numFmtId="0" fontId="6" fillId="0" borderId="18" xfId="0" applyFont="1" applyBorder="1" applyAlignment="1">
      <alignment horizontal="left"/>
    </xf>
    <xf numFmtId="164" fontId="6" fillId="0" borderId="0" xfId="0" applyNumberFormat="1" applyFont="1"/>
    <xf numFmtId="164" fontId="13" fillId="8" borderId="16" xfId="0" applyNumberFormat="1" applyFont="1" applyFill="1" applyBorder="1"/>
    <xf numFmtId="0" fontId="17" fillId="0" borderId="0" xfId="5" applyFont="1" applyAlignment="1">
      <alignment horizontal="center"/>
    </xf>
    <xf numFmtId="0" fontId="17" fillId="0" borderId="15" xfId="5" applyFont="1" applyBorder="1" applyAlignment="1">
      <alignment horizontal="center"/>
    </xf>
    <xf numFmtId="37" fontId="15" fillId="0" borderId="0" xfId="0" applyNumberFormat="1" applyFont="1"/>
    <xf numFmtId="164" fontId="18" fillId="0" borderId="0" xfId="3" applyNumberFormat="1" applyFont="1"/>
    <xf numFmtId="9" fontId="15" fillId="0" borderId="0" xfId="3" applyFont="1"/>
    <xf numFmtId="39" fontId="15" fillId="0" borderId="0" xfId="0" applyNumberFormat="1" applyFont="1"/>
    <xf numFmtId="2" fontId="18" fillId="0" borderId="0" xfId="5" applyNumberFormat="1" applyFont="1" applyAlignment="1">
      <alignment horizontal="right"/>
    </xf>
    <xf numFmtId="0" fontId="20" fillId="0" borderId="0" xfId="6" applyFont="1"/>
    <xf numFmtId="0" fontId="20" fillId="0" borderId="21" xfId="6" applyFont="1" applyBorder="1"/>
    <xf numFmtId="37" fontId="15" fillId="0" borderId="21" xfId="0" applyNumberFormat="1" applyFont="1" applyBorder="1"/>
    <xf numFmtId="164" fontId="18" fillId="0" borderId="21" xfId="3" applyNumberFormat="1" applyFont="1" applyBorder="1"/>
    <xf numFmtId="9" fontId="15" fillId="0" borderId="21" xfId="3" applyFont="1" applyBorder="1"/>
    <xf numFmtId="39" fontId="15" fillId="0" borderId="21" xfId="0" applyNumberFormat="1" applyFont="1" applyBorder="1"/>
    <xf numFmtId="2" fontId="18" fillId="0" borderId="21" xfId="5" applyNumberFormat="1" applyFont="1" applyBorder="1" applyAlignment="1">
      <alignment horizontal="right"/>
    </xf>
    <xf numFmtId="2" fontId="18" fillId="0" borderId="0" xfId="0" applyNumberFormat="1" applyFont="1"/>
    <xf numFmtId="2" fontId="21" fillId="0" borderId="0" xfId="0" applyNumberFormat="1" applyFont="1"/>
    <xf numFmtId="0" fontId="15" fillId="0" borderId="17" xfId="0" applyFont="1" applyBorder="1"/>
    <xf numFmtId="164" fontId="13" fillId="0" borderId="0" xfId="0" applyNumberFormat="1" applyFont="1"/>
    <xf numFmtId="14" fontId="24" fillId="0" borderId="13" xfId="0" applyNumberFormat="1" applyFont="1" applyBorder="1" applyAlignment="1">
      <alignment horizontal="center"/>
    </xf>
    <xf numFmtId="14" fontId="24" fillId="0" borderId="0" xfId="0" applyNumberFormat="1" applyFont="1" applyAlignment="1">
      <alignment horizontal="center"/>
    </xf>
    <xf numFmtId="0" fontId="0" fillId="0" borderId="5" xfId="0" applyBorder="1"/>
    <xf numFmtId="44" fontId="0" fillId="0" borderId="0" xfId="2" applyFont="1"/>
    <xf numFmtId="37" fontId="0" fillId="0" borderId="1" xfId="0" applyNumberFormat="1" applyBorder="1"/>
    <xf numFmtId="165" fontId="0" fillId="0" borderId="1" xfId="0" applyNumberFormat="1" applyBorder="1"/>
    <xf numFmtId="37" fontId="14" fillId="0" borderId="1" xfId="0" applyNumberFormat="1" applyFont="1" applyBorder="1"/>
    <xf numFmtId="37" fontId="9" fillId="0" borderId="1" xfId="0" applyNumberFormat="1" applyFont="1" applyBorder="1"/>
    <xf numFmtId="165" fontId="14" fillId="0" borderId="1" xfId="0" applyNumberFormat="1" applyFont="1" applyBorder="1"/>
    <xf numFmtId="9" fontId="15" fillId="0" borderId="18" xfId="0" applyNumberFormat="1" applyFont="1" applyBorder="1"/>
    <xf numFmtId="44" fontId="2" fillId="0" borderId="0" xfId="2" applyFont="1"/>
    <xf numFmtId="164" fontId="0" fillId="0" borderId="0" xfId="3" applyNumberFormat="1" applyFont="1"/>
    <xf numFmtId="37" fontId="20" fillId="0" borderId="0" xfId="0" applyNumberFormat="1" applyFont="1"/>
    <xf numFmtId="165" fontId="20" fillId="0" borderId="0" xfId="0" applyNumberFormat="1" applyFont="1"/>
    <xf numFmtId="0" fontId="27" fillId="2" borderId="22" xfId="6" applyFont="1" applyFill="1" applyBorder="1" applyAlignment="1">
      <alignment horizontal="center"/>
    </xf>
    <xf numFmtId="0" fontId="27" fillId="2" borderId="22" xfId="6" applyFont="1" applyFill="1" applyBorder="1"/>
    <xf numFmtId="0" fontId="0" fillId="0" borderId="0" xfId="0" applyAlignment="1">
      <alignment horizontal="centerContinuous"/>
    </xf>
    <xf numFmtId="0" fontId="29" fillId="0" borderId="0" xfId="0" applyFont="1" applyAlignment="1">
      <alignment horizontal="centerContinuous"/>
    </xf>
    <xf numFmtId="0" fontId="27" fillId="2" borderId="0" xfId="6" applyFont="1" applyFill="1" applyAlignment="1">
      <alignment horizontal="center" vertical="top"/>
    </xf>
    <xf numFmtId="0" fontId="27" fillId="2" borderId="0" xfId="6" applyFont="1" applyFill="1" applyAlignment="1">
      <alignment horizontal="center"/>
    </xf>
    <xf numFmtId="0" fontId="0" fillId="0" borderId="24" xfId="0" applyBorder="1"/>
    <xf numFmtId="0" fontId="0" fillId="10" borderId="0" xfId="0" applyFill="1"/>
    <xf numFmtId="0" fontId="27" fillId="2" borderId="26" xfId="6" applyFont="1" applyFill="1" applyBorder="1" applyAlignment="1">
      <alignment horizontal="center"/>
    </xf>
    <xf numFmtId="0" fontId="27" fillId="2" borderId="23" xfId="6" applyFont="1" applyFill="1" applyBorder="1" applyAlignment="1">
      <alignment horizontal="center"/>
    </xf>
    <xf numFmtId="0" fontId="27" fillId="2" borderId="27" xfId="6" applyFont="1" applyFill="1" applyBorder="1" applyAlignment="1">
      <alignment horizontal="center" vertical="top"/>
    </xf>
    <xf numFmtId="0" fontId="27" fillId="2" borderId="30" xfId="6" applyFont="1" applyFill="1" applyBorder="1" applyAlignment="1">
      <alignment horizontal="center" vertical="top"/>
    </xf>
    <xf numFmtId="0" fontId="27" fillId="2" borderId="30" xfId="6" applyFont="1" applyFill="1" applyBorder="1" applyAlignment="1">
      <alignment horizontal="center"/>
    </xf>
    <xf numFmtId="0" fontId="26" fillId="2" borderId="0" xfId="6" applyFont="1" applyFill="1"/>
    <xf numFmtId="0" fontId="0" fillId="10" borderId="31" xfId="0" applyFill="1" applyBorder="1"/>
    <xf numFmtId="0" fontId="26" fillId="2" borderId="32" xfId="6" applyFont="1" applyFill="1" applyBorder="1"/>
    <xf numFmtId="0" fontId="26" fillId="2" borderId="33" xfId="6" applyFont="1" applyFill="1" applyBorder="1"/>
    <xf numFmtId="0" fontId="27" fillId="2" borderId="33" xfId="6" applyFont="1" applyFill="1" applyBorder="1" applyAlignment="1">
      <alignment horizontal="center"/>
    </xf>
    <xf numFmtId="0" fontId="26" fillId="2" borderId="24" xfId="6" applyFont="1" applyFill="1" applyBorder="1"/>
    <xf numFmtId="0" fontId="27" fillId="2" borderId="38" xfId="6" applyFont="1" applyFill="1" applyBorder="1" applyAlignment="1">
      <alignment horizontal="center"/>
    </xf>
    <xf numFmtId="37" fontId="20" fillId="10" borderId="31" xfId="0" applyNumberFormat="1" applyFont="1" applyFill="1" applyBorder="1"/>
    <xf numFmtId="37" fontId="20" fillId="0" borderId="31" xfId="0" applyNumberFormat="1" applyFont="1" applyBorder="1"/>
    <xf numFmtId="164" fontId="32" fillId="0" borderId="0" xfId="3" applyNumberFormat="1" applyFont="1" applyFill="1" applyBorder="1"/>
    <xf numFmtId="164" fontId="32" fillId="10" borderId="31" xfId="3" applyNumberFormat="1" applyFont="1" applyFill="1" applyBorder="1"/>
    <xf numFmtId="37" fontId="20" fillId="10" borderId="0" xfId="0" applyNumberFormat="1" applyFont="1" applyFill="1"/>
    <xf numFmtId="164" fontId="32" fillId="10" borderId="0" xfId="3" applyNumberFormat="1" applyFont="1" applyFill="1" applyBorder="1"/>
    <xf numFmtId="0" fontId="0" fillId="10" borderId="25" xfId="0" applyFill="1" applyBorder="1"/>
    <xf numFmtId="14" fontId="27" fillId="2" borderId="22" xfId="6" applyNumberFormat="1" applyFont="1" applyFill="1" applyBorder="1" applyAlignment="1">
      <alignment horizontal="center"/>
    </xf>
    <xf numFmtId="171" fontId="28" fillId="9" borderId="22" xfId="0" applyNumberFormat="1" applyFont="1" applyFill="1" applyBorder="1" applyAlignment="1">
      <alignment horizontal="center"/>
    </xf>
    <xf numFmtId="171" fontId="28" fillId="9" borderId="29" xfId="0" applyNumberFormat="1" applyFont="1" applyFill="1" applyBorder="1" applyAlignment="1">
      <alignment horizontal="center"/>
    </xf>
    <xf numFmtId="171" fontId="28" fillId="2" borderId="22" xfId="0" applyNumberFormat="1" applyFont="1" applyFill="1" applyBorder="1" applyAlignment="1">
      <alignment horizontal="center"/>
    </xf>
    <xf numFmtId="171" fontId="28" fillId="9" borderId="40" xfId="0" applyNumberFormat="1" applyFont="1" applyFill="1" applyBorder="1" applyAlignment="1">
      <alignment horizontal="center"/>
    </xf>
    <xf numFmtId="171" fontId="28" fillId="9" borderId="39" xfId="0" applyNumberFormat="1" applyFont="1" applyFill="1" applyBorder="1" applyAlignment="1">
      <alignment horizontal="center"/>
    </xf>
    <xf numFmtId="0" fontId="27" fillId="2" borderId="28" xfId="6" applyFont="1" applyFill="1" applyBorder="1" applyAlignment="1">
      <alignment horizontal="center"/>
    </xf>
    <xf numFmtId="0" fontId="0" fillId="0" borderId="31" xfId="0" applyBorder="1"/>
    <xf numFmtId="0" fontId="27" fillId="2" borderId="41" xfId="6" applyFont="1" applyFill="1" applyBorder="1"/>
    <xf numFmtId="0" fontId="27" fillId="2" borderId="29" xfId="6" applyFont="1" applyFill="1" applyBorder="1" applyAlignment="1">
      <alignment horizontal="center"/>
    </xf>
    <xf numFmtId="37" fontId="20" fillId="0" borderId="33" xfId="0" applyNumberFormat="1" applyFont="1" applyBorder="1"/>
    <xf numFmtId="37" fontId="20" fillId="0" borderId="42" xfId="0" applyNumberFormat="1" applyFont="1" applyBorder="1"/>
    <xf numFmtId="37" fontId="20" fillId="10" borderId="33" xfId="0" applyNumberFormat="1" applyFont="1" applyFill="1" applyBorder="1"/>
    <xf numFmtId="37" fontId="20" fillId="10" borderId="42" xfId="0" applyNumberFormat="1" applyFont="1" applyFill="1" applyBorder="1"/>
    <xf numFmtId="164" fontId="32" fillId="0" borderId="33" xfId="3" applyNumberFormat="1" applyFont="1" applyFill="1" applyBorder="1"/>
    <xf numFmtId="164" fontId="32" fillId="10" borderId="33" xfId="3" applyNumberFormat="1" applyFont="1" applyFill="1" applyBorder="1"/>
    <xf numFmtId="164" fontId="32" fillId="10" borderId="42" xfId="3" applyNumberFormat="1" applyFont="1" applyFill="1" applyBorder="1"/>
    <xf numFmtId="164" fontId="32" fillId="10" borderId="43" xfId="3" applyNumberFormat="1" applyFont="1" applyFill="1" applyBorder="1"/>
    <xf numFmtId="164" fontId="32" fillId="10" borderId="25" xfId="3" applyNumberFormat="1" applyFont="1" applyFill="1" applyBorder="1"/>
    <xf numFmtId="37" fontId="20" fillId="0" borderId="45" xfId="0" applyNumberFormat="1" applyFont="1" applyBorder="1"/>
    <xf numFmtId="37" fontId="20" fillId="0" borderId="46" xfId="0" applyNumberFormat="1" applyFont="1" applyBorder="1"/>
    <xf numFmtId="37" fontId="20" fillId="10" borderId="45" xfId="0" applyNumberFormat="1" applyFont="1" applyFill="1" applyBorder="1"/>
    <xf numFmtId="37" fontId="20" fillId="10" borderId="46" xfId="0" applyNumberFormat="1" applyFont="1" applyFill="1" applyBorder="1"/>
    <xf numFmtId="164" fontId="32" fillId="0" borderId="45" xfId="3" applyNumberFormat="1" applyFont="1" applyFill="1" applyBorder="1"/>
    <xf numFmtId="164" fontId="32" fillId="10" borderId="45" xfId="3" applyNumberFormat="1" applyFont="1" applyFill="1" applyBorder="1"/>
    <xf numFmtId="164" fontId="32" fillId="10" borderId="46" xfId="3" applyNumberFormat="1" applyFont="1" applyFill="1" applyBorder="1"/>
    <xf numFmtId="164" fontId="32" fillId="10" borderId="47" xfId="3" applyNumberFormat="1" applyFont="1" applyFill="1" applyBorder="1"/>
    <xf numFmtId="0" fontId="31" fillId="0" borderId="24" xfId="0" applyFont="1" applyBorder="1"/>
    <xf numFmtId="0" fontId="31" fillId="0" borderId="0" xfId="0" applyFont="1"/>
    <xf numFmtId="39" fontId="20" fillId="0" borderId="0" xfId="0" applyNumberFormat="1" applyFont="1"/>
    <xf numFmtId="9" fontId="32" fillId="0" borderId="0" xfId="3" applyFont="1" applyBorder="1" applyAlignment="1">
      <alignment horizontal="center"/>
    </xf>
    <xf numFmtId="9" fontId="32" fillId="10" borderId="0" xfId="3" applyFont="1" applyFill="1" applyBorder="1" applyAlignment="1">
      <alignment horizontal="center"/>
    </xf>
    <xf numFmtId="9" fontId="32" fillId="10" borderId="31" xfId="3" applyFont="1" applyFill="1" applyBorder="1" applyAlignment="1">
      <alignment horizontal="center"/>
    </xf>
    <xf numFmtId="9" fontId="32" fillId="10" borderId="25" xfId="3" applyFont="1" applyFill="1" applyBorder="1" applyAlignment="1">
      <alignment horizontal="center"/>
    </xf>
    <xf numFmtId="9" fontId="32" fillId="0" borderId="0" xfId="3" applyFont="1" applyFill="1" applyBorder="1" applyAlignment="1">
      <alignment horizontal="center"/>
    </xf>
    <xf numFmtId="0" fontId="31" fillId="0" borderId="32" xfId="0" applyFont="1" applyBorder="1"/>
    <xf numFmtId="0" fontId="31" fillId="0" borderId="33" xfId="0" applyFont="1" applyBorder="1"/>
    <xf numFmtId="0" fontId="31" fillId="0" borderId="44" xfId="0" applyFont="1" applyBorder="1"/>
    <xf numFmtId="0" fontId="31" fillId="0" borderId="45" xfId="0" applyFont="1" applyBorder="1"/>
    <xf numFmtId="0" fontId="20" fillId="0" borderId="0" xfId="0" applyFont="1"/>
    <xf numFmtId="0" fontId="20" fillId="10" borderId="0" xfId="0" applyFont="1" applyFill="1"/>
    <xf numFmtId="0" fontId="20" fillId="10" borderId="31" xfId="0" applyFont="1" applyFill="1" applyBorder="1"/>
    <xf numFmtId="9" fontId="20" fillId="0" borderId="0" xfId="3" applyFont="1" applyFill="1" applyBorder="1" applyAlignment="1">
      <alignment horizontal="center"/>
    </xf>
    <xf numFmtId="9" fontId="20" fillId="10" borderId="0" xfId="3" applyFont="1" applyFill="1" applyBorder="1" applyAlignment="1">
      <alignment horizontal="center"/>
    </xf>
    <xf numFmtId="9" fontId="20" fillId="10" borderId="31" xfId="3" applyFont="1" applyFill="1" applyBorder="1" applyAlignment="1">
      <alignment horizontal="center"/>
    </xf>
    <xf numFmtId="9" fontId="20" fillId="0" borderId="0" xfId="0" applyNumberFormat="1" applyFont="1" applyAlignment="1">
      <alignment horizontal="center"/>
    </xf>
    <xf numFmtId="9" fontId="20" fillId="10" borderId="0" xfId="0" applyNumberFormat="1" applyFont="1" applyFill="1" applyAlignment="1">
      <alignment horizontal="center"/>
    </xf>
    <xf numFmtId="9" fontId="20" fillId="10" borderId="31" xfId="0" applyNumberFormat="1" applyFont="1" applyFill="1" applyBorder="1" applyAlignment="1">
      <alignment horizontal="center"/>
    </xf>
    <xf numFmtId="9" fontId="20" fillId="10" borderId="25" xfId="0" applyNumberFormat="1" applyFont="1" applyFill="1" applyBorder="1" applyAlignment="1">
      <alignment horizontal="center"/>
    </xf>
    <xf numFmtId="0" fontId="33" fillId="11" borderId="48" xfId="0" applyFont="1" applyFill="1" applyBorder="1"/>
    <xf numFmtId="0" fontId="33" fillId="11" borderId="49" xfId="0" applyFont="1" applyFill="1" applyBorder="1"/>
    <xf numFmtId="39" fontId="17" fillId="11" borderId="49" xfId="0" applyNumberFormat="1" applyFont="1" applyFill="1" applyBorder="1"/>
    <xf numFmtId="165" fontId="17" fillId="11" borderId="49" xfId="0" applyNumberFormat="1" applyFont="1" applyFill="1" applyBorder="1"/>
    <xf numFmtId="37" fontId="17" fillId="11" borderId="49" xfId="0" applyNumberFormat="1" applyFont="1" applyFill="1" applyBorder="1"/>
    <xf numFmtId="37" fontId="17" fillId="11" borderId="50" xfId="0" applyNumberFormat="1" applyFont="1" applyFill="1" applyBorder="1"/>
    <xf numFmtId="37" fontId="17" fillId="10" borderId="49" xfId="0" applyNumberFormat="1" applyFont="1" applyFill="1" applyBorder="1"/>
    <xf numFmtId="37" fontId="17" fillId="10" borderId="50" xfId="0" applyNumberFormat="1" applyFont="1" applyFill="1" applyBorder="1"/>
    <xf numFmtId="9" fontId="34" fillId="11" borderId="49" xfId="3" applyFont="1" applyFill="1" applyBorder="1" applyAlignment="1">
      <alignment horizontal="center"/>
    </xf>
    <xf numFmtId="9" fontId="34" fillId="10" borderId="49" xfId="3" applyFont="1" applyFill="1" applyBorder="1" applyAlignment="1">
      <alignment horizontal="center"/>
    </xf>
    <xf numFmtId="9" fontId="34" fillId="10" borderId="50" xfId="3" applyFont="1" applyFill="1" applyBorder="1" applyAlignment="1">
      <alignment horizontal="center"/>
    </xf>
    <xf numFmtId="9" fontId="34" fillId="10" borderId="51" xfId="3" applyFont="1" applyFill="1" applyBorder="1" applyAlignment="1">
      <alignment horizontal="center"/>
    </xf>
    <xf numFmtId="165" fontId="20" fillId="10" borderId="0" xfId="0" applyNumberFormat="1" applyFont="1" applyFill="1"/>
    <xf numFmtId="165" fontId="20" fillId="10" borderId="31" xfId="0" applyNumberFormat="1" applyFont="1" applyFill="1" applyBorder="1"/>
    <xf numFmtId="165" fontId="17" fillId="10" borderId="49" xfId="0" applyNumberFormat="1" applyFont="1" applyFill="1" applyBorder="1"/>
    <xf numFmtId="165" fontId="17" fillId="10" borderId="50" xfId="0" applyNumberFormat="1" applyFont="1" applyFill="1" applyBorder="1"/>
    <xf numFmtId="165" fontId="20" fillId="0" borderId="33" xfId="0" applyNumberFormat="1" applyFont="1" applyBorder="1"/>
    <xf numFmtId="165" fontId="20" fillId="10" borderId="33" xfId="0" applyNumberFormat="1" applyFont="1" applyFill="1" applyBorder="1"/>
    <xf numFmtId="165" fontId="20" fillId="10" borderId="42" xfId="0" applyNumberFormat="1" applyFont="1" applyFill="1" applyBorder="1"/>
    <xf numFmtId="165" fontId="20" fillId="0" borderId="45" xfId="0" applyNumberFormat="1" applyFont="1" applyBorder="1"/>
    <xf numFmtId="165" fontId="20" fillId="10" borderId="45" xfId="0" applyNumberFormat="1" applyFont="1" applyFill="1" applyBorder="1"/>
    <xf numFmtId="165" fontId="20" fillId="10" borderId="46" xfId="0" applyNumberFormat="1" applyFont="1" applyFill="1" applyBorder="1"/>
    <xf numFmtId="170" fontId="32" fillId="10" borderId="0" xfId="1" applyNumberFormat="1" applyFont="1" applyFill="1" applyBorder="1" applyAlignment="1">
      <alignment horizontal="center"/>
    </xf>
    <xf numFmtId="170" fontId="32" fillId="10" borderId="25" xfId="1" applyNumberFormat="1" applyFont="1" applyFill="1" applyBorder="1" applyAlignment="1">
      <alignment horizontal="center"/>
    </xf>
    <xf numFmtId="170" fontId="34" fillId="10" borderId="49" xfId="1" applyNumberFormat="1" applyFont="1" applyFill="1" applyBorder="1" applyAlignment="1">
      <alignment horizontal="center"/>
    </xf>
    <xf numFmtId="170" fontId="34" fillId="10" borderId="51" xfId="1" applyNumberFormat="1" applyFont="1" applyFill="1" applyBorder="1" applyAlignment="1">
      <alignment horizontal="center"/>
    </xf>
    <xf numFmtId="170" fontId="32" fillId="10" borderId="43" xfId="1" applyNumberFormat="1" applyFont="1" applyFill="1" applyBorder="1"/>
    <xf numFmtId="170" fontId="32" fillId="10" borderId="0" xfId="1" applyNumberFormat="1" applyFont="1" applyFill="1" applyBorder="1"/>
    <xf numFmtId="170" fontId="32" fillId="10" borderId="25" xfId="1" applyNumberFormat="1" applyFont="1" applyFill="1" applyBorder="1"/>
    <xf numFmtId="170" fontId="32" fillId="10" borderId="45" xfId="1" applyNumberFormat="1" applyFont="1" applyFill="1" applyBorder="1"/>
    <xf numFmtId="170" fontId="32" fillId="10" borderId="47" xfId="1" applyNumberFormat="1" applyFont="1" applyFill="1" applyBorder="1"/>
    <xf numFmtId="0" fontId="27" fillId="2" borderId="34" xfId="6" applyFont="1" applyFill="1" applyBorder="1" applyAlignment="1">
      <alignment horizontal="center"/>
    </xf>
    <xf numFmtId="0" fontId="27" fillId="2" borderId="35" xfId="6" applyFont="1" applyFill="1" applyBorder="1" applyAlignment="1">
      <alignment horizontal="center"/>
    </xf>
    <xf numFmtId="0" fontId="27" fillId="2" borderId="36" xfId="6" applyFont="1" applyFill="1" applyBorder="1" applyAlignment="1">
      <alignment horizontal="center"/>
    </xf>
    <xf numFmtId="0" fontId="27" fillId="2" borderId="37" xfId="6" applyFont="1" applyFill="1" applyBorder="1" applyAlignment="1">
      <alignment horizontal="center"/>
    </xf>
    <xf numFmtId="0" fontId="27" fillId="2" borderId="34" xfId="6" applyFont="1" applyFill="1" applyBorder="1" applyAlignment="1">
      <alignment horizontal="center" vertical="top"/>
    </xf>
    <xf numFmtId="0" fontId="27" fillId="2" borderId="35" xfId="6" applyFont="1" applyFill="1" applyBorder="1" applyAlignment="1">
      <alignment horizontal="center" vertical="top"/>
    </xf>
    <xf numFmtId="0" fontId="27" fillId="2" borderId="36" xfId="6" applyFont="1" applyFill="1" applyBorder="1" applyAlignment="1">
      <alignment horizontal="center" vertical="top"/>
    </xf>
    <xf numFmtId="0" fontId="31" fillId="0" borderId="0" xfId="0" applyFont="1" applyBorder="1"/>
    <xf numFmtId="37" fontId="20" fillId="0" borderId="0" xfId="0" applyNumberFormat="1" applyFont="1" applyBorder="1"/>
    <xf numFmtId="37" fontId="20" fillId="10" borderId="0" xfId="0" applyNumberFormat="1" applyFont="1" applyFill="1" applyBorder="1"/>
    <xf numFmtId="164" fontId="32" fillId="0" borderId="0" xfId="3" applyNumberFormat="1" applyFont="1" applyBorder="1"/>
    <xf numFmtId="37" fontId="20" fillId="4" borderId="0" xfId="0" applyNumberFormat="1" applyFont="1" applyFill="1" applyBorder="1"/>
    <xf numFmtId="37" fontId="20" fillId="4" borderId="31" xfId="0" applyNumberFormat="1" applyFont="1" applyFill="1" applyBorder="1"/>
    <xf numFmtId="164" fontId="32" fillId="4" borderId="0" xfId="3" applyNumberFormat="1" applyFont="1" applyFill="1" applyBorder="1"/>
    <xf numFmtId="164" fontId="32" fillId="4" borderId="31" xfId="3" applyNumberFormat="1" applyFont="1" applyFill="1" applyBorder="1"/>
    <xf numFmtId="165" fontId="20" fillId="0" borderId="0" xfId="0" applyNumberFormat="1" applyFont="1" applyBorder="1"/>
    <xf numFmtId="165" fontId="20" fillId="10" borderId="0" xfId="0" applyNumberFormat="1" applyFont="1" applyFill="1" applyBorder="1"/>
    <xf numFmtId="165" fontId="20" fillId="0" borderId="52" xfId="0" applyNumberFormat="1" applyFont="1" applyBorder="1"/>
    <xf numFmtId="165" fontId="20" fillId="0" borderId="53" xfId="0" applyNumberFormat="1" applyFont="1" applyBorder="1"/>
    <xf numFmtId="170" fontId="32" fillId="10" borderId="53" xfId="1" applyNumberFormat="1" applyFont="1" applyFill="1" applyBorder="1"/>
    <xf numFmtId="0" fontId="33" fillId="0" borderId="24" xfId="0" applyFont="1" applyBorder="1"/>
    <xf numFmtId="0" fontId="33" fillId="0" borderId="0" xfId="0" applyFont="1" applyBorder="1"/>
    <xf numFmtId="165" fontId="17" fillId="0" borderId="0" xfId="0" applyNumberFormat="1" applyFont="1" applyBorder="1"/>
    <xf numFmtId="165" fontId="17" fillId="10" borderId="0" xfId="0" applyNumberFormat="1" applyFont="1" applyFill="1" applyBorder="1"/>
    <xf numFmtId="165" fontId="17" fillId="10" borderId="31" xfId="0" applyNumberFormat="1" applyFont="1" applyFill="1" applyBorder="1"/>
    <xf numFmtId="170" fontId="34" fillId="10" borderId="0" xfId="1" applyNumberFormat="1" applyFont="1" applyFill="1" applyBorder="1"/>
    <xf numFmtId="170" fontId="34" fillId="10" borderId="25" xfId="1" applyNumberFormat="1" applyFont="1" applyFill="1" applyBorder="1"/>
    <xf numFmtId="37" fontId="17" fillId="0" borderId="0" xfId="0" applyNumberFormat="1" applyFont="1" applyBorder="1"/>
    <xf numFmtId="37" fontId="17" fillId="0" borderId="31" xfId="0" applyNumberFormat="1" applyFont="1" applyBorder="1"/>
    <xf numFmtId="37" fontId="17" fillId="10" borderId="0" xfId="0" applyNumberFormat="1" applyFont="1" applyFill="1" applyBorder="1"/>
    <xf numFmtId="37" fontId="17" fillId="10" borderId="31" xfId="0" applyNumberFormat="1" applyFont="1" applyFill="1" applyBorder="1"/>
    <xf numFmtId="164" fontId="34" fillId="0" borderId="0" xfId="3" applyNumberFormat="1" applyFont="1" applyFill="1" applyBorder="1"/>
    <xf numFmtId="164" fontId="34" fillId="10" borderId="0" xfId="3" applyNumberFormat="1" applyFont="1" applyFill="1" applyBorder="1"/>
    <xf numFmtId="164" fontId="34" fillId="10" borderId="31" xfId="3" applyNumberFormat="1" applyFont="1" applyFill="1" applyBorder="1"/>
    <xf numFmtId="164" fontId="34" fillId="10" borderId="25" xfId="3" applyNumberFormat="1" applyFont="1" applyFill="1" applyBorder="1"/>
    <xf numFmtId="0" fontId="30" fillId="0" borderId="0" xfId="0" applyFont="1" applyAlignment="1"/>
    <xf numFmtId="0" fontId="30" fillId="0" borderId="0" xfId="0" applyFont="1" applyAlignment="1">
      <alignment horizontal="left"/>
    </xf>
    <xf numFmtId="0" fontId="36" fillId="12" borderId="0" xfId="0" applyFont="1" applyFill="1"/>
    <xf numFmtId="0" fontId="35" fillId="12" borderId="0" xfId="0" applyFont="1" applyFill="1" applyAlignment="1">
      <alignment horizontal="center"/>
    </xf>
    <xf numFmtId="165" fontId="6" fillId="0" borderId="0" xfId="0" applyNumberFormat="1" applyFont="1" applyAlignment="1">
      <alignment horizontal="center"/>
    </xf>
    <xf numFmtId="0" fontId="35" fillId="12" borderId="0" xfId="0" applyFont="1" applyFill="1"/>
    <xf numFmtId="0" fontId="36" fillId="0" borderId="0" xfId="0" applyFont="1" applyFill="1"/>
    <xf numFmtId="0" fontId="35" fillId="0" borderId="0" xfId="0" applyFont="1" applyFill="1" applyAlignment="1">
      <alignment horizontal="center"/>
    </xf>
    <xf numFmtId="0" fontId="0" fillId="0" borderId="0" xfId="0" applyFill="1"/>
    <xf numFmtId="0" fontId="33" fillId="0" borderId="0" xfId="0" applyFont="1" applyFill="1"/>
    <xf numFmtId="37" fontId="6" fillId="0" borderId="0" xfId="0" applyNumberFormat="1" applyFont="1" applyAlignment="1">
      <alignment horizontal="center"/>
    </xf>
    <xf numFmtId="0" fontId="37" fillId="12" borderId="0" xfId="0" applyFont="1" applyFill="1" applyAlignment="1">
      <alignment horizontal="centerContinuous"/>
    </xf>
    <xf numFmtId="166" fontId="6" fillId="0" borderId="0" xfId="0" applyNumberFormat="1" applyFont="1" applyAlignment="1">
      <alignment horizontal="center"/>
    </xf>
    <xf numFmtId="0" fontId="13" fillId="0" borderId="45" xfId="0" applyFont="1" applyBorder="1"/>
    <xf numFmtId="0" fontId="6" fillId="0" borderId="45" xfId="0" applyFont="1" applyBorder="1"/>
    <xf numFmtId="37" fontId="13" fillId="0" borderId="45" xfId="0" applyNumberFormat="1" applyFont="1" applyBorder="1"/>
    <xf numFmtId="166" fontId="6" fillId="0" borderId="0" xfId="2" applyNumberFormat="1" applyFont="1" applyAlignment="1">
      <alignment horizontal="center"/>
    </xf>
    <xf numFmtId="0" fontId="0" fillId="0" borderId="45" xfId="0" applyBorder="1"/>
    <xf numFmtId="0" fontId="6" fillId="0" borderId="0" xfId="0" applyFont="1" applyBorder="1"/>
    <xf numFmtId="0" fontId="0" fillId="0" borderId="0" xfId="0" applyBorder="1"/>
    <xf numFmtId="37" fontId="6" fillId="0" borderId="0" xfId="0" applyNumberFormat="1" applyFont="1" applyBorder="1" applyAlignment="1">
      <alignment horizontal="right"/>
    </xf>
    <xf numFmtId="37" fontId="6" fillId="0" borderId="45" xfId="0" applyNumberFormat="1" applyFont="1" applyBorder="1" applyAlignment="1">
      <alignment horizontal="right"/>
    </xf>
    <xf numFmtId="0" fontId="13" fillId="0" borderId="33" xfId="0" applyFont="1" applyBorder="1"/>
    <xf numFmtId="0" fontId="6" fillId="0" borderId="33" xfId="0" applyFont="1" applyBorder="1"/>
    <xf numFmtId="0" fontId="0" fillId="0" borderId="33" xfId="0" applyBorder="1"/>
    <xf numFmtId="37" fontId="13" fillId="0" borderId="33" xfId="0" applyNumberFormat="1" applyFont="1" applyBorder="1"/>
    <xf numFmtId="37" fontId="6" fillId="0" borderId="45" xfId="0" applyNumberFormat="1" applyFont="1" applyBorder="1"/>
    <xf numFmtId="0" fontId="0" fillId="0" borderId="0" xfId="0" applyAlignment="1">
      <alignment horizontal="center"/>
    </xf>
    <xf numFmtId="0" fontId="35" fillId="12" borderId="54" xfId="0" applyFont="1" applyFill="1" applyBorder="1" applyAlignment="1">
      <alignment horizontal="center"/>
    </xf>
    <xf numFmtId="0" fontId="36" fillId="0" borderId="55" xfId="0" applyFont="1" applyFill="1" applyBorder="1"/>
    <xf numFmtId="166" fontId="6" fillId="0" borderId="55" xfId="2" applyNumberFormat="1" applyFont="1" applyBorder="1" applyAlignment="1">
      <alignment horizontal="center"/>
    </xf>
    <xf numFmtId="166" fontId="6" fillId="0" borderId="55" xfId="0" applyNumberFormat="1" applyFont="1" applyBorder="1" applyAlignment="1">
      <alignment horizontal="center"/>
    </xf>
    <xf numFmtId="166" fontId="6" fillId="0" borderId="56" xfId="0" applyNumberFormat="1" applyFont="1" applyBorder="1" applyAlignment="1">
      <alignment horizontal="center"/>
    </xf>
    <xf numFmtId="0" fontId="2" fillId="13" borderId="57" xfId="0" applyFont="1" applyFill="1" applyBorder="1"/>
    <xf numFmtId="0" fontId="2" fillId="13" borderId="58" xfId="0" applyFont="1" applyFill="1" applyBorder="1"/>
    <xf numFmtId="166" fontId="2" fillId="13" borderId="59" xfId="0" applyNumberFormat="1" applyFont="1" applyFill="1" applyBorder="1"/>
    <xf numFmtId="0" fontId="0" fillId="0" borderId="0" xfId="0" applyAlignment="1">
      <alignment horizontal="left" wrapText="1"/>
    </xf>
    <xf numFmtId="0" fontId="25" fillId="0" borderId="60" xfId="0" applyFont="1" applyBorder="1"/>
    <xf numFmtId="9" fontId="9" fillId="0" borderId="4" xfId="3" applyFont="1" applyBorder="1"/>
    <xf numFmtId="37" fontId="15" fillId="0" borderId="0" xfId="0" applyNumberFormat="1" applyFont="1" applyAlignment="1">
      <alignment horizontal="right"/>
    </xf>
    <xf numFmtId="37" fontId="15" fillId="0" borderId="15" xfId="0" applyNumberFormat="1" applyFont="1" applyBorder="1" applyAlignment="1">
      <alignment horizontal="right"/>
    </xf>
    <xf numFmtId="0" fontId="0" fillId="0" borderId="61" xfId="0" applyBorder="1"/>
    <xf numFmtId="0" fontId="0" fillId="0" borderId="62" xfId="0" applyBorder="1"/>
    <xf numFmtId="166" fontId="12" fillId="4" borderId="63" xfId="2" applyNumberFormat="1" applyFont="1" applyFill="1" applyBorder="1"/>
    <xf numFmtId="0" fontId="0" fillId="0" borderId="64" xfId="0" applyBorder="1"/>
    <xf numFmtId="166" fontId="12" fillId="4" borderId="65" xfId="2" applyNumberFormat="1" applyFont="1" applyFill="1" applyBorder="1"/>
    <xf numFmtId="0" fontId="25" fillId="0" borderId="66" xfId="0" applyFont="1" applyBorder="1"/>
    <xf numFmtId="166" fontId="25" fillId="4" borderId="67" xfId="2" applyNumberFormat="1" applyFont="1" applyFill="1" applyBorder="1"/>
    <xf numFmtId="0" fontId="25" fillId="0" borderId="44" xfId="0" applyFont="1" applyBorder="1"/>
    <xf numFmtId="0" fontId="25" fillId="0" borderId="45" xfId="0" applyFont="1" applyBorder="1"/>
    <xf numFmtId="14" fontId="6" fillId="0" borderId="9" xfId="0" applyNumberFormat="1" applyFont="1" applyFill="1" applyBorder="1"/>
    <xf numFmtId="166" fontId="6" fillId="0" borderId="9" xfId="2" applyNumberFormat="1" applyFont="1" applyFill="1" applyBorder="1"/>
    <xf numFmtId="164" fontId="25" fillId="0" borderId="68" xfId="3" applyNumberFormat="1" applyFont="1" applyFill="1" applyBorder="1"/>
    <xf numFmtId="0" fontId="38" fillId="0" borderId="0" xfId="0" applyFont="1" applyAlignment="1">
      <alignment horizontal="centerContinuous"/>
    </xf>
    <xf numFmtId="0" fontId="6" fillId="5" borderId="9" xfId="0" applyFont="1" applyFill="1" applyBorder="1" applyAlignment="1">
      <alignment horizontal="center"/>
    </xf>
    <xf numFmtId="0" fontId="40" fillId="14" borderId="69" xfId="0" applyFont="1" applyFill="1" applyBorder="1"/>
    <xf numFmtId="0" fontId="40" fillId="14" borderId="70" xfId="0" applyFont="1" applyFill="1" applyBorder="1"/>
    <xf numFmtId="0" fontId="40" fillId="14" borderId="71" xfId="0" applyFont="1" applyFill="1" applyBorder="1"/>
    <xf numFmtId="0" fontId="40" fillId="14" borderId="72" xfId="0" applyFont="1" applyFill="1" applyBorder="1"/>
    <xf numFmtId="0" fontId="40" fillId="14" borderId="0" xfId="0" applyFont="1" applyFill="1"/>
    <xf numFmtId="0" fontId="40" fillId="14" borderId="73" xfId="0" applyFont="1" applyFill="1" applyBorder="1"/>
    <xf numFmtId="0" fontId="42" fillId="14" borderId="0" xfId="0" applyFont="1" applyFill="1" applyAlignment="1">
      <alignment horizontal="center"/>
    </xf>
    <xf numFmtId="0" fontId="42" fillId="14" borderId="0" xfId="0" applyFont="1" applyFill="1"/>
    <xf numFmtId="14" fontId="40" fillId="14" borderId="0" xfId="0" applyNumberFormat="1" applyFont="1" applyFill="1" applyAlignment="1">
      <alignment horizontal="left"/>
    </xf>
    <xf numFmtId="0" fontId="43" fillId="15" borderId="74" xfId="0" applyFont="1" applyFill="1" applyBorder="1" applyAlignment="1">
      <alignment horizontal="center"/>
    </xf>
    <xf numFmtId="0" fontId="44" fillId="4" borderId="74" xfId="0" applyFont="1" applyFill="1" applyBorder="1" applyAlignment="1">
      <alignment horizontal="center"/>
    </xf>
    <xf numFmtId="0" fontId="44" fillId="4" borderId="74" xfId="0" applyFont="1" applyFill="1" applyBorder="1" applyAlignment="1">
      <alignment horizontal="center"/>
    </xf>
    <xf numFmtId="0" fontId="44" fillId="0" borderId="74" xfId="0" applyFont="1" applyBorder="1" applyAlignment="1">
      <alignment horizontal="center" vertical="center"/>
    </xf>
    <xf numFmtId="0" fontId="44" fillId="0" borderId="74" xfId="0" applyFont="1" applyBorder="1" applyAlignment="1">
      <alignment horizontal="left" vertical="center" indent="1"/>
    </xf>
    <xf numFmtId="0" fontId="45" fillId="14" borderId="0" xfId="0" applyFont="1" applyFill="1"/>
    <xf numFmtId="37" fontId="46" fillId="0" borderId="74" xfId="0" applyNumberFormat="1" applyFont="1" applyBorder="1" applyAlignment="1">
      <alignment horizontal="center"/>
    </xf>
    <xf numFmtId="0" fontId="44" fillId="0" borderId="74" xfId="0" applyFont="1" applyBorder="1" applyAlignment="1">
      <alignment horizontal="center"/>
    </xf>
    <xf numFmtId="0" fontId="39" fillId="0" borderId="74" xfId="0" applyFont="1" applyBorder="1" applyAlignment="1">
      <alignment horizontal="center"/>
    </xf>
    <xf numFmtId="0" fontId="40" fillId="14" borderId="75" xfId="0" applyFont="1" applyFill="1" applyBorder="1"/>
    <xf numFmtId="0" fontId="45" fillId="14" borderId="76" xfId="0" applyFont="1" applyFill="1" applyBorder="1"/>
    <xf numFmtId="0" fontId="40" fillId="14" borderId="76" xfId="0" applyFont="1" applyFill="1" applyBorder="1"/>
    <xf numFmtId="0" fontId="40" fillId="14" borderId="77" xfId="0" applyFont="1" applyFill="1" applyBorder="1"/>
    <xf numFmtId="0" fontId="41" fillId="14" borderId="0" xfId="0" applyFont="1" applyFill="1" applyAlignment="1">
      <alignment horizontal="centerContinuous"/>
    </xf>
    <xf numFmtId="0" fontId="42" fillId="14" borderId="0" xfId="0" applyFont="1" applyFill="1" applyAlignment="1">
      <alignment horizontal="centerContinuous"/>
    </xf>
    <xf numFmtId="0" fontId="42" fillId="14" borderId="73" xfId="0" applyFont="1" applyFill="1" applyBorder="1" applyAlignment="1">
      <alignment horizontal="centerContinuous"/>
    </xf>
    <xf numFmtId="166" fontId="40" fillId="14" borderId="0" xfId="2" applyNumberFormat="1" applyFont="1" applyFill="1" applyBorder="1" applyAlignment="1">
      <alignment horizontal="left"/>
    </xf>
    <xf numFmtId="0" fontId="44" fillId="0" borderId="61" xfId="0" applyFont="1" applyBorder="1"/>
    <xf numFmtId="0" fontId="44" fillId="0" borderId="64" xfId="0" applyFont="1" applyBorder="1"/>
    <xf numFmtId="0" fontId="48" fillId="0" borderId="66" xfId="0" applyFont="1" applyBorder="1"/>
    <xf numFmtId="0" fontId="48" fillId="0" borderId="44" xfId="0" applyFont="1" applyBorder="1"/>
    <xf numFmtId="166" fontId="49" fillId="0" borderId="63" xfId="2" applyNumberFormat="1" applyFont="1" applyFill="1" applyBorder="1"/>
    <xf numFmtId="166" fontId="49" fillId="0" borderId="65" xfId="2" applyNumberFormat="1" applyFont="1" applyFill="1" applyBorder="1"/>
    <xf numFmtId="166" fontId="48" fillId="0" borderId="67" xfId="2" applyNumberFormat="1" applyFont="1" applyFill="1" applyBorder="1"/>
    <xf numFmtId="164" fontId="48" fillId="0" borderId="68" xfId="3" applyNumberFormat="1" applyFont="1" applyFill="1" applyBorder="1"/>
    <xf numFmtId="164" fontId="8" fillId="0" borderId="0" xfId="3" applyNumberFormat="1" applyFont="1"/>
    <xf numFmtId="37" fontId="0" fillId="0" borderId="5" xfId="0" applyNumberFormat="1" applyBorder="1"/>
    <xf numFmtId="37" fontId="2" fillId="0" borderId="0" xfId="0" applyNumberFormat="1" applyFont="1" applyBorder="1"/>
    <xf numFmtId="37" fontId="0" fillId="0" borderId="0" xfId="0" applyNumberFormat="1" applyBorder="1"/>
    <xf numFmtId="0" fontId="44" fillId="0" borderId="78" xfId="0" applyFont="1" applyBorder="1" applyAlignment="1">
      <alignment horizontal="left" vertical="center" indent="1"/>
    </xf>
    <xf numFmtId="0" fontId="44" fillId="0" borderId="79" xfId="0" applyFont="1" applyBorder="1" applyAlignment="1">
      <alignment horizontal="left" vertical="center" indent="1"/>
    </xf>
    <xf numFmtId="0" fontId="44" fillId="0" borderId="80" xfId="0" applyFont="1" applyBorder="1" applyAlignment="1">
      <alignment horizontal="left" vertical="center" indent="1"/>
    </xf>
    <xf numFmtId="0" fontId="42" fillId="14" borderId="0" xfId="0" applyFont="1" applyFill="1" applyAlignment="1">
      <alignment horizontal="center"/>
    </xf>
    <xf numFmtId="0" fontId="50" fillId="14" borderId="72" xfId="0" applyFont="1" applyFill="1" applyBorder="1" applyAlignment="1">
      <alignment horizontal="centerContinuous"/>
    </xf>
    <xf numFmtId="37" fontId="5" fillId="16" borderId="0" xfId="0" applyNumberFormat="1" applyFont="1" applyFill="1" applyAlignment="1">
      <alignment horizontal="centerContinuous" vertical="center"/>
    </xf>
    <xf numFmtId="176" fontId="51" fillId="0" borderId="81" xfId="0" applyNumberFormat="1" applyFont="1" applyBorder="1"/>
    <xf numFmtId="177" fontId="18" fillId="6" borderId="82" xfId="0" applyNumberFormat="1" applyFont="1" applyFill="1" applyBorder="1"/>
    <xf numFmtId="177" fontId="15" fillId="6" borderId="82" xfId="0" applyNumberFormat="1" applyFont="1" applyFill="1" applyBorder="1"/>
    <xf numFmtId="177" fontId="18" fillId="6" borderId="83" xfId="0" applyNumberFormat="1" applyFont="1" applyFill="1" applyBorder="1"/>
    <xf numFmtId="164" fontId="18" fillId="6" borderId="84" xfId="0" applyNumberFormat="1" applyFont="1" applyFill="1" applyBorder="1" applyAlignment="1">
      <alignment horizontal="right"/>
    </xf>
    <xf numFmtId="39" fontId="18" fillId="0" borderId="74" xfId="0" applyNumberFormat="1" applyFont="1" applyBorder="1"/>
    <xf numFmtId="39" fontId="18" fillId="11" borderId="74" xfId="0" applyNumberFormat="1" applyFont="1" applyFill="1" applyBorder="1"/>
    <xf numFmtId="164" fontId="15" fillId="6" borderId="84" xfId="0" applyNumberFormat="1" applyFont="1" applyFill="1" applyBorder="1" applyAlignment="1">
      <alignment horizontal="right"/>
    </xf>
    <xf numFmtId="39" fontId="18" fillId="17" borderId="74" xfId="0" applyNumberFormat="1" applyFont="1" applyFill="1" applyBorder="1"/>
    <xf numFmtId="164" fontId="18" fillId="6" borderId="85" xfId="0" applyNumberFormat="1" applyFont="1" applyFill="1" applyBorder="1" applyAlignment="1">
      <alignment horizontal="right"/>
    </xf>
    <xf numFmtId="10" fontId="18" fillId="6" borderId="82" xfId="3" applyNumberFormat="1" applyFont="1" applyFill="1" applyBorder="1"/>
    <xf numFmtId="10" fontId="15" fillId="6" borderId="82" xfId="3" applyNumberFormat="1" applyFont="1" applyFill="1" applyBorder="1"/>
    <xf numFmtId="10" fontId="18" fillId="6" borderId="83" xfId="3" applyNumberFormat="1" applyFont="1" applyFill="1" applyBorder="1"/>
    <xf numFmtId="0" fontId="52" fillId="0" borderId="0" xfId="0" applyFont="1"/>
    <xf numFmtId="0" fontId="53" fillId="0" borderId="0" xfId="0" applyFont="1"/>
    <xf numFmtId="0" fontId="52" fillId="0" borderId="0" xfId="0" applyFont="1" applyAlignment="1">
      <alignment horizontal="center"/>
    </xf>
    <xf numFmtId="44" fontId="52" fillId="0" borderId="0" xfId="2" applyFont="1"/>
    <xf numFmtId="166" fontId="52" fillId="0" borderId="0" xfId="2" applyNumberFormat="1" applyFont="1"/>
    <xf numFmtId="37" fontId="17" fillId="16" borderId="0" xfId="0" applyNumberFormat="1" applyFont="1" applyFill="1" applyAlignment="1">
      <alignment horizontal="left" vertical="center"/>
    </xf>
    <xf numFmtId="176" fontId="54" fillId="0" borderId="81" xfId="0" applyNumberFormat="1" applyFont="1" applyBorder="1"/>
    <xf numFmtId="0" fontId="44" fillId="0" borderId="0" xfId="0" applyFont="1"/>
    <xf numFmtId="0" fontId="44" fillId="0" borderId="62" xfId="0" applyFont="1" applyBorder="1"/>
    <xf numFmtId="0" fontId="44" fillId="0" borderId="5" xfId="0" applyFont="1" applyBorder="1"/>
    <xf numFmtId="0" fontId="48" fillId="0" borderId="60" xfId="0" applyFont="1" applyBorder="1"/>
    <xf numFmtId="0" fontId="48" fillId="0" borderId="45" xfId="0" applyFont="1" applyBorder="1"/>
    <xf numFmtId="0" fontId="55" fillId="0" borderId="0" xfId="0" applyFont="1" applyAlignment="1">
      <alignment horizontal="centerContinuous"/>
    </xf>
    <xf numFmtId="0" fontId="56" fillId="0" borderId="0" xfId="0" applyFont="1" applyAlignment="1">
      <alignment horizontal="centerContinuous"/>
    </xf>
    <xf numFmtId="0" fontId="57" fillId="0" borderId="0" xfId="0" applyFont="1"/>
    <xf numFmtId="0" fontId="47" fillId="0" borderId="0" xfId="0" applyFont="1"/>
    <xf numFmtId="176" fontId="58" fillId="0" borderId="0" xfId="0" applyNumberFormat="1" applyFont="1" applyBorder="1"/>
    <xf numFmtId="177" fontId="59" fillId="6" borderId="48" xfId="0" applyNumberFormat="1" applyFont="1" applyFill="1" applyBorder="1" applyAlignment="1">
      <alignment horizontal="center"/>
    </xf>
    <xf numFmtId="177" fontId="59" fillId="6" borderId="49" xfId="0" applyNumberFormat="1" applyFont="1" applyFill="1" applyBorder="1" applyAlignment="1">
      <alignment horizontal="center"/>
    </xf>
    <xf numFmtId="177" fontId="60" fillId="6" borderId="49" xfId="0" applyNumberFormat="1" applyFont="1" applyFill="1" applyBorder="1" applyAlignment="1">
      <alignment horizontal="center"/>
    </xf>
    <xf numFmtId="177" fontId="59" fillId="6" borderId="51" xfId="0" applyNumberFormat="1" applyFont="1" applyFill="1" applyBorder="1" applyAlignment="1">
      <alignment horizontal="center"/>
    </xf>
    <xf numFmtId="164" fontId="59" fillId="6" borderId="86" xfId="0" applyNumberFormat="1" applyFont="1" applyFill="1" applyBorder="1" applyAlignment="1">
      <alignment horizontal="right"/>
    </xf>
    <xf numFmtId="39" fontId="59" fillId="0" borderId="89" xfId="0" applyNumberFormat="1" applyFont="1" applyBorder="1" applyAlignment="1">
      <alignment horizontal="center"/>
    </xf>
    <xf numFmtId="39" fontId="59" fillId="0" borderId="90" xfId="0" applyNumberFormat="1" applyFont="1" applyBorder="1" applyAlignment="1">
      <alignment horizontal="center"/>
    </xf>
    <xf numFmtId="39" fontId="59" fillId="0" borderId="91" xfId="0" applyNumberFormat="1" applyFont="1" applyBorder="1" applyAlignment="1">
      <alignment horizontal="center"/>
    </xf>
    <xf numFmtId="164" fontId="59" fillId="6" borderId="87" xfId="0" applyNumberFormat="1" applyFont="1" applyFill="1" applyBorder="1" applyAlignment="1">
      <alignment horizontal="right"/>
    </xf>
    <xf numFmtId="39" fontId="59" fillId="0" borderId="92" xfId="0" applyNumberFormat="1" applyFont="1" applyBorder="1" applyAlignment="1">
      <alignment horizontal="center"/>
    </xf>
    <xf numFmtId="39" fontId="59" fillId="11" borderId="9" xfId="0" applyNumberFormat="1" applyFont="1" applyFill="1" applyBorder="1" applyAlignment="1">
      <alignment horizontal="center"/>
    </xf>
    <xf numFmtId="39" fontId="59" fillId="0" borderId="93" xfId="0" applyNumberFormat="1" applyFont="1" applyBorder="1" applyAlignment="1">
      <alignment horizontal="center"/>
    </xf>
    <xf numFmtId="0" fontId="47" fillId="0" borderId="0" xfId="0" applyFont="1" applyAlignment="1">
      <alignment horizontal="center"/>
    </xf>
    <xf numFmtId="164" fontId="60" fillId="6" borderId="87" xfId="0" applyNumberFormat="1" applyFont="1" applyFill="1" applyBorder="1" applyAlignment="1">
      <alignment horizontal="right"/>
    </xf>
    <xf numFmtId="39" fontId="59" fillId="18" borderId="9" xfId="0" applyNumberFormat="1" applyFont="1" applyFill="1" applyBorder="1" applyAlignment="1">
      <alignment horizontal="center"/>
    </xf>
    <xf numFmtId="164" fontId="59" fillId="6" borderId="88" xfId="0" applyNumberFormat="1" applyFont="1" applyFill="1" applyBorder="1" applyAlignment="1">
      <alignment horizontal="right"/>
    </xf>
    <xf numFmtId="39" fontId="59" fillId="0" borderId="94" xfId="0" applyNumberFormat="1" applyFont="1" applyBorder="1" applyAlignment="1">
      <alignment horizontal="center"/>
    </xf>
    <xf numFmtId="39" fontId="59" fillId="0" borderId="95" xfId="0" applyNumberFormat="1" applyFont="1" applyBorder="1" applyAlignment="1">
      <alignment horizontal="center"/>
    </xf>
    <xf numFmtId="39" fontId="59" fillId="0" borderId="96" xfId="0" applyNumberFormat="1" applyFont="1" applyBorder="1" applyAlignment="1">
      <alignment horizontal="center"/>
    </xf>
    <xf numFmtId="0" fontId="47" fillId="0" borderId="0" xfId="0" applyFont="1" applyAlignment="1">
      <alignment horizontal="centerContinuous"/>
    </xf>
    <xf numFmtId="176" fontId="61" fillId="0" borderId="0" xfId="0" applyNumberFormat="1" applyFont="1" applyBorder="1"/>
    <xf numFmtId="164" fontId="59" fillId="6" borderId="48" xfId="3" applyNumberFormat="1" applyFont="1" applyFill="1" applyBorder="1" applyAlignment="1">
      <alignment horizontal="center"/>
    </xf>
    <xf numFmtId="164" fontId="59" fillId="6" borderId="49" xfId="3" applyNumberFormat="1" applyFont="1" applyFill="1" applyBorder="1" applyAlignment="1">
      <alignment horizontal="center"/>
    </xf>
    <xf numFmtId="164" fontId="60" fillId="6" borderId="49" xfId="3" applyNumberFormat="1" applyFont="1" applyFill="1" applyBorder="1" applyAlignment="1">
      <alignment horizontal="center"/>
    </xf>
    <xf numFmtId="164" fontId="59" fillId="6" borderId="51" xfId="3" applyNumberFormat="1" applyFont="1" applyFill="1" applyBorder="1" applyAlignment="1">
      <alignment horizontal="center"/>
    </xf>
  </cellXfs>
  <cellStyles count="7">
    <cellStyle name="Comma" xfId="1" builtinId="3"/>
    <cellStyle name="Currency" xfId="2" builtinId="4"/>
    <cellStyle name="Normal" xfId="0" builtinId="0"/>
    <cellStyle name="Normal 2" xfId="4" xr:uid="{13EB7355-4D7A-4BE3-A0E7-C524FF96644B}"/>
    <cellStyle name="Normal 2 2" xfId="6" xr:uid="{C6B403E0-0D2D-40AA-BCE9-ECD7080045D1}"/>
    <cellStyle name="Normal 5" xfId="5" xr:uid="{5099B138-2D51-4E9C-8F0B-F6DF1A9291E2}"/>
    <cellStyle name="Per cent" xfId="3" builtinId="5"/>
  </cellStyles>
  <dxfs count="0"/>
  <tableStyles count="0" defaultTableStyle="TableStyleMedium2" defaultPivotStyle="PivotStyleLight16"/>
  <colors>
    <mruColors>
      <color rgb="FF0000FF"/>
      <color rgb="FFE4E8F4"/>
      <color rgb="FFFEF3E8"/>
      <color rgb="FFFEF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Equity Value Per Share</a:t>
            </a:r>
          </a:p>
        </c:rich>
      </c:tx>
      <c:layout>
        <c:manualLayout>
          <c:xMode val="edge"/>
          <c:yMode val="edge"/>
          <c:x val="0.34311255098749588"/>
          <c:y val="3.80121881347107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614516140301578E-2"/>
          <c:y val="0.13979571444793615"/>
          <c:w val="0.8872721372614627"/>
          <c:h val="0.80045507586022202"/>
        </c:manualLayout>
      </c:layout>
      <c:stockChart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'Valuation Summary'!$B$21:$B$22</c:f>
              <c:strCache>
                <c:ptCount val="2"/>
                <c:pt idx="0">
                  <c:v>52-Week Range</c:v>
                </c:pt>
                <c:pt idx="1">
                  <c:v>DCF</c:v>
                </c:pt>
              </c:strCache>
            </c:strRef>
          </c:cat>
          <c:val>
            <c:numRef>
              <c:f>'Valuation Summary'!$C$21:$C$22</c:f>
              <c:numCache>
                <c:formatCode>"$"#,##0.00</c:formatCode>
                <c:ptCount val="2"/>
                <c:pt idx="0" formatCode="_(&quot;$&quot;* #,##0.00_);_(&quot;$&quot;* \(#,##0.00\);_(&quot;$&quot;* &quot;-&quot;??_);_(@_)">
                  <c:v>54.25</c:v>
                </c:pt>
                <c:pt idx="1">
                  <c:v>95.516751614043017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5A6-4649-AC49-7500130822B8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'Valuation Summary'!$B$21:$B$22</c:f>
              <c:strCache>
                <c:ptCount val="2"/>
                <c:pt idx="0">
                  <c:v>52-Week Range</c:v>
                </c:pt>
                <c:pt idx="1">
                  <c:v>DCF</c:v>
                </c:pt>
              </c:strCache>
            </c:strRef>
          </c:cat>
          <c:val>
            <c:numRef>
              <c:f>'Valuation Summary'!$D$21:$D$22</c:f>
              <c:numCache>
                <c:formatCode>"$"#,##0.00</c:formatCode>
                <c:ptCount val="2"/>
                <c:pt idx="0" formatCode="_(&quot;$&quot;* #,##0.00_);_(&quot;$&quot;* \(#,##0.00\);_(&quot;$&quot;* &quot;-&quot;??_);_(@_)">
                  <c:v>54.25</c:v>
                </c:pt>
                <c:pt idx="1">
                  <c:v>102.58440088143051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5A6-4649-AC49-7500130822B8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'Valuation Summary'!$B$21:$B$22</c:f>
              <c:strCache>
                <c:ptCount val="2"/>
                <c:pt idx="0">
                  <c:v>52-Week Range</c:v>
                </c:pt>
                <c:pt idx="1">
                  <c:v>DCF</c:v>
                </c:pt>
              </c:strCache>
            </c:strRef>
          </c:cat>
          <c:val>
            <c:numRef>
              <c:f>'Valuation Summary'!$E$21:$E$22</c:f>
              <c:numCache>
                <c:formatCode>"$"#,##0.00</c:formatCode>
                <c:ptCount val="2"/>
                <c:pt idx="0" formatCode="_(&quot;$&quot;* #,##0.00_);_(&quot;$&quot;* \(#,##0.00\);_(&quot;$&quot;* &quot;-&quot;??_);_(@_)">
                  <c:v>85.9</c:v>
                </c:pt>
                <c:pt idx="1">
                  <c:v>111.77667135487931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5A6-4649-AC49-7500130822B8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strRef>
              <c:f>'Valuation Summary'!$B$21:$B$22</c:f>
              <c:strCache>
                <c:ptCount val="2"/>
                <c:pt idx="0">
                  <c:v>52-Week Range</c:v>
                </c:pt>
                <c:pt idx="1">
                  <c:v>DCF</c:v>
                </c:pt>
              </c:strCache>
            </c:strRef>
          </c:cat>
          <c:val>
            <c:numRef>
              <c:f>'Valuation Summary'!$F$21:$F$22</c:f>
              <c:numCache>
                <c:formatCode>_("$"* #,##0.00_);_("$"* \(#,##0.00\);_("$"* "-"??_);_(@_)</c:formatCode>
                <c:ptCount val="2"/>
                <c:pt idx="0">
                  <c:v>85.9</c:v>
                </c:pt>
                <c:pt idx="1">
                  <c:v>111.77667135487931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5A6-4649-AC49-750013082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upDownBars>
          <c:gapWidth val="150"/>
          <c:upBars>
            <c:spPr>
              <a:solidFill>
                <a:schemeClr val="accent1"/>
              </a:solidFill>
              <a:ln w="9525">
                <a:solidFill>
                  <a:schemeClr val="bg1">
                    <a:lumMod val="75000"/>
                  </a:schemeClr>
                </a:solidFill>
              </a:ln>
              <a:effectLst>
                <a:outerShdw blurRad="50800" algn="ctr" rotWithShape="0">
                  <a:prstClr val="black">
                    <a:alpha val="40000"/>
                  </a:prstClr>
                </a:outerShdw>
              </a:effectLst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downBars>
        </c:upDownBars>
        <c:axId val="179913232"/>
        <c:axId val="179905072"/>
      </c:stockChart>
      <c:catAx>
        <c:axId val="17991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05072"/>
        <c:crosses val="autoZero"/>
        <c:auto val="1"/>
        <c:lblAlgn val="ctr"/>
        <c:lblOffset val="100"/>
        <c:noMultiLvlLbl val="0"/>
      </c:catAx>
      <c:valAx>
        <c:axId val="179905072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13232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509476</xdr:colOff>
      <xdr:row>14</xdr:row>
      <xdr:rowOff>121832</xdr:rowOff>
    </xdr:from>
    <xdr:to>
      <xdr:col>9</xdr:col>
      <xdr:colOff>642383</xdr:colOff>
      <xdr:row>39</xdr:row>
      <xdr:rowOff>143982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C79483-748E-46BE-B472-35D2848630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ayson.harper\Downloads\UBER%203%20Statement%20Model%20+%20DCF.xlsx" TargetMode="External"/><Relationship Id="rId1" Type="http://schemas.openxmlformats.org/officeDocument/2006/relationships/externalLinkPath" Target="file:///C:\Users\grayson.harper\Downloads\UBER%203%20Statement%20Model%20+%20DC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Model"/>
      <sheetName val="Valuation"/>
      <sheetName val="Summary"/>
    </sheetNames>
    <sheetDataSet>
      <sheetData sheetId="0" refreshError="1"/>
      <sheetData sheetId="1"/>
      <sheetData sheetId="2" refreshError="1"/>
      <sheetData sheetId="3">
        <row r="73">
          <cell r="H73" t="str">
            <v>52-Week Range</v>
          </cell>
          <cell r="I73">
            <v>54.25</v>
          </cell>
          <cell r="J73">
            <v>54.25</v>
          </cell>
          <cell r="K73">
            <v>85.9</v>
          </cell>
          <cell r="L73">
            <v>85.9</v>
          </cell>
        </row>
        <row r="74">
          <cell r="H74" t="str">
            <v>FCFF</v>
          </cell>
          <cell r="I74" t="e">
            <v>#REF!</v>
          </cell>
          <cell r="J74" t="e">
            <v>#REF!</v>
          </cell>
          <cell r="K74" t="e">
            <v>#REF!</v>
          </cell>
          <cell r="L74" t="e">
            <v>#REF!</v>
          </cell>
        </row>
        <row r="75">
          <cell r="H75" t="str">
            <v>Exit Multiple</v>
          </cell>
          <cell r="I75" t="e">
            <v>#REF!</v>
          </cell>
          <cell r="J75" t="e">
            <v>#REF!</v>
          </cell>
          <cell r="K75" t="e">
            <v>#REF!</v>
          </cell>
          <cell r="L75" t="e">
            <v>#REF!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0DF6-C90F-497C-8D79-DCF2DE5CEE33}">
  <dimension ref="B3:H29"/>
  <sheetViews>
    <sheetView showGridLines="0" tabSelected="1" zoomScale="81" workbookViewId="0">
      <selection activeCell="J18" sqref="J18"/>
    </sheetView>
  </sheetViews>
  <sheetFormatPr defaultRowHeight="15" x14ac:dyDescent="0.25"/>
  <cols>
    <col min="2" max="2" width="15.5703125" customWidth="1"/>
    <col min="3" max="3" width="30.7109375" bestFit="1" customWidth="1"/>
    <col min="4" max="8" width="15.5703125" customWidth="1"/>
  </cols>
  <sheetData>
    <row r="3" spans="2:8" ht="21" x14ac:dyDescent="0.35">
      <c r="B3" s="313"/>
      <c r="C3" s="314"/>
      <c r="D3" s="314"/>
      <c r="E3" s="314"/>
      <c r="F3" s="314"/>
      <c r="G3" s="314"/>
      <c r="H3" s="315"/>
    </row>
    <row r="4" spans="2:8" ht="31.5" x14ac:dyDescent="0.5">
      <c r="B4" s="355" t="s">
        <v>242</v>
      </c>
      <c r="C4" s="335"/>
      <c r="D4" s="335"/>
      <c r="E4" s="336"/>
      <c r="F4" s="336"/>
      <c r="G4" s="336"/>
      <c r="H4" s="337"/>
    </row>
    <row r="5" spans="2:8" ht="21" x14ac:dyDescent="0.35">
      <c r="B5" s="316"/>
      <c r="C5" s="317"/>
      <c r="D5" s="317"/>
      <c r="E5" s="317"/>
      <c r="F5" s="317"/>
      <c r="G5" s="317"/>
      <c r="H5" s="318"/>
    </row>
    <row r="6" spans="2:8" ht="21" x14ac:dyDescent="0.35">
      <c r="B6" s="316"/>
      <c r="C6" s="319" t="s">
        <v>225</v>
      </c>
      <c r="D6" s="319"/>
      <c r="E6" s="317" t="s">
        <v>243</v>
      </c>
      <c r="F6" s="317"/>
      <c r="G6" s="317"/>
      <c r="H6" s="318"/>
    </row>
    <row r="7" spans="2:8" ht="21" x14ac:dyDescent="0.35">
      <c r="B7" s="316"/>
      <c r="C7" s="354"/>
      <c r="D7" s="354"/>
      <c r="E7" s="317"/>
      <c r="F7" s="317"/>
      <c r="G7" s="317"/>
      <c r="H7" s="318"/>
    </row>
    <row r="8" spans="2:8" ht="21" x14ac:dyDescent="0.35">
      <c r="B8" s="316"/>
      <c r="C8" s="319" t="s">
        <v>254</v>
      </c>
      <c r="D8" s="319"/>
      <c r="E8" s="317" t="s">
        <v>255</v>
      </c>
      <c r="F8" s="317"/>
      <c r="G8" s="317"/>
      <c r="H8" s="318"/>
    </row>
    <row r="9" spans="2:8" ht="21" x14ac:dyDescent="0.35">
      <c r="B9" s="316"/>
      <c r="C9" s="320"/>
      <c r="D9" s="320"/>
      <c r="E9" s="317"/>
      <c r="F9" s="317"/>
      <c r="G9" s="317"/>
      <c r="H9" s="318"/>
    </row>
    <row r="10" spans="2:8" ht="21" x14ac:dyDescent="0.35">
      <c r="B10" s="316"/>
      <c r="C10" s="319" t="s">
        <v>226</v>
      </c>
      <c r="D10" s="319"/>
      <c r="E10" s="317" t="s">
        <v>244</v>
      </c>
      <c r="F10" s="317"/>
      <c r="G10" s="317"/>
      <c r="H10" s="318"/>
    </row>
    <row r="11" spans="2:8" ht="21" x14ac:dyDescent="0.35">
      <c r="B11" s="316"/>
      <c r="C11" s="320"/>
      <c r="D11" s="320"/>
      <c r="E11" s="317"/>
      <c r="F11" s="317"/>
      <c r="G11" s="317"/>
      <c r="H11" s="318"/>
    </row>
    <row r="12" spans="2:8" ht="21" x14ac:dyDescent="0.35">
      <c r="B12" s="316"/>
      <c r="C12" s="319" t="s">
        <v>227</v>
      </c>
      <c r="D12" s="319"/>
      <c r="E12" s="338">
        <f>Model!F4</f>
        <v>75.14</v>
      </c>
      <c r="F12" s="317"/>
      <c r="G12" s="317"/>
      <c r="H12" s="318"/>
    </row>
    <row r="13" spans="2:8" ht="21" x14ac:dyDescent="0.35">
      <c r="B13" s="316"/>
      <c r="C13" s="317"/>
      <c r="D13" s="317"/>
      <c r="E13" s="317"/>
      <c r="F13" s="317"/>
      <c r="G13" s="317"/>
      <c r="H13" s="318"/>
    </row>
    <row r="14" spans="2:8" ht="21" x14ac:dyDescent="0.35">
      <c r="B14" s="316"/>
      <c r="C14" s="319" t="s">
        <v>228</v>
      </c>
      <c r="D14" s="319"/>
      <c r="E14" s="321">
        <f>Model!F3</f>
        <v>45766</v>
      </c>
      <c r="F14" s="317"/>
      <c r="G14" s="317"/>
      <c r="H14" s="318"/>
    </row>
    <row r="15" spans="2:8" ht="21" x14ac:dyDescent="0.35">
      <c r="B15" s="316"/>
      <c r="C15" s="317"/>
      <c r="D15" s="317"/>
      <c r="E15" s="317"/>
      <c r="F15" s="317"/>
      <c r="G15" s="317"/>
      <c r="H15" s="318"/>
    </row>
    <row r="16" spans="2:8" ht="21" x14ac:dyDescent="0.35">
      <c r="B16" s="316"/>
      <c r="C16" s="322" t="s">
        <v>229</v>
      </c>
      <c r="D16" s="322"/>
      <c r="E16" s="322"/>
      <c r="F16" s="322"/>
      <c r="G16" s="322"/>
      <c r="H16" s="318"/>
    </row>
    <row r="17" spans="2:8" ht="21" x14ac:dyDescent="0.35">
      <c r="B17" s="316"/>
      <c r="C17" s="323" t="s">
        <v>230</v>
      </c>
      <c r="D17" s="324" t="s">
        <v>231</v>
      </c>
      <c r="E17" s="324"/>
      <c r="F17" s="324"/>
      <c r="G17" s="324"/>
      <c r="H17" s="318"/>
    </row>
    <row r="18" spans="2:8" ht="21" x14ac:dyDescent="0.35">
      <c r="B18" s="316"/>
      <c r="C18" s="325" t="s">
        <v>210</v>
      </c>
      <c r="D18" s="326" t="s">
        <v>253</v>
      </c>
      <c r="E18" s="326"/>
      <c r="F18" s="326"/>
      <c r="G18" s="326"/>
      <c r="H18" s="318"/>
    </row>
    <row r="19" spans="2:8" ht="21" x14ac:dyDescent="0.35">
      <c r="B19" s="316"/>
      <c r="C19" s="325" t="s">
        <v>232</v>
      </c>
      <c r="D19" s="351" t="s">
        <v>252</v>
      </c>
      <c r="E19" s="352"/>
      <c r="F19" s="352"/>
      <c r="G19" s="353"/>
      <c r="H19" s="318"/>
    </row>
    <row r="20" spans="2:8" ht="21" x14ac:dyDescent="0.35">
      <c r="B20" s="316"/>
      <c r="C20" s="325" t="s">
        <v>249</v>
      </c>
      <c r="D20" s="326" t="s">
        <v>233</v>
      </c>
      <c r="E20" s="326"/>
      <c r="F20" s="326"/>
      <c r="G20" s="326"/>
      <c r="H20" s="318"/>
    </row>
    <row r="21" spans="2:8" ht="21" x14ac:dyDescent="0.35">
      <c r="B21" s="316"/>
      <c r="C21" s="325" t="s">
        <v>250</v>
      </c>
      <c r="D21" s="326" t="s">
        <v>266</v>
      </c>
      <c r="E21" s="326"/>
      <c r="F21" s="326"/>
      <c r="G21" s="326"/>
      <c r="H21" s="318"/>
    </row>
    <row r="22" spans="2:8" ht="21" x14ac:dyDescent="0.35">
      <c r="B22" s="316"/>
      <c r="C22" s="325" t="s">
        <v>251</v>
      </c>
      <c r="D22" s="326" t="s">
        <v>267</v>
      </c>
      <c r="E22" s="326"/>
      <c r="F22" s="326"/>
      <c r="G22" s="326"/>
      <c r="H22" s="318"/>
    </row>
    <row r="23" spans="2:8" ht="21" x14ac:dyDescent="0.35">
      <c r="B23" s="316"/>
      <c r="C23" s="327"/>
      <c r="D23" s="317"/>
      <c r="E23" s="317"/>
      <c r="F23" s="317"/>
      <c r="G23" s="317"/>
      <c r="H23" s="318"/>
    </row>
    <row r="24" spans="2:8" ht="21" x14ac:dyDescent="0.35">
      <c r="B24" s="316"/>
      <c r="C24" s="322" t="s">
        <v>234</v>
      </c>
      <c r="D24" s="322"/>
      <c r="E24" s="322"/>
      <c r="F24" s="322"/>
      <c r="G24" s="322"/>
      <c r="H24" s="318"/>
    </row>
    <row r="25" spans="2:8" ht="21" x14ac:dyDescent="0.35">
      <c r="B25" s="316"/>
      <c r="C25" s="323" t="s">
        <v>235</v>
      </c>
      <c r="D25" s="324" t="s">
        <v>236</v>
      </c>
      <c r="E25" s="324"/>
      <c r="F25" s="324"/>
      <c r="G25" s="324"/>
      <c r="H25" s="318"/>
    </row>
    <row r="26" spans="2:8" ht="21" x14ac:dyDescent="0.35">
      <c r="B26" s="316"/>
      <c r="C26" s="328" t="s">
        <v>237</v>
      </c>
      <c r="D26" s="329" t="s">
        <v>238</v>
      </c>
      <c r="E26" s="329"/>
      <c r="F26" s="329"/>
      <c r="G26" s="329"/>
      <c r="H26" s="318"/>
    </row>
    <row r="27" spans="2:8" ht="21" x14ac:dyDescent="0.35">
      <c r="B27" s="316"/>
      <c r="C27" s="330" t="s">
        <v>239</v>
      </c>
      <c r="D27" s="329" t="s">
        <v>240</v>
      </c>
      <c r="E27" s="329"/>
      <c r="F27" s="329"/>
      <c r="G27" s="329"/>
      <c r="H27" s="318"/>
    </row>
    <row r="28" spans="2:8" ht="21" x14ac:dyDescent="0.35">
      <c r="B28" s="316"/>
      <c r="C28" s="327"/>
      <c r="D28" s="317"/>
      <c r="E28" s="317"/>
      <c r="F28" s="317"/>
      <c r="G28" s="317"/>
      <c r="H28" s="318"/>
    </row>
    <row r="29" spans="2:8" ht="21" x14ac:dyDescent="0.35">
      <c r="B29" s="331"/>
      <c r="C29" s="332"/>
      <c r="D29" s="333"/>
      <c r="E29" s="333"/>
      <c r="F29" s="333"/>
      <c r="G29" s="333"/>
      <c r="H29" s="334"/>
    </row>
  </sheetData>
  <mergeCells count="16">
    <mergeCell ref="D27:G27"/>
    <mergeCell ref="D20:G20"/>
    <mergeCell ref="D21:G21"/>
    <mergeCell ref="C8:D8"/>
    <mergeCell ref="D18:G18"/>
    <mergeCell ref="D19:G19"/>
    <mergeCell ref="D22:G22"/>
    <mergeCell ref="C24:G24"/>
    <mergeCell ref="D25:G25"/>
    <mergeCell ref="D26:G26"/>
    <mergeCell ref="C6:D6"/>
    <mergeCell ref="C10:D10"/>
    <mergeCell ref="C12:D12"/>
    <mergeCell ref="C14:D14"/>
    <mergeCell ref="C16:G16"/>
    <mergeCell ref="D17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E196-63E4-4813-A44C-A6667FA5FB83}">
  <dimension ref="B3:S33"/>
  <sheetViews>
    <sheetView showGridLines="0" zoomScale="80" zoomScaleNormal="80" workbookViewId="0">
      <selection activeCell="F6" sqref="F6"/>
    </sheetView>
  </sheetViews>
  <sheetFormatPr defaultRowHeight="15" x14ac:dyDescent="0.25"/>
  <cols>
    <col min="2" max="12" width="12" customWidth="1"/>
    <col min="13" max="13" width="9" bestFit="1" customWidth="1"/>
    <col min="14" max="14" width="13.5703125" customWidth="1"/>
    <col min="15" max="16" width="13.85546875" customWidth="1"/>
    <col min="17" max="17" width="14.7109375" customWidth="1"/>
    <col min="18" max="18" width="12.7109375" customWidth="1"/>
  </cols>
  <sheetData>
    <row r="3" spans="2:19" ht="24" x14ac:dyDescent="0.4">
      <c r="B3" s="383" t="s">
        <v>246</v>
      </c>
      <c r="C3" s="311"/>
      <c r="D3" s="383"/>
      <c r="E3" s="383"/>
      <c r="F3" s="383"/>
      <c r="G3" s="384"/>
      <c r="H3" s="383" t="s">
        <v>247</v>
      </c>
      <c r="I3" s="383"/>
      <c r="J3" s="383"/>
      <c r="K3" s="383"/>
      <c r="L3" s="383"/>
      <c r="M3" s="384"/>
      <c r="N3" s="383" t="s">
        <v>248</v>
      </c>
      <c r="O3" s="383"/>
      <c r="P3" s="383"/>
      <c r="Q3" s="383"/>
      <c r="R3" s="383"/>
    </row>
    <row r="5" spans="2:19" ht="18.75" x14ac:dyDescent="0.3">
      <c r="B5" s="322" t="s">
        <v>210</v>
      </c>
      <c r="C5" s="322"/>
      <c r="D5" s="322"/>
      <c r="E5" s="322"/>
      <c r="F5" s="322"/>
      <c r="G5" s="377"/>
      <c r="H5" s="322" t="s">
        <v>210</v>
      </c>
      <c r="I5" s="322"/>
      <c r="J5" s="322"/>
      <c r="K5" s="322"/>
      <c r="L5" s="322"/>
      <c r="M5" s="377"/>
      <c r="N5" s="322" t="s">
        <v>210</v>
      </c>
      <c r="O5" s="322"/>
      <c r="P5" s="322"/>
      <c r="Q5" s="322"/>
      <c r="R5" s="322"/>
    </row>
    <row r="6" spans="2:19" ht="18.75" x14ac:dyDescent="0.3">
      <c r="B6" s="339" t="s">
        <v>141</v>
      </c>
      <c r="C6" s="378"/>
      <c r="D6" s="378"/>
      <c r="E6" s="378"/>
      <c r="F6" s="343">
        <v>102.58440088143051</v>
      </c>
      <c r="G6" s="377"/>
      <c r="H6" s="339" t="s">
        <v>141</v>
      </c>
      <c r="I6" s="378"/>
      <c r="J6" s="378"/>
      <c r="K6" s="378"/>
      <c r="L6" s="343">
        <v>111.77667135487931</v>
      </c>
      <c r="M6" s="377"/>
      <c r="N6" s="339" t="s">
        <v>141</v>
      </c>
      <c r="O6" s="378"/>
      <c r="P6" s="378"/>
      <c r="Q6" s="378"/>
      <c r="R6" s="343">
        <v>95.516751614043017</v>
      </c>
    </row>
    <row r="7" spans="2:19" ht="18.75" x14ac:dyDescent="0.3">
      <c r="B7" s="340" t="s">
        <v>217</v>
      </c>
      <c r="C7" s="379"/>
      <c r="D7" s="379"/>
      <c r="E7" s="379"/>
      <c r="F7" s="344">
        <v>82.561806034208033</v>
      </c>
      <c r="G7" s="377"/>
      <c r="H7" s="340" t="s">
        <v>217</v>
      </c>
      <c r="I7" s="379"/>
      <c r="J7" s="379"/>
      <c r="K7" s="379"/>
      <c r="L7" s="344">
        <v>91.718874642746755</v>
      </c>
      <c r="M7" s="377"/>
      <c r="N7" s="340" t="s">
        <v>217</v>
      </c>
      <c r="O7" s="379"/>
      <c r="P7" s="379"/>
      <c r="Q7" s="379"/>
      <c r="R7" s="344">
        <v>75.657653276141005</v>
      </c>
    </row>
    <row r="8" spans="2:19" ht="18.75" x14ac:dyDescent="0.3">
      <c r="B8" s="340" t="s">
        <v>218</v>
      </c>
      <c r="C8" s="379"/>
      <c r="D8" s="379"/>
      <c r="E8" s="379"/>
      <c r="F8" s="344">
        <v>87.577591429040098</v>
      </c>
      <c r="G8" s="377"/>
      <c r="H8" s="340" t="s">
        <v>218</v>
      </c>
      <c r="I8" s="379"/>
      <c r="J8" s="379"/>
      <c r="K8" s="379"/>
      <c r="L8" s="344">
        <v>97.659526506021081</v>
      </c>
      <c r="M8" s="377"/>
      <c r="N8" s="340" t="s">
        <v>218</v>
      </c>
      <c r="O8" s="379"/>
      <c r="P8" s="379"/>
      <c r="Q8" s="379"/>
      <c r="R8" s="344">
        <v>79.970698261790531</v>
      </c>
    </row>
    <row r="9" spans="2:19" ht="18.75" x14ac:dyDescent="0.3">
      <c r="B9" s="340" t="s">
        <v>219</v>
      </c>
      <c r="C9" s="379"/>
      <c r="D9" s="379"/>
      <c r="E9" s="379"/>
      <c r="F9" s="344">
        <v>70.964194889490358</v>
      </c>
      <c r="G9" s="377"/>
      <c r="H9" s="340" t="s">
        <v>219</v>
      </c>
      <c r="I9" s="379"/>
      <c r="J9" s="379"/>
      <c r="K9" s="379"/>
      <c r="L9" s="344">
        <v>70.964194889490358</v>
      </c>
      <c r="M9" s="377"/>
      <c r="N9" s="340" t="s">
        <v>219</v>
      </c>
      <c r="O9" s="379"/>
      <c r="P9" s="379"/>
      <c r="Q9" s="379"/>
      <c r="R9" s="344">
        <v>70.964194889490358</v>
      </c>
    </row>
    <row r="10" spans="2:19" ht="19.5" thickBot="1" x14ac:dyDescent="0.35">
      <c r="B10" s="341" t="s">
        <v>142</v>
      </c>
      <c r="C10" s="380"/>
      <c r="D10" s="380"/>
      <c r="E10" s="380"/>
      <c r="F10" s="345">
        <v>85.923884326020897</v>
      </c>
      <c r="G10" s="377"/>
      <c r="H10" s="341" t="s">
        <v>142</v>
      </c>
      <c r="I10" s="380"/>
      <c r="J10" s="380"/>
      <c r="K10" s="380"/>
      <c r="L10" s="345">
        <v>93.029816848284383</v>
      </c>
      <c r="M10" s="377"/>
      <c r="N10" s="341" t="s">
        <v>142</v>
      </c>
      <c r="O10" s="380"/>
      <c r="P10" s="380"/>
      <c r="Q10" s="380"/>
      <c r="R10" s="345">
        <v>80.527324510366213</v>
      </c>
    </row>
    <row r="11" spans="2:19" ht="18.75" x14ac:dyDescent="0.3">
      <c r="B11" s="342" t="s">
        <v>221</v>
      </c>
      <c r="C11" s="381"/>
      <c r="D11" s="381"/>
      <c r="E11" s="381"/>
      <c r="F11" s="346">
        <v>0.14351722552596358</v>
      </c>
      <c r="G11" s="377"/>
      <c r="H11" s="342" t="s">
        <v>221</v>
      </c>
      <c r="I11" s="381"/>
      <c r="J11" s="381"/>
      <c r="K11" s="381"/>
      <c r="L11" s="346">
        <v>0.23808646324573313</v>
      </c>
      <c r="M11" s="377"/>
      <c r="N11" s="342" t="s">
        <v>221</v>
      </c>
      <c r="O11" s="381"/>
      <c r="P11" s="381"/>
      <c r="Q11" s="381"/>
      <c r="R11" s="346">
        <v>7.1697158775169134E-2</v>
      </c>
    </row>
    <row r="16" spans="2:19" ht="21" x14ac:dyDescent="0.35">
      <c r="M16" s="382" t="s">
        <v>259</v>
      </c>
      <c r="N16" s="118"/>
      <c r="O16" s="118"/>
      <c r="P16" s="118"/>
      <c r="Q16" s="118"/>
      <c r="R16" s="118"/>
      <c r="S16" s="118"/>
    </row>
    <row r="18" spans="2:19" x14ac:dyDescent="0.25">
      <c r="M18" s="356"/>
      <c r="N18" s="356"/>
      <c r="O18" s="375"/>
      <c r="Q18" s="356"/>
      <c r="R18" s="356"/>
      <c r="S18" s="356"/>
    </row>
    <row r="19" spans="2:19" x14ac:dyDescent="0.25">
      <c r="B19" s="370" t="s">
        <v>260</v>
      </c>
      <c r="C19" s="370"/>
      <c r="D19" s="370"/>
      <c r="E19" s="370"/>
      <c r="F19" s="370"/>
      <c r="N19" s="118" t="s">
        <v>257</v>
      </c>
      <c r="O19" s="118"/>
      <c r="P19" s="118"/>
      <c r="Q19" s="118"/>
      <c r="R19" s="118"/>
      <c r="S19" s="19"/>
    </row>
    <row r="20" spans="2:19" ht="15.75" x14ac:dyDescent="0.25">
      <c r="B20" s="371"/>
      <c r="C20" s="372" t="s">
        <v>261</v>
      </c>
      <c r="D20" s="372" t="s">
        <v>262</v>
      </c>
      <c r="E20" s="372" t="s">
        <v>263</v>
      </c>
      <c r="F20" s="372" t="s">
        <v>264</v>
      </c>
      <c r="L20" s="385"/>
      <c r="M20" s="386">
        <f>'3-Step Valuation'!O51</f>
        <v>93.768948315452079</v>
      </c>
      <c r="N20" s="387">
        <f>'3-Step Valuation'!P51</f>
        <v>11</v>
      </c>
      <c r="O20" s="388">
        <f>'3-Step Valuation'!Q51</f>
        <v>12</v>
      </c>
      <c r="P20" s="389">
        <f>'3-Step Valuation'!R51</f>
        <v>13</v>
      </c>
      <c r="Q20" s="388">
        <f>'3-Step Valuation'!S51</f>
        <v>14</v>
      </c>
      <c r="R20" s="390">
        <f>'3-Step Valuation'!T51</f>
        <v>15</v>
      </c>
      <c r="S20" s="276"/>
    </row>
    <row r="21" spans="2:19" ht="15.75" x14ac:dyDescent="0.25">
      <c r="B21" s="370" t="s">
        <v>265</v>
      </c>
      <c r="C21" s="373">
        <v>54.25</v>
      </c>
      <c r="D21" s="373">
        <f>C21</f>
        <v>54.25</v>
      </c>
      <c r="E21" s="373">
        <v>85.9</v>
      </c>
      <c r="F21" s="373">
        <f>E21</f>
        <v>85.9</v>
      </c>
      <c r="L21" s="385"/>
      <c r="M21" s="391">
        <f>'3-Step Valuation'!O52</f>
        <v>7.5702041262443953E-2</v>
      </c>
      <c r="N21" s="392">
        <f>'3-Step Valuation'!P52</f>
        <v>78.165815550409732</v>
      </c>
      <c r="O21" s="393">
        <f>'3-Step Valuation'!Q52</f>
        <v>83.915444405140221</v>
      </c>
      <c r="P21" s="393">
        <f>'3-Step Valuation'!R52</f>
        <v>89.665073259870695</v>
      </c>
      <c r="Q21" s="393">
        <f>'3-Step Valuation'!S52</f>
        <v>95.414702114601184</v>
      </c>
      <c r="R21" s="394">
        <f>'3-Step Valuation'!T52</f>
        <v>101.16433096933163</v>
      </c>
      <c r="S21" s="19"/>
    </row>
    <row r="22" spans="2:19" ht="15.75" x14ac:dyDescent="0.25">
      <c r="B22" s="370" t="s">
        <v>241</v>
      </c>
      <c r="C22" s="374">
        <f>R6</f>
        <v>95.516751614043017</v>
      </c>
      <c r="D22" s="374">
        <f>F6</f>
        <v>102.58440088143051</v>
      </c>
      <c r="E22" s="374">
        <f>L6</f>
        <v>111.77667135487931</v>
      </c>
      <c r="F22" s="373">
        <f t="shared" ref="F22" si="0">E22</f>
        <v>111.77667135487931</v>
      </c>
      <c r="L22" s="385"/>
      <c r="M22" s="395">
        <f>'3-Step Valuation'!O53</f>
        <v>7.0702041262443949E-2</v>
      </c>
      <c r="N22" s="396">
        <f>'3-Step Valuation'!P53</f>
        <v>79.921606432793951</v>
      </c>
      <c r="O22" s="397">
        <f>'3-Step Valuation'!Q53</f>
        <v>85.805467143851928</v>
      </c>
      <c r="P22" s="397">
        <f>'3-Step Valuation'!R53</f>
        <v>91.689327854909919</v>
      </c>
      <c r="Q22" s="397">
        <f>'3-Step Valuation'!S53</f>
        <v>97.573188565967911</v>
      </c>
      <c r="R22" s="398">
        <f>'3-Step Valuation'!T53</f>
        <v>103.45704927702589</v>
      </c>
      <c r="S22" s="19"/>
    </row>
    <row r="23" spans="2:19" ht="15.75" x14ac:dyDescent="0.25">
      <c r="L23" s="399" t="s">
        <v>56</v>
      </c>
      <c r="M23" s="400">
        <f>'3-Step Valuation'!O54</f>
        <v>6.5702041262443944E-2</v>
      </c>
      <c r="N23" s="396">
        <f>'3-Step Valuation'!P54</f>
        <v>81.725194656588044</v>
      </c>
      <c r="O23" s="397">
        <f>'3-Step Valuation'!Q54</f>
        <v>87.747071486020076</v>
      </c>
      <c r="P23" s="401">
        <f>'3-Step Valuation'!R54</f>
        <v>93.768948315452079</v>
      </c>
      <c r="Q23" s="397">
        <f>'3-Step Valuation'!S54</f>
        <v>99.790825144884082</v>
      </c>
      <c r="R23" s="398">
        <f>'3-Step Valuation'!T54</f>
        <v>105.81270197431607</v>
      </c>
      <c r="S23" s="19"/>
    </row>
    <row r="24" spans="2:19" ht="15.75" x14ac:dyDescent="0.25">
      <c r="L24" s="385"/>
      <c r="M24" s="395">
        <f>'3-Step Valuation'!O55</f>
        <v>6.0702041262443947E-2</v>
      </c>
      <c r="N24" s="396">
        <f>'3-Step Valuation'!P55</f>
        <v>83.578133176577936</v>
      </c>
      <c r="O24" s="397">
        <f>'3-Step Valuation'!Q55</f>
        <v>89.741935584292776</v>
      </c>
      <c r="P24" s="397">
        <f>'3-Step Valuation'!R55</f>
        <v>95.905737992007616</v>
      </c>
      <c r="Q24" s="397">
        <f>'3-Step Valuation'!S55</f>
        <v>102.06954039972247</v>
      </c>
      <c r="R24" s="398">
        <f>'3-Step Valuation'!T55</f>
        <v>108.23334280743731</v>
      </c>
      <c r="S24" s="19"/>
    </row>
    <row r="25" spans="2:19" ht="15.75" x14ac:dyDescent="0.25">
      <c r="L25" s="385"/>
      <c r="M25" s="402">
        <f>'3-Step Valuation'!O56</f>
        <v>5.5702041262443949E-2</v>
      </c>
      <c r="N25" s="403">
        <f>'3-Step Valuation'!P56</f>
        <v>85.482033341387194</v>
      </c>
      <c r="O25" s="404">
        <f>'3-Step Valuation'!Q56</f>
        <v>91.791800745474816</v>
      </c>
      <c r="P25" s="404">
        <f>'3-Step Valuation'!R56</f>
        <v>98.101568149562439</v>
      </c>
      <c r="Q25" s="404">
        <f>'3-Step Valuation'!S56</f>
        <v>104.4113355536501</v>
      </c>
      <c r="R25" s="405">
        <f>'3-Step Valuation'!T56</f>
        <v>110.72110295773773</v>
      </c>
      <c r="S25" s="19"/>
    </row>
    <row r="26" spans="2:19" ht="15.75" x14ac:dyDescent="0.25">
      <c r="L26" s="385"/>
      <c r="M26" s="385"/>
      <c r="N26" s="385"/>
      <c r="O26" s="385"/>
      <c r="P26" s="385"/>
      <c r="Q26" s="385"/>
      <c r="R26" s="385"/>
      <c r="S26" s="19"/>
    </row>
    <row r="27" spans="2:19" ht="15.75" x14ac:dyDescent="0.25">
      <c r="L27" s="385"/>
      <c r="M27" s="385"/>
      <c r="N27" s="406" t="s">
        <v>258</v>
      </c>
      <c r="O27" s="406"/>
      <c r="P27" s="406"/>
      <c r="Q27" s="406"/>
      <c r="R27" s="406"/>
      <c r="S27" s="19"/>
    </row>
    <row r="28" spans="2:19" ht="15.75" x14ac:dyDescent="0.25">
      <c r="L28" s="385"/>
      <c r="M28" s="407"/>
      <c r="N28" s="408">
        <f>'3-Step Valuation'!P59</f>
        <v>1.3000000000000001E-2</v>
      </c>
      <c r="O28" s="409">
        <f>'3-Step Valuation'!Q59</f>
        <v>1.6500000000000001E-2</v>
      </c>
      <c r="P28" s="410">
        <f>'3-Step Valuation'!R59</f>
        <v>0.02</v>
      </c>
      <c r="Q28" s="409">
        <f>'3-Step Valuation'!S59</f>
        <v>2.35E-2</v>
      </c>
      <c r="R28" s="411">
        <f>'3-Step Valuation'!T59</f>
        <v>2.7E-2</v>
      </c>
      <c r="S28" s="19"/>
    </row>
    <row r="29" spans="2:19" ht="15.75" x14ac:dyDescent="0.25">
      <c r="L29" s="385"/>
      <c r="M29" s="391">
        <f>'3-Step Valuation'!O60</f>
        <v>7.5702041262443953E-2</v>
      </c>
      <c r="N29" s="392">
        <f>'3-Step Valuation'!P60</f>
        <v>81.211580777982093</v>
      </c>
      <c r="O29" s="393">
        <f>'3-Step Valuation'!Q60</f>
        <v>85.373301692080645</v>
      </c>
      <c r="P29" s="393">
        <f>'3-Step Valuation'!R60</f>
        <v>90.058020430647304</v>
      </c>
      <c r="Q29" s="393">
        <f>'3-Step Valuation'!S60</f>
        <v>95.370933591824752</v>
      </c>
      <c r="R29" s="394">
        <f>'3-Step Valuation'!T60</f>
        <v>101.44747782809061</v>
      </c>
      <c r="S29" s="19"/>
    </row>
    <row r="30" spans="2:19" ht="15.75" x14ac:dyDescent="0.25">
      <c r="L30" s="385"/>
      <c r="M30" s="395">
        <f>'3-Step Valuation'!O61</f>
        <v>7.0702041262443949E-2</v>
      </c>
      <c r="N30" s="396">
        <f>'3-Step Valuation'!P61</f>
        <v>88.916896326605823</v>
      </c>
      <c r="O30" s="397">
        <f>'3-Step Valuation'!Q61</f>
        <v>93.948236761128342</v>
      </c>
      <c r="P30" s="397">
        <f>'3-Step Valuation'!R61</f>
        <v>99.674211615976375</v>
      </c>
      <c r="Q30" s="397">
        <f>'3-Step Valuation'!S61</f>
        <v>106.24934093346894</v>
      </c>
      <c r="R30" s="398">
        <f>'3-Step Valuation'!T61</f>
        <v>113.8776454320943</v>
      </c>
      <c r="S30" s="19"/>
    </row>
    <row r="31" spans="2:19" ht="15.75" x14ac:dyDescent="0.25">
      <c r="L31" s="399" t="s">
        <v>56</v>
      </c>
      <c r="M31" s="400">
        <f>'3-Step Valuation'!O62</f>
        <v>6.5702041262443944E-2</v>
      </c>
      <c r="N31" s="396">
        <f>'3-Step Valuation'!P62</f>
        <v>98.089360598930085</v>
      </c>
      <c r="O31" s="397">
        <f>'3-Step Valuation'!Q62</f>
        <v>104.27118433811076</v>
      </c>
      <c r="P31" s="401">
        <f>'3-Step Valuation'!R62</f>
        <v>111.39985344740894</v>
      </c>
      <c r="Q31" s="397">
        <f>'3-Step Valuation'!S62</f>
        <v>119.71094601946729</v>
      </c>
      <c r="R31" s="398">
        <f>'3-Step Valuation'!T62</f>
        <v>129.52525770107846</v>
      </c>
      <c r="S31" s="19"/>
    </row>
    <row r="32" spans="2:19" ht="15.75" x14ac:dyDescent="0.25">
      <c r="L32" s="385"/>
      <c r="M32" s="395">
        <f>'3-Step Valuation'!O63</f>
        <v>6.0702041262443947E-2</v>
      </c>
      <c r="N32" s="396">
        <f>'3-Step Valuation'!P63</f>
        <v>109.19045424935941</v>
      </c>
      <c r="O32" s="397">
        <f>'3-Step Valuation'!Q63</f>
        <v>116.93547049415932</v>
      </c>
      <c r="P32" s="397">
        <f>'3-Step Valuation'!R63</f>
        <v>126.01248661002283</v>
      </c>
      <c r="Q32" s="397">
        <f>'3-Step Valuation'!S63</f>
        <v>136.79744967328108</v>
      </c>
      <c r="R32" s="398">
        <f>'3-Step Valuation'!T63</f>
        <v>149.82247709510193</v>
      </c>
      <c r="S32" s="19"/>
    </row>
    <row r="33" spans="12:19" ht="15.75" x14ac:dyDescent="0.25">
      <c r="L33" s="385"/>
      <c r="M33" s="402">
        <f>'3-Step Valuation'!O64</f>
        <v>5.5702041262443949E-2</v>
      </c>
      <c r="N33" s="403">
        <f>'3-Step Valuation'!P64</f>
        <v>122.89780208304337</v>
      </c>
      <c r="O33" s="404">
        <f>'3-Step Valuation'!Q64</f>
        <v>132.83712736316045</v>
      </c>
      <c r="P33" s="404">
        <f>'3-Step Valuation'!R64</f>
        <v>144.72522852556887</v>
      </c>
      <c r="Q33" s="404">
        <f>'3-Step Valuation'!S64</f>
        <v>159.19753568469176</v>
      </c>
      <c r="R33" s="405">
        <f>'3-Step Valuation'!T64</f>
        <v>177.19942281994057</v>
      </c>
      <c r="S33" s="19"/>
    </row>
  </sheetData>
  <mergeCells count="3">
    <mergeCell ref="B5:F5"/>
    <mergeCell ref="H5:L5"/>
    <mergeCell ref="N5:R5"/>
  </mergeCells>
  <conditionalFormatting sqref="F11">
    <cfRule type="colorScale" priority="3">
      <colorScale>
        <cfvo type="num" val="-0.5"/>
        <cfvo type="num" val="0"/>
        <cfvo type="num" val="0.5"/>
        <color rgb="FFF8696B"/>
        <color rgb="FFFCFCFF"/>
        <color rgb="FF63BE7B"/>
      </colorScale>
    </cfRule>
  </conditionalFormatting>
  <conditionalFormatting sqref="L11">
    <cfRule type="colorScale" priority="2">
      <colorScale>
        <cfvo type="num" val="-0.5"/>
        <cfvo type="num" val="0"/>
        <cfvo type="num" val="0.5"/>
        <color rgb="FFF8696B"/>
        <color rgb="FFFCFCFF"/>
        <color rgb="FF63BE7B"/>
      </colorScale>
    </cfRule>
  </conditionalFormatting>
  <conditionalFormatting sqref="R11">
    <cfRule type="colorScale" priority="1">
      <colorScale>
        <cfvo type="num" val="-0.5"/>
        <cfvo type="num" val="0"/>
        <cfvo type="num" val="0.5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572C-1B81-49BD-A06A-FEB494EAE093}">
  <dimension ref="C3:AI107"/>
  <sheetViews>
    <sheetView showGridLines="0" topLeftCell="A2" zoomScale="99" zoomScaleNormal="90" workbookViewId="0">
      <pane ySplit="11" topLeftCell="A13" activePane="bottomLeft" state="frozen"/>
      <selection activeCell="A2" sqref="A2"/>
      <selection pane="bottomLeft" activeCell="H9" sqref="H9"/>
    </sheetView>
  </sheetViews>
  <sheetFormatPr defaultRowHeight="15" outlineLevelRow="1" outlineLevelCol="1" x14ac:dyDescent="0.25"/>
  <cols>
    <col min="1" max="1" width="4.140625" customWidth="1"/>
    <col min="2" max="2" width="3.5703125" customWidth="1"/>
    <col min="7" max="8" width="8.85546875" bestFit="1" customWidth="1"/>
    <col min="9" max="9" width="10.42578125" bestFit="1" customWidth="1"/>
    <col min="10" max="10" width="8.85546875" bestFit="1" customWidth="1"/>
    <col min="11" max="12" width="10" bestFit="1" customWidth="1"/>
    <col min="13" max="13" width="10.42578125" bestFit="1" customWidth="1"/>
    <col min="14" max="16" width="8.85546875" bestFit="1" customWidth="1"/>
    <col min="17" max="17" width="10.42578125" bestFit="1" customWidth="1"/>
    <col min="18" max="19" width="10" bestFit="1" customWidth="1"/>
    <col min="20" max="20" width="8.85546875" bestFit="1" customWidth="1"/>
    <col min="21" max="21" width="10.42578125" bestFit="1" customWidth="1"/>
    <col min="22" max="22" width="9.42578125" bestFit="1" customWidth="1"/>
    <col min="23" max="24" width="10" bestFit="1" customWidth="1"/>
    <col min="25" max="25" width="10.42578125" bestFit="1" customWidth="1"/>
    <col min="26" max="28" width="10" bestFit="1" customWidth="1"/>
    <col min="30" max="34" width="9.140625" customWidth="1" outlineLevel="1"/>
  </cols>
  <sheetData>
    <row r="3" spans="3:34" x14ac:dyDescent="0.25">
      <c r="C3" s="21" t="s">
        <v>60</v>
      </c>
      <c r="D3" s="22"/>
      <c r="E3" s="23"/>
      <c r="F3" s="308">
        <v>45766</v>
      </c>
      <c r="H3" s="299" t="s">
        <v>141</v>
      </c>
      <c r="I3" s="300"/>
      <c r="J3" s="300"/>
      <c r="K3" s="300"/>
      <c r="L3" s="301">
        <f>'3-Step Valuation'!E45</f>
        <v>102.58440088143051</v>
      </c>
    </row>
    <row r="4" spans="3:34" x14ac:dyDescent="0.25">
      <c r="C4" s="24" t="s">
        <v>222</v>
      </c>
      <c r="D4" s="5"/>
      <c r="E4" s="25"/>
      <c r="F4" s="309">
        <v>75.14</v>
      </c>
      <c r="H4" s="302" t="s">
        <v>217</v>
      </c>
      <c r="I4" s="104"/>
      <c r="J4" s="104"/>
      <c r="K4" s="104"/>
      <c r="L4" s="303">
        <f>'Target - Historical Multiple'!AB8</f>
        <v>82.561806034208033</v>
      </c>
    </row>
    <row r="5" spans="3:34" x14ac:dyDescent="0.25">
      <c r="C5" s="18" t="s">
        <v>35</v>
      </c>
      <c r="D5" s="19"/>
      <c r="E5" s="20"/>
      <c r="H5" s="302" t="s">
        <v>218</v>
      </c>
      <c r="I5" s="104"/>
      <c r="J5" s="104"/>
      <c r="K5" s="104"/>
      <c r="L5" s="303">
        <f>'Target - Historical Multiple'!AB12</f>
        <v>87.577591429040098</v>
      </c>
    </row>
    <row r="6" spans="3:34" x14ac:dyDescent="0.25">
      <c r="C6" s="21" t="s">
        <v>27</v>
      </c>
      <c r="D6" s="22"/>
      <c r="E6" s="23"/>
      <c r="F6" s="312" t="s">
        <v>33</v>
      </c>
      <c r="H6" s="302" t="s">
        <v>219</v>
      </c>
      <c r="I6" s="104"/>
      <c r="J6" s="104"/>
      <c r="K6" s="104"/>
      <c r="L6" s="303">
        <f>Comps!P69</f>
        <v>70.964194889490358</v>
      </c>
    </row>
    <row r="7" spans="3:34" ht="15.75" thickBot="1" x14ac:dyDescent="0.3">
      <c r="C7" s="24" t="s">
        <v>28</v>
      </c>
      <c r="D7" s="5"/>
      <c r="E7" s="25"/>
      <c r="F7" s="312" t="s">
        <v>33</v>
      </c>
      <c r="H7" s="304" t="s">
        <v>142</v>
      </c>
      <c r="I7" s="295"/>
      <c r="J7" s="295"/>
      <c r="K7" s="295"/>
      <c r="L7" s="305">
        <f>AVERAGE(L3:L6)</f>
        <v>85.921998308542243</v>
      </c>
    </row>
    <row r="8" spans="3:34" x14ac:dyDescent="0.25">
      <c r="C8" s="24" t="s">
        <v>39</v>
      </c>
      <c r="D8" s="5"/>
      <c r="E8" s="25"/>
      <c r="F8" s="312" t="s">
        <v>33</v>
      </c>
      <c r="H8" s="306" t="s">
        <v>221</v>
      </c>
      <c r="I8" s="307"/>
      <c r="J8" s="307"/>
      <c r="K8" s="307"/>
      <c r="L8" s="310">
        <f>L7/F4-1</f>
        <v>0.14349212547966794</v>
      </c>
    </row>
    <row r="9" spans="3:34" ht="18.75" x14ac:dyDescent="0.3">
      <c r="C9" s="19"/>
      <c r="D9" s="19"/>
      <c r="F9" s="19"/>
      <c r="R9" s="311" t="s">
        <v>223</v>
      </c>
      <c r="S9" s="118"/>
      <c r="T9" s="118"/>
      <c r="U9" s="118"/>
      <c r="V9" s="118"/>
      <c r="W9" s="118"/>
      <c r="X9" s="118"/>
      <c r="Y9" s="118"/>
      <c r="Z9" s="118"/>
      <c r="AA9" s="118"/>
      <c r="AB9" s="118"/>
      <c r="AD9" s="311" t="s">
        <v>224</v>
      </c>
      <c r="AE9" s="311"/>
      <c r="AF9" s="311"/>
      <c r="AG9" s="311"/>
      <c r="AH9" s="311"/>
    </row>
    <row r="10" spans="3:34" x14ac:dyDescent="0.25">
      <c r="C10" s="8" t="s">
        <v>18</v>
      </c>
    </row>
    <row r="11" spans="3:34" x14ac:dyDescent="0.25">
      <c r="C11" s="2" t="s">
        <v>1</v>
      </c>
      <c r="D11" s="2"/>
      <c r="E11" s="2"/>
      <c r="F11" s="2"/>
      <c r="G11" s="3" t="s">
        <v>19</v>
      </c>
      <c r="H11" s="3" t="s">
        <v>20</v>
      </c>
      <c r="I11" s="3" t="s">
        <v>2</v>
      </c>
      <c r="J11" s="3" t="s">
        <v>3</v>
      </c>
      <c r="K11" s="3" t="s">
        <v>4</v>
      </c>
      <c r="L11" s="3" t="s">
        <v>5</v>
      </c>
      <c r="M11" s="3" t="s">
        <v>6</v>
      </c>
      <c r="N11" s="3" t="s">
        <v>7</v>
      </c>
      <c r="O11" s="3" t="s">
        <v>8</v>
      </c>
      <c r="P11" s="3" t="s">
        <v>9</v>
      </c>
      <c r="Q11" s="3" t="s">
        <v>21</v>
      </c>
      <c r="R11" s="4" t="s">
        <v>10</v>
      </c>
      <c r="S11" s="4" t="s">
        <v>11</v>
      </c>
      <c r="T11" s="4" t="s">
        <v>12</v>
      </c>
      <c r="U11" s="4" t="s">
        <v>13</v>
      </c>
      <c r="V11" s="4" t="s">
        <v>14</v>
      </c>
      <c r="W11" s="4" t="s">
        <v>15</v>
      </c>
      <c r="X11" s="4" t="s">
        <v>16</v>
      </c>
      <c r="Y11" s="4" t="s">
        <v>22</v>
      </c>
      <c r="Z11" s="4" t="s">
        <v>23</v>
      </c>
      <c r="AA11" s="4" t="s">
        <v>24</v>
      </c>
      <c r="AB11" s="4" t="s">
        <v>25</v>
      </c>
      <c r="AD11" s="3" t="s">
        <v>97</v>
      </c>
      <c r="AE11" s="3" t="s">
        <v>98</v>
      </c>
      <c r="AF11" s="4" t="s">
        <v>92</v>
      </c>
      <c r="AG11" s="4" t="s">
        <v>91</v>
      </c>
      <c r="AH11" s="4" t="s">
        <v>82</v>
      </c>
    </row>
    <row r="12" spans="3:34" x14ac:dyDescent="0.25">
      <c r="C12" s="5" t="s">
        <v>17</v>
      </c>
      <c r="D12" s="5"/>
      <c r="E12" s="5"/>
      <c r="F12" s="5"/>
      <c r="G12" s="6">
        <v>44742</v>
      </c>
      <c r="H12" s="6">
        <v>44834</v>
      </c>
      <c r="I12" s="6">
        <v>44926</v>
      </c>
      <c r="J12" s="6">
        <v>45016</v>
      </c>
      <c r="K12" s="6">
        <v>45107</v>
      </c>
      <c r="L12" s="6">
        <v>45199</v>
      </c>
      <c r="M12" s="6">
        <v>45291</v>
      </c>
      <c r="N12" s="6">
        <v>45382</v>
      </c>
      <c r="O12" s="6">
        <v>45473</v>
      </c>
      <c r="P12" s="6">
        <v>45565</v>
      </c>
      <c r="Q12" s="6">
        <v>45657</v>
      </c>
      <c r="R12" s="6">
        <f>+Q12+90</f>
        <v>45747</v>
      </c>
      <c r="S12" s="6">
        <v>45838</v>
      </c>
      <c r="T12" s="6">
        <v>45930</v>
      </c>
      <c r="U12" s="6">
        <v>46022</v>
      </c>
      <c r="V12" s="6">
        <v>46112</v>
      </c>
      <c r="W12" s="6">
        <v>46203</v>
      </c>
      <c r="X12" s="6">
        <v>46295</v>
      </c>
      <c r="Y12" s="6">
        <v>46387</v>
      </c>
      <c r="Z12" s="6">
        <v>46477</v>
      </c>
      <c r="AA12" s="6">
        <v>46568</v>
      </c>
      <c r="AB12" s="6">
        <v>46660</v>
      </c>
    </row>
    <row r="14" spans="3:34" x14ac:dyDescent="0.25">
      <c r="C14" s="1" t="s">
        <v>26</v>
      </c>
    </row>
    <row r="15" spans="3:34" outlineLevel="1" x14ac:dyDescent="0.25"/>
    <row r="16" spans="3:34" outlineLevel="1" x14ac:dyDescent="0.25">
      <c r="C16" t="s">
        <v>27</v>
      </c>
      <c r="G16" s="11">
        <v>295.7</v>
      </c>
      <c r="H16" s="11">
        <v>297.29999999999995</v>
      </c>
      <c r="I16" s="11">
        <v>297</v>
      </c>
      <c r="J16" s="11">
        <v>299.89999999999998</v>
      </c>
      <c r="K16" s="11">
        <v>349.3</v>
      </c>
      <c r="L16" s="11">
        <v>380.80000000000007</v>
      </c>
      <c r="M16" s="11">
        <v>350.2</v>
      </c>
      <c r="N16" s="11">
        <v>397.9</v>
      </c>
      <c r="O16" s="11">
        <v>411.9</v>
      </c>
      <c r="P16" s="11">
        <v>459.20000000000022</v>
      </c>
      <c r="Q16" s="11">
        <v>439.5</v>
      </c>
      <c r="R16" s="10">
        <f>N16*(1+R17)</f>
        <v>492.52435531972606</v>
      </c>
      <c r="S16" s="10">
        <f t="shared" ref="S16:AB16" si="0">O16*(1+S17)</f>
        <v>506.35253674590382</v>
      </c>
      <c r="T16" s="10">
        <f t="shared" si="0"/>
        <v>560.59567077863358</v>
      </c>
      <c r="U16" s="10">
        <f t="shared" si="0"/>
        <v>532.80997584322586</v>
      </c>
      <c r="V16" s="10">
        <f t="shared" si="0"/>
        <v>592.90544254770873</v>
      </c>
      <c r="W16" s="10">
        <f t="shared" si="0"/>
        <v>605.2479405994178</v>
      </c>
      <c r="X16" s="10">
        <f t="shared" si="0"/>
        <v>665.32020471910562</v>
      </c>
      <c r="Y16" s="10">
        <f t="shared" si="0"/>
        <v>627.81499633454746</v>
      </c>
      <c r="Z16" s="10">
        <f t="shared" si="0"/>
        <v>693.58635264203383</v>
      </c>
      <c r="AA16" s="10">
        <f t="shared" si="0"/>
        <v>702.88011523406681</v>
      </c>
      <c r="AB16" s="10">
        <f t="shared" si="0"/>
        <v>766.98737774958124</v>
      </c>
      <c r="AD16" s="10">
        <f>SUM(I16:L16)</f>
        <v>1327</v>
      </c>
      <c r="AE16" s="10">
        <f>SUM(M16:P16)</f>
        <v>1619.2000000000003</v>
      </c>
      <c r="AF16" s="10">
        <f>SUM(Q16:T16)</f>
        <v>1998.9725628442634</v>
      </c>
      <c r="AG16" s="10">
        <f>SUM(U16:X16)</f>
        <v>2396.2835637094581</v>
      </c>
      <c r="AH16" s="10">
        <f>SUM(Y16:AB16)</f>
        <v>2791.2688419602291</v>
      </c>
    </row>
    <row r="17" spans="3:35" outlineLevel="1" x14ac:dyDescent="0.25">
      <c r="C17" s="12" t="s">
        <v>31</v>
      </c>
      <c r="D17" s="12"/>
      <c r="E17" s="12"/>
      <c r="F17" s="12"/>
      <c r="G17" s="12"/>
      <c r="H17" s="12"/>
      <c r="I17" s="14">
        <v>0.21224489795918378</v>
      </c>
      <c r="J17" s="14">
        <v>0.21910569105691047</v>
      </c>
      <c r="K17" s="13">
        <f>K16/G16-1</f>
        <v>0.18126479540074403</v>
      </c>
      <c r="L17" s="13">
        <f t="shared" ref="L17" si="1">L16/H16-1</f>
        <v>0.28086108308106339</v>
      </c>
      <c r="M17" s="13">
        <f t="shared" ref="M17" si="2">M16/I16-1</f>
        <v>0.17912457912457902</v>
      </c>
      <c r="N17" s="13">
        <f t="shared" ref="N17" si="3">N16/J16-1</f>
        <v>0.32677559186395477</v>
      </c>
      <c r="O17" s="13">
        <f t="shared" ref="O17" si="4">O16/K16-1</f>
        <v>0.17921557400515309</v>
      </c>
      <c r="P17" s="13">
        <f t="shared" ref="P17" si="5">P16/L16-1</f>
        <v>0.20588235294117685</v>
      </c>
      <c r="Q17" s="13">
        <f t="shared" ref="Q17" si="6">Q16/M16-1</f>
        <v>0.25499714448886346</v>
      </c>
      <c r="R17" s="13">
        <f>INDEX(R18:R20,MATCH($F$6,$C$18:$C$20,0))</f>
        <v>0.23780938758413175</v>
      </c>
      <c r="S17" s="13">
        <f>INDEX(S18:S20,MATCH($F$6,$C$18:$C$20,0))</f>
        <v>0.22930938758413175</v>
      </c>
      <c r="T17" s="13">
        <f>INDEX(T18:T20,MATCH($F$6,$C$18:$C$20,0))</f>
        <v>0.22080938758413174</v>
      </c>
      <c r="U17" s="13">
        <f>INDEX(U18:U20,MATCH($F$6,$C$18:$C$20,0))</f>
        <v>0.21230938758413173</v>
      </c>
      <c r="V17" s="13">
        <f>INDEX(V18:V20,MATCH($F$6,$C$18:$C$20,0))</f>
        <v>0.20380938758413172</v>
      </c>
      <c r="W17" s="13">
        <f>INDEX(W18:W20,MATCH($F$6,$C$18:$C$20,0))</f>
        <v>0.19530938758413172</v>
      </c>
      <c r="X17" s="13">
        <f>INDEX(X18:X20,MATCH($F$6,$C$18:$C$20,0))</f>
        <v>0.18680938758413171</v>
      </c>
      <c r="Y17" s="13">
        <f>INDEX(Y18:Y20,MATCH($F$6,$C$18:$C$20,0))</f>
        <v>0.1783093875841317</v>
      </c>
      <c r="Z17" s="13">
        <f>INDEX(Z18:Z20,MATCH($F$6,$C$18:$C$20,0))</f>
        <v>0.16980938758413169</v>
      </c>
      <c r="AA17" s="13">
        <f>INDEX(AA18:AA20,MATCH($F$6,$C$18:$C$20,0))</f>
        <v>0.16130938758413169</v>
      </c>
      <c r="AB17" s="13">
        <f>INDEX(AB18:AB20,MATCH($F$6,$C$18:$C$20,0))</f>
        <v>0.15280938758413168</v>
      </c>
      <c r="AD17" s="19"/>
      <c r="AE17" s="13">
        <f>AE16/AD16-1</f>
        <v>0.22019593067068599</v>
      </c>
      <c r="AF17" s="13">
        <f t="shared" ref="AF17" si="7">AF16/AE16-1</f>
        <v>0.23454333179611098</v>
      </c>
      <c r="AG17" s="13">
        <f t="shared" ref="AG17" si="8">AG16/AF16-1</f>
        <v>0.19875760590724445</v>
      </c>
      <c r="AH17" s="13">
        <f t="shared" ref="AH17" si="9">AH16/AG16-1</f>
        <v>0.1648324448043752</v>
      </c>
    </row>
    <row r="18" spans="3:35" outlineLevel="1" x14ac:dyDescent="0.25">
      <c r="C18" s="17" t="s">
        <v>32</v>
      </c>
      <c r="D18" s="12"/>
      <c r="E18" s="12"/>
      <c r="F18" s="12"/>
      <c r="G18" s="12"/>
      <c r="H18" s="12"/>
      <c r="I18" s="14"/>
      <c r="J18" s="14"/>
      <c r="K18" s="13"/>
      <c r="L18" s="13"/>
      <c r="M18" s="13"/>
      <c r="N18" s="13"/>
      <c r="O18" s="13"/>
      <c r="P18" s="13"/>
      <c r="Q18" s="13"/>
      <c r="R18" s="15">
        <f>R19+0.0075</f>
        <v>0.24530938758413176</v>
      </c>
      <c r="S18" s="16">
        <f>+R18-0.006</f>
        <v>0.23930938758413176</v>
      </c>
      <c r="T18" s="16">
        <f t="shared" ref="T18:AB18" si="10">+S18-0.006</f>
        <v>0.23330938758413175</v>
      </c>
      <c r="U18" s="16">
        <f t="shared" si="10"/>
        <v>0.22730938758413174</v>
      </c>
      <c r="V18" s="16">
        <f t="shared" si="10"/>
        <v>0.22130938758413174</v>
      </c>
      <c r="W18" s="16">
        <f t="shared" si="10"/>
        <v>0.21530938758413173</v>
      </c>
      <c r="X18" s="16">
        <f t="shared" si="10"/>
        <v>0.20930938758413173</v>
      </c>
      <c r="Y18" s="16">
        <f t="shared" si="10"/>
        <v>0.20330938758413172</v>
      </c>
      <c r="Z18" s="16">
        <f t="shared" si="10"/>
        <v>0.19730938758413172</v>
      </c>
      <c r="AA18" s="16">
        <f t="shared" si="10"/>
        <v>0.19130938758413171</v>
      </c>
      <c r="AB18" s="16">
        <f t="shared" si="10"/>
        <v>0.18530938758413171</v>
      </c>
    </row>
    <row r="19" spans="3:35" outlineLevel="1" x14ac:dyDescent="0.25">
      <c r="C19" s="17" t="s">
        <v>33</v>
      </c>
      <c r="D19" s="12"/>
      <c r="E19" s="12"/>
      <c r="F19" s="12"/>
      <c r="G19" s="12"/>
      <c r="H19" s="12"/>
      <c r="I19" s="14"/>
      <c r="J19" s="14"/>
      <c r="K19" s="13"/>
      <c r="L19" s="13"/>
      <c r="M19" s="13"/>
      <c r="N19" s="13"/>
      <c r="O19" s="13"/>
      <c r="P19" s="13"/>
      <c r="Q19" s="13"/>
      <c r="R19" s="15">
        <f>AVERAGE(L17:Q17)</f>
        <v>0.23780938758413175</v>
      </c>
      <c r="S19" s="16">
        <f>+R19-0.0085</f>
        <v>0.22930938758413175</v>
      </c>
      <c r="T19" s="16">
        <f t="shared" ref="T19:AB19" si="11">+S19-0.0085</f>
        <v>0.22080938758413174</v>
      </c>
      <c r="U19" s="16">
        <f t="shared" si="11"/>
        <v>0.21230938758413173</v>
      </c>
      <c r="V19" s="16">
        <f t="shared" si="11"/>
        <v>0.20380938758413172</v>
      </c>
      <c r="W19" s="16">
        <f t="shared" si="11"/>
        <v>0.19530938758413172</v>
      </c>
      <c r="X19" s="16">
        <f t="shared" si="11"/>
        <v>0.18680938758413171</v>
      </c>
      <c r="Y19" s="16">
        <f t="shared" si="11"/>
        <v>0.1783093875841317</v>
      </c>
      <c r="Z19" s="16">
        <f t="shared" si="11"/>
        <v>0.16980938758413169</v>
      </c>
      <c r="AA19" s="16">
        <f t="shared" si="11"/>
        <v>0.16130938758413169</v>
      </c>
      <c r="AB19" s="16">
        <f t="shared" si="11"/>
        <v>0.15280938758413168</v>
      </c>
    </row>
    <row r="20" spans="3:35" outlineLevel="1" x14ac:dyDescent="0.25">
      <c r="C20" s="17" t="s">
        <v>34</v>
      </c>
      <c r="D20" s="12"/>
      <c r="E20" s="12"/>
      <c r="F20" s="12"/>
      <c r="G20" s="12"/>
      <c r="H20" s="12"/>
      <c r="I20" s="14"/>
      <c r="J20" s="14"/>
      <c r="K20" s="13"/>
      <c r="L20" s="13"/>
      <c r="M20" s="13"/>
      <c r="N20" s="13"/>
      <c r="O20" s="13"/>
      <c r="P20" s="13"/>
      <c r="Q20" s="13"/>
      <c r="R20" s="15">
        <f>R19-0.0075</f>
        <v>0.23030938758413175</v>
      </c>
      <c r="S20" s="16">
        <f>+R20-0.01</f>
        <v>0.22030938758413174</v>
      </c>
      <c r="T20" s="16">
        <f t="shared" ref="T20:AB20" si="12">+S20-0.01</f>
        <v>0.21030938758413173</v>
      </c>
      <c r="U20" s="16">
        <f t="shared" si="12"/>
        <v>0.20030938758413172</v>
      </c>
      <c r="V20" s="16">
        <f t="shared" si="12"/>
        <v>0.19030938758413171</v>
      </c>
      <c r="W20" s="16">
        <f t="shared" si="12"/>
        <v>0.1803093875841317</v>
      </c>
      <c r="X20" s="16">
        <f t="shared" si="12"/>
        <v>0.17030938758413169</v>
      </c>
      <c r="Y20" s="16">
        <f t="shared" si="12"/>
        <v>0.16030938758413169</v>
      </c>
      <c r="Z20" s="16">
        <f t="shared" si="12"/>
        <v>0.15030938758413168</v>
      </c>
      <c r="AA20" s="16">
        <f t="shared" si="12"/>
        <v>0.14030938758413167</v>
      </c>
      <c r="AB20" s="16">
        <f t="shared" si="12"/>
        <v>0.13030938758413166</v>
      </c>
    </row>
    <row r="21" spans="3:35" outlineLevel="1" x14ac:dyDescent="0.25">
      <c r="C21" s="12"/>
      <c r="D21" s="12"/>
      <c r="E21" s="12"/>
      <c r="F21" s="12"/>
      <c r="G21" s="12"/>
      <c r="H21" s="12"/>
      <c r="I21" s="14"/>
      <c r="J21" s="14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spans="3:35" outlineLevel="1" x14ac:dyDescent="0.25"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spans="3:35" outlineLevel="1" x14ac:dyDescent="0.25">
      <c r="C23" t="s">
        <v>28</v>
      </c>
      <c r="G23" s="11">
        <v>61</v>
      </c>
      <c r="H23" s="11">
        <v>71.3</v>
      </c>
      <c r="I23" s="11">
        <v>56.1</v>
      </c>
      <c r="J23" s="11">
        <v>73.8</v>
      </c>
      <c r="K23" s="11">
        <v>81.900000000000006</v>
      </c>
      <c r="L23" s="11">
        <v>77.900000000000006</v>
      </c>
      <c r="M23" s="11">
        <v>69.7</v>
      </c>
      <c r="N23" s="11">
        <v>84.1</v>
      </c>
      <c r="O23" s="11">
        <v>90.1</v>
      </c>
      <c r="P23" s="11">
        <v>82.8</v>
      </c>
      <c r="Q23" s="11">
        <v>81.2</v>
      </c>
      <c r="R23" s="10">
        <f>N23*(1+R24)</f>
        <v>93.930921589695075</v>
      </c>
      <c r="S23" s="10">
        <f t="shared" ref="S23" si="13">O23*(1+S24)</f>
        <v>99.866445305963452</v>
      </c>
      <c r="T23" s="10">
        <f t="shared" ref="T23" si="14">P23*(1+T24)</f>
        <v>91.071357284503605</v>
      </c>
      <c r="U23" s="10">
        <f t="shared" ref="U23" si="15">Q23*(1+U24)</f>
        <v>88.621324293498716</v>
      </c>
      <c r="V23" s="10">
        <f t="shared" ref="V23" si="16">R23*(1+V24)</f>
        <v>101.71738351362509</v>
      </c>
      <c r="W23" s="10">
        <f t="shared" ref="W23" si="17">S23*(1+W24)</f>
        <v>107.29607135958604</v>
      </c>
      <c r="X23" s="10">
        <f t="shared" ref="X23" si="18">T23*(1+X24)</f>
        <v>97.072560780366828</v>
      </c>
      <c r="Y23" s="10">
        <f t="shared" ref="Y23" si="19">U23*(1+Y24)</f>
        <v>93.707800091428254</v>
      </c>
      <c r="Z23" s="10">
        <f t="shared" ref="Z23" si="20">V23*(1+Z24)</f>
        <v>106.69091798203974</v>
      </c>
      <c r="AA23" s="10">
        <f t="shared" ref="AA23" si="21">W23*(1+AA24)</f>
        <v>111.63036261898934</v>
      </c>
      <c r="AB23" s="10">
        <f t="shared" ref="AB23" si="22">X23*(1+AB24)</f>
        <v>100.16875023107129</v>
      </c>
      <c r="AD23" s="10">
        <f>SUM(I23:L23)</f>
        <v>289.70000000000005</v>
      </c>
      <c r="AE23" s="10">
        <f>SUM(M23:P23)</f>
        <v>326.7</v>
      </c>
      <c r="AF23" s="10">
        <f>SUM(Q23:T23)</f>
        <v>366.06872418016212</v>
      </c>
      <c r="AG23" s="10">
        <f>SUM(U23:X23)</f>
        <v>394.70733994707666</v>
      </c>
      <c r="AH23" s="10">
        <f>SUM(Y23:AB23)</f>
        <v>412.19783092352861</v>
      </c>
    </row>
    <row r="24" spans="3:35" outlineLevel="1" x14ac:dyDescent="0.25">
      <c r="C24" s="12" t="s">
        <v>31</v>
      </c>
      <c r="D24" s="12"/>
      <c r="E24" s="12"/>
      <c r="F24" s="12"/>
      <c r="G24" s="12"/>
      <c r="H24" s="12"/>
      <c r="I24" s="14">
        <v>0.10433070866141736</v>
      </c>
      <c r="J24" s="14">
        <v>0.24873096446700504</v>
      </c>
      <c r="K24" s="13">
        <f>K23/G23-1</f>
        <v>0.34262295081967231</v>
      </c>
      <c r="L24" s="13">
        <f t="shared" ref="L24" si="23">L23/H23-1</f>
        <v>9.256661991584858E-2</v>
      </c>
      <c r="M24" s="13">
        <f t="shared" ref="M24" si="24">M23/I23-1</f>
        <v>0.24242424242424243</v>
      </c>
      <c r="N24" s="13">
        <f t="shared" ref="N24" si="25">N23/J23-1</f>
        <v>0.13956639566395657</v>
      </c>
      <c r="O24" s="13">
        <f t="shared" ref="O24" si="26">O23/K23-1</f>
        <v>0.10012210012209999</v>
      </c>
      <c r="P24" s="13">
        <f t="shared" ref="P24" si="27">P23/L23-1</f>
        <v>6.2901155327342639E-2</v>
      </c>
      <c r="Q24" s="13">
        <f t="shared" ref="Q24" si="28">Q23/M23-1</f>
        <v>0.16499282639885227</v>
      </c>
      <c r="R24" s="13">
        <f>INDEX(R25:R27,MATCH($F$7,$C$25:$C$27,0))</f>
        <v>0.11689561937806286</v>
      </c>
      <c r="S24" s="13">
        <f>INDEX(S25:S27,MATCH($F$7,$C$25:$C$27,0))</f>
        <v>0.10839561937806286</v>
      </c>
      <c r="T24" s="13">
        <f>INDEX(T25:T27,MATCH($F$7,$C$25:$C$27,0))</f>
        <v>9.989561937806285E-2</v>
      </c>
      <c r="U24" s="13">
        <f>INDEX(U25:U27,MATCH($F$7,$C$25:$C$27,0))</f>
        <v>9.1395619378062842E-2</v>
      </c>
      <c r="V24" s="13">
        <f>INDEX(V25:V27,MATCH($F$7,$C$25:$C$27,0))</f>
        <v>8.2895619378062835E-2</v>
      </c>
      <c r="W24" s="13">
        <f>INDEX(W25:W27,MATCH($F$7,$C$25:$C$27,0))</f>
        <v>7.4395619378062827E-2</v>
      </c>
      <c r="X24" s="13">
        <f>INDEX(X25:X27,MATCH($F$7,$C$25:$C$27,0))</f>
        <v>6.589561937806282E-2</v>
      </c>
      <c r="Y24" s="13">
        <f>INDEX(Y25:Y27,MATCH($F$7,$C$25:$C$27,0))</f>
        <v>5.7395619378062819E-2</v>
      </c>
      <c r="Z24" s="13">
        <f>INDEX(Z25:Z27,MATCH($F$7,$C$25:$C$27,0))</f>
        <v>4.8895619378062818E-2</v>
      </c>
      <c r="AA24" s="13">
        <f>INDEX(AA25:AA27,MATCH($F$7,$C$25:$C$27,0))</f>
        <v>4.0395619378062818E-2</v>
      </c>
      <c r="AB24" s="13">
        <f>INDEX(AB25:AB27,MATCH($F$7,$C$25:$C$27,0))</f>
        <v>3.1895619378062817E-2</v>
      </c>
      <c r="AD24" s="19"/>
      <c r="AE24" s="13">
        <f>AE23/AD23-1</f>
        <v>0.12771832930617855</v>
      </c>
      <c r="AF24" s="13">
        <f t="shared" ref="AF24" si="29">AF23/AE23-1</f>
        <v>0.120504206244757</v>
      </c>
      <c r="AG24" s="13">
        <f t="shared" ref="AG24" si="30">AG23/AF23-1</f>
        <v>7.823289419508006E-2</v>
      </c>
      <c r="AH24" s="13">
        <f t="shared" ref="AH24" si="31">AH23/AG23-1</f>
        <v>4.4312555674280496E-2</v>
      </c>
    </row>
    <row r="25" spans="3:35" outlineLevel="1" x14ac:dyDescent="0.25">
      <c r="C25" s="17" t="s">
        <v>32</v>
      </c>
      <c r="D25" s="12"/>
      <c r="E25" s="12"/>
      <c r="F25" s="12"/>
      <c r="G25" s="12"/>
      <c r="H25" s="12"/>
      <c r="I25" s="14"/>
      <c r="J25" s="14"/>
      <c r="K25" s="13"/>
      <c r="L25" s="13"/>
      <c r="M25" s="13"/>
      <c r="N25" s="13"/>
      <c r="O25" s="13"/>
      <c r="P25" s="13"/>
      <c r="Q25" s="13"/>
      <c r="R25" s="15">
        <f>R26+0.0075</f>
        <v>0.12439561937806287</v>
      </c>
      <c r="S25" s="16">
        <f>+R25-0.006</f>
        <v>0.11839561937806287</v>
      </c>
      <c r="T25" s="16">
        <f t="shared" ref="T25:AB25" si="32">+S25-0.006</f>
        <v>0.11239561937806286</v>
      </c>
      <c r="U25" s="16">
        <f t="shared" si="32"/>
        <v>0.10639561937806286</v>
      </c>
      <c r="V25" s="16">
        <f t="shared" si="32"/>
        <v>0.10039561937806285</v>
      </c>
      <c r="W25" s="16">
        <f t="shared" si="32"/>
        <v>9.4395619378062845E-2</v>
      </c>
      <c r="X25" s="16">
        <f t="shared" si="32"/>
        <v>8.839561937806284E-2</v>
      </c>
      <c r="Y25" s="16">
        <f t="shared" si="32"/>
        <v>8.2395619378062834E-2</v>
      </c>
      <c r="Z25" s="16">
        <f t="shared" si="32"/>
        <v>7.6395619378062829E-2</v>
      </c>
      <c r="AA25" s="16">
        <f t="shared" si="32"/>
        <v>7.0395619378062824E-2</v>
      </c>
      <c r="AB25" s="16">
        <f t="shared" si="32"/>
        <v>6.4395619378062818E-2</v>
      </c>
    </row>
    <row r="26" spans="3:35" outlineLevel="1" x14ac:dyDescent="0.25">
      <c r="C26" s="17" t="s">
        <v>33</v>
      </c>
      <c r="D26" s="12"/>
      <c r="E26" s="12"/>
      <c r="F26" s="12"/>
      <c r="G26" s="12"/>
      <c r="H26" s="12"/>
      <c r="I26" s="14"/>
      <c r="J26" s="14"/>
      <c r="K26" s="13"/>
      <c r="L26" s="13"/>
      <c r="M26" s="13"/>
      <c r="N26" s="13"/>
      <c r="O26" s="13"/>
      <c r="P26" s="13"/>
      <c r="Q26" s="13"/>
      <c r="R26" s="15">
        <f>AVERAGE(N24:Q24)</f>
        <v>0.11689561937806286</v>
      </c>
      <c r="S26" s="16">
        <f>+R26-0.0085</f>
        <v>0.10839561937806286</v>
      </c>
      <c r="T26" s="16">
        <f t="shared" ref="T26:AB26" si="33">+S26-0.0085</f>
        <v>9.989561937806285E-2</v>
      </c>
      <c r="U26" s="16">
        <f t="shared" si="33"/>
        <v>9.1395619378062842E-2</v>
      </c>
      <c r="V26" s="16">
        <f t="shared" si="33"/>
        <v>8.2895619378062835E-2</v>
      </c>
      <c r="W26" s="16">
        <f t="shared" si="33"/>
        <v>7.4395619378062827E-2</v>
      </c>
      <c r="X26" s="16">
        <f t="shared" si="33"/>
        <v>6.589561937806282E-2</v>
      </c>
      <c r="Y26" s="16">
        <f t="shared" si="33"/>
        <v>5.7395619378062819E-2</v>
      </c>
      <c r="Z26" s="16">
        <f t="shared" si="33"/>
        <v>4.8895619378062818E-2</v>
      </c>
      <c r="AA26" s="16">
        <f t="shared" si="33"/>
        <v>4.0395619378062818E-2</v>
      </c>
      <c r="AB26" s="16">
        <f t="shared" si="33"/>
        <v>3.1895619378062817E-2</v>
      </c>
    </row>
    <row r="27" spans="3:35" outlineLevel="1" x14ac:dyDescent="0.25">
      <c r="C27" s="17" t="s">
        <v>34</v>
      </c>
      <c r="D27" s="12"/>
      <c r="E27" s="12"/>
      <c r="F27" s="12"/>
      <c r="G27" s="12"/>
      <c r="H27" s="12"/>
      <c r="I27" s="14"/>
      <c r="J27" s="14"/>
      <c r="K27" s="13"/>
      <c r="L27" s="13"/>
      <c r="M27" s="13"/>
      <c r="N27" s="13"/>
      <c r="O27" s="13"/>
      <c r="P27" s="13"/>
      <c r="Q27" s="13"/>
      <c r="R27" s="15">
        <f>R26-0.0075</f>
        <v>0.10939561937806286</v>
      </c>
      <c r="S27" s="16">
        <f>+R27-0.01</f>
        <v>9.9395619378062863E-2</v>
      </c>
      <c r="T27" s="16">
        <f t="shared" ref="T27:AB27" si="34">+S27-0.01</f>
        <v>8.9395619378062868E-2</v>
      </c>
      <c r="U27" s="16">
        <f t="shared" si="34"/>
        <v>7.9395619378062873E-2</v>
      </c>
      <c r="V27" s="16">
        <f t="shared" si="34"/>
        <v>6.9395619378062878E-2</v>
      </c>
      <c r="W27" s="16">
        <f t="shared" si="34"/>
        <v>5.9395619378062876E-2</v>
      </c>
      <c r="X27" s="16">
        <f t="shared" si="34"/>
        <v>4.9395619378062874E-2</v>
      </c>
      <c r="Y27" s="16">
        <f t="shared" si="34"/>
        <v>3.9395619378062872E-2</v>
      </c>
      <c r="Z27" s="16">
        <f t="shared" si="34"/>
        <v>2.9395619378062871E-2</v>
      </c>
      <c r="AA27" s="16">
        <f t="shared" si="34"/>
        <v>1.9395619378062869E-2</v>
      </c>
      <c r="AB27" s="16">
        <f t="shared" si="34"/>
        <v>9.3956193780628684E-3</v>
      </c>
    </row>
    <row r="28" spans="3:35" outlineLevel="1" x14ac:dyDescent="0.25">
      <c r="C28" s="12"/>
      <c r="D28" s="12"/>
      <c r="E28" s="12"/>
      <c r="F28" s="12"/>
      <c r="G28" s="12"/>
      <c r="H28" s="12"/>
      <c r="I28" s="14"/>
      <c r="J28" s="14"/>
      <c r="K28" s="13"/>
      <c r="L28" s="13"/>
      <c r="M28" s="13"/>
      <c r="N28" s="13"/>
      <c r="O28" s="13"/>
      <c r="P28" s="13"/>
      <c r="Q28" s="13"/>
    </row>
    <row r="29" spans="3:35" outlineLevel="1" x14ac:dyDescent="0.25"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 spans="3:35" outlineLevel="1" x14ac:dyDescent="0.25">
      <c r="C30" t="s">
        <v>29</v>
      </c>
      <c r="G30" s="11">
        <v>13.9</v>
      </c>
      <c r="H30" s="11">
        <v>10.599999999999998</v>
      </c>
      <c r="I30" s="11">
        <v>9.6</v>
      </c>
      <c r="J30" s="11">
        <v>11.9</v>
      </c>
      <c r="K30" s="11">
        <v>14.7</v>
      </c>
      <c r="L30" s="11">
        <v>13.900000000000007</v>
      </c>
      <c r="M30" s="11">
        <v>10.7</v>
      </c>
      <c r="N30" s="11">
        <v>12.6</v>
      </c>
      <c r="O30" s="11">
        <v>13.4</v>
      </c>
      <c r="P30" s="11">
        <v>13.599999999999998</v>
      </c>
      <c r="Q30" s="11">
        <v>12.2</v>
      </c>
      <c r="R30" s="10">
        <f>N30*(1+R31)</f>
        <v>12.880325862611565</v>
      </c>
      <c r="S30" s="10">
        <f t="shared" ref="S30:AB30" si="35">O30*(1+S31)</f>
        <v>13.698124330078967</v>
      </c>
      <c r="T30" s="10">
        <f t="shared" si="35"/>
        <v>13.902573946945814</v>
      </c>
      <c r="U30" s="10">
        <f t="shared" si="35"/>
        <v>12.471426628877865</v>
      </c>
      <c r="V30" s="10">
        <f t="shared" si="35"/>
        <v>13.166888438655585</v>
      </c>
      <c r="W30" s="10">
        <f t="shared" si="35"/>
        <v>14.002881355395621</v>
      </c>
      <c r="X30" s="10">
        <f t="shared" si="35"/>
        <v>14.211879584580629</v>
      </c>
      <c r="Y30" s="10">
        <f t="shared" si="35"/>
        <v>12.748891980285565</v>
      </c>
      <c r="Z30" s="10">
        <f t="shared" si="35"/>
        <v>13.459826483058471</v>
      </c>
      <c r="AA30" s="10">
        <f t="shared" si="35"/>
        <v>14.314418640712976</v>
      </c>
      <c r="AB30" s="10">
        <f t="shared" si="35"/>
        <v>14.528066680126601</v>
      </c>
      <c r="AD30" s="10">
        <f>SUM(I30:L30)</f>
        <v>50.100000000000009</v>
      </c>
      <c r="AE30" s="10">
        <f>SUM(M30:P30)</f>
        <v>50.3</v>
      </c>
      <c r="AF30" s="10">
        <f>SUM(Q30:T30)</f>
        <v>52.681024139636349</v>
      </c>
      <c r="AG30" s="10">
        <f>SUM(U30:X30)</f>
        <v>53.853076007509699</v>
      </c>
      <c r="AH30" s="10">
        <f>SUM(Y30:AB30)</f>
        <v>55.051203784183613</v>
      </c>
      <c r="AI30" t="s">
        <v>245</v>
      </c>
    </row>
    <row r="31" spans="3:35" outlineLevel="1" x14ac:dyDescent="0.25">
      <c r="C31" s="12" t="s">
        <v>31</v>
      </c>
      <c r="D31" s="12"/>
      <c r="E31" s="12"/>
      <c r="F31" s="12"/>
      <c r="G31" s="12"/>
      <c r="H31" s="12"/>
      <c r="I31" s="14">
        <v>-0.10280373831775702</v>
      </c>
      <c r="J31" s="14">
        <v>0.17821782178217838</v>
      </c>
      <c r="K31" s="13">
        <f>K30/G30-1</f>
        <v>5.7553956834532238E-2</v>
      </c>
      <c r="L31" s="13">
        <f t="shared" ref="L31" si="36">L30/H30-1</f>
        <v>0.31132075471698206</v>
      </c>
      <c r="M31" s="13">
        <f t="shared" ref="M31" si="37">M30/I30-1</f>
        <v>0.11458333333333326</v>
      </c>
      <c r="N31" s="13">
        <f t="shared" ref="N31" si="38">N30/J30-1</f>
        <v>5.8823529411764719E-2</v>
      </c>
      <c r="O31" s="13">
        <f t="shared" ref="O31" si="39">O30/K30-1</f>
        <v>-8.8435374149659851E-2</v>
      </c>
      <c r="P31" s="13">
        <f t="shared" ref="P31" si="40">P30/L30-1</f>
        <v>-2.1582733812950283E-2</v>
      </c>
      <c r="Q31" s="13">
        <f t="shared" ref="Q31" si="41">Q30/M30-1</f>
        <v>0.14018691588785037</v>
      </c>
      <c r="R31" s="26">
        <f>AVERAGE(N31:Q31)</f>
        <v>2.2248084334251239E-2</v>
      </c>
      <c r="S31" s="26">
        <f>R31</f>
        <v>2.2248084334251239E-2</v>
      </c>
      <c r="T31" s="26">
        <f t="shared" ref="T31:AB31" si="42">S31</f>
        <v>2.2248084334251239E-2</v>
      </c>
      <c r="U31" s="26">
        <f t="shared" si="42"/>
        <v>2.2248084334251239E-2</v>
      </c>
      <c r="V31" s="26">
        <f t="shared" si="42"/>
        <v>2.2248084334251239E-2</v>
      </c>
      <c r="W31" s="26">
        <f t="shared" si="42"/>
        <v>2.2248084334251239E-2</v>
      </c>
      <c r="X31" s="26">
        <f t="shared" si="42"/>
        <v>2.2248084334251239E-2</v>
      </c>
      <c r="Y31" s="26">
        <f t="shared" si="42"/>
        <v>2.2248084334251239E-2</v>
      </c>
      <c r="Z31" s="26">
        <f t="shared" si="42"/>
        <v>2.2248084334251239E-2</v>
      </c>
      <c r="AA31" s="26">
        <f t="shared" si="42"/>
        <v>2.2248084334251239E-2</v>
      </c>
      <c r="AB31" s="26">
        <f t="shared" si="42"/>
        <v>2.2248084334251239E-2</v>
      </c>
      <c r="AD31" s="19"/>
      <c r="AE31" s="13">
        <f>AE30/AD30-1</f>
        <v>3.9920159680635336E-3</v>
      </c>
      <c r="AF31" s="13">
        <f t="shared" ref="AF31" si="43">AF30/AE30-1</f>
        <v>4.7336464008675083E-2</v>
      </c>
      <c r="AG31" s="13">
        <f t="shared" ref="AG31" si="44">AG30/AF30-1</f>
        <v>2.2248084334251184E-2</v>
      </c>
      <c r="AH31" s="13">
        <f t="shared" ref="AH31" si="45">AH30/AG30-1</f>
        <v>2.2248084334251184E-2</v>
      </c>
    </row>
    <row r="32" spans="3:35" outlineLevel="1" x14ac:dyDescent="0.25"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D32" s="30"/>
      <c r="AE32" s="30"/>
      <c r="AF32" s="30"/>
      <c r="AG32" s="30"/>
      <c r="AH32" s="30"/>
    </row>
    <row r="33" spans="3:34" outlineLevel="1" x14ac:dyDescent="0.25">
      <c r="C33" s="1" t="s">
        <v>30</v>
      </c>
      <c r="G33" s="27">
        <v>370.6</v>
      </c>
      <c r="H33" s="27">
        <v>379.2</v>
      </c>
      <c r="I33" s="27">
        <v>362.7</v>
      </c>
      <c r="J33" s="27">
        <v>385.6</v>
      </c>
      <c r="K33" s="27">
        <v>445.9</v>
      </c>
      <c r="L33" s="27">
        <v>472.6</v>
      </c>
      <c r="M33" s="27">
        <v>430.4</v>
      </c>
      <c r="N33" s="27">
        <v>494.6</v>
      </c>
      <c r="O33" s="27">
        <v>515.4</v>
      </c>
      <c r="P33" s="27">
        <v>555.79999999999995</v>
      </c>
      <c r="Q33" s="27">
        <v>532.9</v>
      </c>
      <c r="R33" s="28">
        <f>R30+R23+R16</f>
        <v>599.33560277203264</v>
      </c>
      <c r="S33" s="28">
        <f t="shared" ref="S33:AB33" si="46">S30+S23+S16</f>
        <v>619.91710638194627</v>
      </c>
      <c r="T33" s="28">
        <f t="shared" si="46"/>
        <v>665.56960201008303</v>
      </c>
      <c r="U33" s="28">
        <f t="shared" si="46"/>
        <v>633.90272676560244</v>
      </c>
      <c r="V33" s="28">
        <f t="shared" si="46"/>
        <v>707.78971449998937</v>
      </c>
      <c r="W33" s="28">
        <f t="shared" si="46"/>
        <v>726.54689331439943</v>
      </c>
      <c r="X33" s="28">
        <f t="shared" si="46"/>
        <v>776.60464508405312</v>
      </c>
      <c r="Y33" s="28">
        <f t="shared" si="46"/>
        <v>734.27168840626132</v>
      </c>
      <c r="Z33" s="28">
        <f t="shared" si="46"/>
        <v>813.73709710713206</v>
      </c>
      <c r="AA33" s="28">
        <f t="shared" si="46"/>
        <v>828.82489649376907</v>
      </c>
      <c r="AB33" s="28">
        <f t="shared" si="46"/>
        <v>881.6841946607791</v>
      </c>
      <c r="AD33" s="28">
        <f>SUM(I33:L33)</f>
        <v>1666.7999999999997</v>
      </c>
      <c r="AE33" s="28">
        <f>SUM(M33:P33)</f>
        <v>1996.2</v>
      </c>
      <c r="AF33" s="28">
        <f>SUM(Q33:T33)</f>
        <v>2417.7223111640619</v>
      </c>
      <c r="AG33" s="28">
        <f>SUM(U33:X33)</f>
        <v>2844.8439796640441</v>
      </c>
      <c r="AH33" s="28">
        <f>SUM(Y33:AB33)</f>
        <v>3258.5178766679419</v>
      </c>
    </row>
    <row r="34" spans="3:34" outlineLevel="1" x14ac:dyDescent="0.25">
      <c r="C34" s="12" t="s">
        <v>31</v>
      </c>
      <c r="D34" s="12"/>
      <c r="E34" s="12"/>
      <c r="F34" s="12"/>
      <c r="G34" s="12"/>
      <c r="H34" s="12"/>
      <c r="I34" s="14">
        <v>0.18336052202283848</v>
      </c>
      <c r="J34" s="14">
        <v>0.22335025380710682</v>
      </c>
      <c r="K34" s="13">
        <f>K33/G33-1</f>
        <v>0.20318402590393947</v>
      </c>
      <c r="L34" s="13">
        <f t="shared" ref="L34:Q34" si="47">L33/H33-1</f>
        <v>0.24630801687763726</v>
      </c>
      <c r="M34" s="13">
        <f t="shared" si="47"/>
        <v>0.18665563826854137</v>
      </c>
      <c r="N34" s="13">
        <f t="shared" si="47"/>
        <v>0.28267634854771773</v>
      </c>
      <c r="O34" s="13">
        <f t="shared" si="47"/>
        <v>0.15586454361964575</v>
      </c>
      <c r="P34" s="13">
        <f t="shared" si="47"/>
        <v>0.17604739737621644</v>
      </c>
      <c r="Q34" s="13">
        <f t="shared" si="47"/>
        <v>0.23815055762081783</v>
      </c>
      <c r="R34" s="13">
        <f t="shared" ref="R34" si="48">R33/N33-1</f>
        <v>0.21175819403969398</v>
      </c>
      <c r="S34" s="13">
        <f t="shared" ref="S34" si="49">S33/O33-1</f>
        <v>0.20278833213416037</v>
      </c>
      <c r="T34" s="13">
        <f t="shared" ref="T34" si="50">T33/P33-1</f>
        <v>0.19749838432904476</v>
      </c>
      <c r="U34" s="13">
        <f t="shared" ref="U34" si="51">U33/Q33-1</f>
        <v>0.18953410914918845</v>
      </c>
      <c r="V34" s="13">
        <f t="shared" ref="V34" si="52">V33/R33-1</f>
        <v>0.18095723201881775</v>
      </c>
      <c r="W34" s="13">
        <f t="shared" ref="W34" si="53">W33/S33-1</f>
        <v>0.17200652447676745</v>
      </c>
      <c r="X34" s="13">
        <f t="shared" ref="X34" si="54">X33/T33-1</f>
        <v>0.16682709477511248</v>
      </c>
      <c r="Y34" s="13">
        <f t="shared" ref="Y34" si="55">Y33/U33-1</f>
        <v>0.15833495803492914</v>
      </c>
      <c r="Z34" s="13">
        <f t="shared" ref="Z34" si="56">Z33/V33-1</f>
        <v>0.14968765501486292</v>
      </c>
      <c r="AA34" s="13">
        <f t="shared" ref="AA34" si="57">AA33/W33-1</f>
        <v>0.14077274862850553</v>
      </c>
      <c r="AB34" s="13">
        <f t="shared" ref="AB34" si="58">AB33/X33-1</f>
        <v>0.13530636243535876</v>
      </c>
      <c r="AD34" s="19"/>
      <c r="AE34" s="13">
        <f>AE33/AD33-1</f>
        <v>0.19762419006479504</v>
      </c>
      <c r="AF34" s="13">
        <f t="shared" ref="AF34:AH34" si="59">AF33/AE33-1</f>
        <v>0.2111623640737712</v>
      </c>
      <c r="AG34" s="13">
        <f t="shared" si="59"/>
        <v>0.17666283118111092</v>
      </c>
      <c r="AH34" s="13">
        <f t="shared" si="59"/>
        <v>0.14541180464060099</v>
      </c>
    </row>
    <row r="35" spans="3:34" x14ac:dyDescent="0.25">
      <c r="C35" s="12"/>
      <c r="D35" s="12"/>
      <c r="E35" s="12"/>
      <c r="F35" s="12"/>
      <c r="G35" s="12"/>
      <c r="H35" s="12"/>
      <c r="I35" s="14"/>
      <c r="J35" s="14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E35" s="113"/>
    </row>
    <row r="36" spans="3:34" x14ac:dyDescent="0.25">
      <c r="C36" s="1" t="s">
        <v>220</v>
      </c>
      <c r="D36" s="12"/>
      <c r="E36" s="12"/>
      <c r="F36" s="12"/>
      <c r="G36" s="12"/>
      <c r="H36" s="12"/>
      <c r="I36" s="14"/>
      <c r="J36" s="14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E36" s="113"/>
    </row>
    <row r="37" spans="3:34" outlineLevel="1" x14ac:dyDescent="0.25"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3:34" outlineLevel="1" x14ac:dyDescent="0.25">
      <c r="C38" t="s">
        <v>36</v>
      </c>
      <c r="G38" s="11">
        <v>-250.4</v>
      </c>
      <c r="H38" s="11">
        <v>-256.89999999999998</v>
      </c>
      <c r="I38" s="11">
        <v>-240.9</v>
      </c>
      <c r="J38" s="11">
        <v>-268.5</v>
      </c>
      <c r="K38" s="11">
        <v>-309.89999999999998</v>
      </c>
      <c r="L38" s="11">
        <v>-317.3</v>
      </c>
      <c r="M38" s="11">
        <v>-282.39999999999998</v>
      </c>
      <c r="N38" s="11">
        <v>-330.3</v>
      </c>
      <c r="O38" s="11">
        <v>-325.5</v>
      </c>
      <c r="P38" s="11">
        <v>-350.7</v>
      </c>
      <c r="Q38" s="11">
        <v>-333.3</v>
      </c>
      <c r="R38" s="10">
        <f>-R39*R33</f>
        <v>-374.85186039391721</v>
      </c>
      <c r="S38" s="10">
        <f t="shared" ref="S38:AB38" si="60">-S39*S33</f>
        <v>-386.9495764207432</v>
      </c>
      <c r="T38" s="10">
        <f t="shared" si="60"/>
        <v>-414.61370472449386</v>
      </c>
      <c r="U38" s="10">
        <f t="shared" si="60"/>
        <v>-394.0945833540535</v>
      </c>
      <c r="V38" s="10">
        <f t="shared" si="60"/>
        <v>-439.14506689540497</v>
      </c>
      <c r="W38" s="10">
        <f t="shared" si="60"/>
        <v>-449.87469374206069</v>
      </c>
      <c r="X38" s="10">
        <f t="shared" si="60"/>
        <v>-479.89948131220734</v>
      </c>
      <c r="Y38" s="10">
        <f t="shared" si="60"/>
        <v>-452.82217422917927</v>
      </c>
      <c r="Z38" s="10">
        <f t="shared" si="60"/>
        <v>-500.81097668478759</v>
      </c>
      <c r="AA38" s="10">
        <f t="shared" si="60"/>
        <v>-509.06066643606897</v>
      </c>
      <c r="AB38" s="10">
        <f t="shared" si="60"/>
        <v>-540.42451348987368</v>
      </c>
      <c r="AD38" s="10">
        <f>SUM(I38:L38)</f>
        <v>-1136.5999999999999</v>
      </c>
      <c r="AE38" s="10">
        <f>SUM(M38:P38)</f>
        <v>-1288.9000000000001</v>
      </c>
      <c r="AF38" s="10">
        <f>SUM(Q38:T38)</f>
        <v>-1509.7151415391543</v>
      </c>
      <c r="AG38" s="10">
        <f>SUM(U38:X38)</f>
        <v>-1763.0138253037264</v>
      </c>
      <c r="AH38" s="10">
        <f>SUM(Y38:AB38)</f>
        <v>-2003.1183308399095</v>
      </c>
    </row>
    <row r="39" spans="3:34" outlineLevel="1" x14ac:dyDescent="0.25">
      <c r="C39" s="12" t="s">
        <v>38</v>
      </c>
      <c r="D39" s="12"/>
      <c r="E39" s="12"/>
      <c r="F39" s="12"/>
      <c r="G39" s="13">
        <f>-G38/G33</f>
        <v>0.67566109012412301</v>
      </c>
      <c r="H39" s="13">
        <f t="shared" ref="H39:Q39" si="61">-H38/H33</f>
        <v>0.67747890295358648</v>
      </c>
      <c r="I39" s="13">
        <f t="shared" si="61"/>
        <v>0.66418527708850295</v>
      </c>
      <c r="J39" s="13">
        <f t="shared" si="61"/>
        <v>0.69631742738589208</v>
      </c>
      <c r="K39" s="13">
        <f t="shared" si="61"/>
        <v>0.694998878672348</v>
      </c>
      <c r="L39" s="13">
        <f t="shared" si="61"/>
        <v>0.67139229792636479</v>
      </c>
      <c r="M39" s="13">
        <f t="shared" si="61"/>
        <v>0.65613382899628248</v>
      </c>
      <c r="N39" s="13">
        <f t="shared" si="61"/>
        <v>0.6678123736352608</v>
      </c>
      <c r="O39" s="13">
        <f t="shared" si="61"/>
        <v>0.63154831199068684</v>
      </c>
      <c r="P39" s="13">
        <f t="shared" si="61"/>
        <v>0.63098236775818639</v>
      </c>
      <c r="Q39" s="13">
        <f t="shared" si="61"/>
        <v>0.62544567461062117</v>
      </c>
      <c r="R39" s="13">
        <f>INDEX(R40:R42,MATCH($F$8,$C$40:$C$42,0))</f>
        <v>0.62544567461062117</v>
      </c>
      <c r="S39" s="13">
        <f>INDEX(S40:S42,MATCH($F$8,$C$40:$C$42,0))</f>
        <v>0.6241956746106212</v>
      </c>
      <c r="T39" s="13">
        <f>INDEX(T40:T42,MATCH($F$8,$C$40:$C$42,0))</f>
        <v>0.62294567461062123</v>
      </c>
      <c r="U39" s="13">
        <f>INDEX(U40:U42,MATCH($F$8,$C$40:$C$42,0))</f>
        <v>0.62169567461062125</v>
      </c>
      <c r="V39" s="13">
        <f>INDEX(V40:V42,MATCH($F$8,$C$40:$C$42,0))</f>
        <v>0.62044567461062128</v>
      </c>
      <c r="W39" s="13">
        <f>INDEX(W40:W42,MATCH($F$8,$C$40:$C$42,0))</f>
        <v>0.6191956746106213</v>
      </c>
      <c r="X39" s="13">
        <f>INDEX(X40:X42,MATCH($F$8,$C$40:$C$42,0))</f>
        <v>0.61794567461062133</v>
      </c>
      <c r="Y39" s="13">
        <f>INDEX(Y40:Y42,MATCH($F$8,$C$40:$C$42,0))</f>
        <v>0.61669567461062136</v>
      </c>
      <c r="Z39" s="13">
        <f>INDEX(Z40:Z42,MATCH($F$8,$C$40:$C$42,0))</f>
        <v>0.61544567461062138</v>
      </c>
      <c r="AA39" s="13">
        <f>INDEX(AA40:AA42,MATCH($F$8,$C$40:$C$42,0))</f>
        <v>0.61419567461062141</v>
      </c>
      <c r="AB39" s="13">
        <f>INDEX(AB40:AB42,MATCH($F$8,$C$40:$C$42,0))</f>
        <v>0.61294567461062144</v>
      </c>
      <c r="AD39" s="19"/>
      <c r="AE39" s="13">
        <f>AE38/AD38-1</f>
        <v>0.13399612880520873</v>
      </c>
      <c r="AF39" s="13">
        <f t="shared" ref="AF39" si="62">AF38/AE38-1</f>
        <v>0.17132061567162249</v>
      </c>
      <c r="AG39" s="13">
        <f t="shared" ref="AG39" si="63">AG38/AF38-1</f>
        <v>0.16777912388580418</v>
      </c>
      <c r="AH39" s="13">
        <f t="shared" ref="AH39" si="64">AH38/AG38-1</f>
        <v>0.13618980298967243</v>
      </c>
    </row>
    <row r="40" spans="3:34" outlineLevel="1" x14ac:dyDescent="0.25">
      <c r="C40" s="17" t="s">
        <v>32</v>
      </c>
      <c r="D40" s="12"/>
      <c r="E40" s="12"/>
      <c r="F40" s="12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5">
        <f>Q39-0.002</f>
        <v>0.62344567461062117</v>
      </c>
      <c r="S40" s="16">
        <f>+R40-0.0025</f>
        <v>0.62094567461062122</v>
      </c>
      <c r="T40" s="16">
        <f t="shared" ref="T40:AB40" si="65">+S40-0.0025</f>
        <v>0.61844567461062128</v>
      </c>
      <c r="U40" s="16">
        <f t="shared" si="65"/>
        <v>0.61594567461062133</v>
      </c>
      <c r="V40" s="16">
        <f t="shared" si="65"/>
        <v>0.61344567461062138</v>
      </c>
      <c r="W40" s="16">
        <f t="shared" si="65"/>
        <v>0.61094567461062144</v>
      </c>
      <c r="X40" s="16">
        <f t="shared" si="65"/>
        <v>0.60844567461062149</v>
      </c>
      <c r="Y40" s="16">
        <f t="shared" si="65"/>
        <v>0.60594567461062154</v>
      </c>
      <c r="Z40" s="16">
        <f t="shared" si="65"/>
        <v>0.6034456746106216</v>
      </c>
      <c r="AA40" s="16">
        <f t="shared" si="65"/>
        <v>0.60094567461062165</v>
      </c>
      <c r="AB40" s="16">
        <f t="shared" si="65"/>
        <v>0.5984456746106217</v>
      </c>
    </row>
    <row r="41" spans="3:34" outlineLevel="1" x14ac:dyDescent="0.25">
      <c r="C41" s="17" t="s">
        <v>33</v>
      </c>
      <c r="D41" s="12"/>
      <c r="E41" s="12"/>
      <c r="F41" s="12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5">
        <f>Q39</f>
        <v>0.62544567461062117</v>
      </c>
      <c r="S41" s="16">
        <f>R41-0.00125</f>
        <v>0.6241956746106212</v>
      </c>
      <c r="T41" s="16">
        <f t="shared" ref="T41:AB41" si="66">S41-0.00125</f>
        <v>0.62294567461062123</v>
      </c>
      <c r="U41" s="16">
        <f t="shared" si="66"/>
        <v>0.62169567461062125</v>
      </c>
      <c r="V41" s="16">
        <f t="shared" si="66"/>
        <v>0.62044567461062128</v>
      </c>
      <c r="W41" s="16">
        <f t="shared" si="66"/>
        <v>0.6191956746106213</v>
      </c>
      <c r="X41" s="16">
        <f t="shared" si="66"/>
        <v>0.61794567461062133</v>
      </c>
      <c r="Y41" s="16">
        <f t="shared" si="66"/>
        <v>0.61669567461062136</v>
      </c>
      <c r="Z41" s="16">
        <f t="shared" si="66"/>
        <v>0.61544567461062138</v>
      </c>
      <c r="AA41" s="16">
        <f t="shared" si="66"/>
        <v>0.61419567461062141</v>
      </c>
      <c r="AB41" s="16">
        <f t="shared" si="66"/>
        <v>0.61294567461062144</v>
      </c>
    </row>
    <row r="42" spans="3:34" outlineLevel="1" x14ac:dyDescent="0.25">
      <c r="C42" s="17" t="s">
        <v>34</v>
      </c>
      <c r="D42" s="12"/>
      <c r="E42" s="12"/>
      <c r="F42" s="12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5">
        <f>Q39</f>
        <v>0.62544567461062117</v>
      </c>
      <c r="S42" s="16">
        <f>R42</f>
        <v>0.62544567461062117</v>
      </c>
      <c r="T42" s="16">
        <f t="shared" ref="T42:AB42" si="67">S42</f>
        <v>0.62544567461062117</v>
      </c>
      <c r="U42" s="16">
        <f t="shared" si="67"/>
        <v>0.62544567461062117</v>
      </c>
      <c r="V42" s="16">
        <f t="shared" si="67"/>
        <v>0.62544567461062117</v>
      </c>
      <c r="W42" s="16">
        <f t="shared" si="67"/>
        <v>0.62544567461062117</v>
      </c>
      <c r="X42" s="16">
        <f t="shared" si="67"/>
        <v>0.62544567461062117</v>
      </c>
      <c r="Y42" s="16">
        <f t="shared" si="67"/>
        <v>0.62544567461062117</v>
      </c>
      <c r="Z42" s="16">
        <f t="shared" si="67"/>
        <v>0.62544567461062117</v>
      </c>
      <c r="AA42" s="16">
        <f t="shared" si="67"/>
        <v>0.62544567461062117</v>
      </c>
      <c r="AB42" s="16">
        <f t="shared" si="67"/>
        <v>0.62544567461062117</v>
      </c>
    </row>
    <row r="43" spans="3:34" outlineLevel="1" x14ac:dyDescent="0.25"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</row>
    <row r="44" spans="3:34" outlineLevel="1" x14ac:dyDescent="0.25">
      <c r="C44" s="1" t="s">
        <v>0</v>
      </c>
      <c r="D44" s="1"/>
      <c r="E44" s="1"/>
      <c r="F44" s="1"/>
      <c r="G44" s="28">
        <f t="shared" ref="G44:AB44" si="68">G33+G38</f>
        <v>120.20000000000002</v>
      </c>
      <c r="H44" s="28">
        <f t="shared" si="68"/>
        <v>122.30000000000001</v>
      </c>
      <c r="I44" s="28">
        <f t="shared" si="68"/>
        <v>121.79999999999998</v>
      </c>
      <c r="J44" s="28">
        <f t="shared" si="68"/>
        <v>117.10000000000002</v>
      </c>
      <c r="K44" s="28">
        <f t="shared" si="68"/>
        <v>136</v>
      </c>
      <c r="L44" s="28">
        <f t="shared" si="68"/>
        <v>155.30000000000001</v>
      </c>
      <c r="M44" s="28">
        <f t="shared" si="68"/>
        <v>148</v>
      </c>
      <c r="N44" s="28">
        <f t="shared" si="68"/>
        <v>164.3</v>
      </c>
      <c r="O44" s="28">
        <f t="shared" si="68"/>
        <v>189.89999999999998</v>
      </c>
      <c r="P44" s="28">
        <f t="shared" si="68"/>
        <v>205.09999999999997</v>
      </c>
      <c r="Q44" s="28">
        <f t="shared" si="68"/>
        <v>199.59999999999997</v>
      </c>
      <c r="R44" s="28">
        <f t="shared" si="68"/>
        <v>224.48374237811544</v>
      </c>
      <c r="S44" s="28">
        <f t="shared" si="68"/>
        <v>232.96752996120307</v>
      </c>
      <c r="T44" s="28">
        <f t="shared" si="68"/>
        <v>250.95589728558917</v>
      </c>
      <c r="U44" s="28">
        <f t="shared" si="68"/>
        <v>239.80814341154894</v>
      </c>
      <c r="V44" s="28">
        <f t="shared" si="68"/>
        <v>268.64464760458441</v>
      </c>
      <c r="W44" s="28">
        <f t="shared" si="68"/>
        <v>276.67219957233874</v>
      </c>
      <c r="X44" s="28">
        <f t="shared" si="68"/>
        <v>296.70516377184578</v>
      </c>
      <c r="Y44" s="28">
        <f t="shared" si="68"/>
        <v>281.44951417708205</v>
      </c>
      <c r="Z44" s="28">
        <f t="shared" si="68"/>
        <v>312.92612042234447</v>
      </c>
      <c r="AA44" s="28">
        <f t="shared" si="68"/>
        <v>319.7642300577001</v>
      </c>
      <c r="AB44" s="28">
        <f t="shared" si="68"/>
        <v>341.25968117090542</v>
      </c>
      <c r="AD44" s="28">
        <f>SUM(I44:L44)</f>
        <v>530.20000000000005</v>
      </c>
      <c r="AE44" s="28">
        <f>SUM(M44:P44)</f>
        <v>707.3</v>
      </c>
      <c r="AF44" s="28">
        <f>SUM(Q44:T44)</f>
        <v>908.00716962490765</v>
      </c>
      <c r="AG44" s="28">
        <f>SUM(U44:X44)</f>
        <v>1081.8301543603179</v>
      </c>
      <c r="AH44" s="28">
        <f>SUM(Y44:AB44)</f>
        <v>1255.3995458280322</v>
      </c>
    </row>
    <row r="45" spans="3:34" outlineLevel="1" x14ac:dyDescent="0.25">
      <c r="C45" s="12" t="s">
        <v>37</v>
      </c>
      <c r="D45" s="12"/>
      <c r="E45" s="12"/>
      <c r="F45" s="12"/>
      <c r="G45" s="13">
        <f t="shared" ref="G45:AB45" si="69">G44/G33</f>
        <v>0.32433890987587699</v>
      </c>
      <c r="H45" s="13">
        <f t="shared" si="69"/>
        <v>0.32252109704641352</v>
      </c>
      <c r="I45" s="13">
        <f t="shared" si="69"/>
        <v>0.33581472291149705</v>
      </c>
      <c r="J45" s="13">
        <f t="shared" si="69"/>
        <v>0.30368257261410792</v>
      </c>
      <c r="K45" s="13">
        <f t="shared" si="69"/>
        <v>0.30500112132765195</v>
      </c>
      <c r="L45" s="13">
        <f t="shared" si="69"/>
        <v>0.32860770207363521</v>
      </c>
      <c r="M45" s="13">
        <f t="shared" si="69"/>
        <v>0.34386617100371747</v>
      </c>
      <c r="N45" s="13">
        <f t="shared" si="69"/>
        <v>0.3321876263647392</v>
      </c>
      <c r="O45" s="13">
        <f t="shared" si="69"/>
        <v>0.36845168800931311</v>
      </c>
      <c r="P45" s="13">
        <f t="shared" si="69"/>
        <v>0.36901763224181355</v>
      </c>
      <c r="Q45" s="13">
        <f t="shared" si="69"/>
        <v>0.37455432538937883</v>
      </c>
      <c r="R45" s="13">
        <f t="shared" si="69"/>
        <v>0.37455432538937888</v>
      </c>
      <c r="S45" s="13">
        <f t="shared" si="69"/>
        <v>0.37580432538937875</v>
      </c>
      <c r="T45" s="13">
        <f t="shared" si="69"/>
        <v>0.37705432538937877</v>
      </c>
      <c r="U45" s="13">
        <f t="shared" si="69"/>
        <v>0.3783043253893788</v>
      </c>
      <c r="V45" s="13">
        <f t="shared" si="69"/>
        <v>0.37955432538937867</v>
      </c>
      <c r="W45" s="13">
        <f t="shared" si="69"/>
        <v>0.38080432538937864</v>
      </c>
      <c r="X45" s="13">
        <f t="shared" si="69"/>
        <v>0.38205432538937867</v>
      </c>
      <c r="Y45" s="13">
        <f t="shared" si="69"/>
        <v>0.38330432538937864</v>
      </c>
      <c r="Z45" s="13">
        <f t="shared" si="69"/>
        <v>0.38455432538937867</v>
      </c>
      <c r="AA45" s="13">
        <f t="shared" si="69"/>
        <v>0.38580432538937859</v>
      </c>
      <c r="AB45" s="13">
        <f t="shared" si="69"/>
        <v>0.38705432538937862</v>
      </c>
      <c r="AD45" s="13">
        <f>AD44/AD33</f>
        <v>0.3180945524358052</v>
      </c>
      <c r="AE45" s="13">
        <f t="shared" ref="AE45:AH45" si="70">AE44/AE33</f>
        <v>0.3543232141068029</v>
      </c>
      <c r="AF45" s="13">
        <f t="shared" si="70"/>
        <v>0.37556305181620669</v>
      </c>
      <c r="AG45" s="13">
        <f t="shared" si="70"/>
        <v>0.38027749925606619</v>
      </c>
      <c r="AH45" s="13">
        <f t="shared" si="70"/>
        <v>0.38526704266903222</v>
      </c>
    </row>
    <row r="46" spans="3:34" outlineLevel="1" x14ac:dyDescent="0.25"/>
    <row r="47" spans="3:34" outlineLevel="1" x14ac:dyDescent="0.25">
      <c r="C47" t="s">
        <v>40</v>
      </c>
      <c r="G47" s="11">
        <v>-47.8</v>
      </c>
      <c r="H47" s="11">
        <v>-56.2</v>
      </c>
      <c r="I47" s="11">
        <v>-41.7</v>
      </c>
      <c r="J47" s="11">
        <v>-54.3</v>
      </c>
      <c r="K47" s="11">
        <v>-55.1</v>
      </c>
      <c r="L47" s="11">
        <v>-65.2</v>
      </c>
      <c r="M47" s="11">
        <v>-52.8</v>
      </c>
      <c r="N47" s="11">
        <v>-69.099999999999994</v>
      </c>
      <c r="O47" s="11">
        <v>-74</v>
      </c>
      <c r="P47" s="11">
        <v>-88.7</v>
      </c>
      <c r="Q47" s="11">
        <v>-80.099999999999994</v>
      </c>
      <c r="R47" s="10">
        <f>-R48*R$33</f>
        <v>-85.287740376568834</v>
      </c>
      <c r="S47" s="10">
        <f t="shared" ref="S47:AB47" si="71">-S48*S$33</f>
        <v>-88.665344504641212</v>
      </c>
      <c r="T47" s="10">
        <f t="shared" si="71"/>
        <v>-97.452437150715951</v>
      </c>
      <c r="U47" s="10">
        <f t="shared" si="71"/>
        <v>-93.524779385832133</v>
      </c>
      <c r="V47" s="10">
        <f t="shared" si="71"/>
        <v>-104.89309392486193</v>
      </c>
      <c r="W47" s="10">
        <f t="shared" si="71"/>
        <v>-106.29344110739744</v>
      </c>
      <c r="X47" s="10">
        <f t="shared" si="71"/>
        <v>-113.09781649888751</v>
      </c>
      <c r="Y47" s="10">
        <f t="shared" si="71"/>
        <v>-107.34001332563058</v>
      </c>
      <c r="Z47" s="10">
        <f t="shared" si="71"/>
        <v>-119.38500868659531</v>
      </c>
      <c r="AA47" s="10">
        <f t="shared" si="71"/>
        <v>-121.63896304501732</v>
      </c>
      <c r="AB47" s="10">
        <f t="shared" si="71"/>
        <v>-129.28240934216862</v>
      </c>
      <c r="AD47" s="10">
        <f>SUM(I47:L47)</f>
        <v>-216.3</v>
      </c>
      <c r="AE47" s="10">
        <f>SUM(M47:P47)</f>
        <v>-284.59999999999997</v>
      </c>
      <c r="AF47" s="10">
        <f>SUM(Q47:T47)</f>
        <v>-351.50552203192603</v>
      </c>
      <c r="AG47" s="10">
        <f>SUM(U47:X47)</f>
        <v>-417.80913091697903</v>
      </c>
      <c r="AH47" s="10">
        <f>SUM(Y47:AB47)</f>
        <v>-477.64639439941186</v>
      </c>
    </row>
    <row r="48" spans="3:34" outlineLevel="1" x14ac:dyDescent="0.25">
      <c r="C48" s="12" t="s">
        <v>38</v>
      </c>
      <c r="D48" s="12"/>
      <c r="E48" s="12"/>
      <c r="F48" s="12"/>
      <c r="G48" s="13">
        <f>G47/-G33</f>
        <v>0.12898003237992442</v>
      </c>
      <c r="H48" s="13">
        <f t="shared" ref="H48:Q48" si="72">H47/-H33</f>
        <v>0.14820675105485234</v>
      </c>
      <c r="I48" s="13">
        <f t="shared" si="72"/>
        <v>0.11497105045492144</v>
      </c>
      <c r="J48" s="13">
        <f t="shared" si="72"/>
        <v>0.14081950207468877</v>
      </c>
      <c r="K48" s="13">
        <f t="shared" si="72"/>
        <v>0.12357030724377664</v>
      </c>
      <c r="L48" s="13">
        <f t="shared" si="72"/>
        <v>0.13796022005924671</v>
      </c>
      <c r="M48" s="13">
        <f t="shared" si="72"/>
        <v>0.12267657992565056</v>
      </c>
      <c r="N48" s="13">
        <f t="shared" si="72"/>
        <v>0.13970885564092195</v>
      </c>
      <c r="O48" s="13">
        <f t="shared" si="72"/>
        <v>0.14357780364765232</v>
      </c>
      <c r="P48" s="13">
        <f t="shared" si="72"/>
        <v>0.15958978049658151</v>
      </c>
      <c r="Q48" s="13">
        <f t="shared" si="72"/>
        <v>0.15030962657158942</v>
      </c>
      <c r="R48" s="13">
        <f>AVERAGE(L48:Q48)</f>
        <v>0.14230381105694043</v>
      </c>
      <c r="S48" s="13">
        <f t="shared" ref="S48:AB48" si="73">AVERAGE(M48:R48)</f>
        <v>0.14302774288988937</v>
      </c>
      <c r="T48" s="13">
        <f t="shared" si="73"/>
        <v>0.14641960338392918</v>
      </c>
      <c r="U48" s="13">
        <f t="shared" si="73"/>
        <v>0.14753806134109704</v>
      </c>
      <c r="V48" s="13">
        <f t="shared" si="73"/>
        <v>0.14819810429000449</v>
      </c>
      <c r="W48" s="13">
        <f t="shared" si="73"/>
        <v>0.14629949158890831</v>
      </c>
      <c r="X48" s="13">
        <f t="shared" si="73"/>
        <v>0.14563113575846146</v>
      </c>
      <c r="Y48" s="13">
        <f t="shared" si="73"/>
        <v>0.14618568987538164</v>
      </c>
      <c r="Z48" s="13">
        <f t="shared" si="73"/>
        <v>0.14671201437296369</v>
      </c>
      <c r="AA48" s="13">
        <f t="shared" si="73"/>
        <v>0.14676074953780274</v>
      </c>
      <c r="AB48" s="13">
        <f t="shared" si="73"/>
        <v>0.14663119757058704</v>
      </c>
      <c r="AD48" s="13">
        <f>-AD47/AD$33</f>
        <v>0.12976961843052559</v>
      </c>
      <c r="AE48" s="13">
        <f t="shared" ref="AE48:AH48" si="74">-AE47/AE$33</f>
        <v>0.14257088468089368</v>
      </c>
      <c r="AF48" s="13">
        <f t="shared" si="74"/>
        <v>0.14538705309903291</v>
      </c>
      <c r="AG48" s="13">
        <f t="shared" si="74"/>
        <v>0.14686539363973111</v>
      </c>
      <c r="AH48" s="13">
        <f t="shared" si="74"/>
        <v>0.14658394168082273</v>
      </c>
    </row>
    <row r="49" spans="3:34" outlineLevel="1" x14ac:dyDescent="0.25">
      <c r="C49" s="12"/>
      <c r="D49" s="12"/>
      <c r="E49" s="12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3:34" outlineLevel="1" x14ac:dyDescent="0.25">
      <c r="C50" t="s">
        <v>41</v>
      </c>
      <c r="G50" s="11">
        <v>-4.9000000000000004</v>
      </c>
      <c r="H50" s="11">
        <v>-5</v>
      </c>
      <c r="I50" s="11">
        <v>-4.9000000000000004</v>
      </c>
      <c r="J50" s="11">
        <v>-4.8</v>
      </c>
      <c r="K50" s="11">
        <v>-4.9000000000000004</v>
      </c>
      <c r="L50" s="11">
        <v>-12</v>
      </c>
      <c r="M50" s="11">
        <v>-22.2</v>
      </c>
      <c r="N50" s="11">
        <v>-4.2</v>
      </c>
      <c r="O50" s="11">
        <v>-4.3</v>
      </c>
      <c r="P50" s="11">
        <v>-4.3</v>
      </c>
      <c r="Q50" s="11">
        <v>-4.2</v>
      </c>
      <c r="R50" s="10">
        <f>-R51*R$33</f>
        <v>-9.4138465691647486</v>
      </c>
      <c r="S50" s="10">
        <f t="shared" ref="S50" si="75">-S51*S$33</f>
        <v>-6.1477444951266049</v>
      </c>
      <c r="T50" s="10">
        <f t="shared" ref="T50" si="76">-T51*T$33</f>
        <v>-6.8623852679995769</v>
      </c>
      <c r="U50" s="10">
        <f t="shared" ref="U50" si="77">-U51*U$33</f>
        <v>-6.9437908521675853</v>
      </c>
      <c r="V50" s="10">
        <f t="shared" ref="V50" si="78">-V51*V$33</f>
        <v>-8.2968450064280734</v>
      </c>
      <c r="W50" s="10">
        <f t="shared" ref="W50" si="79">-W51*W$33</f>
        <v>-7.7929073164094333</v>
      </c>
      <c r="X50" s="10">
        <f t="shared" ref="X50" si="80">-X51*X$33</f>
        <v>-8.4868750853936987</v>
      </c>
      <c r="Y50" s="10">
        <f t="shared" ref="Y50" si="81">-Y51*Y$33</f>
        <v>-8.1376308579697056</v>
      </c>
      <c r="Z50" s="10">
        <f t="shared" ref="Z50" si="82">-Z51*Z$33</f>
        <v>-9.044466006234769</v>
      </c>
      <c r="AA50" s="10">
        <f t="shared" ref="AA50" si="83">-AA51*AA$33</f>
        <v>-9.0862928993389129</v>
      </c>
      <c r="AB50" s="10">
        <f t="shared" ref="AB50" si="84">-AB51*AB$33</f>
        <v>-9.7180019557878285</v>
      </c>
      <c r="AD50" s="10">
        <f>SUM(I50:L50)</f>
        <v>-26.6</v>
      </c>
      <c r="AE50" s="10">
        <f>SUM(M50:P50)</f>
        <v>-35</v>
      </c>
      <c r="AF50" s="10">
        <f>SUM(Q50:T50)</f>
        <v>-26.623976332290933</v>
      </c>
      <c r="AG50" s="10">
        <f>SUM(U50:X50)</f>
        <v>-31.520418260398792</v>
      </c>
      <c r="AH50" s="10">
        <f>SUM(Y50:AB50)</f>
        <v>-35.986391719331216</v>
      </c>
    </row>
    <row r="51" spans="3:34" outlineLevel="1" x14ac:dyDescent="0.25">
      <c r="C51" s="12" t="s">
        <v>38</v>
      </c>
      <c r="D51" s="12"/>
      <c r="E51" s="12"/>
      <c r="F51" s="12"/>
      <c r="G51" s="13">
        <f>-G50/G33</f>
        <v>1.3221802482460875E-2</v>
      </c>
      <c r="H51" s="13">
        <f t="shared" ref="H51:Q51" si="85">-H50/H33</f>
        <v>1.3185654008438819E-2</v>
      </c>
      <c r="I51" s="13">
        <f t="shared" si="85"/>
        <v>1.3509787703336091E-2</v>
      </c>
      <c r="J51" s="13">
        <f t="shared" si="85"/>
        <v>1.2448132780082987E-2</v>
      </c>
      <c r="K51" s="13">
        <f t="shared" si="85"/>
        <v>1.098901098901099E-2</v>
      </c>
      <c r="L51" s="13">
        <f t="shared" si="85"/>
        <v>2.5391451544646636E-2</v>
      </c>
      <c r="M51" s="13">
        <f t="shared" si="85"/>
        <v>5.157992565055762E-2</v>
      </c>
      <c r="N51" s="13">
        <f t="shared" si="85"/>
        <v>8.491710473109584E-3</v>
      </c>
      <c r="O51" s="13">
        <f t="shared" si="85"/>
        <v>8.3430345362824985E-3</v>
      </c>
      <c r="P51" s="13">
        <f t="shared" si="85"/>
        <v>7.7365958978049664E-3</v>
      </c>
      <c r="Q51" s="13">
        <f t="shared" si="85"/>
        <v>7.8814036404578729E-3</v>
      </c>
      <c r="R51" s="13">
        <f>AVERAGE(G51:Q51)</f>
        <v>1.5707137246017175E-2</v>
      </c>
      <c r="S51" s="13">
        <f t="shared" ref="S51:AB51" si="86">AVERAGE(O51:R51)</f>
        <v>9.9170428301406273E-3</v>
      </c>
      <c r="T51" s="13">
        <f t="shared" si="86"/>
        <v>1.0310544903605161E-2</v>
      </c>
      <c r="U51" s="13">
        <f t="shared" si="86"/>
        <v>1.0954032155055209E-2</v>
      </c>
      <c r="V51" s="13">
        <f t="shared" si="86"/>
        <v>1.1722189283704543E-2</v>
      </c>
      <c r="W51" s="13">
        <f t="shared" si="86"/>
        <v>1.0725952293126385E-2</v>
      </c>
      <c r="X51" s="13">
        <f t="shared" si="86"/>
        <v>1.0928179658872824E-2</v>
      </c>
      <c r="Y51" s="13">
        <f t="shared" si="86"/>
        <v>1.1082588347689742E-2</v>
      </c>
      <c r="Z51" s="13">
        <f t="shared" si="86"/>
        <v>1.1114727395848373E-2</v>
      </c>
      <c r="AA51" s="13">
        <f t="shared" si="86"/>
        <v>1.0962861923884331E-2</v>
      </c>
      <c r="AB51" s="13">
        <f t="shared" si="86"/>
        <v>1.1022089331573819E-2</v>
      </c>
      <c r="AD51" s="13">
        <f>-AD50/AD$33</f>
        <v>1.5958723302135831E-2</v>
      </c>
      <c r="AE51" s="13">
        <f t="shared" ref="AE51" si="87">-AE50/AE$33</f>
        <v>1.7533313295260994E-2</v>
      </c>
      <c r="AF51" s="13">
        <f t="shared" ref="AF51" si="88">-AF50/AF$33</f>
        <v>1.1012007545015488E-2</v>
      </c>
      <c r="AG51" s="13">
        <f t="shared" ref="AG51" si="89">-AG50/AG$33</f>
        <v>1.1079840752504511E-2</v>
      </c>
      <c r="AH51" s="13">
        <f t="shared" ref="AH51" si="90">-AH50/AH$33</f>
        <v>1.1043791404983719E-2</v>
      </c>
    </row>
    <row r="52" spans="3:34" outlineLevel="1" x14ac:dyDescent="0.25"/>
    <row r="53" spans="3:34" outlineLevel="1" x14ac:dyDescent="0.25">
      <c r="C53" t="s">
        <v>42</v>
      </c>
      <c r="G53" s="28">
        <f>G44+G47+G50</f>
        <v>67.500000000000014</v>
      </c>
      <c r="H53" s="28">
        <f t="shared" ref="H53:AB53" si="91">H44+H47+H50</f>
        <v>61.100000000000009</v>
      </c>
      <c r="I53" s="28">
        <f t="shared" si="91"/>
        <v>75.199999999999974</v>
      </c>
      <c r="J53" s="28">
        <f t="shared" si="91"/>
        <v>58.000000000000028</v>
      </c>
      <c r="K53" s="28">
        <f t="shared" si="91"/>
        <v>76</v>
      </c>
      <c r="L53" s="28">
        <f t="shared" si="91"/>
        <v>78.100000000000009</v>
      </c>
      <c r="M53" s="28">
        <f t="shared" si="91"/>
        <v>73</v>
      </c>
      <c r="N53" s="28">
        <f t="shared" si="91"/>
        <v>91.000000000000014</v>
      </c>
      <c r="O53" s="28">
        <f t="shared" si="91"/>
        <v>111.59999999999998</v>
      </c>
      <c r="P53" s="28">
        <f t="shared" si="91"/>
        <v>112.09999999999997</v>
      </c>
      <c r="Q53" s="28">
        <f t="shared" si="91"/>
        <v>115.29999999999997</v>
      </c>
      <c r="R53" s="28">
        <f t="shared" si="91"/>
        <v>129.78215543238187</v>
      </c>
      <c r="S53" s="28">
        <f t="shared" si="91"/>
        <v>138.15444096143526</v>
      </c>
      <c r="T53" s="28">
        <f t="shared" si="91"/>
        <v>146.64107486687365</v>
      </c>
      <c r="U53" s="28">
        <f t="shared" si="91"/>
        <v>139.33957317354924</v>
      </c>
      <c r="V53" s="28">
        <f t="shared" si="91"/>
        <v>155.45470867329439</v>
      </c>
      <c r="W53" s="28">
        <f t="shared" si="91"/>
        <v>162.58585114853187</v>
      </c>
      <c r="X53" s="28">
        <f t="shared" si="91"/>
        <v>175.12047218756456</v>
      </c>
      <c r="Y53" s="28">
        <f t="shared" si="91"/>
        <v>165.97186999348176</v>
      </c>
      <c r="Z53" s="28">
        <f t="shared" si="91"/>
        <v>184.4966457295144</v>
      </c>
      <c r="AA53" s="28">
        <f t="shared" si="91"/>
        <v>189.0389741133439</v>
      </c>
      <c r="AB53" s="28">
        <f t="shared" si="91"/>
        <v>202.25926987294898</v>
      </c>
      <c r="AD53" s="28">
        <f>SUM(I53:L53)</f>
        <v>287.3</v>
      </c>
      <c r="AE53" s="28">
        <f>SUM(M53:P53)</f>
        <v>387.69999999999993</v>
      </c>
      <c r="AF53" s="28">
        <f>SUM(Q53:T53)</f>
        <v>529.8776712606907</v>
      </c>
      <c r="AG53" s="28">
        <f>SUM(U53:X53)</f>
        <v>632.50060518294015</v>
      </c>
      <c r="AH53" s="28">
        <f>SUM(Y53:AB53)</f>
        <v>741.76675970928898</v>
      </c>
    </row>
    <row r="54" spans="3:34" outlineLevel="1" x14ac:dyDescent="0.25">
      <c r="C54" s="12" t="s">
        <v>43</v>
      </c>
      <c r="G54" s="13">
        <f>G53/G33</f>
        <v>0.18213707501349166</v>
      </c>
      <c r="H54" s="13">
        <f t="shared" ref="H54:AB54" si="92">H53/H33</f>
        <v>0.16112869198312238</v>
      </c>
      <c r="I54" s="13">
        <f t="shared" si="92"/>
        <v>0.20733388475323952</v>
      </c>
      <c r="J54" s="13">
        <f t="shared" si="92"/>
        <v>0.15041493775933618</v>
      </c>
      <c r="K54" s="13">
        <f t="shared" si="92"/>
        <v>0.17044180309486434</v>
      </c>
      <c r="L54" s="13">
        <f t="shared" si="92"/>
        <v>0.16525603046974185</v>
      </c>
      <c r="M54" s="13">
        <f t="shared" si="92"/>
        <v>0.1696096654275093</v>
      </c>
      <c r="N54" s="13">
        <f t="shared" si="92"/>
        <v>0.18398706025070766</v>
      </c>
      <c r="O54" s="13">
        <f t="shared" si="92"/>
        <v>0.21653084982537832</v>
      </c>
      <c r="P54" s="13">
        <f t="shared" si="92"/>
        <v>0.20169125584742709</v>
      </c>
      <c r="Q54" s="13">
        <f t="shared" si="92"/>
        <v>0.21636329517733152</v>
      </c>
      <c r="R54" s="13">
        <f t="shared" si="92"/>
        <v>0.2165433770864213</v>
      </c>
      <c r="S54" s="13">
        <f t="shared" si="92"/>
        <v>0.22285953966934877</v>
      </c>
      <c r="T54" s="13">
        <f t="shared" si="92"/>
        <v>0.22032417710184443</v>
      </c>
      <c r="U54" s="13">
        <f t="shared" si="92"/>
        <v>0.21981223189322657</v>
      </c>
      <c r="V54" s="13">
        <f t="shared" si="92"/>
        <v>0.21963403181566962</v>
      </c>
      <c r="W54" s="13">
        <f t="shared" si="92"/>
        <v>0.22377888150734399</v>
      </c>
      <c r="X54" s="13">
        <f t="shared" si="92"/>
        <v>0.22549500997204439</v>
      </c>
      <c r="Y54" s="13">
        <f t="shared" si="92"/>
        <v>0.22603604716630726</v>
      </c>
      <c r="Z54" s="13">
        <f t="shared" si="92"/>
        <v>0.22672758362056658</v>
      </c>
      <c r="AA54" s="13">
        <f t="shared" si="92"/>
        <v>0.22808071392769155</v>
      </c>
      <c r="AB54" s="13">
        <f t="shared" si="92"/>
        <v>0.22940103848721777</v>
      </c>
      <c r="AD54" s="13">
        <f>AD53/AD33</f>
        <v>0.17236621070314379</v>
      </c>
      <c r="AE54" s="13">
        <f t="shared" ref="AE54:AH54" si="93">AE53/AE33</f>
        <v>0.19421901613064818</v>
      </c>
      <c r="AF54" s="13">
        <f t="shared" si="93"/>
        <v>0.21916399117215832</v>
      </c>
      <c r="AG54" s="13">
        <f t="shared" si="93"/>
        <v>0.22233226486383059</v>
      </c>
      <c r="AH54" s="13">
        <f t="shared" si="93"/>
        <v>0.22763930958322573</v>
      </c>
    </row>
    <row r="55" spans="3:34" outlineLevel="1" x14ac:dyDescent="0.25"/>
    <row r="56" spans="3:34" outlineLevel="1" x14ac:dyDescent="0.25">
      <c r="C56" t="s">
        <v>44</v>
      </c>
      <c r="D56" t="s">
        <v>45</v>
      </c>
      <c r="E56" s="31">
        <v>0.25</v>
      </c>
      <c r="G56" s="10">
        <f>-$E$56*G53</f>
        <v>-16.875000000000004</v>
      </c>
      <c r="H56" s="10">
        <f t="shared" ref="H56:AB56" si="94">-$E$56*H53</f>
        <v>-15.275000000000002</v>
      </c>
      <c r="I56" s="10">
        <f t="shared" si="94"/>
        <v>-18.799999999999994</v>
      </c>
      <c r="J56" s="10">
        <f t="shared" si="94"/>
        <v>-14.500000000000007</v>
      </c>
      <c r="K56" s="10">
        <f t="shared" si="94"/>
        <v>-19</v>
      </c>
      <c r="L56" s="10">
        <f t="shared" si="94"/>
        <v>-19.525000000000002</v>
      </c>
      <c r="M56" s="10">
        <f t="shared" si="94"/>
        <v>-18.25</v>
      </c>
      <c r="N56" s="10">
        <f t="shared" si="94"/>
        <v>-22.750000000000004</v>
      </c>
      <c r="O56" s="10">
        <f t="shared" si="94"/>
        <v>-27.899999999999995</v>
      </c>
      <c r="P56" s="10">
        <f t="shared" si="94"/>
        <v>-28.024999999999991</v>
      </c>
      <c r="Q56" s="10">
        <f t="shared" si="94"/>
        <v>-28.824999999999992</v>
      </c>
      <c r="R56" s="10">
        <f t="shared" si="94"/>
        <v>-32.445538858095468</v>
      </c>
      <c r="S56" s="10">
        <f t="shared" si="94"/>
        <v>-34.538610240358814</v>
      </c>
      <c r="T56" s="10">
        <f t="shared" si="94"/>
        <v>-36.660268716718413</v>
      </c>
      <c r="U56" s="10">
        <f t="shared" si="94"/>
        <v>-34.83489329338731</v>
      </c>
      <c r="V56" s="10">
        <f t="shared" si="94"/>
        <v>-38.863677168323598</v>
      </c>
      <c r="W56" s="10">
        <f t="shared" si="94"/>
        <v>-40.646462787132968</v>
      </c>
      <c r="X56" s="10">
        <f t="shared" si="94"/>
        <v>-43.78011804689114</v>
      </c>
      <c r="Y56" s="10">
        <f t="shared" si="94"/>
        <v>-41.49296749837044</v>
      </c>
      <c r="Z56" s="10">
        <f t="shared" si="94"/>
        <v>-46.1241614323786</v>
      </c>
      <c r="AA56" s="10">
        <f t="shared" si="94"/>
        <v>-47.259743528335974</v>
      </c>
      <c r="AB56" s="10">
        <f t="shared" si="94"/>
        <v>-50.564817468237244</v>
      </c>
      <c r="AD56" s="10">
        <f>SUM(I56:L56)</f>
        <v>-71.825000000000003</v>
      </c>
      <c r="AE56" s="10">
        <f>SUM(M56:P56)</f>
        <v>-96.924999999999983</v>
      </c>
      <c r="AF56" s="10">
        <f>SUM(Q56:T56)</f>
        <v>-132.46941781517268</v>
      </c>
      <c r="AG56" s="10">
        <f>SUM(U56:X56)</f>
        <v>-158.12515129573504</v>
      </c>
      <c r="AH56" s="10">
        <f>SUM(Y56:AB56)</f>
        <v>-185.44168992732224</v>
      </c>
    </row>
    <row r="57" spans="3:34" outlineLevel="1" x14ac:dyDescent="0.25">
      <c r="AE57" s="347"/>
      <c r="AF57" s="347"/>
      <c r="AG57" s="347"/>
      <c r="AH57" s="347"/>
    </row>
    <row r="58" spans="3:34" outlineLevel="1" x14ac:dyDescent="0.25">
      <c r="C58" s="1" t="s">
        <v>46</v>
      </c>
      <c r="G58" s="28">
        <f>G53+G56</f>
        <v>50.625000000000014</v>
      </c>
      <c r="H58" s="28">
        <f t="shared" ref="H58:AB58" si="95">H53+H56</f>
        <v>45.825000000000003</v>
      </c>
      <c r="I58" s="28">
        <f t="shared" si="95"/>
        <v>56.399999999999977</v>
      </c>
      <c r="J58" s="28">
        <f t="shared" si="95"/>
        <v>43.500000000000021</v>
      </c>
      <c r="K58" s="28">
        <f t="shared" si="95"/>
        <v>57</v>
      </c>
      <c r="L58" s="28">
        <f t="shared" si="95"/>
        <v>58.575000000000003</v>
      </c>
      <c r="M58" s="28">
        <f t="shared" si="95"/>
        <v>54.75</v>
      </c>
      <c r="N58" s="28">
        <f t="shared" si="95"/>
        <v>68.250000000000014</v>
      </c>
      <c r="O58" s="28">
        <f t="shared" si="95"/>
        <v>83.699999999999989</v>
      </c>
      <c r="P58" s="28">
        <f t="shared" si="95"/>
        <v>84.074999999999974</v>
      </c>
      <c r="Q58" s="28">
        <f t="shared" si="95"/>
        <v>86.47499999999998</v>
      </c>
      <c r="R58" s="28">
        <f t="shared" si="95"/>
        <v>97.33661657428641</v>
      </c>
      <c r="S58" s="28">
        <f t="shared" si="95"/>
        <v>103.61583072107643</v>
      </c>
      <c r="T58" s="28">
        <f t="shared" si="95"/>
        <v>109.98080615015525</v>
      </c>
      <c r="U58" s="28">
        <f t="shared" si="95"/>
        <v>104.50467988016193</v>
      </c>
      <c r="V58" s="28">
        <f t="shared" si="95"/>
        <v>116.5910315049708</v>
      </c>
      <c r="W58" s="28">
        <f t="shared" si="95"/>
        <v>121.9393883613989</v>
      </c>
      <c r="X58" s="28">
        <f t="shared" si="95"/>
        <v>131.34035414067341</v>
      </c>
      <c r="Y58" s="28">
        <f t="shared" si="95"/>
        <v>124.47890249511133</v>
      </c>
      <c r="Z58" s="28">
        <f t="shared" si="95"/>
        <v>138.3724842971358</v>
      </c>
      <c r="AA58" s="28">
        <f t="shared" si="95"/>
        <v>141.77923058500792</v>
      </c>
      <c r="AB58" s="28">
        <f t="shared" si="95"/>
        <v>151.69445240471174</v>
      </c>
      <c r="AD58" s="28">
        <f>SUM(I58:L58)</f>
        <v>215.47500000000002</v>
      </c>
      <c r="AE58" s="28">
        <f>SUM(M58:P58)</f>
        <v>290.77499999999998</v>
      </c>
      <c r="AF58" s="28">
        <f>SUM(Q58:T58)</f>
        <v>397.40825344551808</v>
      </c>
      <c r="AG58" s="28">
        <f>SUM(U58:X58)</f>
        <v>474.37545388720503</v>
      </c>
      <c r="AH58" s="28">
        <f>SUM(Y58:AB58)</f>
        <v>556.3250697819667</v>
      </c>
    </row>
    <row r="59" spans="3:34" outlineLevel="1" x14ac:dyDescent="0.25">
      <c r="C59" s="12" t="s">
        <v>31</v>
      </c>
      <c r="D59" s="12"/>
      <c r="E59" s="12"/>
      <c r="F59" s="12"/>
      <c r="G59" s="12"/>
      <c r="H59" s="12"/>
      <c r="I59" s="14"/>
      <c r="J59" s="14"/>
      <c r="K59" s="13">
        <f>K58/G58-1</f>
        <v>0.12592592592592555</v>
      </c>
      <c r="L59" s="13">
        <f t="shared" ref="L59" si="96">L58/H58-1</f>
        <v>0.27823240589198028</v>
      </c>
      <c r="M59" s="13">
        <f t="shared" ref="M59" si="97">M58/I58-1</f>
        <v>-2.9255319148935754E-2</v>
      </c>
      <c r="N59" s="13">
        <f t="shared" ref="N59" si="98">N58/J58-1</f>
        <v>0.56896551724137878</v>
      </c>
      <c r="O59" s="13">
        <f t="shared" ref="O59" si="99">O58/K58-1</f>
        <v>0.46842105263157885</v>
      </c>
      <c r="P59" s="13">
        <f t="shared" ref="P59" si="100">P58/L58-1</f>
        <v>0.4353393085787447</v>
      </c>
      <c r="Q59" s="13">
        <f t="shared" ref="Q59" si="101">Q58/M58-1</f>
        <v>0.57945205479452011</v>
      </c>
      <c r="R59" s="13">
        <f t="shared" ref="R59" si="102">R58/N58-1</f>
        <v>0.42617753222397647</v>
      </c>
      <c r="S59" s="13">
        <f t="shared" ref="S59" si="103">S58/O58-1</f>
        <v>0.23794301936769946</v>
      </c>
      <c r="T59" s="13">
        <f t="shared" ref="T59" si="104">T58/P58-1</f>
        <v>0.30812734047166557</v>
      </c>
      <c r="U59" s="13">
        <f t="shared" ref="U59" si="105">U58/Q58-1</f>
        <v>0.2084958644713728</v>
      </c>
      <c r="V59" s="13">
        <f t="shared" ref="V59" si="106">V58/R58-1</f>
        <v>0.19781265887734656</v>
      </c>
      <c r="W59" s="13">
        <f t="shared" ref="W59" si="107">W58/S58-1</f>
        <v>0.17684129454742936</v>
      </c>
      <c r="X59" s="13">
        <f t="shared" ref="X59" si="108">X58/T58-1</f>
        <v>0.19421159689770118</v>
      </c>
      <c r="Y59" s="13">
        <f t="shared" ref="Y59" si="109">Y58/U58-1</f>
        <v>0.19113232668483682</v>
      </c>
      <c r="Z59" s="13">
        <f t="shared" ref="Z59" si="110">Z58/V58-1</f>
        <v>0.18681928198942432</v>
      </c>
      <c r="AA59" s="13">
        <f t="shared" ref="AA59" si="111">AA58/W58-1</f>
        <v>0.1627024908867718</v>
      </c>
      <c r="AB59" s="13">
        <f t="shared" ref="AB59" si="112">AB58/X58-1</f>
        <v>0.15497215914491802</v>
      </c>
      <c r="AD59" s="19"/>
      <c r="AE59" s="13">
        <f>AE58/AD58-1</f>
        <v>0.3494604942568742</v>
      </c>
      <c r="AF59" s="13">
        <f t="shared" ref="AF59" si="113">AF58/AE58-1</f>
        <v>0.36672084410804962</v>
      </c>
      <c r="AG59" s="13">
        <f t="shared" ref="AG59" si="114">AG58/AF58-1</f>
        <v>0.19367287864402294</v>
      </c>
      <c r="AH59" s="13">
        <f t="shared" ref="AH59" si="115">AH58/AG58-1</f>
        <v>0.17275264818876424</v>
      </c>
    </row>
    <row r="60" spans="3:34" outlineLevel="1" x14ac:dyDescent="0.25"/>
    <row r="61" spans="3:34" outlineLevel="1" x14ac:dyDescent="0.25">
      <c r="C61" t="s">
        <v>47</v>
      </c>
      <c r="G61" s="11">
        <v>388.40000000000003</v>
      </c>
      <c r="H61" s="11">
        <v>385.5</v>
      </c>
      <c r="I61" s="11">
        <v>410.09999999999997</v>
      </c>
      <c r="J61" s="11">
        <v>471.5</v>
      </c>
      <c r="K61" s="11">
        <v>424.1</v>
      </c>
      <c r="L61" s="11">
        <v>375.8</v>
      </c>
      <c r="M61" s="11">
        <v>379.8</v>
      </c>
      <c r="N61" s="11">
        <v>433.9</v>
      </c>
      <c r="O61" s="11">
        <v>481.6</v>
      </c>
      <c r="P61" s="11">
        <v>521.6</v>
      </c>
      <c r="Q61" s="11">
        <v>599.9</v>
      </c>
      <c r="R61" s="10">
        <f>R62*R$33</f>
        <v>580.73951675463672</v>
      </c>
      <c r="S61" s="10">
        <f t="shared" ref="S61" si="116">S62*S$33</f>
        <v>600.6824208725011</v>
      </c>
      <c r="T61" s="10">
        <f t="shared" ref="T61" si="117">T62*T$33</f>
        <v>644.9184184122829</v>
      </c>
      <c r="U61" s="10">
        <f t="shared" ref="U61" si="118">U62*U$33</f>
        <v>614.2340977386051</v>
      </c>
      <c r="V61" s="10">
        <f t="shared" ref="V61" si="119">V62*V$33</f>
        <v>685.82853223050165</v>
      </c>
      <c r="W61" s="10">
        <f t="shared" ref="W61" si="120">W62*W$33</f>
        <v>704.00371640107085</v>
      </c>
      <c r="X61" s="10">
        <f t="shared" ref="X61" si="121">X62*X$33</f>
        <v>752.50828452296457</v>
      </c>
      <c r="Y61" s="10">
        <f t="shared" ref="Y61" si="122">Y62*Y$33</f>
        <v>711.48882782766975</v>
      </c>
      <c r="Z61" s="10">
        <f t="shared" ref="Z61" si="123">Z62*Z$33</f>
        <v>788.48859696237082</v>
      </c>
      <c r="AA61" s="10">
        <f t="shared" ref="AA61" si="124">AA62*AA$33</f>
        <v>803.1082546035326</v>
      </c>
      <c r="AB61" s="10">
        <f t="shared" ref="AB61" si="125">AB62*AB$33</f>
        <v>854.32744320423876</v>
      </c>
    </row>
    <row r="62" spans="3:34" outlineLevel="1" x14ac:dyDescent="0.25">
      <c r="C62" s="12" t="s">
        <v>38</v>
      </c>
      <c r="D62" s="12"/>
      <c r="E62" s="12"/>
      <c r="F62" s="12"/>
      <c r="G62" s="13">
        <f>G61/G$33</f>
        <v>1.048030221262817</v>
      </c>
      <c r="H62" s="13">
        <f t="shared" ref="H62:Q62" si="126">H61/H$33</f>
        <v>1.0166139240506329</v>
      </c>
      <c r="I62" s="13">
        <f t="shared" si="126"/>
        <v>1.1306865177832919</v>
      </c>
      <c r="J62" s="13">
        <f t="shared" si="126"/>
        <v>1.2227697095435683</v>
      </c>
      <c r="K62" s="13">
        <f t="shared" si="126"/>
        <v>0.95111011437542059</v>
      </c>
      <c r="L62" s="13">
        <f t="shared" si="126"/>
        <v>0.79517562420651711</v>
      </c>
      <c r="M62" s="13">
        <f t="shared" si="126"/>
        <v>0.88243494423791824</v>
      </c>
      <c r="N62" s="13">
        <f t="shared" si="126"/>
        <v>0.87727456530529713</v>
      </c>
      <c r="O62" s="13">
        <f t="shared" si="126"/>
        <v>0.93441986806363997</v>
      </c>
      <c r="P62" s="13">
        <f t="shared" si="126"/>
        <v>0.93846707448722577</v>
      </c>
      <c r="Q62" s="13">
        <f t="shared" si="126"/>
        <v>1.1257271533120661</v>
      </c>
      <c r="R62" s="13">
        <f>AVERAGE(N62:Q62)</f>
        <v>0.96897216529205721</v>
      </c>
      <c r="S62" s="13">
        <f>R62</f>
        <v>0.96897216529205721</v>
      </c>
      <c r="T62" s="13">
        <f t="shared" ref="T62:AB62" si="127">S62</f>
        <v>0.96897216529205721</v>
      </c>
      <c r="U62" s="13">
        <f t="shared" si="127"/>
        <v>0.96897216529205721</v>
      </c>
      <c r="V62" s="13">
        <f t="shared" si="127"/>
        <v>0.96897216529205721</v>
      </c>
      <c r="W62" s="13">
        <f t="shared" si="127"/>
        <v>0.96897216529205721</v>
      </c>
      <c r="X62" s="13">
        <f t="shared" si="127"/>
        <v>0.96897216529205721</v>
      </c>
      <c r="Y62" s="13">
        <f t="shared" si="127"/>
        <v>0.96897216529205721</v>
      </c>
      <c r="Z62" s="13">
        <f t="shared" si="127"/>
        <v>0.96897216529205721</v>
      </c>
      <c r="AA62" s="13">
        <f t="shared" si="127"/>
        <v>0.96897216529205721</v>
      </c>
      <c r="AB62" s="13">
        <f t="shared" si="127"/>
        <v>0.96897216529205721</v>
      </c>
    </row>
    <row r="63" spans="3:34" outlineLevel="1" x14ac:dyDescent="0.25">
      <c r="C63" t="s">
        <v>48</v>
      </c>
      <c r="G63" s="11">
        <v>177</v>
      </c>
      <c r="H63" s="11">
        <v>143.5</v>
      </c>
      <c r="I63" s="11">
        <v>149.10000000000002</v>
      </c>
      <c r="J63" s="11">
        <v>157</v>
      </c>
      <c r="K63" s="11">
        <v>167.8</v>
      </c>
      <c r="L63" s="11">
        <v>150.19999999999999</v>
      </c>
      <c r="M63" s="11">
        <v>162.5</v>
      </c>
      <c r="N63" s="11">
        <v>173</v>
      </c>
      <c r="O63" s="11">
        <v>207.9</v>
      </c>
      <c r="P63" s="11">
        <v>203.7</v>
      </c>
      <c r="Q63" s="11">
        <v>193.9</v>
      </c>
      <c r="R63" s="10">
        <f>R64*R$33</f>
        <v>218.0731345045921</v>
      </c>
      <c r="S63" s="10">
        <f t="shared" ref="S63:AB63" si="128">S64*S$33</f>
        <v>225.56188201812606</v>
      </c>
      <c r="T63" s="10">
        <f t="shared" si="128"/>
        <v>242.17291392335355</v>
      </c>
      <c r="U63" s="10">
        <f t="shared" si="128"/>
        <v>230.6506637640276</v>
      </c>
      <c r="V63" s="10">
        <f t="shared" si="128"/>
        <v>257.53504530221045</v>
      </c>
      <c r="W63" s="10">
        <f t="shared" si="128"/>
        <v>264.35999739850263</v>
      </c>
      <c r="X63" s="10">
        <f t="shared" si="128"/>
        <v>282.57391758641</v>
      </c>
      <c r="Y63" s="10">
        <f t="shared" si="128"/>
        <v>267.17072693183349</v>
      </c>
      <c r="Z63" s="10">
        <f t="shared" si="128"/>
        <v>296.08486231764476</v>
      </c>
      <c r="AA63" s="10">
        <f t="shared" si="128"/>
        <v>301.57468085971442</v>
      </c>
      <c r="AB63" s="10">
        <f t="shared" si="128"/>
        <v>320.807966494136</v>
      </c>
    </row>
    <row r="64" spans="3:34" outlineLevel="1" x14ac:dyDescent="0.25">
      <c r="C64" s="12" t="s">
        <v>38</v>
      </c>
      <c r="D64" s="12"/>
      <c r="E64" s="12"/>
      <c r="F64" s="12"/>
      <c r="G64" s="13">
        <f>G63/G$33</f>
        <v>0.47760388559093359</v>
      </c>
      <c r="H64" s="13">
        <f t="shared" ref="H64" si="129">H63/H$33</f>
        <v>0.37842827004219409</v>
      </c>
      <c r="I64" s="13">
        <f t="shared" ref="I64" si="130">I63/I$33</f>
        <v>0.41108354011579823</v>
      </c>
      <c r="J64" s="13">
        <f t="shared" ref="J64" si="131">J63/J$33</f>
        <v>0.40715767634854771</v>
      </c>
      <c r="K64" s="13">
        <f t="shared" ref="K64" si="132">K63/K$33</f>
        <v>0.37631755999102945</v>
      </c>
      <c r="L64" s="13">
        <f t="shared" ref="L64" si="133">L63/L$33</f>
        <v>0.31781633516716035</v>
      </c>
      <c r="M64" s="13">
        <f t="shared" ref="M64" si="134">M63/M$33</f>
        <v>0.37755576208178443</v>
      </c>
      <c r="N64" s="13">
        <f t="shared" ref="N64" si="135">N63/N$33</f>
        <v>0.34977759805903758</v>
      </c>
      <c r="O64" s="13">
        <f t="shared" ref="O64" si="136">O63/O$33</f>
        <v>0.40337601862630967</v>
      </c>
      <c r="P64" s="13">
        <f t="shared" ref="P64" si="137">P63/P$33</f>
        <v>0.36649874055415615</v>
      </c>
      <c r="Q64" s="13">
        <f t="shared" ref="Q64" si="138">Q63/Q$33</f>
        <v>0.36385813473447176</v>
      </c>
      <c r="R64" s="13">
        <f>Q64</f>
        <v>0.36385813473447176</v>
      </c>
      <c r="S64" s="13">
        <f t="shared" ref="S64:AB64" si="139">R64</f>
        <v>0.36385813473447176</v>
      </c>
      <c r="T64" s="13">
        <f t="shared" si="139"/>
        <v>0.36385813473447176</v>
      </c>
      <c r="U64" s="13">
        <f t="shared" si="139"/>
        <v>0.36385813473447176</v>
      </c>
      <c r="V64" s="13">
        <f t="shared" si="139"/>
        <v>0.36385813473447176</v>
      </c>
      <c r="W64" s="13">
        <f t="shared" si="139"/>
        <v>0.36385813473447176</v>
      </c>
      <c r="X64" s="13">
        <f t="shared" si="139"/>
        <v>0.36385813473447176</v>
      </c>
      <c r="Y64" s="13">
        <f t="shared" si="139"/>
        <v>0.36385813473447176</v>
      </c>
      <c r="Z64" s="13">
        <f t="shared" si="139"/>
        <v>0.36385813473447176</v>
      </c>
      <c r="AA64" s="13">
        <f t="shared" si="139"/>
        <v>0.36385813473447176</v>
      </c>
      <c r="AB64" s="13">
        <f t="shared" si="139"/>
        <v>0.36385813473447176</v>
      </c>
    </row>
    <row r="65" spans="3:34" outlineLevel="1" x14ac:dyDescent="0.25">
      <c r="C65" t="s">
        <v>49</v>
      </c>
      <c r="G65" s="10">
        <f>G61-G63</f>
        <v>211.40000000000003</v>
      </c>
      <c r="H65" s="10">
        <f t="shared" ref="H65:AB65" si="140">H61-H63</f>
        <v>242</v>
      </c>
      <c r="I65" s="10">
        <f t="shared" si="140"/>
        <v>260.99999999999994</v>
      </c>
      <c r="J65" s="10">
        <f t="shared" si="140"/>
        <v>314.5</v>
      </c>
      <c r="K65" s="10">
        <f t="shared" si="140"/>
        <v>256.3</v>
      </c>
      <c r="L65" s="10">
        <f t="shared" si="140"/>
        <v>225.60000000000002</v>
      </c>
      <c r="M65" s="10">
        <f t="shared" si="140"/>
        <v>217.3</v>
      </c>
      <c r="N65" s="10">
        <f t="shared" si="140"/>
        <v>260.89999999999998</v>
      </c>
      <c r="O65" s="10">
        <f t="shared" si="140"/>
        <v>273.70000000000005</v>
      </c>
      <c r="P65" s="10">
        <f t="shared" si="140"/>
        <v>317.90000000000003</v>
      </c>
      <c r="Q65" s="10">
        <f t="shared" si="140"/>
        <v>406</v>
      </c>
      <c r="R65" s="10">
        <f t="shared" si="140"/>
        <v>362.66638225004465</v>
      </c>
      <c r="S65" s="10">
        <f t="shared" si="140"/>
        <v>375.12053885437501</v>
      </c>
      <c r="T65" s="10">
        <f t="shared" si="140"/>
        <v>402.74550448892933</v>
      </c>
      <c r="U65" s="10">
        <f t="shared" si="140"/>
        <v>383.58343397457747</v>
      </c>
      <c r="V65" s="10">
        <f t="shared" si="140"/>
        <v>428.2934869282912</v>
      </c>
      <c r="W65" s="10">
        <f t="shared" si="140"/>
        <v>439.64371900256822</v>
      </c>
      <c r="X65" s="10">
        <f t="shared" si="140"/>
        <v>469.93436693655457</v>
      </c>
      <c r="Y65" s="10">
        <f t="shared" si="140"/>
        <v>444.31810089583627</v>
      </c>
      <c r="Z65" s="10">
        <f t="shared" si="140"/>
        <v>492.40373464472606</v>
      </c>
      <c r="AA65" s="10">
        <f t="shared" si="140"/>
        <v>501.53357374381818</v>
      </c>
      <c r="AB65" s="10">
        <f t="shared" si="140"/>
        <v>533.51947671010271</v>
      </c>
    </row>
    <row r="66" spans="3:34" outlineLevel="1" x14ac:dyDescent="0.25">
      <c r="C66" s="1" t="s">
        <v>50</v>
      </c>
      <c r="D66" s="1"/>
      <c r="E66" s="1"/>
      <c r="F66" s="1"/>
      <c r="G66" s="28"/>
      <c r="H66" s="28">
        <f>H65-G65</f>
        <v>30.599999999999966</v>
      </c>
      <c r="I66" s="28">
        <f t="shared" ref="I66:AB66" si="141">I65-H65</f>
        <v>18.999999999999943</v>
      </c>
      <c r="J66" s="28">
        <f t="shared" si="141"/>
        <v>53.500000000000057</v>
      </c>
      <c r="K66" s="28">
        <f t="shared" si="141"/>
        <v>-58.199999999999989</v>
      </c>
      <c r="L66" s="28">
        <f t="shared" si="141"/>
        <v>-30.699999999999989</v>
      </c>
      <c r="M66" s="28">
        <f t="shared" si="141"/>
        <v>-8.3000000000000114</v>
      </c>
      <c r="N66" s="28">
        <f t="shared" si="141"/>
        <v>43.599999999999966</v>
      </c>
      <c r="O66" s="28">
        <f t="shared" si="141"/>
        <v>12.800000000000068</v>
      </c>
      <c r="P66" s="28">
        <f t="shared" si="141"/>
        <v>44.199999999999989</v>
      </c>
      <c r="Q66" s="28">
        <f t="shared" si="141"/>
        <v>88.099999999999966</v>
      </c>
      <c r="R66" s="28">
        <f t="shared" si="141"/>
        <v>-43.333617749955351</v>
      </c>
      <c r="S66" s="28">
        <f t="shared" si="141"/>
        <v>12.454156604330365</v>
      </c>
      <c r="T66" s="28">
        <f t="shared" si="141"/>
        <v>27.624965634554314</v>
      </c>
      <c r="U66" s="28">
        <f t="shared" si="141"/>
        <v>-19.162070514351853</v>
      </c>
      <c r="V66" s="28">
        <f t="shared" si="141"/>
        <v>44.710052953713728</v>
      </c>
      <c r="W66" s="28">
        <f t="shared" si="141"/>
        <v>11.350232074277017</v>
      </c>
      <c r="X66" s="28">
        <f t="shared" si="141"/>
        <v>30.290647933986349</v>
      </c>
      <c r="Y66" s="28">
        <f t="shared" si="141"/>
        <v>-25.616266040718301</v>
      </c>
      <c r="Z66" s="28">
        <f t="shared" si="141"/>
        <v>48.085633748889791</v>
      </c>
      <c r="AA66" s="28">
        <f t="shared" si="141"/>
        <v>9.1298390990921234</v>
      </c>
      <c r="AB66" s="28">
        <f t="shared" si="141"/>
        <v>31.985902966284527</v>
      </c>
    </row>
    <row r="67" spans="3:34" outlineLevel="1" x14ac:dyDescent="0.25"/>
    <row r="68" spans="3:34" outlineLevel="1" x14ac:dyDescent="0.25">
      <c r="C68" s="19" t="s">
        <v>51</v>
      </c>
      <c r="G68" s="32">
        <v>-9.9999999999999867E-2</v>
      </c>
      <c r="H68" s="32">
        <v>-0.60000000000000009</v>
      </c>
      <c r="I68" s="32">
        <v>-0.3</v>
      </c>
      <c r="J68" s="32">
        <v>-0.2</v>
      </c>
      <c r="K68" s="32">
        <v>-0.5</v>
      </c>
      <c r="L68" s="32">
        <v>-0.8</v>
      </c>
      <c r="M68" s="32">
        <v>-0.2</v>
      </c>
      <c r="N68" s="32">
        <v>-0.3</v>
      </c>
      <c r="O68" s="32">
        <v>-9.9999999999999978E-2</v>
      </c>
      <c r="P68" s="32">
        <v>-1.2000000000000002</v>
      </c>
      <c r="Q68" s="32">
        <v>-1.3</v>
      </c>
      <c r="R68" s="34">
        <f>-R69*R33</f>
        <v>-0.80896924772142953</v>
      </c>
      <c r="S68" s="34">
        <f t="shared" ref="S68:AB68" si="142">-S69*S33</f>
        <v>-0.95193430669601486</v>
      </c>
      <c r="T68" s="34">
        <f t="shared" si="142"/>
        <v>-1.2452627622694084</v>
      </c>
      <c r="U68" s="34">
        <f t="shared" si="142"/>
        <v>-1.1403616932752156</v>
      </c>
      <c r="V68" s="34">
        <f t="shared" si="142"/>
        <v>-1.1599411284296235</v>
      </c>
      <c r="W68" s="34">
        <f t="shared" si="142"/>
        <v>-1.2431819778919555</v>
      </c>
      <c r="X68" s="34">
        <f t="shared" si="142"/>
        <v>-1.3629084117907082</v>
      </c>
      <c r="Y68" s="34">
        <f t="shared" si="142"/>
        <v>-1.267319193955204</v>
      </c>
      <c r="Z68" s="34">
        <f t="shared" si="142"/>
        <v>-1.3896221949027265</v>
      </c>
      <c r="AA68" s="34">
        <f t="shared" si="142"/>
        <v>-1.4296605629763963</v>
      </c>
      <c r="AB68" s="34">
        <f t="shared" si="142"/>
        <v>-1.5238899011451772</v>
      </c>
      <c r="AD68" s="10">
        <f>SUM(I68:L68)</f>
        <v>-1.8</v>
      </c>
      <c r="AE68" s="10">
        <f>SUM(M68:P68)</f>
        <v>-1.8000000000000003</v>
      </c>
      <c r="AF68" s="10">
        <f>SUM(Q68:T68)</f>
        <v>-4.3061663166868529</v>
      </c>
      <c r="AG68" s="10">
        <f>SUM(U68:X68)</f>
        <v>-4.9063932113875026</v>
      </c>
      <c r="AH68" s="10">
        <f>SUM(Y68:AB68)</f>
        <v>-5.6104918529795036</v>
      </c>
    </row>
    <row r="69" spans="3:34" outlineLevel="1" x14ac:dyDescent="0.25">
      <c r="C69" s="12" t="s">
        <v>38</v>
      </c>
      <c r="D69" s="12"/>
      <c r="E69" s="12"/>
      <c r="F69" s="12"/>
      <c r="G69" s="33">
        <f>G68/-G33</f>
        <v>2.6983270372369093E-4</v>
      </c>
      <c r="H69" s="33">
        <f t="shared" ref="H69:Q69" si="143">H68/-H33</f>
        <v>1.5822784810126584E-3</v>
      </c>
      <c r="I69" s="33">
        <f t="shared" si="143"/>
        <v>8.271298593879239E-4</v>
      </c>
      <c r="J69" s="33">
        <f t="shared" si="143"/>
        <v>5.1867219917012448E-4</v>
      </c>
      <c r="K69" s="33">
        <f t="shared" si="143"/>
        <v>1.1213276519398969E-3</v>
      </c>
      <c r="L69" s="33">
        <f t="shared" si="143"/>
        <v>1.6927634363097758E-3</v>
      </c>
      <c r="M69" s="33">
        <f t="shared" si="143"/>
        <v>4.6468401486988851E-4</v>
      </c>
      <c r="N69" s="33">
        <f t="shared" si="143"/>
        <v>6.0655074807925596E-4</v>
      </c>
      <c r="O69" s="33">
        <f t="shared" si="143"/>
        <v>1.9402405898331389E-4</v>
      </c>
      <c r="P69" s="33">
        <f t="shared" si="143"/>
        <v>2.159050017992084E-3</v>
      </c>
      <c r="Q69" s="33">
        <f t="shared" si="143"/>
        <v>2.4394820791893415E-3</v>
      </c>
      <c r="R69" s="33">
        <f>AVERAGE(N69:Q69)</f>
        <v>1.3497767260609989E-3</v>
      </c>
      <c r="S69" s="33">
        <f t="shared" ref="S69:AB69" si="144">AVERAGE(O69:R69)</f>
        <v>1.5355832205564345E-3</v>
      </c>
      <c r="T69" s="33">
        <f t="shared" si="144"/>
        <v>1.8709730109497146E-3</v>
      </c>
      <c r="U69" s="33">
        <f t="shared" si="144"/>
        <v>1.7989537591891224E-3</v>
      </c>
      <c r="V69" s="33">
        <f t="shared" si="144"/>
        <v>1.6388216791890678E-3</v>
      </c>
      <c r="W69" s="33">
        <f t="shared" si="144"/>
        <v>1.7110829174710848E-3</v>
      </c>
      <c r="X69" s="33">
        <f t="shared" si="144"/>
        <v>1.7549578416997474E-3</v>
      </c>
      <c r="Y69" s="33">
        <f t="shared" si="144"/>
        <v>1.7259540493872556E-3</v>
      </c>
      <c r="Z69" s="33">
        <f t="shared" si="144"/>
        <v>1.707704121936789E-3</v>
      </c>
      <c r="AA69" s="33">
        <f t="shared" si="144"/>
        <v>1.7249247326237191E-3</v>
      </c>
      <c r="AB69" s="33">
        <f t="shared" si="144"/>
        <v>1.7283851864118779E-3</v>
      </c>
      <c r="AD69" s="13">
        <f>-AD68/AD$33</f>
        <v>1.0799136069114474E-3</v>
      </c>
      <c r="AE69" s="13">
        <f t="shared" ref="AE69" si="145">-AE68/AE$33</f>
        <v>9.0171325518485128E-4</v>
      </c>
      <c r="AF69" s="13">
        <f t="shared" ref="AF69" si="146">-AF68/AF$33</f>
        <v>1.7810839138981023E-3</v>
      </c>
      <c r="AG69" s="13">
        <f t="shared" ref="AG69" si="147">-AG68/AG$33</f>
        <v>1.7246616146474622E-3</v>
      </c>
      <c r="AH69" s="13">
        <f t="shared" ref="AH69" si="148">-AH68/AH$33</f>
        <v>1.7217925650040062E-3</v>
      </c>
    </row>
    <row r="70" spans="3:34" outlineLevel="1" x14ac:dyDescent="0.25"/>
    <row r="71" spans="3:34" outlineLevel="1" x14ac:dyDescent="0.25">
      <c r="C71" s="19" t="s">
        <v>52</v>
      </c>
      <c r="G71" s="32">
        <v>3.5</v>
      </c>
      <c r="H71" s="32">
        <v>3.0000000000000009</v>
      </c>
      <c r="I71" s="32">
        <v>3.5</v>
      </c>
      <c r="J71" s="32">
        <v>3.5</v>
      </c>
      <c r="K71" s="32">
        <v>3.5999999999999996</v>
      </c>
      <c r="L71" s="32">
        <v>3.5999999999999996</v>
      </c>
      <c r="M71" s="32">
        <v>4.5999999999999996</v>
      </c>
      <c r="N71" s="32">
        <v>5.4</v>
      </c>
      <c r="O71" s="32">
        <v>5.5</v>
      </c>
      <c r="P71" s="32">
        <v>5.5</v>
      </c>
      <c r="Q71" s="32">
        <v>6.1</v>
      </c>
      <c r="R71" s="10">
        <f>R72*R$33</f>
        <v>10.073423839958002</v>
      </c>
      <c r="S71" s="10">
        <f t="shared" ref="S71:AB71" si="149">S72*S$33</f>
        <v>10.490467077303467</v>
      </c>
      <c r="T71" s="10">
        <f t="shared" si="149"/>
        <v>11.267223476783029</v>
      </c>
      <c r="U71" s="10">
        <f t="shared" si="149"/>
        <v>10.928569415500249</v>
      </c>
      <c r="V71" s="10">
        <f t="shared" si="149"/>
        <v>12.014527154276349</v>
      </c>
      <c r="W71" s="10">
        <f t="shared" si="149"/>
        <v>12.363269383808378</v>
      </c>
      <c r="X71" s="10">
        <f t="shared" si="149"/>
        <v>13.233347110181553</v>
      </c>
      <c r="Y71" s="10">
        <f t="shared" si="149"/>
        <v>12.53242663897583</v>
      </c>
      <c r="Z71" s="10">
        <f t="shared" si="149"/>
        <v>13.853676598131123</v>
      </c>
      <c r="AA71" s="10">
        <f t="shared" si="149"/>
        <v>14.120912248401698</v>
      </c>
      <c r="AB71" s="10">
        <f t="shared" si="149"/>
        <v>15.026072902587831</v>
      </c>
      <c r="AD71" s="10">
        <f>SUM(I71:L71)</f>
        <v>14.2</v>
      </c>
      <c r="AE71" s="10">
        <f>SUM(M71:P71)</f>
        <v>21</v>
      </c>
      <c r="AF71" s="10">
        <f>SUM(Q71:T71)</f>
        <v>37.931114394044499</v>
      </c>
      <c r="AG71" s="10">
        <f>SUM(U71:X71)</f>
        <v>48.539713063766534</v>
      </c>
      <c r="AH71" s="10">
        <f>SUM(Y71:AB71)</f>
        <v>55.533088388096473</v>
      </c>
    </row>
    <row r="72" spans="3:34" outlineLevel="1" x14ac:dyDescent="0.25">
      <c r="C72" s="12" t="s">
        <v>38</v>
      </c>
      <c r="D72" s="12"/>
      <c r="E72" s="12"/>
      <c r="F72" s="12"/>
      <c r="G72" s="33">
        <f>G71/-G38</f>
        <v>1.3977635782747603E-2</v>
      </c>
      <c r="H72" s="33">
        <f t="shared" ref="H72" si="150">H71/-H38</f>
        <v>1.1677695601401328E-2</v>
      </c>
      <c r="I72" s="33">
        <f t="shared" ref="I72" si="151">I71/-I38</f>
        <v>1.4528850145288501E-2</v>
      </c>
      <c r="J72" s="33">
        <f t="shared" ref="J72" si="152">J71/-J38</f>
        <v>1.3035381750465549E-2</v>
      </c>
      <c r="K72" s="33">
        <f t="shared" ref="K72" si="153">K71/-K38</f>
        <v>1.1616650532429816E-2</v>
      </c>
      <c r="L72" s="33">
        <f t="shared" ref="L72" si="154">L71/-L38</f>
        <v>1.1345729593444688E-2</v>
      </c>
      <c r="M72" s="33">
        <f t="shared" ref="M72" si="155">M71/-M38</f>
        <v>1.6288951841359773E-2</v>
      </c>
      <c r="N72" s="33">
        <f t="shared" ref="N72" si="156">N71/-N38</f>
        <v>1.6348773841961855E-2</v>
      </c>
      <c r="O72" s="33">
        <f t="shared" ref="O72" si="157">O71/-O38</f>
        <v>1.6897081413210446E-2</v>
      </c>
      <c r="P72" s="33">
        <f t="shared" ref="P72" si="158">P71/-P38</f>
        <v>1.5682919874536641E-2</v>
      </c>
      <c r="Q72" s="33">
        <f t="shared" ref="Q72" si="159">Q71/-Q38</f>
        <v>1.83018301830183E-2</v>
      </c>
      <c r="R72" s="33">
        <f>AVERAGE(N72:Q72)</f>
        <v>1.6807651328181811E-2</v>
      </c>
      <c r="S72" s="33">
        <f t="shared" ref="S72:AB72" si="160">AVERAGE(O72:R72)</f>
        <v>1.6922370699736799E-2</v>
      </c>
      <c r="T72" s="33">
        <f t="shared" si="160"/>
        <v>1.6928693021368388E-2</v>
      </c>
      <c r="U72" s="33">
        <f t="shared" si="160"/>
        <v>1.7240136308076325E-2</v>
      </c>
      <c r="V72" s="33">
        <f t="shared" si="160"/>
        <v>1.6974712839340829E-2</v>
      </c>
      <c r="W72" s="33">
        <f t="shared" si="160"/>
        <v>1.7016478217130586E-2</v>
      </c>
      <c r="X72" s="33">
        <f t="shared" si="160"/>
        <v>1.704000509647903E-2</v>
      </c>
      <c r="Y72" s="33">
        <f t="shared" si="160"/>
        <v>1.7067833115256691E-2</v>
      </c>
      <c r="Z72" s="33">
        <f t="shared" si="160"/>
        <v>1.7024757317051782E-2</v>
      </c>
      <c r="AA72" s="33">
        <f t="shared" si="160"/>
        <v>1.703726843647952E-2</v>
      </c>
      <c r="AB72" s="33">
        <f t="shared" si="160"/>
        <v>1.7042465991316758E-2</v>
      </c>
      <c r="AD72" s="13">
        <f>AD71/AD$33</f>
        <v>8.5193184545236389E-3</v>
      </c>
      <c r="AE72" s="13">
        <f t="shared" ref="AE72:AH72" si="161">AE71/AE$33</f>
        <v>1.0519987977156597E-2</v>
      </c>
      <c r="AF72" s="13">
        <f t="shared" si="161"/>
        <v>1.5688780394214001E-2</v>
      </c>
      <c r="AG72" s="13">
        <f t="shared" si="161"/>
        <v>1.7062346269512724E-2</v>
      </c>
      <c r="AH72" s="13">
        <f t="shared" si="161"/>
        <v>1.7042437847504727E-2</v>
      </c>
    </row>
    <row r="73" spans="3:34" outlineLevel="1" x14ac:dyDescent="0.25">
      <c r="C73" s="64"/>
      <c r="D73" s="64"/>
      <c r="E73" s="64"/>
      <c r="F73" s="64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D73" s="29"/>
      <c r="AE73" s="29"/>
      <c r="AF73" s="29"/>
      <c r="AG73" s="29"/>
      <c r="AH73" s="29"/>
    </row>
    <row r="74" spans="3:34" outlineLevel="1" x14ac:dyDescent="0.25">
      <c r="C74" s="1" t="s">
        <v>53</v>
      </c>
      <c r="G74" s="28">
        <f>G71+G58-G50+G68-G66</f>
        <v>58.925000000000011</v>
      </c>
      <c r="H74" s="28">
        <f>H71+H58-H50+H68-H66</f>
        <v>22.625000000000036</v>
      </c>
      <c r="I74" s="28">
        <f t="shared" ref="I74:AB74" si="162">I71+I58-I50+I68-I66</f>
        <v>45.500000000000043</v>
      </c>
      <c r="J74" s="28">
        <f t="shared" si="162"/>
        <v>-1.9000000000000412</v>
      </c>
      <c r="K74" s="28">
        <f t="shared" si="162"/>
        <v>123.19999999999999</v>
      </c>
      <c r="L74" s="28">
        <f t="shared" si="162"/>
        <v>104.075</v>
      </c>
      <c r="M74" s="28">
        <f t="shared" si="162"/>
        <v>89.65</v>
      </c>
      <c r="N74" s="28">
        <f t="shared" si="162"/>
        <v>33.95000000000006</v>
      </c>
      <c r="O74" s="28">
        <f t="shared" si="162"/>
        <v>80.599999999999923</v>
      </c>
      <c r="P74" s="28">
        <f t="shared" si="162"/>
        <v>48.47499999999998</v>
      </c>
      <c r="Q74" s="28">
        <f t="shared" si="162"/>
        <v>7.3750000000000142</v>
      </c>
      <c r="R74" s="28">
        <f t="shared" si="162"/>
        <v>159.34853548564308</v>
      </c>
      <c r="S74" s="28">
        <f t="shared" si="162"/>
        <v>106.84795138248012</v>
      </c>
      <c r="T74" s="28">
        <f t="shared" si="162"/>
        <v>99.240186498114142</v>
      </c>
      <c r="U74" s="28">
        <f t="shared" si="162"/>
        <v>140.3987489689064</v>
      </c>
      <c r="V74" s="28">
        <f t="shared" si="162"/>
        <v>91.032409583531859</v>
      </c>
      <c r="W74" s="28">
        <f t="shared" si="162"/>
        <v>129.50215100944774</v>
      </c>
      <c r="X74" s="28">
        <f t="shared" si="162"/>
        <v>121.40701999047161</v>
      </c>
      <c r="Y74" s="28">
        <f t="shared" si="162"/>
        <v>169.49790683881994</v>
      </c>
      <c r="Z74" s="28">
        <f t="shared" si="162"/>
        <v>111.79537095770917</v>
      </c>
      <c r="AA74" s="28">
        <f t="shared" si="162"/>
        <v>154.42693607068</v>
      </c>
      <c r="AB74" s="28">
        <f t="shared" si="162"/>
        <v>142.9287343956577</v>
      </c>
      <c r="AD74" s="28">
        <f>SUM(I74:L74)</f>
        <v>270.875</v>
      </c>
      <c r="AE74" s="28">
        <f>SUM(M74:P74)</f>
        <v>252.67499999999995</v>
      </c>
      <c r="AF74" s="28">
        <f>SUM(Q74:T74)</f>
        <v>372.81167336623736</v>
      </c>
      <c r="AG74" s="28">
        <f>SUM(U74:X74)</f>
        <v>482.34032955235762</v>
      </c>
      <c r="AH74" s="28">
        <f>SUM(Y74:AB74)</f>
        <v>578.64894826286672</v>
      </c>
    </row>
    <row r="75" spans="3:34" outlineLevel="1" x14ac:dyDescent="0.25">
      <c r="C75" s="12" t="s">
        <v>31</v>
      </c>
      <c r="D75" s="12"/>
      <c r="E75" s="12"/>
      <c r="F75" s="12"/>
      <c r="G75" s="12"/>
      <c r="H75" s="12"/>
      <c r="I75" s="14"/>
      <c r="J75" s="14"/>
      <c r="K75" s="13">
        <f>K74/G74-1</f>
        <v>1.090793381417055</v>
      </c>
      <c r="L75" s="13">
        <f t="shared" ref="L75" si="163">L74/H74-1</f>
        <v>3.5999999999999925</v>
      </c>
      <c r="M75" s="13">
        <f t="shared" ref="M75" si="164">M74/I74-1</f>
        <v>0.97032967032966866</v>
      </c>
      <c r="N75" s="13">
        <f t="shared" ref="N75" si="165">N74/J74-1</f>
        <v>-18.868421052631223</v>
      </c>
      <c r="O75" s="13">
        <f t="shared" ref="O75" si="166">O74/K74-1</f>
        <v>-0.3457792207792213</v>
      </c>
      <c r="P75" s="13">
        <f t="shared" ref="P75" si="167">P74/L74-1</f>
        <v>-0.53423012250780699</v>
      </c>
      <c r="Q75" s="13">
        <f t="shared" ref="Q75" si="168">Q74/M74-1</f>
        <v>-0.91773563859453411</v>
      </c>
      <c r="R75" s="13">
        <f t="shared" ref="R75" si="169">R74/N74-1</f>
        <v>3.6936240201956645</v>
      </c>
      <c r="S75" s="13">
        <f t="shared" ref="S75" si="170">S74/O74-1</f>
        <v>0.32565696504317887</v>
      </c>
      <c r="T75" s="13">
        <f t="shared" ref="T75" si="171">T74/P74-1</f>
        <v>1.0472446931018915</v>
      </c>
      <c r="U75" s="13">
        <f t="shared" ref="U75" si="172">U74/Q74-1</f>
        <v>18.037118504258459</v>
      </c>
      <c r="V75" s="13">
        <f t="shared" ref="V75" si="173">V74/R74-1</f>
        <v>-0.42872139172101986</v>
      </c>
      <c r="W75" s="13">
        <f t="shared" ref="W75" si="174">W74/S74-1</f>
        <v>0.2120227794155185</v>
      </c>
      <c r="X75" s="13">
        <f t="shared" ref="X75" si="175">X74/T74-1</f>
        <v>0.22336549612166134</v>
      </c>
      <c r="Y75" s="13">
        <f t="shared" ref="Y75" si="176">Y74/U74-1</f>
        <v>0.20726080598024432</v>
      </c>
      <c r="Z75" s="13">
        <f t="shared" ref="Z75" si="177">Z74/V74-1</f>
        <v>0.22808317904762365</v>
      </c>
      <c r="AA75" s="13">
        <f t="shared" ref="AA75" si="178">AA74/W74-1</f>
        <v>0.19246618582739905</v>
      </c>
      <c r="AB75" s="13">
        <f t="shared" ref="AB75" si="179">AB74/X74-1</f>
        <v>0.17726911019540048</v>
      </c>
      <c r="AD75" s="19"/>
      <c r="AE75" s="13">
        <f>AE74/AD74-1</f>
        <v>-6.7189663128749633E-2</v>
      </c>
      <c r="AF75" s="13">
        <f t="shared" ref="AF75:AH75" si="180">AF74/AE74-1</f>
        <v>0.47545927917774788</v>
      </c>
      <c r="AG75" s="13">
        <f t="shared" si="180"/>
        <v>0.29379084403970124</v>
      </c>
      <c r="AH75" s="13">
        <f t="shared" si="180"/>
        <v>0.19966943008868787</v>
      </c>
    </row>
    <row r="76" spans="3:34" outlineLevel="1" x14ac:dyDescent="0.25"/>
    <row r="77" spans="3:34" outlineLevel="1" x14ac:dyDescent="0.25">
      <c r="C77" s="1" t="s">
        <v>80</v>
      </c>
      <c r="G77" s="28">
        <f>G53-G50</f>
        <v>72.40000000000002</v>
      </c>
      <c r="H77" s="28">
        <f t="shared" ref="H77:AB77" si="181">H53-H50</f>
        <v>66.100000000000009</v>
      </c>
      <c r="I77" s="28">
        <f t="shared" si="181"/>
        <v>80.09999999999998</v>
      </c>
      <c r="J77" s="28">
        <f t="shared" si="181"/>
        <v>62.800000000000026</v>
      </c>
      <c r="K77" s="28">
        <f t="shared" si="181"/>
        <v>80.900000000000006</v>
      </c>
      <c r="L77" s="28">
        <f t="shared" si="181"/>
        <v>90.100000000000009</v>
      </c>
      <c r="M77" s="28">
        <f t="shared" si="181"/>
        <v>95.2</v>
      </c>
      <c r="N77" s="28">
        <f t="shared" si="181"/>
        <v>95.200000000000017</v>
      </c>
      <c r="O77" s="28">
        <f t="shared" si="181"/>
        <v>115.89999999999998</v>
      </c>
      <c r="P77" s="28">
        <f t="shared" si="181"/>
        <v>116.39999999999996</v>
      </c>
      <c r="Q77" s="28">
        <f t="shared" si="181"/>
        <v>119.49999999999997</v>
      </c>
      <c r="R77" s="28">
        <f t="shared" si="181"/>
        <v>139.19600200154662</v>
      </c>
      <c r="S77" s="28">
        <f t="shared" si="181"/>
        <v>144.30218545656186</v>
      </c>
      <c r="T77" s="28">
        <f t="shared" si="181"/>
        <v>153.50346013487322</v>
      </c>
      <c r="U77" s="28">
        <f t="shared" si="181"/>
        <v>146.28336402571682</v>
      </c>
      <c r="V77" s="28">
        <f t="shared" si="181"/>
        <v>163.75155367972246</v>
      </c>
      <c r="W77" s="28">
        <f t="shared" si="181"/>
        <v>170.37875846494131</v>
      </c>
      <c r="X77" s="28">
        <f t="shared" si="181"/>
        <v>183.60734727295826</v>
      </c>
      <c r="Y77" s="28">
        <f t="shared" si="181"/>
        <v>174.10950085145146</v>
      </c>
      <c r="Z77" s="28">
        <f t="shared" si="181"/>
        <v>193.54111173574915</v>
      </c>
      <c r="AA77" s="28">
        <f t="shared" si="181"/>
        <v>198.1252670126828</v>
      </c>
      <c r="AB77" s="28">
        <f t="shared" si="181"/>
        <v>211.9772718287368</v>
      </c>
      <c r="AD77" s="28">
        <f>SUM(I77:L77)</f>
        <v>313.90000000000003</v>
      </c>
      <c r="AE77" s="28">
        <f>SUM(M77:P77)</f>
        <v>422.7</v>
      </c>
      <c r="AF77" s="28">
        <f>SUM(Q77:T77)</f>
        <v>556.50164759298173</v>
      </c>
      <c r="AG77" s="28">
        <f>SUM(U77:X77)</f>
        <v>664.02102344333889</v>
      </c>
      <c r="AH77" s="28">
        <f>SUM(Y77:AB77)</f>
        <v>777.75315142862019</v>
      </c>
    </row>
    <row r="78" spans="3:34" outlineLevel="1" x14ac:dyDescent="0.25">
      <c r="C78" s="12" t="s">
        <v>31</v>
      </c>
      <c r="D78" s="12"/>
      <c r="E78" s="12"/>
      <c r="F78" s="12"/>
      <c r="G78" s="12"/>
      <c r="H78" s="12"/>
      <c r="I78" s="14"/>
      <c r="J78" s="14"/>
      <c r="K78" s="13">
        <f>K77/G77-1</f>
        <v>0.11740331491712674</v>
      </c>
      <c r="L78" s="13">
        <f t="shared" ref="L78" si="182">L77/H77-1</f>
        <v>0.36308623298033282</v>
      </c>
      <c r="M78" s="13">
        <f t="shared" ref="M78" si="183">M77/I77-1</f>
        <v>0.18851435705368313</v>
      </c>
      <c r="N78" s="13">
        <f t="shared" ref="N78" si="184">N77/J77-1</f>
        <v>0.51592356687898056</v>
      </c>
      <c r="O78" s="13">
        <f t="shared" ref="O78" si="185">O77/K77-1</f>
        <v>0.43263288009888723</v>
      </c>
      <c r="P78" s="13">
        <f t="shared" ref="P78" si="186">P77/L77-1</f>
        <v>0.29189789123196386</v>
      </c>
      <c r="Q78" s="13">
        <f t="shared" ref="Q78" si="187">Q77/M77-1</f>
        <v>0.25525210084033589</v>
      </c>
      <c r="R78" s="13">
        <f t="shared" ref="R78" si="188">R77/N77-1</f>
        <v>0.46214287816750632</v>
      </c>
      <c r="S78" s="13">
        <f t="shared" ref="S78" si="189">S77/O77-1</f>
        <v>0.24505768297292385</v>
      </c>
      <c r="T78" s="13">
        <f t="shared" ref="T78" si="190">T77/P77-1</f>
        <v>0.31875824858138557</v>
      </c>
      <c r="U78" s="13">
        <f t="shared" ref="U78" si="191">U77/Q77-1</f>
        <v>0.22412856925286073</v>
      </c>
      <c r="V78" s="13">
        <f t="shared" ref="V78" si="192">V77/R77-1</f>
        <v>0.17640989198743662</v>
      </c>
      <c r="W78" s="13">
        <f t="shared" ref="W78" si="193">W77/S77-1</f>
        <v>0.18070809479340189</v>
      </c>
      <c r="X78" s="13">
        <f t="shared" ref="X78" si="194">X77/T77-1</f>
        <v>0.1961121079071102</v>
      </c>
      <c r="Y78" s="13">
        <f t="shared" ref="Y78" si="195">Y77/U77-1</f>
        <v>0.19022078833819256</v>
      </c>
      <c r="Z78" s="13">
        <f t="shared" ref="Z78" si="196">Z77/V77-1</f>
        <v>0.18191923915599206</v>
      </c>
      <c r="AA78" s="13">
        <f t="shared" ref="AA78" si="197">AA77/W77-1</f>
        <v>0.16285192354803346</v>
      </c>
      <c r="AB78" s="13">
        <f t="shared" ref="AB78" si="198">AB77/X77-1</f>
        <v>0.15451410293294332</v>
      </c>
      <c r="AD78" s="19"/>
      <c r="AE78" s="13">
        <f>AE77/AD77-1</f>
        <v>0.34660719974514165</v>
      </c>
      <c r="AF78" s="13">
        <f t="shared" ref="AF78:AH78" si="199">AF77/AE77-1</f>
        <v>0.31654044852846397</v>
      </c>
      <c r="AG78" s="13">
        <f t="shared" si="199"/>
        <v>0.1932058535952359</v>
      </c>
      <c r="AH78" s="13">
        <f t="shared" si="199"/>
        <v>0.17127790231025131</v>
      </c>
    </row>
    <row r="79" spans="3:34" outlineLevel="1" x14ac:dyDescent="0.25"/>
    <row r="80" spans="3:34" outlineLevel="1" x14ac:dyDescent="0.25">
      <c r="C80" s="1" t="s">
        <v>81</v>
      </c>
      <c r="G80" s="28">
        <f>G77+G71</f>
        <v>75.90000000000002</v>
      </c>
      <c r="H80" s="28">
        <f t="shared" ref="H80:AB80" si="200">H77+H71</f>
        <v>69.100000000000009</v>
      </c>
      <c r="I80" s="28">
        <f t="shared" si="200"/>
        <v>83.59999999999998</v>
      </c>
      <c r="J80" s="28">
        <f t="shared" si="200"/>
        <v>66.300000000000026</v>
      </c>
      <c r="K80" s="28">
        <f t="shared" si="200"/>
        <v>84.5</v>
      </c>
      <c r="L80" s="28">
        <f t="shared" si="200"/>
        <v>93.7</v>
      </c>
      <c r="M80" s="28">
        <f t="shared" si="200"/>
        <v>99.8</v>
      </c>
      <c r="N80" s="28">
        <f t="shared" si="200"/>
        <v>100.60000000000002</v>
      </c>
      <c r="O80" s="28">
        <f t="shared" si="200"/>
        <v>121.39999999999998</v>
      </c>
      <c r="P80" s="28">
        <f t="shared" si="200"/>
        <v>121.89999999999996</v>
      </c>
      <c r="Q80" s="28">
        <f t="shared" si="200"/>
        <v>125.59999999999997</v>
      </c>
      <c r="R80" s="28">
        <f t="shared" si="200"/>
        <v>149.26942584150461</v>
      </c>
      <c r="S80" s="28">
        <f t="shared" si="200"/>
        <v>154.79265253386532</v>
      </c>
      <c r="T80" s="28">
        <f t="shared" si="200"/>
        <v>164.77068361165624</v>
      </c>
      <c r="U80" s="28">
        <f t="shared" si="200"/>
        <v>157.21193344121707</v>
      </c>
      <c r="V80" s="28">
        <f t="shared" si="200"/>
        <v>175.76608083399881</v>
      </c>
      <c r="W80" s="28">
        <f t="shared" si="200"/>
        <v>182.7420278487497</v>
      </c>
      <c r="X80" s="28">
        <f t="shared" si="200"/>
        <v>196.84069438313981</v>
      </c>
      <c r="Y80" s="28">
        <f t="shared" si="200"/>
        <v>186.64192749042729</v>
      </c>
      <c r="Z80" s="28">
        <f t="shared" si="200"/>
        <v>207.39478833388029</v>
      </c>
      <c r="AA80" s="28">
        <f t="shared" si="200"/>
        <v>212.24617926108451</v>
      </c>
      <c r="AB80" s="28">
        <f t="shared" si="200"/>
        <v>227.00334473132463</v>
      </c>
      <c r="AD80" s="28">
        <f>SUM(I80:L80)</f>
        <v>328.1</v>
      </c>
      <c r="AE80" s="28">
        <f>SUM(M80:P80)</f>
        <v>443.7</v>
      </c>
      <c r="AF80" s="28">
        <f>SUM(Q80:T80)</f>
        <v>594.4327619870262</v>
      </c>
      <c r="AG80" s="28">
        <f>SUM(U80:X80)</f>
        <v>712.56073650710528</v>
      </c>
      <c r="AH80" s="28">
        <f>SUM(Y80:AB80)</f>
        <v>833.28623981671672</v>
      </c>
    </row>
    <row r="81" spans="3:34" outlineLevel="1" x14ac:dyDescent="0.25">
      <c r="C81" s="12" t="s">
        <v>31</v>
      </c>
      <c r="D81" s="12"/>
      <c r="E81" s="12"/>
      <c r="F81" s="12"/>
      <c r="G81" s="12"/>
      <c r="H81" s="12"/>
      <c r="I81" s="14"/>
      <c r="J81" s="14"/>
      <c r="K81" s="13">
        <f>K80/G80-1</f>
        <v>0.11330698287219998</v>
      </c>
      <c r="L81" s="13">
        <f t="shared" ref="L81" si="201">L80/H80-1</f>
        <v>0.35600578871201138</v>
      </c>
      <c r="M81" s="13">
        <f t="shared" ref="M81" si="202">M80/I80-1</f>
        <v>0.19377990430622027</v>
      </c>
      <c r="N81" s="13">
        <f t="shared" ref="N81" si="203">N80/J80-1</f>
        <v>0.51734539969834059</v>
      </c>
      <c r="O81" s="13">
        <f t="shared" ref="O81" si="204">O80/K80-1</f>
        <v>0.43668639053254421</v>
      </c>
      <c r="P81" s="13">
        <f t="shared" ref="P81" si="205">P80/L80-1</f>
        <v>0.30096051227321197</v>
      </c>
      <c r="Q81" s="13">
        <f t="shared" ref="Q81" si="206">Q80/M80-1</f>
        <v>0.25851703406813598</v>
      </c>
      <c r="R81" s="13">
        <f t="shared" ref="R81" si="207">R80/N80-1</f>
        <v>0.48379150935889248</v>
      </c>
      <c r="S81" s="13">
        <f t="shared" ref="S81" si="208">S80/O80-1</f>
        <v>0.27506303569905555</v>
      </c>
      <c r="T81" s="13">
        <f t="shared" ref="T81" si="209">T80/P80-1</f>
        <v>0.35168731428758226</v>
      </c>
      <c r="U81" s="13">
        <f t="shared" ref="U81" si="210">U80/Q80-1</f>
        <v>0.25168736816255666</v>
      </c>
      <c r="V81" s="13">
        <f t="shared" ref="V81" si="211">V80/R80-1</f>
        <v>0.1775089228294382</v>
      </c>
      <c r="W81" s="13">
        <f t="shared" ref="W81" si="212">W80/S80-1</f>
        <v>0.18056009027153053</v>
      </c>
      <c r="X81" s="13">
        <f t="shared" ref="X81" si="213">X80/T80-1</f>
        <v>0.19463420353992422</v>
      </c>
      <c r="Y81" s="13">
        <f t="shared" ref="Y81" si="214">Y80/U80-1</f>
        <v>0.1871994918262001</v>
      </c>
      <c r="Z81" s="13">
        <f t="shared" ref="Z81" si="215">Z80/V80-1</f>
        <v>0.17994773138142062</v>
      </c>
      <c r="AA81" s="13">
        <f t="shared" ref="AA81" si="216">AA80/W80-1</f>
        <v>0.16145246804831648</v>
      </c>
      <c r="AB81" s="13">
        <f t="shared" ref="AB81" si="217">AB80/X80-1</f>
        <v>0.15323381398703484</v>
      </c>
      <c r="AD81" s="19"/>
      <c r="AE81" s="13">
        <f>AE80/AD80-1</f>
        <v>0.3523316062176165</v>
      </c>
      <c r="AF81" s="13">
        <f t="shared" ref="AF81:AH81" si="218">AF80/AE80-1</f>
        <v>0.33971774168813651</v>
      </c>
      <c r="AG81" s="13">
        <f t="shared" si="218"/>
        <v>0.19872386260341623</v>
      </c>
      <c r="AH81" s="13">
        <f t="shared" si="218"/>
        <v>0.16942486040052485</v>
      </c>
    </row>
    <row r="82" spans="3:34" outlineLevel="1" x14ac:dyDescent="0.25"/>
    <row r="84" spans="3:34" x14ac:dyDescent="0.25">
      <c r="C84" s="1" t="s">
        <v>147</v>
      </c>
    </row>
    <row r="85" spans="3:34" outlineLevel="1" x14ac:dyDescent="0.25"/>
    <row r="86" spans="3:34" outlineLevel="1" x14ac:dyDescent="0.25">
      <c r="C86" s="1" t="str">
        <f>C33</f>
        <v>Total Revenue</v>
      </c>
      <c r="G86" s="28">
        <f t="shared" ref="G86:AB86" si="219">G33</f>
        <v>370.6</v>
      </c>
      <c r="H86" s="28">
        <f t="shared" si="219"/>
        <v>379.2</v>
      </c>
      <c r="I86" s="28">
        <f t="shared" si="219"/>
        <v>362.7</v>
      </c>
      <c r="J86" s="28">
        <f t="shared" si="219"/>
        <v>385.6</v>
      </c>
      <c r="K86" s="28">
        <f t="shared" si="219"/>
        <v>445.9</v>
      </c>
      <c r="L86" s="28">
        <f t="shared" si="219"/>
        <v>472.6</v>
      </c>
      <c r="M86" s="28">
        <f t="shared" si="219"/>
        <v>430.4</v>
      </c>
      <c r="N86" s="28">
        <f t="shared" si="219"/>
        <v>494.6</v>
      </c>
      <c r="O86" s="28">
        <f t="shared" si="219"/>
        <v>515.4</v>
      </c>
      <c r="P86" s="28">
        <f t="shared" si="219"/>
        <v>555.79999999999995</v>
      </c>
      <c r="Q86" s="28">
        <f t="shared" si="219"/>
        <v>532.9</v>
      </c>
      <c r="R86" s="28">
        <f t="shared" si="219"/>
        <v>599.33560277203264</v>
      </c>
      <c r="S86" s="28">
        <f t="shared" si="219"/>
        <v>619.91710638194627</v>
      </c>
      <c r="T86" s="28">
        <f t="shared" si="219"/>
        <v>665.56960201008303</v>
      </c>
      <c r="U86" s="28">
        <f t="shared" si="219"/>
        <v>633.90272676560244</v>
      </c>
      <c r="V86" s="28">
        <f t="shared" si="219"/>
        <v>707.78971449998937</v>
      </c>
      <c r="W86" s="28">
        <f t="shared" si="219"/>
        <v>726.54689331439943</v>
      </c>
      <c r="X86" s="28">
        <f t="shared" si="219"/>
        <v>776.60464508405312</v>
      </c>
      <c r="Y86" s="28">
        <f t="shared" si="219"/>
        <v>734.27168840626132</v>
      </c>
      <c r="Z86" s="28">
        <f t="shared" si="219"/>
        <v>813.73709710713206</v>
      </c>
      <c r="AA86" s="28">
        <f t="shared" si="219"/>
        <v>828.82489649376907</v>
      </c>
      <c r="AB86" s="28">
        <f t="shared" si="219"/>
        <v>881.6841946607791</v>
      </c>
      <c r="AD86" s="28">
        <f>SUM(I86:L86)</f>
        <v>1666.7999999999997</v>
      </c>
      <c r="AE86" s="28">
        <f>SUM(M86:P86)</f>
        <v>1996.2</v>
      </c>
      <c r="AF86" s="28">
        <f>SUM(Q86:T86)</f>
        <v>2417.7223111640619</v>
      </c>
      <c r="AG86" s="28">
        <f>SUM(U86:X86)</f>
        <v>2844.8439796640441</v>
      </c>
      <c r="AH86" s="28">
        <f>SUM(Y86:AB86)</f>
        <v>3258.5178766679419</v>
      </c>
    </row>
    <row r="87" spans="3:34" outlineLevel="1" x14ac:dyDescent="0.25">
      <c r="C87" s="29" t="s">
        <v>36</v>
      </c>
      <c r="D87" s="29"/>
      <c r="E87" s="29"/>
      <c r="F87" s="29"/>
      <c r="G87" s="106">
        <f>G38</f>
        <v>-250.4</v>
      </c>
      <c r="H87" s="106">
        <f t="shared" ref="H87:AB87" si="220">H38</f>
        <v>-256.89999999999998</v>
      </c>
      <c r="I87" s="106">
        <f t="shared" si="220"/>
        <v>-240.9</v>
      </c>
      <c r="J87" s="106">
        <f t="shared" si="220"/>
        <v>-268.5</v>
      </c>
      <c r="K87" s="106">
        <f t="shared" si="220"/>
        <v>-309.89999999999998</v>
      </c>
      <c r="L87" s="106">
        <f t="shared" si="220"/>
        <v>-317.3</v>
      </c>
      <c r="M87" s="106">
        <f t="shared" si="220"/>
        <v>-282.39999999999998</v>
      </c>
      <c r="N87" s="106">
        <f t="shared" si="220"/>
        <v>-330.3</v>
      </c>
      <c r="O87" s="106">
        <f t="shared" si="220"/>
        <v>-325.5</v>
      </c>
      <c r="P87" s="106">
        <f t="shared" si="220"/>
        <v>-350.7</v>
      </c>
      <c r="Q87" s="106">
        <f t="shared" si="220"/>
        <v>-333.3</v>
      </c>
      <c r="R87" s="106">
        <f t="shared" si="220"/>
        <v>-374.85186039391721</v>
      </c>
      <c r="S87" s="106">
        <f t="shared" si="220"/>
        <v>-386.9495764207432</v>
      </c>
      <c r="T87" s="106">
        <f t="shared" si="220"/>
        <v>-414.61370472449386</v>
      </c>
      <c r="U87" s="106">
        <f t="shared" si="220"/>
        <v>-394.0945833540535</v>
      </c>
      <c r="V87" s="106">
        <f t="shared" si="220"/>
        <v>-439.14506689540497</v>
      </c>
      <c r="W87" s="106">
        <f t="shared" si="220"/>
        <v>-449.87469374206069</v>
      </c>
      <c r="X87" s="106">
        <f t="shared" si="220"/>
        <v>-479.89948131220734</v>
      </c>
      <c r="Y87" s="106">
        <f t="shared" si="220"/>
        <v>-452.82217422917927</v>
      </c>
      <c r="Z87" s="106">
        <f t="shared" si="220"/>
        <v>-500.81097668478759</v>
      </c>
      <c r="AA87" s="106">
        <f t="shared" si="220"/>
        <v>-509.06066643606897</v>
      </c>
      <c r="AB87" s="106">
        <f t="shared" si="220"/>
        <v>-540.42451348987368</v>
      </c>
      <c r="AD87" s="348">
        <f>SUM(I87:L87)</f>
        <v>-1136.5999999999999</v>
      </c>
      <c r="AE87" s="348">
        <f>SUM(M87:P87)</f>
        <v>-1288.9000000000001</v>
      </c>
      <c r="AF87" s="348">
        <f>SUM(Q87:T87)</f>
        <v>-1509.7151415391543</v>
      </c>
      <c r="AG87" s="348">
        <f>SUM(U87:X87)</f>
        <v>-1763.0138253037264</v>
      </c>
      <c r="AH87" s="348">
        <f>SUM(Y87:AB87)</f>
        <v>-2003.1183308399095</v>
      </c>
    </row>
    <row r="88" spans="3:34" outlineLevel="1" x14ac:dyDescent="0.25">
      <c r="C88" s="1" t="s">
        <v>0</v>
      </c>
      <c r="D88" s="1"/>
      <c r="E88" s="1"/>
      <c r="F88" s="1"/>
      <c r="G88" s="28">
        <f>SUM(G86:G87)</f>
        <v>120.20000000000002</v>
      </c>
      <c r="H88" s="28">
        <f t="shared" ref="H88:AB88" si="221">SUM(H86:H87)</f>
        <v>122.30000000000001</v>
      </c>
      <c r="I88" s="28">
        <f t="shared" si="221"/>
        <v>121.79999999999998</v>
      </c>
      <c r="J88" s="28">
        <f t="shared" si="221"/>
        <v>117.10000000000002</v>
      </c>
      <c r="K88" s="28">
        <f t="shared" si="221"/>
        <v>136</v>
      </c>
      <c r="L88" s="28">
        <f t="shared" si="221"/>
        <v>155.30000000000001</v>
      </c>
      <c r="M88" s="28">
        <f t="shared" si="221"/>
        <v>148</v>
      </c>
      <c r="N88" s="28">
        <f t="shared" si="221"/>
        <v>164.3</v>
      </c>
      <c r="O88" s="28">
        <f t="shared" si="221"/>
        <v>189.89999999999998</v>
      </c>
      <c r="P88" s="28">
        <f t="shared" si="221"/>
        <v>205.09999999999997</v>
      </c>
      <c r="Q88" s="28">
        <f t="shared" si="221"/>
        <v>199.59999999999997</v>
      </c>
      <c r="R88" s="28">
        <f t="shared" si="221"/>
        <v>224.48374237811544</v>
      </c>
      <c r="S88" s="28">
        <f t="shared" si="221"/>
        <v>232.96752996120307</v>
      </c>
      <c r="T88" s="28">
        <f t="shared" si="221"/>
        <v>250.95589728558917</v>
      </c>
      <c r="U88" s="28">
        <f t="shared" si="221"/>
        <v>239.80814341154894</v>
      </c>
      <c r="V88" s="28">
        <f t="shared" si="221"/>
        <v>268.64464760458441</v>
      </c>
      <c r="W88" s="28">
        <f t="shared" si="221"/>
        <v>276.67219957233874</v>
      </c>
      <c r="X88" s="28">
        <f t="shared" si="221"/>
        <v>296.70516377184578</v>
      </c>
      <c r="Y88" s="28">
        <f t="shared" si="221"/>
        <v>281.44951417708205</v>
      </c>
      <c r="Z88" s="28">
        <f t="shared" si="221"/>
        <v>312.92612042234447</v>
      </c>
      <c r="AA88" s="28">
        <f t="shared" si="221"/>
        <v>319.7642300577001</v>
      </c>
      <c r="AB88" s="28">
        <f t="shared" si="221"/>
        <v>341.25968117090542</v>
      </c>
      <c r="AD88" s="349">
        <f>SUM(I88:L88)</f>
        <v>530.20000000000005</v>
      </c>
      <c r="AE88" s="349">
        <f>SUM(M88:P88)</f>
        <v>707.3</v>
      </c>
      <c r="AF88" s="349">
        <f>SUM(Q88:T88)</f>
        <v>908.00716962490765</v>
      </c>
      <c r="AG88" s="349">
        <f>SUM(U88:X88)</f>
        <v>1081.8301543603179</v>
      </c>
      <c r="AH88" s="349">
        <f>SUM(Y88:AB88)</f>
        <v>1255.3995458280322</v>
      </c>
    </row>
    <row r="89" spans="3:34" outlineLevel="1" x14ac:dyDescent="0.25">
      <c r="C89" t="s">
        <v>40</v>
      </c>
      <c r="G89" s="10">
        <f>G47</f>
        <v>-47.8</v>
      </c>
      <c r="H89" s="10">
        <f t="shared" ref="H89:AB89" si="222">H47</f>
        <v>-56.2</v>
      </c>
      <c r="I89" s="10">
        <f t="shared" si="222"/>
        <v>-41.7</v>
      </c>
      <c r="J89" s="10">
        <f t="shared" si="222"/>
        <v>-54.3</v>
      </c>
      <c r="K89" s="10">
        <f t="shared" si="222"/>
        <v>-55.1</v>
      </c>
      <c r="L89" s="10">
        <f t="shared" si="222"/>
        <v>-65.2</v>
      </c>
      <c r="M89" s="10">
        <f t="shared" si="222"/>
        <v>-52.8</v>
      </c>
      <c r="N89" s="10">
        <f t="shared" si="222"/>
        <v>-69.099999999999994</v>
      </c>
      <c r="O89" s="10">
        <f t="shared" si="222"/>
        <v>-74</v>
      </c>
      <c r="P89" s="10">
        <f t="shared" si="222"/>
        <v>-88.7</v>
      </c>
      <c r="Q89" s="10">
        <f t="shared" si="222"/>
        <v>-80.099999999999994</v>
      </c>
      <c r="R89" s="10">
        <f t="shared" si="222"/>
        <v>-85.287740376568834</v>
      </c>
      <c r="S89" s="10">
        <f t="shared" si="222"/>
        <v>-88.665344504641212</v>
      </c>
      <c r="T89" s="10">
        <f t="shared" si="222"/>
        <v>-97.452437150715951</v>
      </c>
      <c r="U89" s="10">
        <f t="shared" si="222"/>
        <v>-93.524779385832133</v>
      </c>
      <c r="V89" s="10">
        <f t="shared" si="222"/>
        <v>-104.89309392486193</v>
      </c>
      <c r="W89" s="10">
        <f t="shared" si="222"/>
        <v>-106.29344110739744</v>
      </c>
      <c r="X89" s="10">
        <f t="shared" si="222"/>
        <v>-113.09781649888751</v>
      </c>
      <c r="Y89" s="10">
        <f t="shared" si="222"/>
        <v>-107.34001332563058</v>
      </c>
      <c r="Z89" s="10">
        <f t="shared" si="222"/>
        <v>-119.38500868659531</v>
      </c>
      <c r="AA89" s="10">
        <f t="shared" si="222"/>
        <v>-121.63896304501732</v>
      </c>
      <c r="AB89" s="10">
        <f t="shared" si="222"/>
        <v>-129.28240934216862</v>
      </c>
      <c r="AD89" s="350">
        <f>SUM(I89:L89)</f>
        <v>-216.3</v>
      </c>
      <c r="AE89" s="350">
        <f>SUM(M89:P89)</f>
        <v>-284.59999999999997</v>
      </c>
      <c r="AF89" s="350">
        <f>SUM(Q89:T89)</f>
        <v>-351.50552203192603</v>
      </c>
      <c r="AG89" s="350">
        <f>SUM(U89:X89)</f>
        <v>-417.80913091697903</v>
      </c>
      <c r="AH89" s="350">
        <f>SUM(Y89:AB89)</f>
        <v>-477.64639439941186</v>
      </c>
    </row>
    <row r="90" spans="3:34" outlineLevel="1" x14ac:dyDescent="0.25">
      <c r="C90" s="29" t="s">
        <v>41</v>
      </c>
      <c r="D90" s="29"/>
      <c r="E90" s="29"/>
      <c r="F90" s="29"/>
      <c r="G90" s="106">
        <f>G50</f>
        <v>-4.9000000000000004</v>
      </c>
      <c r="H90" s="106">
        <f t="shared" ref="H90:AB90" si="223">H50</f>
        <v>-5</v>
      </c>
      <c r="I90" s="106">
        <f t="shared" si="223"/>
        <v>-4.9000000000000004</v>
      </c>
      <c r="J90" s="106">
        <f t="shared" si="223"/>
        <v>-4.8</v>
      </c>
      <c r="K90" s="106">
        <f t="shared" si="223"/>
        <v>-4.9000000000000004</v>
      </c>
      <c r="L90" s="106">
        <f t="shared" si="223"/>
        <v>-12</v>
      </c>
      <c r="M90" s="106">
        <f t="shared" si="223"/>
        <v>-22.2</v>
      </c>
      <c r="N90" s="106">
        <f t="shared" si="223"/>
        <v>-4.2</v>
      </c>
      <c r="O90" s="106">
        <f t="shared" si="223"/>
        <v>-4.3</v>
      </c>
      <c r="P90" s="106">
        <f t="shared" si="223"/>
        <v>-4.3</v>
      </c>
      <c r="Q90" s="106">
        <f t="shared" si="223"/>
        <v>-4.2</v>
      </c>
      <c r="R90" s="106">
        <f t="shared" si="223"/>
        <v>-9.4138465691647486</v>
      </c>
      <c r="S90" s="106">
        <f t="shared" si="223"/>
        <v>-6.1477444951266049</v>
      </c>
      <c r="T90" s="106">
        <f t="shared" si="223"/>
        <v>-6.8623852679995769</v>
      </c>
      <c r="U90" s="106">
        <f t="shared" si="223"/>
        <v>-6.9437908521675853</v>
      </c>
      <c r="V90" s="106">
        <f t="shared" si="223"/>
        <v>-8.2968450064280734</v>
      </c>
      <c r="W90" s="106">
        <f t="shared" si="223"/>
        <v>-7.7929073164094333</v>
      </c>
      <c r="X90" s="106">
        <f t="shared" si="223"/>
        <v>-8.4868750853936987</v>
      </c>
      <c r="Y90" s="106">
        <f t="shared" si="223"/>
        <v>-8.1376308579697056</v>
      </c>
      <c r="Z90" s="106">
        <f t="shared" si="223"/>
        <v>-9.044466006234769</v>
      </c>
      <c r="AA90" s="106">
        <f t="shared" si="223"/>
        <v>-9.0862928993389129</v>
      </c>
      <c r="AB90" s="106">
        <f t="shared" si="223"/>
        <v>-9.7180019557878285</v>
      </c>
      <c r="AD90" s="348">
        <f>SUM(I90:L90)</f>
        <v>-26.6</v>
      </c>
      <c r="AE90" s="348">
        <f>SUM(M90:P90)</f>
        <v>-35</v>
      </c>
      <c r="AF90" s="348">
        <f>SUM(Q90:T90)</f>
        <v>-26.623976332290933</v>
      </c>
      <c r="AG90" s="348">
        <f>SUM(U90:X90)</f>
        <v>-31.520418260398792</v>
      </c>
      <c r="AH90" s="348">
        <f>SUM(Y90:AB90)</f>
        <v>-35.986391719331216</v>
      </c>
    </row>
    <row r="91" spans="3:34" outlineLevel="1" x14ac:dyDescent="0.25">
      <c r="C91" s="1" t="s">
        <v>148</v>
      </c>
      <c r="D91" s="1"/>
      <c r="E91" s="1"/>
      <c r="F91" s="1"/>
      <c r="G91" s="28">
        <f>SUM(G88:G90)</f>
        <v>67.500000000000014</v>
      </c>
      <c r="H91" s="28">
        <f t="shared" ref="H91:AB91" si="224">SUM(H88:H90)</f>
        <v>61.100000000000009</v>
      </c>
      <c r="I91" s="28">
        <f t="shared" si="224"/>
        <v>75.199999999999974</v>
      </c>
      <c r="J91" s="28">
        <f t="shared" si="224"/>
        <v>58.000000000000028</v>
      </c>
      <c r="K91" s="28">
        <f t="shared" si="224"/>
        <v>76</v>
      </c>
      <c r="L91" s="28">
        <f t="shared" si="224"/>
        <v>78.100000000000009</v>
      </c>
      <c r="M91" s="28">
        <f t="shared" si="224"/>
        <v>73</v>
      </c>
      <c r="N91" s="28">
        <f t="shared" si="224"/>
        <v>91.000000000000014</v>
      </c>
      <c r="O91" s="28">
        <f t="shared" si="224"/>
        <v>111.59999999999998</v>
      </c>
      <c r="P91" s="28">
        <f t="shared" si="224"/>
        <v>112.09999999999997</v>
      </c>
      <c r="Q91" s="28">
        <f t="shared" si="224"/>
        <v>115.29999999999997</v>
      </c>
      <c r="R91" s="28">
        <f t="shared" si="224"/>
        <v>129.78215543238187</v>
      </c>
      <c r="S91" s="28">
        <f t="shared" si="224"/>
        <v>138.15444096143526</v>
      </c>
      <c r="T91" s="28">
        <f t="shared" si="224"/>
        <v>146.64107486687365</v>
      </c>
      <c r="U91" s="28">
        <f t="shared" si="224"/>
        <v>139.33957317354924</v>
      </c>
      <c r="V91" s="28">
        <f t="shared" si="224"/>
        <v>155.45470867329439</v>
      </c>
      <c r="W91" s="28">
        <f t="shared" si="224"/>
        <v>162.58585114853187</v>
      </c>
      <c r="X91" s="28">
        <f t="shared" si="224"/>
        <v>175.12047218756456</v>
      </c>
      <c r="Y91" s="28">
        <f t="shared" si="224"/>
        <v>165.97186999348176</v>
      </c>
      <c r="Z91" s="28">
        <f t="shared" si="224"/>
        <v>184.4966457295144</v>
      </c>
      <c r="AA91" s="28">
        <f t="shared" si="224"/>
        <v>189.0389741133439</v>
      </c>
      <c r="AB91" s="28">
        <f t="shared" si="224"/>
        <v>202.25926987294898</v>
      </c>
      <c r="AD91" s="349">
        <f>SUM(I91:L91)</f>
        <v>287.3</v>
      </c>
      <c r="AE91" s="349">
        <f>SUM(M91:P91)</f>
        <v>387.69999999999993</v>
      </c>
      <c r="AF91" s="349">
        <f>SUM(Q91:T91)</f>
        <v>529.8776712606907</v>
      </c>
      <c r="AG91" s="349">
        <f>SUM(U91:X91)</f>
        <v>632.50060518294015</v>
      </c>
      <c r="AH91" s="349">
        <f>SUM(Y91:AB91)</f>
        <v>741.76675970928898</v>
      </c>
    </row>
    <row r="92" spans="3:34" outlineLevel="1" x14ac:dyDescent="0.25">
      <c r="C92" s="29" t="s">
        <v>149</v>
      </c>
      <c r="D92" s="29"/>
      <c r="E92" s="29"/>
      <c r="F92" s="29"/>
      <c r="G92" s="106">
        <v>-15.9</v>
      </c>
      <c r="H92" s="106">
        <v>-16.399999999999999</v>
      </c>
      <c r="I92" s="106">
        <v>-16.7</v>
      </c>
      <c r="J92" s="106">
        <v>-16.8</v>
      </c>
      <c r="K92" s="106">
        <v>-17.3</v>
      </c>
      <c r="L92" s="106">
        <v>-16.100000000000001</v>
      </c>
      <c r="M92" s="106">
        <v>-14.9</v>
      </c>
      <c r="N92" s="106">
        <v>-14.5</v>
      </c>
      <c r="O92" s="106">
        <v>-14.4</v>
      </c>
      <c r="P92" s="106">
        <v>-14.5</v>
      </c>
      <c r="Q92" s="106">
        <v>-14.4</v>
      </c>
      <c r="R92" s="106">
        <f>Q92</f>
        <v>-14.4</v>
      </c>
      <c r="S92" s="106">
        <f t="shared" ref="S92:AB92" si="225">R92</f>
        <v>-14.4</v>
      </c>
      <c r="T92" s="106">
        <f t="shared" si="225"/>
        <v>-14.4</v>
      </c>
      <c r="U92" s="106">
        <f t="shared" si="225"/>
        <v>-14.4</v>
      </c>
      <c r="V92" s="106">
        <f t="shared" si="225"/>
        <v>-14.4</v>
      </c>
      <c r="W92" s="106">
        <f t="shared" si="225"/>
        <v>-14.4</v>
      </c>
      <c r="X92" s="106">
        <f t="shared" si="225"/>
        <v>-14.4</v>
      </c>
      <c r="Y92" s="106">
        <f t="shared" si="225"/>
        <v>-14.4</v>
      </c>
      <c r="Z92" s="106">
        <f t="shared" si="225"/>
        <v>-14.4</v>
      </c>
      <c r="AA92" s="106">
        <f t="shared" si="225"/>
        <v>-14.4</v>
      </c>
      <c r="AB92" s="106">
        <f t="shared" si="225"/>
        <v>-14.4</v>
      </c>
      <c r="AD92" s="348">
        <f>SUM(I92:L92)</f>
        <v>-66.900000000000006</v>
      </c>
      <c r="AE92" s="348">
        <f>SUM(M92:P92)</f>
        <v>-58.3</v>
      </c>
      <c r="AF92" s="348">
        <f>SUM(Q92:T92)</f>
        <v>-57.6</v>
      </c>
      <c r="AG92" s="348">
        <f>SUM(U92:X92)</f>
        <v>-57.6</v>
      </c>
      <c r="AH92" s="348">
        <f>SUM(Y92:AB92)</f>
        <v>-57.6</v>
      </c>
    </row>
    <row r="93" spans="3:34" outlineLevel="1" x14ac:dyDescent="0.25">
      <c r="C93" s="1" t="s">
        <v>150</v>
      </c>
      <c r="G93" s="28">
        <f>SUM(G91:G92)</f>
        <v>51.600000000000016</v>
      </c>
      <c r="H93" s="28">
        <f t="shared" ref="H93:AB93" si="226">SUM(H91:H92)</f>
        <v>44.70000000000001</v>
      </c>
      <c r="I93" s="28">
        <f t="shared" si="226"/>
        <v>58.499999999999972</v>
      </c>
      <c r="J93" s="28">
        <f t="shared" si="226"/>
        <v>41.200000000000031</v>
      </c>
      <c r="K93" s="28">
        <f t="shared" si="226"/>
        <v>58.7</v>
      </c>
      <c r="L93" s="28">
        <f t="shared" si="226"/>
        <v>62.000000000000007</v>
      </c>
      <c r="M93" s="28">
        <f t="shared" si="226"/>
        <v>58.1</v>
      </c>
      <c r="N93" s="28">
        <f t="shared" si="226"/>
        <v>76.500000000000014</v>
      </c>
      <c r="O93" s="28">
        <f t="shared" si="226"/>
        <v>97.199999999999974</v>
      </c>
      <c r="P93" s="28">
        <f t="shared" si="226"/>
        <v>97.599999999999966</v>
      </c>
      <c r="Q93" s="28">
        <f t="shared" si="226"/>
        <v>100.89999999999996</v>
      </c>
      <c r="R93" s="28">
        <f t="shared" si="226"/>
        <v>115.38215543238186</v>
      </c>
      <c r="S93" s="28">
        <f t="shared" si="226"/>
        <v>123.75444096143525</v>
      </c>
      <c r="T93" s="28">
        <f t="shared" si="226"/>
        <v>132.24107486687365</v>
      </c>
      <c r="U93" s="28">
        <f t="shared" si="226"/>
        <v>124.93957317354923</v>
      </c>
      <c r="V93" s="28">
        <f t="shared" si="226"/>
        <v>141.05470867329439</v>
      </c>
      <c r="W93" s="28">
        <f t="shared" si="226"/>
        <v>148.18585114853187</v>
      </c>
      <c r="X93" s="28">
        <f t="shared" si="226"/>
        <v>160.72047218756455</v>
      </c>
      <c r="Y93" s="28">
        <f t="shared" si="226"/>
        <v>151.57186999348176</v>
      </c>
      <c r="Z93" s="28">
        <f t="shared" si="226"/>
        <v>170.09664572951439</v>
      </c>
      <c r="AA93" s="28">
        <f t="shared" si="226"/>
        <v>174.63897411334389</v>
      </c>
      <c r="AB93" s="28">
        <f t="shared" si="226"/>
        <v>187.85926987294897</v>
      </c>
      <c r="AD93" s="349">
        <f>SUM(I93:L93)</f>
        <v>220.4</v>
      </c>
      <c r="AE93" s="349">
        <f>SUM(M93:P93)</f>
        <v>329.4</v>
      </c>
      <c r="AF93" s="349">
        <f>SUM(Q93:T93)</f>
        <v>472.27767126069074</v>
      </c>
      <c r="AG93" s="349">
        <f>SUM(U93:X93)</f>
        <v>574.90060518294001</v>
      </c>
      <c r="AH93" s="349">
        <f>SUM(Y93:AB93)</f>
        <v>684.16675970928907</v>
      </c>
    </row>
    <row r="94" spans="3:34" outlineLevel="1" x14ac:dyDescent="0.25">
      <c r="C94" s="29" t="s">
        <v>44</v>
      </c>
      <c r="D94" s="29"/>
      <c r="E94" s="29"/>
      <c r="F94" s="29"/>
      <c r="G94" s="109">
        <v>-12.5</v>
      </c>
      <c r="H94" s="109">
        <v>-11</v>
      </c>
      <c r="I94" s="109">
        <v>-14.3</v>
      </c>
      <c r="J94" s="109">
        <v>-10.3</v>
      </c>
      <c r="K94" s="109">
        <v>-14.4</v>
      </c>
      <c r="L94" s="109">
        <v>-15.9</v>
      </c>
      <c r="M94" s="109">
        <v>-14.2</v>
      </c>
      <c r="N94" s="109">
        <v>-19.3</v>
      </c>
      <c r="O94" s="109">
        <v>-23.5</v>
      </c>
      <c r="P94" s="109">
        <v>-25.9</v>
      </c>
      <c r="Q94" s="109">
        <v>-24</v>
      </c>
      <c r="R94" s="106">
        <f t="shared" ref="R94:AB94" si="227">R93*-$E$56</f>
        <v>-28.845538858095466</v>
      </c>
      <c r="S94" s="106">
        <f t="shared" si="227"/>
        <v>-30.938610240358813</v>
      </c>
      <c r="T94" s="106">
        <f t="shared" si="227"/>
        <v>-33.060268716718411</v>
      </c>
      <c r="U94" s="106">
        <f t="shared" si="227"/>
        <v>-31.234893293387309</v>
      </c>
      <c r="V94" s="106">
        <f t="shared" si="227"/>
        <v>-35.263677168323596</v>
      </c>
      <c r="W94" s="106">
        <f t="shared" si="227"/>
        <v>-37.046462787132967</v>
      </c>
      <c r="X94" s="106">
        <f t="shared" si="227"/>
        <v>-40.180118046891138</v>
      </c>
      <c r="Y94" s="106">
        <f t="shared" si="227"/>
        <v>-37.892967498370439</v>
      </c>
      <c r="Z94" s="106">
        <f t="shared" si="227"/>
        <v>-42.524161432378598</v>
      </c>
      <c r="AA94" s="106">
        <f t="shared" si="227"/>
        <v>-43.659743528335973</v>
      </c>
      <c r="AB94" s="106">
        <f t="shared" si="227"/>
        <v>-46.964817468237243</v>
      </c>
      <c r="AD94" s="348">
        <f>SUM(I94:L94)</f>
        <v>-54.9</v>
      </c>
      <c r="AE94" s="348">
        <f>SUM(M94:P94)</f>
        <v>-82.9</v>
      </c>
      <c r="AF94" s="348">
        <f>SUM(Q94:T94)</f>
        <v>-116.84441781517269</v>
      </c>
      <c r="AG94" s="348">
        <f>SUM(U94:X94)</f>
        <v>-143.725151295735</v>
      </c>
      <c r="AH94" s="348">
        <f>SUM(Y94:AB94)</f>
        <v>-171.04168992732227</v>
      </c>
    </row>
    <row r="95" spans="3:34" outlineLevel="1" x14ac:dyDescent="0.25">
      <c r="C95" s="1" t="s">
        <v>151</v>
      </c>
      <c r="G95" s="28">
        <f>SUM(G93:G94)</f>
        <v>39.100000000000016</v>
      </c>
      <c r="H95" s="28">
        <f t="shared" ref="H95:AB95" si="228">SUM(H93:H94)</f>
        <v>33.70000000000001</v>
      </c>
      <c r="I95" s="28">
        <f t="shared" si="228"/>
        <v>44.199999999999974</v>
      </c>
      <c r="J95" s="28">
        <f t="shared" si="228"/>
        <v>30.900000000000031</v>
      </c>
      <c r="K95" s="28">
        <f t="shared" si="228"/>
        <v>44.300000000000004</v>
      </c>
      <c r="L95" s="28">
        <f t="shared" si="228"/>
        <v>46.100000000000009</v>
      </c>
      <c r="M95" s="28">
        <f t="shared" si="228"/>
        <v>43.900000000000006</v>
      </c>
      <c r="N95" s="28">
        <f t="shared" si="228"/>
        <v>57.200000000000017</v>
      </c>
      <c r="O95" s="28">
        <f t="shared" si="228"/>
        <v>73.699999999999974</v>
      </c>
      <c r="P95" s="28">
        <f t="shared" si="228"/>
        <v>71.69999999999996</v>
      </c>
      <c r="Q95" s="28">
        <f t="shared" si="228"/>
        <v>76.899999999999963</v>
      </c>
      <c r="R95" s="28">
        <f t="shared" si="228"/>
        <v>86.536616574286398</v>
      </c>
      <c r="S95" s="28">
        <f t="shared" si="228"/>
        <v>92.815830721076438</v>
      </c>
      <c r="T95" s="28">
        <f t="shared" si="228"/>
        <v>99.180806150155234</v>
      </c>
      <c r="U95" s="28">
        <f t="shared" si="228"/>
        <v>93.704679880161933</v>
      </c>
      <c r="V95" s="28">
        <f t="shared" si="228"/>
        <v>105.79103150497079</v>
      </c>
      <c r="W95" s="28">
        <f t="shared" si="228"/>
        <v>111.1393883613989</v>
      </c>
      <c r="X95" s="28">
        <f t="shared" si="228"/>
        <v>120.54035414067341</v>
      </c>
      <c r="Y95" s="28">
        <f t="shared" si="228"/>
        <v>113.67890249511132</v>
      </c>
      <c r="Z95" s="28">
        <f t="shared" si="228"/>
        <v>127.57248429713579</v>
      </c>
      <c r="AA95" s="28">
        <f t="shared" si="228"/>
        <v>130.97923058500791</v>
      </c>
      <c r="AB95" s="28">
        <f t="shared" si="228"/>
        <v>140.89445240471173</v>
      </c>
      <c r="AD95" s="349">
        <f>SUM(I95:L95)</f>
        <v>165.5</v>
      </c>
      <c r="AE95" s="349">
        <f>SUM(M95:P95)</f>
        <v>246.49999999999997</v>
      </c>
      <c r="AF95" s="349">
        <f>SUM(Q95:T95)</f>
        <v>355.43325344551806</v>
      </c>
      <c r="AG95" s="349">
        <f>SUM(U95:X95)</f>
        <v>431.17545388720504</v>
      </c>
      <c r="AH95" s="349">
        <f>SUM(Y95:AB95)</f>
        <v>513.12506978196677</v>
      </c>
    </row>
    <row r="96" spans="3:34" outlineLevel="1" x14ac:dyDescent="0.25">
      <c r="C96" s="29" t="s">
        <v>152</v>
      </c>
      <c r="D96" s="29"/>
      <c r="E96" s="29"/>
      <c r="F96" s="29"/>
      <c r="G96" s="106">
        <v>136.30000000000001</v>
      </c>
      <c r="H96" s="106">
        <v>93.5</v>
      </c>
      <c r="I96" s="106">
        <v>134.9</v>
      </c>
      <c r="J96" s="106">
        <v>133.4</v>
      </c>
      <c r="K96" s="106">
        <v>132.4</v>
      </c>
      <c r="L96" s="106">
        <v>133</v>
      </c>
      <c r="M96" s="106">
        <v>131.19999999999999</v>
      </c>
      <c r="N96" s="106">
        <v>131</v>
      </c>
      <c r="O96" s="106">
        <v>130</v>
      </c>
      <c r="P96" s="106">
        <v>130.30000000000001</v>
      </c>
      <c r="Q96" s="106">
        <v>128.9</v>
      </c>
      <c r="R96" s="106">
        <f>Q96</f>
        <v>128.9</v>
      </c>
      <c r="S96" s="106">
        <f t="shared" ref="S96:AB96" si="229">R96</f>
        <v>128.9</v>
      </c>
      <c r="T96" s="106">
        <f t="shared" si="229"/>
        <v>128.9</v>
      </c>
      <c r="U96" s="106">
        <f t="shared" si="229"/>
        <v>128.9</v>
      </c>
      <c r="V96" s="106">
        <f t="shared" si="229"/>
        <v>128.9</v>
      </c>
      <c r="W96" s="106">
        <f t="shared" si="229"/>
        <v>128.9</v>
      </c>
      <c r="X96" s="106">
        <f t="shared" si="229"/>
        <v>128.9</v>
      </c>
      <c r="Y96" s="106">
        <f t="shared" si="229"/>
        <v>128.9</v>
      </c>
      <c r="Z96" s="106">
        <f t="shared" si="229"/>
        <v>128.9</v>
      </c>
      <c r="AA96" s="106">
        <f t="shared" si="229"/>
        <v>128.9</v>
      </c>
      <c r="AB96" s="106">
        <f t="shared" si="229"/>
        <v>128.9</v>
      </c>
      <c r="AD96" s="348">
        <f>SUM(I96:L96)</f>
        <v>533.70000000000005</v>
      </c>
      <c r="AE96" s="348">
        <f>SUM(M96:P96)</f>
        <v>522.5</v>
      </c>
      <c r="AF96" s="348">
        <f>SUM(Q96:T96)</f>
        <v>515.6</v>
      </c>
      <c r="AG96" s="348">
        <f>SUM(U96:X96)</f>
        <v>515.6</v>
      </c>
      <c r="AH96" s="348">
        <f>SUM(Y96:AB96)</f>
        <v>515.6</v>
      </c>
    </row>
    <row r="97" spans="3:34" outlineLevel="1" x14ac:dyDescent="0.25">
      <c r="C97" s="1" t="s">
        <v>145</v>
      </c>
      <c r="G97" s="35">
        <f>G95/G96</f>
        <v>0.28686720469552468</v>
      </c>
      <c r="H97" s="35">
        <f t="shared" ref="H97:AB97" si="230">H95/H96</f>
        <v>0.36042780748663111</v>
      </c>
      <c r="I97" s="35">
        <f t="shared" si="230"/>
        <v>0.32765011119347642</v>
      </c>
      <c r="J97" s="35">
        <f t="shared" si="230"/>
        <v>0.23163418290854595</v>
      </c>
      <c r="K97" s="35">
        <f t="shared" si="230"/>
        <v>0.33459214501510576</v>
      </c>
      <c r="L97" s="35">
        <f t="shared" si="230"/>
        <v>0.34661654135338354</v>
      </c>
      <c r="M97" s="35">
        <f t="shared" si="230"/>
        <v>0.33460365853658541</v>
      </c>
      <c r="N97" s="35">
        <f t="shared" si="230"/>
        <v>0.43664122137404593</v>
      </c>
      <c r="O97" s="35">
        <f t="shared" si="230"/>
        <v>0.56692307692307675</v>
      </c>
      <c r="P97" s="35">
        <f t="shared" si="230"/>
        <v>0.55026861089792756</v>
      </c>
      <c r="Q97" s="35">
        <f t="shared" si="230"/>
        <v>0.5965865011636925</v>
      </c>
      <c r="R97" s="35">
        <f t="shared" si="230"/>
        <v>0.67134690903247785</v>
      </c>
      <c r="S97" s="35">
        <f t="shared" si="230"/>
        <v>0.72006075035745876</v>
      </c>
      <c r="T97" s="35">
        <f t="shared" si="230"/>
        <v>0.76943992358537805</v>
      </c>
      <c r="U97" s="35">
        <f t="shared" si="230"/>
        <v>0.72695639938062007</v>
      </c>
      <c r="V97" s="35">
        <f t="shared" si="230"/>
        <v>0.82072173394081294</v>
      </c>
      <c r="W97" s="35">
        <f t="shared" si="230"/>
        <v>0.86221402918075174</v>
      </c>
      <c r="X97" s="35">
        <f t="shared" si="230"/>
        <v>0.93514626951647328</v>
      </c>
      <c r="Y97" s="35">
        <f t="shared" si="230"/>
        <v>0.88191545768123591</v>
      </c>
      <c r="Z97" s="35">
        <f t="shared" si="230"/>
        <v>0.98970119702975778</v>
      </c>
      <c r="AA97" s="35">
        <f t="shared" si="230"/>
        <v>1.0161305708689519</v>
      </c>
      <c r="AB97" s="35">
        <f t="shared" si="230"/>
        <v>1.0930523848309677</v>
      </c>
      <c r="AD97" s="35">
        <f>SUM(I97:L97)</f>
        <v>1.2404929804705116</v>
      </c>
      <c r="AE97" s="35">
        <f>SUM(M97:P97)</f>
        <v>1.8884365677316357</v>
      </c>
      <c r="AF97" s="35">
        <f>SUM(Q97:T97)</f>
        <v>2.7574340841390073</v>
      </c>
      <c r="AG97" s="35">
        <f>SUM(U97:X97)</f>
        <v>3.3450384320186579</v>
      </c>
      <c r="AH97" s="35">
        <f>SUM(Y97:AB97)</f>
        <v>3.9807996104109136</v>
      </c>
    </row>
    <row r="98" spans="3:34" outlineLevel="1" x14ac:dyDescent="0.25"/>
    <row r="106" spans="3:34" x14ac:dyDescent="0.25">
      <c r="Q106" s="10"/>
    </row>
    <row r="107" spans="3:34" x14ac:dyDescent="0.25">
      <c r="Q107" s="10"/>
    </row>
  </sheetData>
  <conditionalFormatting sqref="L8">
    <cfRule type="colorScale" priority="1">
      <colorScale>
        <cfvo type="num" val="-0.5"/>
        <cfvo type="num" val="0"/>
        <cfvo type="num" val="0.5"/>
        <color rgb="FFF8696B"/>
        <color rgb="FFFCFCFF"/>
        <color rgb="FF63BE7B"/>
      </colorScale>
    </cfRule>
  </conditionalFormatting>
  <pageMargins left="0.7" right="0.7" top="0.75" bottom="0.75" header="0.3" footer="0.3"/>
  <ignoredErrors>
    <ignoredError sqref="R62:AA62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CE31-1DDA-4008-A6B4-FCE9F5E2E22F}">
  <dimension ref="C3:AD82"/>
  <sheetViews>
    <sheetView showGridLines="0" zoomScale="90" zoomScaleNormal="90" workbookViewId="0">
      <selection activeCell="E4" sqref="E4"/>
    </sheetView>
  </sheetViews>
  <sheetFormatPr defaultRowHeight="15" x14ac:dyDescent="0.25"/>
  <cols>
    <col min="1" max="2" width="3.5703125" customWidth="1"/>
    <col min="4" max="4" width="20.85546875" customWidth="1"/>
    <col min="5" max="5" width="10.140625" bestFit="1" customWidth="1"/>
    <col min="6" max="7" width="9.42578125" bestFit="1" customWidth="1"/>
    <col min="8" max="8" width="10.42578125" bestFit="1" customWidth="1"/>
    <col min="9" max="11" width="9.42578125" bestFit="1" customWidth="1"/>
    <col min="12" max="12" width="10.5703125" bestFit="1" customWidth="1"/>
    <col min="13" max="15" width="9.42578125" bestFit="1" customWidth="1"/>
    <col min="16" max="16" width="10.42578125" bestFit="1" customWidth="1"/>
    <col min="17" max="19" width="9.42578125" bestFit="1" customWidth="1"/>
    <col min="20" max="20" width="10.42578125" bestFit="1" customWidth="1"/>
    <col min="21" max="23" width="9.42578125" bestFit="1" customWidth="1"/>
    <col min="24" max="24" width="10.42578125" bestFit="1" customWidth="1"/>
    <col min="25" max="25" width="9.42578125" bestFit="1" customWidth="1"/>
    <col min="26" max="26" width="9.42578125" customWidth="1"/>
    <col min="27" max="30" width="9.42578125" bestFit="1" customWidth="1"/>
  </cols>
  <sheetData>
    <row r="3" spans="3:30" x14ac:dyDescent="0.25">
      <c r="C3" s="36" t="s">
        <v>54</v>
      </c>
      <c r="D3" s="37"/>
      <c r="E3" s="38">
        <f>Model!F3</f>
        <v>45766</v>
      </c>
    </row>
    <row r="4" spans="3:30" x14ac:dyDescent="0.25">
      <c r="C4" s="36" t="s">
        <v>55</v>
      </c>
      <c r="D4" s="37"/>
      <c r="E4" s="39">
        <f>Model!F4</f>
        <v>75.14</v>
      </c>
    </row>
    <row r="5" spans="3:30" x14ac:dyDescent="0.25">
      <c r="C5" s="36" t="s">
        <v>56</v>
      </c>
      <c r="D5" s="37"/>
      <c r="E5" s="40">
        <f>F71</f>
        <v>6.5702041262443944E-2</v>
      </c>
      <c r="F5" s="55"/>
      <c r="G5" s="55"/>
    </row>
    <row r="6" spans="3:30" x14ac:dyDescent="0.25">
      <c r="C6" s="36" t="s">
        <v>57</v>
      </c>
      <c r="D6" s="37"/>
      <c r="E6" s="40">
        <v>0.02</v>
      </c>
      <c r="F6" s="55"/>
      <c r="G6" s="55"/>
    </row>
    <row r="7" spans="3:30" x14ac:dyDescent="0.25">
      <c r="C7" s="36" t="s">
        <v>58</v>
      </c>
      <c r="D7" s="37"/>
      <c r="E7" s="41">
        <v>13</v>
      </c>
    </row>
    <row r="10" spans="3:30" x14ac:dyDescent="0.25">
      <c r="C10" s="42" t="s">
        <v>59</v>
      </c>
      <c r="D10" s="42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</row>
    <row r="11" spans="3:30" x14ac:dyDescent="0.25">
      <c r="C11" s="2" t="s">
        <v>1</v>
      </c>
      <c r="D11" s="2"/>
      <c r="E11" s="2"/>
      <c r="F11" s="3" t="s">
        <v>19</v>
      </c>
      <c r="G11" s="3" t="s">
        <v>20</v>
      </c>
      <c r="H11" s="3" t="s">
        <v>2</v>
      </c>
      <c r="I11" s="3" t="s">
        <v>3</v>
      </c>
      <c r="J11" s="3" t="s">
        <v>4</v>
      </c>
      <c r="K11" s="3" t="s">
        <v>5</v>
      </c>
      <c r="L11" s="3" t="s">
        <v>6</v>
      </c>
      <c r="M11" s="3" t="s">
        <v>7</v>
      </c>
      <c r="N11" s="3" t="s">
        <v>8</v>
      </c>
      <c r="O11" s="3" t="s">
        <v>9</v>
      </c>
      <c r="P11" s="3" t="s">
        <v>21</v>
      </c>
      <c r="Q11" s="4" t="s">
        <v>10</v>
      </c>
      <c r="R11" s="4" t="s">
        <v>11</v>
      </c>
      <c r="S11" s="4" t="s">
        <v>12</v>
      </c>
      <c r="T11" s="4" t="s">
        <v>13</v>
      </c>
      <c r="U11" s="4" t="s">
        <v>14</v>
      </c>
      <c r="V11" s="4" t="s">
        <v>15</v>
      </c>
      <c r="W11" s="4" t="s">
        <v>16</v>
      </c>
      <c r="X11" s="4" t="s">
        <v>22</v>
      </c>
      <c r="Y11" s="4" t="s">
        <v>23</v>
      </c>
      <c r="Z11" s="4" t="s">
        <v>24</v>
      </c>
      <c r="AA11" s="57" t="s">
        <v>25</v>
      </c>
      <c r="AB11" s="4" t="s">
        <v>83</v>
      </c>
      <c r="AC11" s="4" t="s">
        <v>84</v>
      </c>
      <c r="AD11" s="57" t="s">
        <v>85</v>
      </c>
    </row>
    <row r="12" spans="3:30" x14ac:dyDescent="0.25">
      <c r="C12" s="20" t="s">
        <v>17</v>
      </c>
      <c r="D12" s="20"/>
      <c r="E12" s="20"/>
      <c r="F12" s="6">
        <v>44742</v>
      </c>
      <c r="G12" s="6">
        <v>44834</v>
      </c>
      <c r="H12" s="6">
        <v>44926</v>
      </c>
      <c r="I12" s="6">
        <v>45016</v>
      </c>
      <c r="J12" s="6">
        <v>45107</v>
      </c>
      <c r="K12" s="6">
        <v>45199</v>
      </c>
      <c r="L12" s="6">
        <v>45291</v>
      </c>
      <c r="M12" s="6">
        <v>45382</v>
      </c>
      <c r="N12" s="6">
        <v>45473</v>
      </c>
      <c r="O12" s="6">
        <v>45565</v>
      </c>
      <c r="P12" s="7">
        <v>45657</v>
      </c>
      <c r="Q12" s="6">
        <f>+P12+90</f>
        <v>45747</v>
      </c>
      <c r="R12" s="6">
        <v>45838</v>
      </c>
      <c r="S12" s="6">
        <v>45930</v>
      </c>
      <c r="T12" s="6">
        <v>46022</v>
      </c>
      <c r="U12" s="6">
        <v>46112</v>
      </c>
      <c r="V12" s="6">
        <v>46203</v>
      </c>
      <c r="W12" s="6">
        <v>46295</v>
      </c>
      <c r="X12" s="6">
        <v>46387</v>
      </c>
      <c r="Y12" s="6">
        <v>46477</v>
      </c>
      <c r="Z12" s="6">
        <v>46568</v>
      </c>
      <c r="AA12" s="7">
        <v>46660</v>
      </c>
      <c r="AB12" s="6">
        <v>47026</v>
      </c>
      <c r="AC12" s="6">
        <f>+AB12+365</f>
        <v>47391</v>
      </c>
      <c r="AD12" s="7">
        <f>+AC12+365</f>
        <v>47756</v>
      </c>
    </row>
    <row r="13" spans="3:30" x14ac:dyDescent="0.25">
      <c r="C13" s="19" t="s">
        <v>60</v>
      </c>
      <c r="D13" s="19"/>
      <c r="E13" s="19"/>
      <c r="F13" s="19"/>
      <c r="G13" s="19"/>
      <c r="H13" s="19"/>
      <c r="I13" s="19"/>
      <c r="J13" s="19"/>
      <c r="K13" s="19"/>
      <c r="L13" s="19"/>
      <c r="M13" s="43"/>
      <c r="P13" s="44">
        <f>E3</f>
        <v>45766</v>
      </c>
      <c r="Q13" s="9">
        <f>P13</f>
        <v>45766</v>
      </c>
      <c r="R13" s="9">
        <f t="shared" ref="R13:AA13" si="0">+R12</f>
        <v>45838</v>
      </c>
      <c r="S13" s="9">
        <f t="shared" si="0"/>
        <v>45930</v>
      </c>
      <c r="T13" s="9">
        <f t="shared" si="0"/>
        <v>46022</v>
      </c>
      <c r="U13" s="9">
        <f t="shared" si="0"/>
        <v>46112</v>
      </c>
      <c r="V13" s="9">
        <f t="shared" si="0"/>
        <v>46203</v>
      </c>
      <c r="W13" s="9">
        <f t="shared" si="0"/>
        <v>46295</v>
      </c>
      <c r="X13" s="9">
        <f t="shared" si="0"/>
        <v>46387</v>
      </c>
      <c r="Y13" s="9">
        <f t="shared" si="0"/>
        <v>46477</v>
      </c>
      <c r="Z13" s="9">
        <f t="shared" si="0"/>
        <v>46568</v>
      </c>
      <c r="AA13" s="58">
        <f t="shared" si="0"/>
        <v>46660</v>
      </c>
      <c r="AB13" s="9">
        <f>+AB12</f>
        <v>47026</v>
      </c>
      <c r="AC13" s="9">
        <f>+AC12</f>
        <v>47391</v>
      </c>
      <c r="AD13" s="58">
        <f>+AD12</f>
        <v>47756</v>
      </c>
    </row>
    <row r="14" spans="3:30" x14ac:dyDescent="0.25">
      <c r="C14" s="19" t="s">
        <v>90</v>
      </c>
      <c r="D14" s="19"/>
      <c r="E14" s="19"/>
      <c r="F14" s="19"/>
      <c r="G14" s="19"/>
      <c r="H14" s="19"/>
      <c r="I14" s="19"/>
      <c r="J14" s="19"/>
      <c r="K14" s="19"/>
      <c r="L14" s="19"/>
      <c r="M14" s="43"/>
      <c r="P14" s="44">
        <f>P13</f>
        <v>45766</v>
      </c>
      <c r="Q14" s="9">
        <f>AVERAGE(P13:Q13)</f>
        <v>45766</v>
      </c>
      <c r="R14" s="9">
        <f>AVERAGE(Q13:R13)</f>
        <v>45802</v>
      </c>
      <c r="S14" s="9">
        <f t="shared" ref="R14:AA14" si="1">AVERAGE(R13:S13)</f>
        <v>45884</v>
      </c>
      <c r="T14" s="9">
        <f t="shared" si="1"/>
        <v>45976</v>
      </c>
      <c r="U14" s="9">
        <f t="shared" si="1"/>
        <v>46067</v>
      </c>
      <c r="V14" s="9">
        <f t="shared" si="1"/>
        <v>46157.5</v>
      </c>
      <c r="W14" s="9">
        <f t="shared" si="1"/>
        <v>46249</v>
      </c>
      <c r="X14" s="9">
        <f t="shared" si="1"/>
        <v>46341</v>
      </c>
      <c r="Y14" s="9">
        <f t="shared" si="1"/>
        <v>46432</v>
      </c>
      <c r="Z14" s="9">
        <f t="shared" si="1"/>
        <v>46522.5</v>
      </c>
      <c r="AA14" s="58">
        <f t="shared" si="1"/>
        <v>46614</v>
      </c>
      <c r="AB14" s="9">
        <f>AVERAGE(AA13:AB13)</f>
        <v>46843</v>
      </c>
      <c r="AC14" s="9">
        <f>AVERAGE(AB13:AC13)</f>
        <v>47208.5</v>
      </c>
      <c r="AD14" s="58">
        <f>AVERAGE(AC13:AD13)</f>
        <v>47573.5</v>
      </c>
    </row>
    <row r="15" spans="3:30" x14ac:dyDescent="0.25">
      <c r="C15" s="19" t="s">
        <v>93</v>
      </c>
      <c r="D15" s="19"/>
      <c r="E15" s="19"/>
      <c r="F15" s="19"/>
      <c r="G15" s="19"/>
      <c r="H15" s="19"/>
      <c r="I15" s="19"/>
      <c r="J15" s="19"/>
      <c r="K15" s="19"/>
      <c r="L15" s="43"/>
      <c r="M15" s="45"/>
      <c r="P15" s="46"/>
      <c r="Q15" s="47">
        <f t="shared" ref="Q15:AA15" si="2">IF(P13&gt;Q13,0,YEARFRAC(P13,Q13)*4)</f>
        <v>0</v>
      </c>
      <c r="R15" s="47">
        <f t="shared" si="2"/>
        <v>0.78888888888888886</v>
      </c>
      <c r="S15" s="47">
        <f t="shared" si="2"/>
        <v>1</v>
      </c>
      <c r="T15" s="47">
        <f t="shared" si="2"/>
        <v>1</v>
      </c>
      <c r="U15" s="47">
        <f t="shared" si="2"/>
        <v>1</v>
      </c>
      <c r="V15" s="47">
        <f t="shared" si="2"/>
        <v>1</v>
      </c>
      <c r="W15" s="47">
        <f t="shared" si="2"/>
        <v>1</v>
      </c>
      <c r="X15" s="47">
        <f t="shared" si="2"/>
        <v>1</v>
      </c>
      <c r="Y15" s="47">
        <f t="shared" si="2"/>
        <v>1</v>
      </c>
      <c r="Z15" s="47">
        <f t="shared" si="2"/>
        <v>1</v>
      </c>
      <c r="AA15" s="59">
        <f t="shared" si="2"/>
        <v>1</v>
      </c>
      <c r="AB15" s="47">
        <f>YEARFRAC(AA13,AB13)</f>
        <v>1</v>
      </c>
      <c r="AC15" s="47">
        <f>YEARFRAC(AB13,AC13)</f>
        <v>1</v>
      </c>
      <c r="AD15" s="59">
        <f>YEARFRAC(AC13,AD13)</f>
        <v>1</v>
      </c>
    </row>
    <row r="16" spans="3:30" x14ac:dyDescent="0.25">
      <c r="D16" s="19"/>
      <c r="E16" s="19"/>
      <c r="F16" s="19"/>
      <c r="G16" s="19"/>
      <c r="H16" s="19"/>
      <c r="I16" s="19"/>
      <c r="J16" s="19"/>
      <c r="K16" s="19"/>
      <c r="L16" s="43"/>
      <c r="M16" s="45"/>
      <c r="P16" s="46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59"/>
      <c r="AB16" s="47"/>
      <c r="AC16" s="47"/>
      <c r="AD16" s="59"/>
    </row>
    <row r="17" spans="3:30" x14ac:dyDescent="0.25">
      <c r="C17" s="19" t="s">
        <v>89</v>
      </c>
      <c r="D17" s="19"/>
      <c r="E17" s="19"/>
      <c r="F17" s="19"/>
      <c r="G17" s="19"/>
      <c r="H17" s="19"/>
      <c r="I17" s="19"/>
      <c r="J17" s="19"/>
      <c r="K17" s="19"/>
      <c r="L17" s="43"/>
      <c r="M17" s="45"/>
      <c r="P17" s="102">
        <f>P14</f>
        <v>45766</v>
      </c>
      <c r="Q17" s="103">
        <v>45765</v>
      </c>
      <c r="R17" s="103">
        <f>Q17</f>
        <v>45765</v>
      </c>
      <c r="S17" s="103">
        <f t="shared" ref="S17:AA17" si="3">R17</f>
        <v>45765</v>
      </c>
      <c r="T17" s="103">
        <f t="shared" si="3"/>
        <v>45765</v>
      </c>
      <c r="U17" s="103">
        <f t="shared" si="3"/>
        <v>45765</v>
      </c>
      <c r="V17" s="103">
        <f t="shared" si="3"/>
        <v>45765</v>
      </c>
      <c r="W17" s="103">
        <f t="shared" si="3"/>
        <v>45765</v>
      </c>
      <c r="X17" s="103">
        <f t="shared" si="3"/>
        <v>45765</v>
      </c>
      <c r="Y17" s="103">
        <f t="shared" si="3"/>
        <v>45765</v>
      </c>
      <c r="Z17" s="103">
        <f t="shared" si="3"/>
        <v>45765</v>
      </c>
      <c r="AA17" s="102">
        <f t="shared" si="3"/>
        <v>45765</v>
      </c>
      <c r="AB17" s="9">
        <f>AB14</f>
        <v>46843</v>
      </c>
      <c r="AC17" s="9">
        <f t="shared" ref="AC17:AD17" si="4">AC14</f>
        <v>47208.5</v>
      </c>
      <c r="AD17" s="9">
        <f t="shared" si="4"/>
        <v>47573.5</v>
      </c>
    </row>
    <row r="18" spans="3:30" x14ac:dyDescent="0.25">
      <c r="C18" s="19"/>
      <c r="D18" s="19"/>
      <c r="E18" s="19"/>
      <c r="F18" s="19"/>
      <c r="G18" s="19"/>
      <c r="H18" s="19"/>
      <c r="I18" s="19"/>
      <c r="J18" s="19"/>
      <c r="K18" s="19"/>
      <c r="L18" s="43"/>
      <c r="M18" s="45"/>
      <c r="P18" s="46"/>
      <c r="Q18" s="47"/>
      <c r="R18" s="47"/>
      <c r="S18" s="47"/>
      <c r="T18" s="47"/>
      <c r="U18" s="47"/>
      <c r="V18" s="19"/>
      <c r="W18" s="19"/>
      <c r="X18" s="19"/>
      <c r="AA18" s="46"/>
      <c r="AD18" s="46"/>
    </row>
    <row r="19" spans="3:30" x14ac:dyDescent="0.25">
      <c r="C19" s="19" t="s">
        <v>96</v>
      </c>
      <c r="D19" s="19"/>
      <c r="E19" s="19"/>
      <c r="F19" s="19"/>
      <c r="G19" s="19"/>
      <c r="H19" s="19"/>
      <c r="I19" s="19"/>
      <c r="J19" s="19"/>
      <c r="K19" s="19"/>
      <c r="L19" s="19"/>
      <c r="M19" s="48"/>
      <c r="P19" s="49">
        <v>0</v>
      </c>
      <c r="Q19" s="48">
        <f>Model!R74*'3-Step Valuation'!Q15</f>
        <v>0</v>
      </c>
      <c r="R19" s="48">
        <f>Model!S74*'3-Step Valuation'!R15</f>
        <v>84.291161646178764</v>
      </c>
      <c r="S19" s="48">
        <f>Model!T74*'3-Step Valuation'!S15</f>
        <v>99.240186498114142</v>
      </c>
      <c r="T19" s="48">
        <f>Model!U74*'3-Step Valuation'!T15</f>
        <v>140.3987489689064</v>
      </c>
      <c r="U19" s="48">
        <f>Model!V74*'3-Step Valuation'!U15</f>
        <v>91.032409583531859</v>
      </c>
      <c r="V19" s="48">
        <f>Model!W74*'3-Step Valuation'!V15</f>
        <v>129.50215100944774</v>
      </c>
      <c r="W19" s="48">
        <f>Model!X74*'3-Step Valuation'!W15</f>
        <v>121.40701999047161</v>
      </c>
      <c r="X19" s="48">
        <f>Model!Y74*'3-Step Valuation'!X15</f>
        <v>169.49790683881994</v>
      </c>
      <c r="Y19" s="48">
        <f>Model!Z74*'3-Step Valuation'!Y15</f>
        <v>111.79537095770917</v>
      </c>
      <c r="Z19" s="48">
        <f>Model!AA74*'3-Step Valuation'!Z15</f>
        <v>154.42693607068</v>
      </c>
      <c r="AA19" s="60">
        <f>Model!AB74*'3-Step Valuation'!AA15</f>
        <v>142.9287343956577</v>
      </c>
      <c r="AB19">
        <v>0</v>
      </c>
      <c r="AC19">
        <v>0</v>
      </c>
      <c r="AD19" s="46">
        <v>0</v>
      </c>
    </row>
    <row r="20" spans="3:30" x14ac:dyDescent="0.25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48"/>
      <c r="P20" s="49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60"/>
      <c r="AB20" s="48"/>
      <c r="AC20" s="48"/>
      <c r="AD20" s="60"/>
    </row>
    <row r="21" spans="3:30" x14ac:dyDescent="0.25">
      <c r="C21" s="19" t="s">
        <v>95</v>
      </c>
      <c r="D21" s="19"/>
      <c r="E21" s="19"/>
      <c r="F21" s="19"/>
      <c r="G21" s="19"/>
      <c r="H21" s="19"/>
      <c r="I21" s="19"/>
      <c r="J21" s="19"/>
      <c r="K21" s="19"/>
      <c r="L21" s="19"/>
      <c r="M21" s="48"/>
      <c r="P21" s="49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60">
        <v>0</v>
      </c>
      <c r="AB21" s="48">
        <f>SUM(X19:AA19)*(1+AB29)</f>
        <v>659.65980101966818</v>
      </c>
      <c r="AC21" s="48">
        <f>+AB21*(1+AC29)</f>
        <v>725.6257811216351</v>
      </c>
      <c r="AD21" s="60">
        <f>+AC21*(1+AD29)</f>
        <v>776.41958580014955</v>
      </c>
    </row>
    <row r="22" spans="3:30" x14ac:dyDescent="0.25">
      <c r="C22" s="19" t="s">
        <v>94</v>
      </c>
      <c r="D22" s="19"/>
      <c r="E22" s="19"/>
      <c r="F22" s="19"/>
      <c r="G22" s="19"/>
      <c r="H22" s="19"/>
      <c r="I22" s="19"/>
      <c r="J22" s="19"/>
      <c r="K22" s="19"/>
      <c r="L22" s="19"/>
      <c r="M22" s="48"/>
      <c r="P22" s="49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60">
        <v>0</v>
      </c>
      <c r="AB22" s="48">
        <v>0</v>
      </c>
      <c r="AC22" s="48">
        <v>0</v>
      </c>
      <c r="AD22" s="60">
        <f>(AD21*(1+$E$6))/($E$5-$E$6)</f>
        <v>17328.503402471499</v>
      </c>
    </row>
    <row r="23" spans="3:30" x14ac:dyDescent="0.25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48"/>
      <c r="P23" s="49"/>
      <c r="Q23" s="19"/>
      <c r="R23" s="19"/>
      <c r="S23" s="19"/>
      <c r="T23" s="19"/>
      <c r="U23" s="48"/>
      <c r="V23" s="19"/>
      <c r="W23" s="19"/>
      <c r="X23" s="19"/>
      <c r="AA23" s="46"/>
      <c r="AB23" s="48"/>
      <c r="AC23" s="48"/>
      <c r="AD23" s="60"/>
    </row>
    <row r="24" spans="3:30" x14ac:dyDescent="0.25">
      <c r="C24" s="19" t="s">
        <v>80</v>
      </c>
      <c r="D24" s="19"/>
      <c r="E24" s="19"/>
      <c r="F24" s="19"/>
      <c r="G24" s="19"/>
      <c r="H24" s="19"/>
      <c r="I24" s="19"/>
      <c r="J24" s="19"/>
      <c r="K24" s="19"/>
      <c r="L24" s="19"/>
      <c r="M24" s="48"/>
      <c r="P24" s="49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60">
        <f>SUM(Model!Y80:AB80)</f>
        <v>833.28623981671672</v>
      </c>
      <c r="AB24" s="48">
        <f>+AA24*(1+AB30)</f>
        <v>941.61345099288985</v>
      </c>
      <c r="AC24" s="48">
        <f>+AB24*(1+AC30)</f>
        <v>1026.3586615822501</v>
      </c>
      <c r="AD24" s="60">
        <f>+AC24*(1+AD30)</f>
        <v>1087.940181277185</v>
      </c>
    </row>
    <row r="25" spans="3:30" x14ac:dyDescent="0.25">
      <c r="C25" s="19" t="s">
        <v>61</v>
      </c>
      <c r="P25" s="49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60">
        <v>0</v>
      </c>
      <c r="AB25" s="48">
        <v>0</v>
      </c>
      <c r="AC25" s="48">
        <v>0</v>
      </c>
      <c r="AD25" s="61">
        <f>AD24*E7</f>
        <v>14143.222356603406</v>
      </c>
    </row>
    <row r="26" spans="3:30" x14ac:dyDescent="0.25">
      <c r="P26" s="46"/>
      <c r="AA26" s="46"/>
      <c r="AD26" s="46"/>
    </row>
    <row r="27" spans="3:30" x14ac:dyDescent="0.25">
      <c r="C27" s="50" t="s">
        <v>53</v>
      </c>
      <c r="D27" s="51"/>
      <c r="E27" s="51"/>
      <c r="F27" s="19"/>
      <c r="G27" s="19"/>
      <c r="H27" s="19"/>
      <c r="I27" s="50" t="s">
        <v>62</v>
      </c>
      <c r="J27" s="51"/>
      <c r="K27" s="51"/>
      <c r="L27" s="51"/>
    </row>
    <row r="28" spans="3:30" x14ac:dyDescent="0.25">
      <c r="C28" s="19" t="s">
        <v>63</v>
      </c>
      <c r="D28" s="19"/>
      <c r="E28" s="48">
        <f>XNPV($E$5,$P$19:$AA$19,$P$14:$AA$14)</f>
        <v>1146.7985783901095</v>
      </c>
      <c r="F28" s="19"/>
      <c r="G28" s="19"/>
      <c r="H28" s="19"/>
      <c r="I28" s="19" t="s">
        <v>63</v>
      </c>
      <c r="J28" s="19"/>
      <c r="K28" s="19"/>
      <c r="L28" s="48">
        <f>XNPV($E$5,$P$19:$AA$19,$P$14:$AA$14)</f>
        <v>1146.7985783901095</v>
      </c>
    </row>
    <row r="29" spans="3:30" x14ac:dyDescent="0.25">
      <c r="C29" s="19" t="s">
        <v>87</v>
      </c>
      <c r="D29" s="19"/>
      <c r="E29" s="48">
        <f>XNPV($E$5,$Q$21:$AD$21,$Q$17:$AD$17)</f>
        <v>1677.3747410283297</v>
      </c>
      <c r="F29" s="63"/>
      <c r="I29" s="19" t="s">
        <v>87</v>
      </c>
      <c r="J29" s="19"/>
      <c r="K29" s="19"/>
      <c r="L29" s="48">
        <f>XNPV($E$5,$Q$21:$AD$21,$Q$17:$AD$17)</f>
        <v>1677.3747410283297</v>
      </c>
      <c r="Q29" s="62"/>
      <c r="R29" s="62"/>
      <c r="S29" s="62"/>
      <c r="T29" s="62"/>
      <c r="U29" s="62"/>
      <c r="V29" s="62"/>
      <c r="W29" s="62"/>
      <c r="X29" s="62"/>
      <c r="Y29" s="62"/>
      <c r="Z29" t="s">
        <v>86</v>
      </c>
      <c r="AB29" s="296">
        <v>0.14000000000000001</v>
      </c>
      <c r="AC29" s="296">
        <v>0.1</v>
      </c>
      <c r="AD29" s="296">
        <v>7.0000000000000007E-2</v>
      </c>
    </row>
    <row r="30" spans="3:30" x14ac:dyDescent="0.25">
      <c r="C30" s="5" t="s">
        <v>64</v>
      </c>
      <c r="D30" s="5"/>
      <c r="E30" s="56">
        <f>XNPV($E$5,$Q$22:$AD$22,$Q$17:$AD$17)</f>
        <v>12643.555362019008</v>
      </c>
      <c r="F30" s="19"/>
      <c r="G30" s="19"/>
      <c r="H30" s="19"/>
      <c r="I30" s="5" t="s">
        <v>64</v>
      </c>
      <c r="J30" s="5"/>
      <c r="K30" s="5"/>
      <c r="L30" s="56">
        <f>XNPV($E$5,$Q$25:$AD$25,$Q$17:$AD$17)</f>
        <v>10319.449447524454</v>
      </c>
      <c r="N30" s="48"/>
      <c r="Z30" t="s">
        <v>88</v>
      </c>
      <c r="AB30" s="296">
        <v>0.13</v>
      </c>
      <c r="AC30" s="296">
        <v>0.09</v>
      </c>
      <c r="AD30" s="296">
        <v>0.06</v>
      </c>
    </row>
    <row r="31" spans="3:30" x14ac:dyDescent="0.25">
      <c r="C31" s="42" t="s">
        <v>65</v>
      </c>
      <c r="D31" s="19"/>
      <c r="E31" s="52">
        <f>SUM(E28:E30)</f>
        <v>15467.728681437446</v>
      </c>
      <c r="F31" s="19"/>
      <c r="G31" s="19"/>
      <c r="H31" s="19"/>
      <c r="I31" s="42" t="s">
        <v>65</v>
      </c>
      <c r="J31" s="19"/>
      <c r="K31" s="19"/>
      <c r="L31" s="52">
        <f>SUM(L28:L30)</f>
        <v>13143.622766942892</v>
      </c>
    </row>
    <row r="32" spans="3:30" x14ac:dyDescent="0.25">
      <c r="C32" s="19" t="s">
        <v>66</v>
      </c>
      <c r="D32" s="19"/>
      <c r="E32" s="297">
        <v>50</v>
      </c>
      <c r="F32" s="19"/>
      <c r="G32" s="19"/>
      <c r="H32" s="19"/>
      <c r="I32" s="19" t="s">
        <v>66</v>
      </c>
      <c r="J32" s="19"/>
      <c r="K32" s="19"/>
      <c r="L32" s="297">
        <v>50</v>
      </c>
    </row>
    <row r="33" spans="3:22" x14ac:dyDescent="0.25">
      <c r="C33" s="19" t="s">
        <v>67</v>
      </c>
      <c r="D33" s="19"/>
      <c r="E33" s="297" t="s">
        <v>68</v>
      </c>
      <c r="F33" s="19"/>
      <c r="G33" s="19"/>
      <c r="H33" s="19"/>
      <c r="I33" s="19" t="s">
        <v>67</v>
      </c>
      <c r="J33" s="19"/>
      <c r="K33" s="19"/>
      <c r="L33" s="297" t="s">
        <v>68</v>
      </c>
    </row>
    <row r="34" spans="3:22" x14ac:dyDescent="0.25">
      <c r="C34" s="19" t="s">
        <v>69</v>
      </c>
      <c r="D34" s="19"/>
      <c r="E34" s="297" t="s">
        <v>68</v>
      </c>
      <c r="F34" s="19"/>
      <c r="G34" s="19"/>
      <c r="H34" s="19"/>
      <c r="I34" s="19" t="s">
        <v>69</v>
      </c>
      <c r="J34" s="19"/>
      <c r="K34" s="19"/>
      <c r="L34" s="297" t="s">
        <v>68</v>
      </c>
    </row>
    <row r="35" spans="3:22" x14ac:dyDescent="0.25">
      <c r="C35" s="19" t="s">
        <v>70</v>
      </c>
      <c r="D35" s="19"/>
      <c r="E35" s="297" t="s">
        <v>68</v>
      </c>
      <c r="F35" s="19"/>
      <c r="G35" s="19"/>
      <c r="H35" s="19"/>
      <c r="I35" s="19" t="s">
        <v>70</v>
      </c>
      <c r="J35" s="19"/>
      <c r="K35" s="19"/>
      <c r="L35" s="297" t="s">
        <v>68</v>
      </c>
    </row>
    <row r="36" spans="3:22" x14ac:dyDescent="0.25">
      <c r="C36" s="19" t="s">
        <v>71</v>
      </c>
      <c r="D36" s="19"/>
      <c r="E36" s="297">
        <v>-833</v>
      </c>
      <c r="F36" s="19"/>
      <c r="G36" s="19"/>
      <c r="H36" s="19"/>
      <c r="I36" s="19" t="s">
        <v>71</v>
      </c>
      <c r="J36" s="19"/>
      <c r="K36" s="19"/>
      <c r="L36" s="297">
        <v>-833</v>
      </c>
    </row>
    <row r="37" spans="3:22" x14ac:dyDescent="0.25">
      <c r="C37" s="19" t="s">
        <v>72</v>
      </c>
      <c r="D37" s="19"/>
      <c r="E37" s="297" t="s">
        <v>68</v>
      </c>
      <c r="F37" s="19"/>
      <c r="G37" s="19"/>
      <c r="H37" s="19"/>
      <c r="I37" s="19" t="s">
        <v>72</v>
      </c>
      <c r="J37" s="19"/>
      <c r="K37" s="19"/>
      <c r="L37" s="297" t="s">
        <v>68</v>
      </c>
    </row>
    <row r="38" spans="3:22" x14ac:dyDescent="0.25">
      <c r="C38" s="19" t="s">
        <v>73</v>
      </c>
      <c r="D38" s="19"/>
      <c r="E38" s="297" t="s">
        <v>68</v>
      </c>
      <c r="F38" s="19"/>
      <c r="G38" s="19"/>
      <c r="H38" s="19"/>
      <c r="I38" s="19" t="s">
        <v>73</v>
      </c>
      <c r="J38" s="19"/>
      <c r="K38" s="19"/>
      <c r="L38" s="297" t="s">
        <v>68</v>
      </c>
    </row>
    <row r="39" spans="3:22" x14ac:dyDescent="0.25">
      <c r="C39" s="19" t="s">
        <v>74</v>
      </c>
      <c r="D39" s="19"/>
      <c r="E39" s="297" t="s">
        <v>68</v>
      </c>
      <c r="F39" s="19"/>
      <c r="G39" s="19"/>
      <c r="H39" s="19"/>
      <c r="I39" s="19" t="s">
        <v>74</v>
      </c>
      <c r="J39" s="19"/>
      <c r="K39" s="19"/>
      <c r="L39" s="297" t="s">
        <v>68</v>
      </c>
    </row>
    <row r="40" spans="3:22" x14ac:dyDescent="0.25">
      <c r="C40" s="51" t="s">
        <v>75</v>
      </c>
      <c r="D40" s="51"/>
      <c r="E40" s="298" t="s">
        <v>68</v>
      </c>
      <c r="F40" s="19"/>
      <c r="G40" s="19"/>
      <c r="H40" s="19"/>
      <c r="I40" s="51" t="s">
        <v>75</v>
      </c>
      <c r="J40" s="51"/>
      <c r="K40" s="51"/>
      <c r="L40" s="298" t="s">
        <v>68</v>
      </c>
    </row>
    <row r="41" spans="3:22" x14ac:dyDescent="0.25">
      <c r="C41" s="42" t="s">
        <v>76</v>
      </c>
      <c r="D41" s="19"/>
      <c r="E41" s="52">
        <f>SUM(E31:E40)</f>
        <v>14684.728681437446</v>
      </c>
      <c r="F41" s="19"/>
      <c r="G41" s="19"/>
      <c r="H41" s="19"/>
      <c r="I41" s="42" t="s">
        <v>76</v>
      </c>
      <c r="J41" s="19"/>
      <c r="K41" s="19"/>
      <c r="L41" s="52">
        <f>SUM(L31:L40)</f>
        <v>12360.622766942892</v>
      </c>
    </row>
    <row r="42" spans="3:22" ht="15.75" thickBot="1" x14ac:dyDescent="0.3">
      <c r="C42" s="51" t="s">
        <v>77</v>
      </c>
      <c r="D42" s="51"/>
      <c r="E42" s="86">
        <v>131.82</v>
      </c>
      <c r="F42" s="19"/>
      <c r="G42" s="19"/>
      <c r="H42" s="19"/>
      <c r="I42" s="51" t="s">
        <v>77</v>
      </c>
      <c r="J42" s="51"/>
      <c r="K42" s="51"/>
      <c r="L42" s="86">
        <f>+E42</f>
        <v>131.82</v>
      </c>
    </row>
    <row r="43" spans="3:22" ht="15.75" thickBot="1" x14ac:dyDescent="0.3">
      <c r="C43" s="42" t="s">
        <v>78</v>
      </c>
      <c r="D43" s="19"/>
      <c r="E43" s="54">
        <f>E41/E42</f>
        <v>111.39985344740894</v>
      </c>
      <c r="F43" s="19"/>
      <c r="G43" s="19"/>
      <c r="H43" s="19"/>
      <c r="I43" s="42" t="s">
        <v>78</v>
      </c>
      <c r="J43" s="19"/>
      <c r="K43" s="19"/>
      <c r="L43" s="54">
        <f>L41/L42</f>
        <v>93.768948315452079</v>
      </c>
    </row>
    <row r="44" spans="3:22" ht="15.75" thickBot="1" x14ac:dyDescent="0.3"/>
    <row r="45" spans="3:22" ht="15.75" thickBot="1" x14ac:dyDescent="0.3">
      <c r="C45" s="42" t="s">
        <v>79</v>
      </c>
      <c r="E45" s="54">
        <f>AVERAGE(E43,L43)</f>
        <v>102.58440088143051</v>
      </c>
    </row>
    <row r="47" spans="3:22" x14ac:dyDescent="0.25">
      <c r="C47" s="66" t="s">
        <v>56</v>
      </c>
      <c r="D47" s="66"/>
      <c r="E47" s="66"/>
      <c r="F47" s="66"/>
      <c r="G47" s="66"/>
      <c r="H47" s="66"/>
      <c r="I47" s="66"/>
      <c r="J47" s="66"/>
      <c r="K47" s="66"/>
      <c r="N47" s="66" t="s">
        <v>256</v>
      </c>
      <c r="O47" s="66"/>
      <c r="P47" s="66"/>
      <c r="Q47" s="66"/>
      <c r="R47" s="66"/>
      <c r="S47" s="66"/>
      <c r="T47" s="66"/>
      <c r="U47" s="66"/>
      <c r="V47" s="66"/>
    </row>
    <row r="48" spans="3:22" x14ac:dyDescent="0.25">
      <c r="C48" s="67"/>
      <c r="D48" s="67"/>
      <c r="E48" s="67"/>
      <c r="F48" s="67"/>
      <c r="G48" s="67"/>
      <c r="H48" s="67"/>
      <c r="I48" s="67"/>
      <c r="J48" s="67"/>
      <c r="K48" s="67"/>
    </row>
    <row r="49" spans="3:20" x14ac:dyDescent="0.25">
      <c r="C49" s="19" t="s">
        <v>99</v>
      </c>
      <c r="D49" s="19"/>
      <c r="E49" s="19"/>
      <c r="F49" s="68">
        <v>833</v>
      </c>
      <c r="G49" s="48"/>
      <c r="H49" s="19"/>
      <c r="I49" s="19"/>
      <c r="J49" s="19"/>
      <c r="K49" s="19"/>
    </row>
    <row r="50" spans="3:20" x14ac:dyDescent="0.25">
      <c r="C50" s="19" t="s">
        <v>100</v>
      </c>
      <c r="D50" s="19"/>
      <c r="E50" s="19"/>
      <c r="F50" s="68">
        <v>9636.6299999999992</v>
      </c>
      <c r="G50" s="19"/>
      <c r="H50" s="19"/>
      <c r="I50" s="19"/>
      <c r="J50" s="19"/>
      <c r="K50" s="19"/>
      <c r="P50" s="118" t="s">
        <v>257</v>
      </c>
      <c r="Q50" s="118"/>
      <c r="R50" s="118"/>
      <c r="S50" s="118"/>
      <c r="T50" s="118"/>
    </row>
    <row r="51" spans="3:20" x14ac:dyDescent="0.25">
      <c r="C51" s="19" t="s">
        <v>101</v>
      </c>
      <c r="D51" s="19"/>
      <c r="E51" s="19"/>
      <c r="F51" s="69">
        <f>+F49/(F49+F50)</f>
        <v>7.9563461172935446E-2</v>
      </c>
      <c r="G51" s="19"/>
      <c r="H51" s="19"/>
      <c r="I51" s="19"/>
      <c r="J51" s="19"/>
      <c r="K51" s="19"/>
      <c r="O51" s="376">
        <f>L43</f>
        <v>93.768948315452079</v>
      </c>
      <c r="P51" s="358">
        <f>Q51-1</f>
        <v>11</v>
      </c>
      <c r="Q51" s="358">
        <f>R51-1</f>
        <v>12</v>
      </c>
      <c r="R51" s="359">
        <v>13</v>
      </c>
      <c r="S51" s="358">
        <f>R51+1</f>
        <v>14</v>
      </c>
      <c r="T51" s="360">
        <f>S51+1</f>
        <v>15</v>
      </c>
    </row>
    <row r="52" spans="3:20" x14ac:dyDescent="0.25">
      <c r="C52" s="19" t="s">
        <v>102</v>
      </c>
      <c r="D52" s="19"/>
      <c r="E52" s="19"/>
      <c r="F52" s="69">
        <f>+F50/(F50+F49)</f>
        <v>0.92043653882706455</v>
      </c>
      <c r="G52" s="19"/>
      <c r="H52" s="19"/>
      <c r="I52" s="19"/>
      <c r="J52" s="19"/>
      <c r="K52" s="19"/>
      <c r="O52" s="361">
        <f t="shared" ref="O52" si="5">O53+0.005</f>
        <v>7.5702041262443953E-2</v>
      </c>
      <c r="P52" s="362">
        <f t="dataTable" ref="P52:T56" dt2D="1" dtr="1" r1="E7" r2="E5"/>
        <v>78.165815550409732</v>
      </c>
      <c r="Q52" s="362">
        <v>83.915444405140221</v>
      </c>
      <c r="R52" s="362">
        <v>89.665073259870695</v>
      </c>
      <c r="S52" s="362">
        <v>95.414702114601184</v>
      </c>
      <c r="T52" s="362">
        <v>101.16433096933163</v>
      </c>
    </row>
    <row r="53" spans="3:20" x14ac:dyDescent="0.25">
      <c r="C53" s="19" t="s">
        <v>103</v>
      </c>
      <c r="D53" s="19"/>
      <c r="E53" s="19"/>
      <c r="F53" s="69">
        <f>H82</f>
        <v>0.26490962694470616</v>
      </c>
      <c r="G53" s="19"/>
      <c r="H53" s="19"/>
      <c r="I53" s="19"/>
      <c r="J53" s="19"/>
      <c r="K53" s="19"/>
      <c r="O53" s="361">
        <f>O54+0.005</f>
        <v>7.0702041262443949E-2</v>
      </c>
      <c r="P53" s="362">
        <v>79.921606432793951</v>
      </c>
      <c r="Q53" s="363">
        <v>85.805467143851928</v>
      </c>
      <c r="R53" s="363">
        <v>91.689327854909919</v>
      </c>
      <c r="S53" s="363">
        <v>97.573188565967911</v>
      </c>
      <c r="T53" s="362">
        <v>103.45704927702589</v>
      </c>
    </row>
    <row r="54" spans="3:20" x14ac:dyDescent="0.25">
      <c r="C54" s="19" t="s">
        <v>104</v>
      </c>
      <c r="D54" s="19"/>
      <c r="E54" s="19"/>
      <c r="F54" s="69">
        <f>G82</f>
        <v>0.73509037305529401</v>
      </c>
      <c r="G54" s="19"/>
      <c r="H54" s="19"/>
      <c r="I54" s="19"/>
      <c r="J54" s="19"/>
      <c r="K54" s="19"/>
      <c r="N54" s="285" t="s">
        <v>56</v>
      </c>
      <c r="O54" s="364">
        <v>6.5702041262443944E-2</v>
      </c>
      <c r="P54" s="362">
        <v>81.725194656588044</v>
      </c>
      <c r="Q54" s="363">
        <v>87.747071486020076</v>
      </c>
      <c r="R54" s="365">
        <v>93.768948315452079</v>
      </c>
      <c r="S54" s="363">
        <v>99.790825144884082</v>
      </c>
      <c r="T54" s="362">
        <v>105.81270197431607</v>
      </c>
    </row>
    <row r="55" spans="3:20" x14ac:dyDescent="0.25">
      <c r="C55" s="19" t="s">
        <v>105</v>
      </c>
      <c r="D55" s="19"/>
      <c r="E55" s="19"/>
      <c r="F55" s="100">
        <v>0.85</v>
      </c>
      <c r="G55" s="19"/>
      <c r="H55" s="19"/>
      <c r="I55" s="19"/>
      <c r="J55" s="19"/>
      <c r="K55" s="19"/>
      <c r="O55" s="361">
        <f>O54-0.005</f>
        <v>6.0702041262443947E-2</v>
      </c>
      <c r="P55" s="362">
        <v>83.578133176577936</v>
      </c>
      <c r="Q55" s="363">
        <v>89.741935584292776</v>
      </c>
      <c r="R55" s="363">
        <v>95.905737992007616</v>
      </c>
      <c r="S55" s="363">
        <v>102.06954039972247</v>
      </c>
      <c r="T55" s="362">
        <v>108.23334280743731</v>
      </c>
    </row>
    <row r="56" spans="3:20" x14ac:dyDescent="0.25">
      <c r="C56" s="19" t="s">
        <v>106</v>
      </c>
      <c r="D56" s="19"/>
      <c r="E56" s="19"/>
      <c r="F56" s="70">
        <f>+K82</f>
        <v>0.26678058139710226</v>
      </c>
      <c r="G56" s="19"/>
      <c r="H56" s="19"/>
      <c r="I56" s="19"/>
      <c r="J56" s="19"/>
      <c r="K56" s="19"/>
      <c r="O56" s="366">
        <f>O55-0.005</f>
        <v>5.5702041262443949E-2</v>
      </c>
      <c r="P56" s="362">
        <v>85.482033341387194</v>
      </c>
      <c r="Q56" s="362">
        <v>91.791800745474816</v>
      </c>
      <c r="R56" s="362">
        <v>98.101568149562439</v>
      </c>
      <c r="S56" s="362">
        <v>104.4113355536501</v>
      </c>
      <c r="T56" s="362">
        <v>110.72110295773773</v>
      </c>
    </row>
    <row r="57" spans="3:20" x14ac:dyDescent="0.25">
      <c r="C57" s="19"/>
      <c r="D57" s="19"/>
      <c r="E57" s="19"/>
      <c r="F57" s="48"/>
      <c r="G57" s="19"/>
      <c r="H57" s="19"/>
      <c r="I57" s="19"/>
      <c r="J57" s="19"/>
      <c r="K57" s="19"/>
      <c r="N57" s="19"/>
      <c r="O57" s="19"/>
      <c r="P57" s="19"/>
      <c r="Q57" s="19"/>
      <c r="R57" s="19"/>
      <c r="S57" s="19"/>
      <c r="T57" s="19"/>
    </row>
    <row r="58" spans="3:20" x14ac:dyDescent="0.25">
      <c r="C58" s="71" t="s">
        <v>137</v>
      </c>
      <c r="D58" s="72"/>
      <c r="E58" s="72"/>
      <c r="F58" s="72"/>
      <c r="H58" s="71" t="s">
        <v>138</v>
      </c>
      <c r="I58" s="72"/>
      <c r="J58" s="72"/>
      <c r="K58" s="72"/>
      <c r="P58" s="118" t="s">
        <v>258</v>
      </c>
      <c r="Q58" s="118"/>
      <c r="R58" s="118"/>
      <c r="S58" s="118"/>
      <c r="T58" s="118"/>
    </row>
    <row r="59" spans="3:20" x14ac:dyDescent="0.25">
      <c r="C59" s="19" t="s">
        <v>107</v>
      </c>
      <c r="D59" s="19"/>
      <c r="E59" s="19"/>
      <c r="F59" s="73">
        <f>K82*(1+(1-F65)*(F49/F50))</f>
        <v>0.28407616794840074</v>
      </c>
      <c r="H59" s="19" t="s">
        <v>139</v>
      </c>
      <c r="I59" s="19"/>
      <c r="J59" s="19"/>
      <c r="K59" s="73">
        <f>F55</f>
        <v>0.85</v>
      </c>
      <c r="O59" s="357">
        <f>E43</f>
        <v>111.39985344740894</v>
      </c>
      <c r="P59" s="367">
        <f>Q59-0.0035</f>
        <v>1.3000000000000001E-2</v>
      </c>
      <c r="Q59" s="367">
        <f>R59-0.0035</f>
        <v>1.6500000000000001E-2</v>
      </c>
      <c r="R59" s="368">
        <v>0.02</v>
      </c>
      <c r="S59" s="367">
        <f>R59+0.0035</f>
        <v>2.35E-2</v>
      </c>
      <c r="T59" s="369">
        <f>S59+0.0035</f>
        <v>2.7E-2</v>
      </c>
    </row>
    <row r="60" spans="3:20" x14ac:dyDescent="0.25">
      <c r="C60" s="74" t="s">
        <v>108</v>
      </c>
      <c r="D60" s="19"/>
      <c r="E60" s="19"/>
      <c r="F60" s="75">
        <v>0.04</v>
      </c>
      <c r="H60" s="74" t="s">
        <v>108</v>
      </c>
      <c r="I60" s="19"/>
      <c r="J60" s="19"/>
      <c r="K60" s="75">
        <v>0.04</v>
      </c>
      <c r="O60" s="361">
        <f>O61+0.005</f>
        <v>7.5702041262443953E-2</v>
      </c>
      <c r="P60" s="362">
        <f t="dataTable" ref="P60:T64" dt2D="1" dtr="1" r1="E6" r2="E5" ca="1"/>
        <v>81.211580777982093</v>
      </c>
      <c r="Q60" s="362">
        <v>85.373301692080645</v>
      </c>
      <c r="R60" s="362">
        <v>90.058020430647304</v>
      </c>
      <c r="S60" s="362">
        <v>95.370933591824752</v>
      </c>
      <c r="T60" s="362">
        <v>101.44747782809061</v>
      </c>
    </row>
    <row r="61" spans="3:20" x14ac:dyDescent="0.25">
      <c r="C61" s="76" t="s">
        <v>109</v>
      </c>
      <c r="D61" s="77"/>
      <c r="E61" s="77"/>
      <c r="F61" s="78">
        <v>4.2999999999999997E-2</v>
      </c>
      <c r="H61" s="76" t="s">
        <v>109</v>
      </c>
      <c r="I61" s="77"/>
      <c r="J61" s="77"/>
      <c r="K61" s="78">
        <v>4.2999999999999997E-2</v>
      </c>
      <c r="O61" s="361">
        <f>O62+0.005</f>
        <v>7.0702041262443949E-2</v>
      </c>
      <c r="P61" s="362">
        <v>88.916896326605823</v>
      </c>
      <c r="Q61" s="363">
        <v>93.948236761128342</v>
      </c>
      <c r="R61" s="363">
        <v>99.674211615976375</v>
      </c>
      <c r="S61" s="363">
        <v>106.24934093346894</v>
      </c>
      <c r="T61" s="362">
        <v>113.8776454320943</v>
      </c>
    </row>
    <row r="62" spans="3:20" x14ac:dyDescent="0.25">
      <c r="C62" s="74"/>
      <c r="D62" s="19"/>
      <c r="E62" s="19"/>
      <c r="F62" s="79">
        <f>+F60+(F59*(F61))</f>
        <v>5.2215275221781231E-2</v>
      </c>
      <c r="H62" s="74"/>
      <c r="I62" s="19"/>
      <c r="J62" s="19"/>
      <c r="K62" s="79">
        <f>+K60+(K59*(K61))</f>
        <v>7.6550000000000007E-2</v>
      </c>
      <c r="N62" s="285" t="s">
        <v>56</v>
      </c>
      <c r="O62" s="364">
        <v>6.5702041262443944E-2</v>
      </c>
      <c r="P62" s="362">
        <v>98.089360598930085</v>
      </c>
      <c r="Q62" s="363">
        <v>104.27118433811076</v>
      </c>
      <c r="R62" s="365">
        <v>111.39985344740894</v>
      </c>
      <c r="S62" s="363">
        <v>119.71094601946729</v>
      </c>
      <c r="T62" s="362">
        <v>129.52525770107846</v>
      </c>
    </row>
    <row r="63" spans="3:20" x14ac:dyDescent="0.25">
      <c r="C63" s="71" t="s">
        <v>110</v>
      </c>
      <c r="D63" s="72"/>
      <c r="E63" s="72"/>
      <c r="F63" s="19"/>
      <c r="G63" s="19"/>
      <c r="H63" s="19"/>
      <c r="I63" s="19"/>
      <c r="J63" s="19"/>
      <c r="K63" s="19"/>
      <c r="O63" s="361">
        <f>O62-0.005</f>
        <v>6.0702041262443947E-2</v>
      </c>
      <c r="P63" s="362">
        <v>109.19045424935941</v>
      </c>
      <c r="Q63" s="363">
        <v>116.93547049415932</v>
      </c>
      <c r="R63" s="363">
        <v>126.01248661002283</v>
      </c>
      <c r="S63" s="363">
        <v>136.79744967328108</v>
      </c>
      <c r="T63" s="362">
        <v>149.82247709510193</v>
      </c>
    </row>
    <row r="64" spans="3:20" x14ac:dyDescent="0.25">
      <c r="C64" s="19" t="s">
        <v>111</v>
      </c>
      <c r="D64" s="19"/>
      <c r="E64" s="19"/>
      <c r="F64" s="80">
        <v>7.0000000000000007E-2</v>
      </c>
      <c r="G64" s="19"/>
      <c r="H64" s="19"/>
      <c r="I64" s="19"/>
      <c r="J64" s="19"/>
      <c r="K64" s="19"/>
      <c r="O64" s="366">
        <f>O63-0.005</f>
        <v>5.5702041262443949E-2</v>
      </c>
      <c r="P64" s="362">
        <v>122.89780208304337</v>
      </c>
      <c r="Q64" s="362">
        <v>132.83712736316045</v>
      </c>
      <c r="R64" s="362">
        <v>144.72522852556887</v>
      </c>
      <c r="S64" s="362">
        <v>159.19753568469176</v>
      </c>
      <c r="T64" s="362">
        <v>177.19942281994057</v>
      </c>
    </row>
    <row r="65" spans="3:11" x14ac:dyDescent="0.25">
      <c r="C65" s="81" t="s">
        <v>45</v>
      </c>
      <c r="D65" s="72"/>
      <c r="E65" s="72"/>
      <c r="F65" s="111">
        <v>0.25</v>
      </c>
      <c r="G65" s="19"/>
      <c r="H65" s="19"/>
      <c r="I65" s="19"/>
      <c r="J65" s="19"/>
      <c r="K65" s="19"/>
    </row>
    <row r="66" spans="3:11" x14ac:dyDescent="0.25">
      <c r="C66" s="19"/>
      <c r="D66" s="19"/>
      <c r="E66" s="19"/>
      <c r="F66" s="79">
        <f>+F64*(1-F65)</f>
        <v>5.2500000000000005E-2</v>
      </c>
      <c r="G66" s="19"/>
      <c r="H66" s="19"/>
      <c r="I66" s="19"/>
      <c r="J66" s="19"/>
      <c r="K66" s="19"/>
    </row>
    <row r="67" spans="3:11" x14ac:dyDescent="0.25">
      <c r="C67" s="19"/>
      <c r="D67" s="19"/>
      <c r="E67" s="19"/>
      <c r="F67" s="19"/>
      <c r="G67" s="19"/>
      <c r="H67" s="19"/>
      <c r="I67" s="19"/>
      <c r="J67" s="19"/>
      <c r="K67" s="19"/>
    </row>
    <row r="68" spans="3:11" x14ac:dyDescent="0.25">
      <c r="C68" s="19" t="s">
        <v>135</v>
      </c>
      <c r="D68" s="19"/>
      <c r="E68" s="19"/>
      <c r="F68" s="82">
        <f>(F66*F53)+(F62*F54)</f>
        <v>5.2290701556561091E-2</v>
      </c>
      <c r="G68" s="19"/>
      <c r="H68" s="19"/>
      <c r="I68" s="19"/>
      <c r="J68" s="19"/>
      <c r="K68" s="19"/>
    </row>
    <row r="69" spans="3:11" x14ac:dyDescent="0.25">
      <c r="C69" s="19" t="s">
        <v>140</v>
      </c>
      <c r="D69" s="19"/>
      <c r="E69" s="19"/>
      <c r="F69" s="82">
        <f>(F66*F53)+(K62*F54)</f>
        <v>7.0178923471979834E-2</v>
      </c>
      <c r="G69" s="19"/>
      <c r="H69" s="19"/>
      <c r="I69" s="19"/>
      <c r="J69" s="19"/>
      <c r="K69" s="19"/>
    </row>
    <row r="70" spans="3:11" ht="15.75" thickBot="1" x14ac:dyDescent="0.3">
      <c r="C70" s="51" t="s">
        <v>136</v>
      </c>
      <c r="D70" s="51"/>
      <c r="E70" s="51"/>
      <c r="F70" s="82">
        <f>(F66*F51)+(K62*F52)</f>
        <v>7.4636498758790915E-2</v>
      </c>
      <c r="G70" s="19"/>
      <c r="H70" s="19"/>
      <c r="I70" s="19"/>
      <c r="J70" s="19"/>
      <c r="K70" s="19"/>
    </row>
    <row r="71" spans="3:11" ht="15.75" thickBot="1" x14ac:dyDescent="0.3">
      <c r="C71" s="42" t="s">
        <v>112</v>
      </c>
      <c r="D71" s="42"/>
      <c r="E71" s="42"/>
      <c r="F71" s="83">
        <f>AVERAGE(F68:F70)</f>
        <v>6.5702041262443944E-2</v>
      </c>
      <c r="G71" s="19"/>
      <c r="H71" s="19"/>
      <c r="I71" s="19"/>
      <c r="J71" s="19"/>
      <c r="K71" s="19"/>
    </row>
    <row r="72" spans="3:11" x14ac:dyDescent="0.25">
      <c r="C72" s="42"/>
      <c r="D72" s="42"/>
      <c r="E72" s="42"/>
      <c r="F72" s="101"/>
      <c r="G72" s="19"/>
      <c r="H72" s="19"/>
      <c r="I72" s="19"/>
      <c r="J72" s="19"/>
      <c r="K72" s="19"/>
    </row>
    <row r="73" spans="3:11" x14ac:dyDescent="0.25">
      <c r="C73" s="42" t="s">
        <v>113</v>
      </c>
      <c r="D73" s="19"/>
      <c r="E73" s="19"/>
      <c r="F73" s="19"/>
      <c r="G73" s="19"/>
      <c r="H73" s="19"/>
      <c r="I73" s="19"/>
      <c r="J73" s="19"/>
      <c r="K73" s="19"/>
    </row>
    <row r="74" spans="3:11" x14ac:dyDescent="0.25">
      <c r="C74" s="19"/>
      <c r="D74" s="19"/>
      <c r="E74" s="84" t="s">
        <v>114</v>
      </c>
      <c r="F74" s="84" t="s">
        <v>115</v>
      </c>
      <c r="G74" s="84" t="s">
        <v>116</v>
      </c>
      <c r="H74" s="84" t="s">
        <v>117</v>
      </c>
      <c r="I74" s="84" t="s">
        <v>118</v>
      </c>
      <c r="J74" s="84" t="s">
        <v>119</v>
      </c>
      <c r="K74" s="84" t="s">
        <v>120</v>
      </c>
    </row>
    <row r="75" spans="3:11" x14ac:dyDescent="0.25">
      <c r="C75" s="50" t="s">
        <v>121</v>
      </c>
      <c r="D75" s="50" t="s">
        <v>122</v>
      </c>
      <c r="E75" s="85" t="s">
        <v>123</v>
      </c>
      <c r="F75" s="85" t="s">
        <v>124</v>
      </c>
      <c r="G75" s="85" t="s">
        <v>125</v>
      </c>
      <c r="H75" s="85" t="s">
        <v>125</v>
      </c>
      <c r="I75" s="85" t="s">
        <v>126</v>
      </c>
      <c r="J75" s="85" t="s">
        <v>127</v>
      </c>
      <c r="K75" s="85" t="s">
        <v>105</v>
      </c>
    </row>
    <row r="76" spans="3:11" x14ac:dyDescent="0.25">
      <c r="C76" s="19"/>
      <c r="D76" s="19" t="s">
        <v>129</v>
      </c>
      <c r="E76" s="86">
        <v>334.85</v>
      </c>
      <c r="F76" s="86">
        <v>3768.97</v>
      </c>
      <c r="G76" s="87">
        <f>+F76/(E76+F76)</f>
        <v>0.91840529068039045</v>
      </c>
      <c r="H76" s="87">
        <f>+E76/(E76+F76)</f>
        <v>8.1594709319609549E-2</v>
      </c>
      <c r="I76" s="88">
        <v>0.21</v>
      </c>
      <c r="J76" s="89">
        <v>0.63</v>
      </c>
      <c r="K76" s="90">
        <f>J76/(1+(1-I76)*(E76/F76))</f>
        <v>0.58868233964955763</v>
      </c>
    </row>
    <row r="77" spans="3:11" x14ac:dyDescent="0.25">
      <c r="C77" s="91"/>
      <c r="D77" s="91" t="s">
        <v>130</v>
      </c>
      <c r="E77" s="86">
        <v>6945.6</v>
      </c>
      <c r="F77" s="86">
        <v>6498.24</v>
      </c>
      <c r="G77" s="87">
        <f t="shared" ref="G77:G81" si="6">+F77/(E77+F77)</f>
        <v>0.48336189660097112</v>
      </c>
      <c r="H77" s="87">
        <f t="shared" ref="H77:H81" si="7">+E77/(E77+F77)</f>
        <v>0.51663810339902883</v>
      </c>
      <c r="I77" s="88">
        <v>0.21</v>
      </c>
      <c r="J77" s="89">
        <v>0.48</v>
      </c>
      <c r="K77" s="90">
        <f t="shared" ref="K77:K81" si="8">J77/(1+(1-I77)*(E77/F77))</f>
        <v>0.26024918600040847</v>
      </c>
    </row>
    <row r="78" spans="3:11" x14ac:dyDescent="0.25">
      <c r="C78" s="91"/>
      <c r="D78" s="91" t="s">
        <v>131</v>
      </c>
      <c r="E78" s="86">
        <v>2469.3000000000002</v>
      </c>
      <c r="F78" s="86">
        <v>652.64</v>
      </c>
      <c r="G78" s="87">
        <f t="shared" si="6"/>
        <v>0.20904950127164518</v>
      </c>
      <c r="H78" s="87">
        <f t="shared" si="7"/>
        <v>0.79095049872835488</v>
      </c>
      <c r="I78" s="88">
        <v>0.21</v>
      </c>
      <c r="J78" s="89">
        <v>1.03</v>
      </c>
      <c r="K78" s="90">
        <f t="shared" si="8"/>
        <v>0.25820947865223265</v>
      </c>
    </row>
    <row r="79" spans="3:11" x14ac:dyDescent="0.25">
      <c r="C79" s="91"/>
      <c r="D79" s="91" t="s">
        <v>132</v>
      </c>
      <c r="E79" s="86">
        <v>63560</v>
      </c>
      <c r="F79" s="86">
        <v>226347.47</v>
      </c>
      <c r="G79" s="87">
        <f t="shared" si="6"/>
        <v>0.7807576327715875</v>
      </c>
      <c r="H79" s="87">
        <f t="shared" si="7"/>
        <v>0.21924236722841259</v>
      </c>
      <c r="I79" s="88">
        <v>0.21</v>
      </c>
      <c r="J79" s="89">
        <v>0.42</v>
      </c>
      <c r="K79" s="90">
        <f t="shared" si="8"/>
        <v>0.3437445114506309</v>
      </c>
    </row>
    <row r="80" spans="3:11" x14ac:dyDescent="0.25">
      <c r="C80" s="91"/>
      <c r="D80" s="91" t="s">
        <v>133</v>
      </c>
      <c r="E80" s="86">
        <v>14187</v>
      </c>
      <c r="F80" s="86">
        <v>31492.51</v>
      </c>
      <c r="G80" s="87">
        <f t="shared" si="6"/>
        <v>0.68942311333900042</v>
      </c>
      <c r="H80" s="87">
        <f t="shared" si="7"/>
        <v>0.3105768866609997</v>
      </c>
      <c r="I80" s="88">
        <v>0.21</v>
      </c>
      <c r="J80" s="89">
        <v>0.14000000000000001</v>
      </c>
      <c r="K80" s="90">
        <f t="shared" si="8"/>
        <v>0.10325355079971447</v>
      </c>
    </row>
    <row r="81" spans="3:11" ht="15.75" thickBot="1" x14ac:dyDescent="0.3">
      <c r="C81" s="92"/>
      <c r="D81" s="92" t="s">
        <v>134</v>
      </c>
      <c r="E81" s="93">
        <v>2857.39</v>
      </c>
      <c r="F81" s="93">
        <v>16816.32</v>
      </c>
      <c r="G81" s="94">
        <f t="shared" si="6"/>
        <v>0.85476099830687757</v>
      </c>
      <c r="H81" s="94">
        <f t="shared" si="7"/>
        <v>0.14523900169312245</v>
      </c>
      <c r="I81" s="95">
        <v>0.21</v>
      </c>
      <c r="J81" s="96">
        <v>0.31</v>
      </c>
      <c r="K81" s="97">
        <f t="shared" si="8"/>
        <v>0.27331197679379604</v>
      </c>
    </row>
    <row r="82" spans="3:11" x14ac:dyDescent="0.25">
      <c r="C82" s="42" t="s">
        <v>128</v>
      </c>
      <c r="D82" s="19"/>
      <c r="E82" s="48">
        <f t="shared" ref="E82:K82" si="9">MEDIAN(E76:E81)</f>
        <v>4901.4949999999999</v>
      </c>
      <c r="F82" s="48">
        <f t="shared" si="9"/>
        <v>11657.279999999999</v>
      </c>
      <c r="G82" s="87">
        <f t="shared" si="9"/>
        <v>0.73509037305529401</v>
      </c>
      <c r="H82" s="87">
        <f t="shared" si="9"/>
        <v>0.26490962694470616</v>
      </c>
      <c r="I82" s="87">
        <f t="shared" si="9"/>
        <v>0.21</v>
      </c>
      <c r="J82" s="98">
        <f t="shared" si="9"/>
        <v>0.44999999999999996</v>
      </c>
      <c r="K82" s="99">
        <f t="shared" si="9"/>
        <v>0.26678058139710226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2705-E498-4188-98DD-0942CB80F648}">
  <dimension ref="C2:AQ93"/>
  <sheetViews>
    <sheetView showGridLines="0" zoomScale="88" workbookViewId="0">
      <pane xSplit="4" topLeftCell="E1" activePane="topRight" state="frozen"/>
      <selection pane="topRight" activeCell="C50" sqref="C50"/>
    </sheetView>
  </sheetViews>
  <sheetFormatPr defaultRowHeight="15" x14ac:dyDescent="0.25"/>
  <cols>
    <col min="1" max="2" width="2.42578125" customWidth="1"/>
    <col min="3" max="3" width="30.85546875" customWidth="1"/>
    <col min="4" max="4" width="6.85546875" bestFit="1" customWidth="1"/>
    <col min="5" max="6" width="8.5703125" bestFit="1" customWidth="1"/>
    <col min="7" max="7" width="8.140625" bestFit="1" customWidth="1"/>
    <col min="8" max="8" width="9.7109375" customWidth="1"/>
    <col min="9" max="9" width="8.140625" bestFit="1" customWidth="1"/>
    <col min="10" max="10" width="10" bestFit="1" customWidth="1"/>
    <col min="11" max="11" width="9.28515625" customWidth="1"/>
    <col min="12" max="12" width="10.7109375" bestFit="1" customWidth="1"/>
    <col min="13" max="13" width="7.140625" bestFit="1" customWidth="1"/>
    <col min="14" max="16" width="9.5703125" bestFit="1" customWidth="1"/>
    <col min="17" max="17" width="8.140625" bestFit="1" customWidth="1"/>
    <col min="18" max="20" width="8.140625" customWidth="1"/>
    <col min="21" max="25" width="8.5703125" bestFit="1" customWidth="1"/>
    <col min="26" max="28" width="7.140625" customWidth="1"/>
    <col min="29" max="33" width="8.5703125" bestFit="1" customWidth="1"/>
    <col min="34" max="35" width="7.28515625" bestFit="1" customWidth="1"/>
    <col min="36" max="36" width="6.85546875" bestFit="1" customWidth="1"/>
    <col min="37" max="38" width="7.140625" bestFit="1" customWidth="1"/>
    <col min="39" max="40" width="7.28515625" bestFit="1" customWidth="1"/>
    <col min="41" max="41" width="6.85546875" bestFit="1" customWidth="1"/>
    <col min="42" max="43" width="7.140625" bestFit="1" customWidth="1"/>
  </cols>
  <sheetData>
    <row r="2" spans="3:43" ht="26.25" x14ac:dyDescent="0.4">
      <c r="C2" s="258" t="s">
        <v>184</v>
      </c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119"/>
      <c r="AP2" s="119"/>
      <c r="AQ2" s="119"/>
    </row>
    <row r="4" spans="3:43" ht="15.75" x14ac:dyDescent="0.25">
      <c r="C4" s="131"/>
      <c r="D4" s="132"/>
      <c r="E4" s="121"/>
      <c r="F4" s="121"/>
      <c r="G4" s="121"/>
      <c r="H4" s="133"/>
      <c r="I4" s="133"/>
      <c r="J4" s="133"/>
      <c r="K4" s="133"/>
      <c r="L4" s="133"/>
      <c r="M4" s="227" t="s">
        <v>170</v>
      </c>
      <c r="N4" s="228"/>
      <c r="O4" s="228"/>
      <c r="P4" s="228"/>
      <c r="Q4" s="229"/>
      <c r="R4" s="224" t="s">
        <v>182</v>
      </c>
      <c r="S4" s="224"/>
      <c r="T4" s="225"/>
      <c r="U4" s="224" t="s">
        <v>80</v>
      </c>
      <c r="V4" s="224"/>
      <c r="W4" s="224"/>
      <c r="X4" s="224"/>
      <c r="Y4" s="225"/>
      <c r="Z4" s="224" t="s">
        <v>183</v>
      </c>
      <c r="AA4" s="224"/>
      <c r="AB4" s="225"/>
      <c r="AC4" s="224" t="s">
        <v>151</v>
      </c>
      <c r="AD4" s="224"/>
      <c r="AE4" s="224"/>
      <c r="AF4" s="224"/>
      <c r="AG4" s="225"/>
      <c r="AH4" s="224" t="s">
        <v>163</v>
      </c>
      <c r="AI4" s="224"/>
      <c r="AJ4" s="224"/>
      <c r="AK4" s="224"/>
      <c r="AL4" s="224"/>
      <c r="AM4" s="224" t="s">
        <v>162</v>
      </c>
      <c r="AN4" s="224"/>
      <c r="AO4" s="224"/>
      <c r="AP4" s="224"/>
      <c r="AQ4" s="226"/>
    </row>
    <row r="5" spans="3:43" ht="15.75" x14ac:dyDescent="0.25">
      <c r="C5" s="134"/>
      <c r="D5" s="129"/>
      <c r="E5" s="121" t="s">
        <v>165</v>
      </c>
      <c r="F5" s="121" t="s">
        <v>166</v>
      </c>
      <c r="G5" s="121" t="s">
        <v>124</v>
      </c>
      <c r="H5" s="121"/>
      <c r="I5" s="121"/>
      <c r="J5" s="133" t="s">
        <v>167</v>
      </c>
      <c r="K5" s="133" t="s">
        <v>168</v>
      </c>
      <c r="L5" s="121" t="s">
        <v>169</v>
      </c>
      <c r="M5" s="126"/>
      <c r="N5" s="120"/>
      <c r="O5" s="120"/>
      <c r="P5" s="120"/>
      <c r="Q5" s="127"/>
      <c r="R5" s="125" t="s">
        <v>185</v>
      </c>
      <c r="S5" s="125"/>
      <c r="T5" s="128"/>
      <c r="U5" s="121"/>
      <c r="V5" s="121"/>
      <c r="W5" s="121"/>
      <c r="X5" s="121"/>
      <c r="Y5" s="128"/>
      <c r="Z5" s="125" t="s">
        <v>185</v>
      </c>
      <c r="AA5" s="125"/>
      <c r="AB5" s="128"/>
      <c r="AC5" s="121"/>
      <c r="AD5" s="121"/>
      <c r="AE5" s="121"/>
      <c r="AF5" s="121"/>
      <c r="AG5" s="128"/>
      <c r="AH5" s="125"/>
      <c r="AI5" s="125"/>
      <c r="AJ5" s="125"/>
      <c r="AK5" s="125"/>
      <c r="AL5" s="124"/>
      <c r="AM5" s="125"/>
      <c r="AN5" s="125"/>
      <c r="AO5" s="125"/>
      <c r="AP5" s="125"/>
      <c r="AQ5" s="135"/>
    </row>
    <row r="6" spans="3:43" ht="15.75" x14ac:dyDescent="0.25">
      <c r="C6" s="151" t="s">
        <v>171</v>
      </c>
      <c r="D6" s="117" t="s">
        <v>122</v>
      </c>
      <c r="E6" s="116" t="s">
        <v>172</v>
      </c>
      <c r="F6" s="116" t="s">
        <v>152</v>
      </c>
      <c r="G6" s="116" t="s">
        <v>173</v>
      </c>
      <c r="H6" s="116" t="s">
        <v>174</v>
      </c>
      <c r="I6" s="116" t="s">
        <v>123</v>
      </c>
      <c r="J6" s="116" t="s">
        <v>175</v>
      </c>
      <c r="K6" s="116" t="s">
        <v>176</v>
      </c>
      <c r="L6" s="152" t="s">
        <v>173</v>
      </c>
      <c r="M6" s="149" t="s">
        <v>97</v>
      </c>
      <c r="N6" s="116" t="s">
        <v>98</v>
      </c>
      <c r="O6" s="143" t="s">
        <v>177</v>
      </c>
      <c r="P6" s="144" t="s">
        <v>92</v>
      </c>
      <c r="Q6" s="145" t="s">
        <v>91</v>
      </c>
      <c r="R6" s="146" t="s">
        <v>186</v>
      </c>
      <c r="S6" s="144" t="s">
        <v>92</v>
      </c>
      <c r="T6" s="145" t="s">
        <v>91</v>
      </c>
      <c r="U6" s="116" t="s">
        <v>97</v>
      </c>
      <c r="V6" s="116" t="s">
        <v>98</v>
      </c>
      <c r="W6" s="143" t="s">
        <v>177</v>
      </c>
      <c r="X6" s="144" t="s">
        <v>92</v>
      </c>
      <c r="Y6" s="145" t="s">
        <v>91</v>
      </c>
      <c r="Z6" s="146" t="s">
        <v>186</v>
      </c>
      <c r="AA6" s="144" t="s">
        <v>92</v>
      </c>
      <c r="AB6" s="145" t="s">
        <v>91</v>
      </c>
      <c r="AC6" s="146" t="s">
        <v>97</v>
      </c>
      <c r="AD6" s="116" t="s">
        <v>98</v>
      </c>
      <c r="AE6" s="143" t="s">
        <v>177</v>
      </c>
      <c r="AF6" s="144" t="s">
        <v>92</v>
      </c>
      <c r="AG6" s="145" t="s">
        <v>91</v>
      </c>
      <c r="AH6" s="146" t="s">
        <v>97</v>
      </c>
      <c r="AI6" s="116" t="s">
        <v>98</v>
      </c>
      <c r="AJ6" s="143" t="s">
        <v>177</v>
      </c>
      <c r="AK6" s="144" t="s">
        <v>92</v>
      </c>
      <c r="AL6" s="147" t="s">
        <v>91</v>
      </c>
      <c r="AM6" s="146" t="s">
        <v>97</v>
      </c>
      <c r="AN6" s="116" t="s">
        <v>98</v>
      </c>
      <c r="AO6" s="143" t="s">
        <v>177</v>
      </c>
      <c r="AP6" s="144" t="s">
        <v>92</v>
      </c>
      <c r="AQ6" s="148" t="s">
        <v>91</v>
      </c>
    </row>
    <row r="7" spans="3:43" x14ac:dyDescent="0.25">
      <c r="C7" s="122"/>
      <c r="L7" s="150"/>
      <c r="P7" s="123"/>
      <c r="Q7" s="130"/>
      <c r="S7" s="123"/>
      <c r="T7" s="130"/>
      <c r="X7" s="123"/>
      <c r="Y7" s="130"/>
      <c r="AA7" s="123"/>
      <c r="AB7" s="130"/>
      <c r="AF7" s="123"/>
      <c r="AG7" s="130"/>
      <c r="AK7" s="123"/>
      <c r="AL7" s="130"/>
      <c r="AP7" s="123"/>
      <c r="AQ7" s="142"/>
    </row>
    <row r="8" spans="3:43" x14ac:dyDescent="0.25">
      <c r="C8" s="170" t="s">
        <v>156</v>
      </c>
      <c r="D8" s="171" t="s">
        <v>129</v>
      </c>
      <c r="E8" s="172">
        <v>36.99</v>
      </c>
      <c r="F8" s="115">
        <v>101.51</v>
      </c>
      <c r="G8" s="114">
        <f>E8*F8</f>
        <v>3754.8549000000003</v>
      </c>
      <c r="H8" s="114">
        <v>103.68</v>
      </c>
      <c r="I8" s="114">
        <v>334.85</v>
      </c>
      <c r="J8" s="114">
        <v>0</v>
      </c>
      <c r="K8" s="114">
        <v>0</v>
      </c>
      <c r="L8" s="137">
        <f>SUM(G8,I8,J8,K8)-H8</f>
        <v>3986.0249000000003</v>
      </c>
      <c r="M8" s="114">
        <v>1242.67</v>
      </c>
      <c r="N8" s="114">
        <v>1331.32</v>
      </c>
      <c r="O8" s="114">
        <v>1411.37</v>
      </c>
      <c r="P8" s="140">
        <v>1460</v>
      </c>
      <c r="Q8" s="136">
        <v>1540</v>
      </c>
      <c r="R8" s="173">
        <v>6.7299999999999999E-2</v>
      </c>
      <c r="S8" s="174">
        <f t="shared" ref="S8:S15" si="0">P8/N8-1</f>
        <v>9.6655950485232678E-2</v>
      </c>
      <c r="T8" s="175">
        <f t="shared" ref="T8:T15" si="1">Q8/P8-1</f>
        <v>5.4794520547945202E-2</v>
      </c>
      <c r="U8" s="114">
        <v>228.59</v>
      </c>
      <c r="V8" s="114">
        <v>249.7</v>
      </c>
      <c r="W8" s="114">
        <v>267.24</v>
      </c>
      <c r="X8" s="140">
        <v>281.39999999999998</v>
      </c>
      <c r="Y8" s="136">
        <v>301.76</v>
      </c>
      <c r="Z8" s="173">
        <v>6.0199999999999997E-2</v>
      </c>
      <c r="AA8" s="174">
        <f t="shared" ref="AA8:AA15" si="2">X8/V8-1</f>
        <v>0.12695234281137369</v>
      </c>
      <c r="AB8" s="175">
        <f t="shared" ref="AB8:AB15" si="3">Y8/X8-1</f>
        <v>7.235252309879181E-2</v>
      </c>
      <c r="AC8" s="114">
        <v>133.57</v>
      </c>
      <c r="AD8" s="114">
        <v>139.31</v>
      </c>
      <c r="AE8" s="114">
        <v>145.49</v>
      </c>
      <c r="AF8" s="140">
        <v>158.77000000000001</v>
      </c>
      <c r="AG8" s="136">
        <v>185.27</v>
      </c>
      <c r="AH8" s="173">
        <f t="shared" ref="AH8:AL15" si="4">U8/M8</f>
        <v>0.18395068682755678</v>
      </c>
      <c r="AI8" s="173">
        <f t="shared" si="4"/>
        <v>0.18755821290148122</v>
      </c>
      <c r="AJ8" s="173">
        <f t="shared" si="4"/>
        <v>0.18934793852781343</v>
      </c>
      <c r="AK8" s="174">
        <f t="shared" si="4"/>
        <v>0.19273972602739725</v>
      </c>
      <c r="AL8" s="175">
        <f t="shared" si="4"/>
        <v>0.19594805194805195</v>
      </c>
      <c r="AM8" s="173">
        <f t="shared" ref="AM8:AQ15" si="5">AC8/M8</f>
        <v>0.10748629966121334</v>
      </c>
      <c r="AN8" s="173">
        <f t="shared" si="5"/>
        <v>0.10464050716582039</v>
      </c>
      <c r="AO8" s="173">
        <f t="shared" si="5"/>
        <v>0.10308423730134551</v>
      </c>
      <c r="AP8" s="174">
        <f t="shared" si="5"/>
        <v>0.10874657534246576</v>
      </c>
      <c r="AQ8" s="176">
        <f t="shared" si="5"/>
        <v>0.12030519480519482</v>
      </c>
    </row>
    <row r="9" spans="3:43" x14ac:dyDescent="0.25">
      <c r="C9" s="170" t="s">
        <v>157</v>
      </c>
      <c r="D9" s="171" t="s">
        <v>130</v>
      </c>
      <c r="E9" s="172">
        <v>115.03</v>
      </c>
      <c r="F9" s="115">
        <v>66.38</v>
      </c>
      <c r="G9" s="114">
        <f t="shared" ref="G9:G25" si="6">E9*F9</f>
        <v>7635.6913999999997</v>
      </c>
      <c r="H9" s="114">
        <v>874.2</v>
      </c>
      <c r="I9" s="114">
        <v>6945.6</v>
      </c>
      <c r="J9" s="114">
        <v>0</v>
      </c>
      <c r="K9" s="114">
        <v>10.8</v>
      </c>
      <c r="L9" s="137">
        <f>SUM(G9,I9,J9,K9)-H9</f>
        <v>13717.891399999999</v>
      </c>
      <c r="M9" s="114">
        <v>6991</v>
      </c>
      <c r="N9" s="114">
        <v>7922.7</v>
      </c>
      <c r="O9" s="114">
        <v>7931.5</v>
      </c>
      <c r="P9" s="140">
        <v>7940</v>
      </c>
      <c r="Q9" s="136">
        <v>8080</v>
      </c>
      <c r="R9" s="173">
        <v>0.1636</v>
      </c>
      <c r="S9" s="174">
        <f t="shared" si="0"/>
        <v>2.1835990255847371E-3</v>
      </c>
      <c r="T9" s="175">
        <f t="shared" si="1"/>
        <v>1.7632241813602123E-2</v>
      </c>
      <c r="U9" s="114">
        <v>1063.3</v>
      </c>
      <c r="V9" s="114">
        <v>1284.2</v>
      </c>
      <c r="W9" s="114">
        <v>1297.2</v>
      </c>
      <c r="X9" s="140">
        <v>1450</v>
      </c>
      <c r="Y9" s="136">
        <v>1510</v>
      </c>
      <c r="Z9" s="173">
        <v>0.2462</v>
      </c>
      <c r="AA9" s="174">
        <f t="shared" si="2"/>
        <v>0.12910761563619366</v>
      </c>
      <c r="AB9" s="175">
        <f t="shared" si="3"/>
        <v>4.1379310344827669E-2</v>
      </c>
      <c r="AC9" s="114">
        <v>301.3</v>
      </c>
      <c r="AD9" s="114">
        <v>366.7</v>
      </c>
      <c r="AE9" s="114">
        <v>391.9</v>
      </c>
      <c r="AF9" s="140">
        <v>405</v>
      </c>
      <c r="AG9" s="136">
        <v>434.13</v>
      </c>
      <c r="AH9" s="173">
        <f t="shared" si="4"/>
        <v>0.15209555142325848</v>
      </c>
      <c r="AI9" s="173">
        <f t="shared" si="4"/>
        <v>0.16209120628068716</v>
      </c>
      <c r="AJ9" s="173">
        <f t="shared" si="4"/>
        <v>0.16355040030259094</v>
      </c>
      <c r="AK9" s="174">
        <f t="shared" si="4"/>
        <v>0.18261964735516373</v>
      </c>
      <c r="AL9" s="175">
        <f t="shared" si="4"/>
        <v>0.18688118811881188</v>
      </c>
      <c r="AM9" s="173">
        <f t="shared" si="5"/>
        <v>4.309826920326134E-2</v>
      </c>
      <c r="AN9" s="173">
        <f t="shared" si="5"/>
        <v>4.6284726166584626E-2</v>
      </c>
      <c r="AO9" s="173">
        <f t="shared" si="5"/>
        <v>4.9410578074765177E-2</v>
      </c>
      <c r="AP9" s="174">
        <f t="shared" si="5"/>
        <v>5.1007556675062973E-2</v>
      </c>
      <c r="AQ9" s="176">
        <f t="shared" si="5"/>
        <v>5.3728960396039603E-2</v>
      </c>
    </row>
    <row r="10" spans="3:43" x14ac:dyDescent="0.25">
      <c r="C10" s="170" t="s">
        <v>158</v>
      </c>
      <c r="D10" s="171" t="s">
        <v>131</v>
      </c>
      <c r="E10" s="172">
        <v>6.28</v>
      </c>
      <c r="F10" s="115">
        <v>101.6</v>
      </c>
      <c r="G10" s="114">
        <f t="shared" si="6"/>
        <v>638.048</v>
      </c>
      <c r="H10" s="114">
        <v>415.3</v>
      </c>
      <c r="I10" s="114">
        <v>2469.3000000000002</v>
      </c>
      <c r="J10" s="114">
        <v>0</v>
      </c>
      <c r="K10" s="114">
        <v>0</v>
      </c>
      <c r="L10" s="137">
        <f t="shared" ref="L10:L25" si="7">SUM(G10,I10,J10,K10)-H10</f>
        <v>2692.0479999999998</v>
      </c>
      <c r="M10" s="114">
        <v>5062.3999999999996</v>
      </c>
      <c r="N10" s="114">
        <v>4993.1000000000004</v>
      </c>
      <c r="O10" s="114">
        <v>4993.1000000000004</v>
      </c>
      <c r="P10" s="140">
        <v>4940</v>
      </c>
      <c r="Q10" s="136">
        <v>5140</v>
      </c>
      <c r="R10" s="173">
        <v>-2.0500000000000001E-2</v>
      </c>
      <c r="S10" s="174">
        <f t="shared" si="0"/>
        <v>-1.0634675852676745E-2</v>
      </c>
      <c r="T10" s="175">
        <f t="shared" si="1"/>
        <v>4.0485829959514108E-2</v>
      </c>
      <c r="U10" s="114">
        <v>523.9</v>
      </c>
      <c r="V10" s="114">
        <v>589.70000000000005</v>
      </c>
      <c r="W10" s="114">
        <v>589.70000000000005</v>
      </c>
      <c r="X10" s="140">
        <v>624.91999999999996</v>
      </c>
      <c r="Y10" s="136">
        <v>671.24</v>
      </c>
      <c r="Z10" s="173">
        <v>-6.3700000000000007E-2</v>
      </c>
      <c r="AA10" s="174">
        <f t="shared" si="2"/>
        <v>5.9725284042733362E-2</v>
      </c>
      <c r="AB10" s="175">
        <f t="shared" si="3"/>
        <v>7.4121487550406595E-2</v>
      </c>
      <c r="AC10" s="114">
        <v>142.19999999999999</v>
      </c>
      <c r="AD10" s="114">
        <v>254.3</v>
      </c>
      <c r="AE10" s="114">
        <v>254.3</v>
      </c>
      <c r="AF10" s="140">
        <v>179.18</v>
      </c>
      <c r="AG10" s="136">
        <v>232.72</v>
      </c>
      <c r="AH10" s="173">
        <f t="shared" si="4"/>
        <v>0.10348846396965866</v>
      </c>
      <c r="AI10" s="173">
        <f t="shared" si="4"/>
        <v>0.11810298211531914</v>
      </c>
      <c r="AJ10" s="173">
        <f t="shared" si="4"/>
        <v>0.11810298211531914</v>
      </c>
      <c r="AK10" s="174">
        <f t="shared" si="4"/>
        <v>0.12650202429149796</v>
      </c>
      <c r="AL10" s="175">
        <f t="shared" si="4"/>
        <v>0.13059143968871595</v>
      </c>
      <c r="AM10" s="173">
        <f t="shared" si="5"/>
        <v>2.808944374209861E-2</v>
      </c>
      <c r="AN10" s="173">
        <f t="shared" si="5"/>
        <v>5.0930283791632454E-2</v>
      </c>
      <c r="AO10" s="173">
        <f t="shared" si="5"/>
        <v>5.0930283791632454E-2</v>
      </c>
      <c r="AP10" s="174">
        <f t="shared" si="5"/>
        <v>3.6271255060728744E-2</v>
      </c>
      <c r="AQ10" s="176">
        <f t="shared" si="5"/>
        <v>4.5276264591439686E-2</v>
      </c>
    </row>
    <row r="11" spans="3:43" x14ac:dyDescent="0.25">
      <c r="C11" s="170" t="s">
        <v>159</v>
      </c>
      <c r="D11" s="171" t="s">
        <v>132</v>
      </c>
      <c r="E11" s="172">
        <v>108.38</v>
      </c>
      <c r="F11" s="115">
        <v>2599</v>
      </c>
      <c r="G11" s="114">
        <f t="shared" si="6"/>
        <v>281679.62</v>
      </c>
      <c r="H11" s="114">
        <v>7871</v>
      </c>
      <c r="I11" s="114">
        <v>63560</v>
      </c>
      <c r="J11" s="114">
        <v>0</v>
      </c>
      <c r="K11" s="114">
        <v>776</v>
      </c>
      <c r="L11" s="137">
        <f t="shared" si="7"/>
        <v>338144.62</v>
      </c>
      <c r="M11" s="114">
        <v>93351</v>
      </c>
      <c r="N11" s="114">
        <v>91720</v>
      </c>
      <c r="O11" s="114">
        <v>91720</v>
      </c>
      <c r="P11" s="140">
        <v>114280</v>
      </c>
      <c r="Q11" s="136">
        <v>117800</v>
      </c>
      <c r="R11" s="173">
        <v>-1.6299999999999999E-2</v>
      </c>
      <c r="S11" s="174">
        <f t="shared" si="0"/>
        <v>0.24596598342782383</v>
      </c>
      <c r="T11" s="175">
        <f t="shared" si="1"/>
        <v>3.0801540077003864E-2</v>
      </c>
      <c r="U11" s="114">
        <v>18156</v>
      </c>
      <c r="V11" s="114">
        <v>18177</v>
      </c>
      <c r="W11" s="114">
        <v>18177</v>
      </c>
      <c r="X11" s="140">
        <v>22750</v>
      </c>
      <c r="Y11" s="136">
        <v>24080</v>
      </c>
      <c r="Z11" s="173">
        <v>-1.6999999999999999E-3</v>
      </c>
      <c r="AA11" s="174">
        <f t="shared" si="2"/>
        <v>0.25158166914232272</v>
      </c>
      <c r="AB11" s="175">
        <f t="shared" si="3"/>
        <v>5.8461538461538565E-2</v>
      </c>
      <c r="AC11" s="114">
        <v>11209</v>
      </c>
      <c r="AD11" s="114">
        <v>10884</v>
      </c>
      <c r="AE11" s="114">
        <v>10884</v>
      </c>
      <c r="AF11" s="140">
        <v>13170</v>
      </c>
      <c r="AG11" s="136">
        <v>14080</v>
      </c>
      <c r="AH11" s="173">
        <f t="shared" si="4"/>
        <v>0.19449175691744064</v>
      </c>
      <c r="AI11" s="173">
        <f t="shared" si="4"/>
        <v>0.19817924116877453</v>
      </c>
      <c r="AJ11" s="173">
        <f t="shared" si="4"/>
        <v>0.19817924116877453</v>
      </c>
      <c r="AK11" s="174">
        <f t="shared" si="4"/>
        <v>0.19907245362268114</v>
      </c>
      <c r="AL11" s="175">
        <f t="shared" si="4"/>
        <v>0.20441426146010186</v>
      </c>
      <c r="AM11" s="173">
        <f t="shared" si="5"/>
        <v>0.12007370033529367</v>
      </c>
      <c r="AN11" s="173">
        <f t="shared" si="5"/>
        <v>0.11866550370693414</v>
      </c>
      <c r="AO11" s="173">
        <f t="shared" si="5"/>
        <v>0.11866550370693414</v>
      </c>
      <c r="AP11" s="174">
        <f t="shared" si="5"/>
        <v>0.11524326216310815</v>
      </c>
      <c r="AQ11" s="176">
        <f t="shared" si="5"/>
        <v>0.11952461799660441</v>
      </c>
    </row>
    <row r="12" spans="3:43" x14ac:dyDescent="0.25">
      <c r="C12" s="170" t="s">
        <v>160</v>
      </c>
      <c r="D12" s="171" t="s">
        <v>133</v>
      </c>
      <c r="E12" s="172">
        <v>57.66</v>
      </c>
      <c r="F12" s="115">
        <v>562.48</v>
      </c>
      <c r="G12" s="114">
        <f t="shared" si="6"/>
        <v>32432.596799999999</v>
      </c>
      <c r="H12" s="114">
        <v>521.29999999999995</v>
      </c>
      <c r="I12" s="114">
        <v>14187.3</v>
      </c>
      <c r="J12" s="114">
        <v>0</v>
      </c>
      <c r="K12" s="114">
        <v>249.4</v>
      </c>
      <c r="L12" s="137">
        <f t="shared" si="7"/>
        <v>46347.996800000001</v>
      </c>
      <c r="M12" s="114">
        <v>20094.2</v>
      </c>
      <c r="N12" s="114">
        <v>19857.2</v>
      </c>
      <c r="O12" s="114">
        <v>19644.3</v>
      </c>
      <c r="P12" s="140">
        <v>19520</v>
      </c>
      <c r="Q12" s="136">
        <v>19300</v>
      </c>
      <c r="R12" s="173">
        <v>2.2499999999999999E-2</v>
      </c>
      <c r="S12" s="174">
        <f t="shared" si="0"/>
        <v>-1.6981246097133584E-2</v>
      </c>
      <c r="T12" s="175">
        <f t="shared" si="1"/>
        <v>-1.1270491803278659E-2</v>
      </c>
      <c r="U12" s="114">
        <v>3693.9</v>
      </c>
      <c r="V12" s="114">
        <v>4321.3999999999996</v>
      </c>
      <c r="W12" s="114">
        <v>4205.7</v>
      </c>
      <c r="X12" s="140">
        <v>3900</v>
      </c>
      <c r="Y12" s="136">
        <v>3820</v>
      </c>
      <c r="Z12" s="173">
        <v>4.7E-2</v>
      </c>
      <c r="AA12" s="174">
        <f t="shared" si="2"/>
        <v>-9.7514694312028416E-2</v>
      </c>
      <c r="AB12" s="175">
        <f t="shared" si="3"/>
        <v>-2.0512820512820551E-2</v>
      </c>
      <c r="AC12" s="114">
        <v>2593.9</v>
      </c>
      <c r="AD12" s="114">
        <v>2496.6</v>
      </c>
      <c r="AE12" s="114">
        <v>2558.6999999999998</v>
      </c>
      <c r="AF12" s="140">
        <v>2380</v>
      </c>
      <c r="AG12" s="136">
        <v>2290</v>
      </c>
      <c r="AH12" s="173">
        <f t="shared" si="4"/>
        <v>0.18382916463457116</v>
      </c>
      <c r="AI12" s="173">
        <f t="shared" si="4"/>
        <v>0.21762383417601674</v>
      </c>
      <c r="AJ12" s="173">
        <f t="shared" si="4"/>
        <v>0.21409263755898658</v>
      </c>
      <c r="AK12" s="174">
        <f t="shared" si="4"/>
        <v>0.19979508196721313</v>
      </c>
      <c r="AL12" s="175">
        <f t="shared" si="4"/>
        <v>0.19792746113989637</v>
      </c>
      <c r="AM12" s="173">
        <f t="shared" si="5"/>
        <v>0.12908700022892178</v>
      </c>
      <c r="AN12" s="173">
        <f t="shared" si="5"/>
        <v>0.12572769574763812</v>
      </c>
      <c r="AO12" s="173">
        <f t="shared" si="5"/>
        <v>0.130251523342649</v>
      </c>
      <c r="AP12" s="174">
        <f t="shared" si="5"/>
        <v>0.12192622950819672</v>
      </c>
      <c r="AQ12" s="176">
        <f t="shared" si="5"/>
        <v>0.11865284974093264</v>
      </c>
    </row>
    <row r="13" spans="3:43" x14ac:dyDescent="0.25">
      <c r="C13" s="170" t="s">
        <v>161</v>
      </c>
      <c r="D13" s="171" t="s">
        <v>134</v>
      </c>
      <c r="E13" s="172">
        <v>30.39</v>
      </c>
      <c r="F13" s="115">
        <v>549.32000000000005</v>
      </c>
      <c r="G13" s="114">
        <f t="shared" si="6"/>
        <v>16693.834800000001</v>
      </c>
      <c r="H13" s="114">
        <v>866.41</v>
      </c>
      <c r="I13" s="114">
        <v>2857.39</v>
      </c>
      <c r="J13" s="114">
        <v>0</v>
      </c>
      <c r="K13" s="114">
        <v>10.1</v>
      </c>
      <c r="L13" s="137">
        <f t="shared" si="7"/>
        <v>18694.914799999999</v>
      </c>
      <c r="M13" s="114">
        <v>12110.01</v>
      </c>
      <c r="N13" s="114">
        <v>11920.8</v>
      </c>
      <c r="O13" s="114">
        <v>11912.7</v>
      </c>
      <c r="P13" s="140">
        <v>12110</v>
      </c>
      <c r="Q13" s="136">
        <v>12390</v>
      </c>
      <c r="R13" s="173">
        <v>-2.18E-2</v>
      </c>
      <c r="S13" s="174">
        <f t="shared" si="0"/>
        <v>1.5871418025635853E-2</v>
      </c>
      <c r="T13" s="175">
        <f t="shared" si="1"/>
        <v>2.3121387283236983E-2</v>
      </c>
      <c r="U13" s="114">
        <v>1320.33</v>
      </c>
      <c r="V13" s="114">
        <v>1356.36</v>
      </c>
      <c r="W13" s="114">
        <v>1317.44</v>
      </c>
      <c r="X13" s="140">
        <v>1450</v>
      </c>
      <c r="Y13" s="136">
        <v>1560</v>
      </c>
      <c r="Z13" s="173">
        <v>-5.5800000000000002E-2</v>
      </c>
      <c r="AA13" s="174">
        <f t="shared" si="2"/>
        <v>6.9037718599781916E-2</v>
      </c>
      <c r="AB13" s="175">
        <f t="shared" si="3"/>
        <v>7.5862068965517171E-2</v>
      </c>
      <c r="AC13" s="114">
        <v>793.57</v>
      </c>
      <c r="AD13" s="114">
        <v>805.04</v>
      </c>
      <c r="AE13" s="114">
        <v>756.75</v>
      </c>
      <c r="AF13" s="140">
        <v>862.39</v>
      </c>
      <c r="AG13" s="136">
        <v>979.51</v>
      </c>
      <c r="AH13" s="173">
        <f t="shared" si="4"/>
        <v>0.10902798593890509</v>
      </c>
      <c r="AI13" s="173">
        <f t="shared" si="4"/>
        <v>0.11378095429836924</v>
      </c>
      <c r="AJ13" s="173">
        <f t="shared" si="4"/>
        <v>0.11059121777598697</v>
      </c>
      <c r="AK13" s="174">
        <f t="shared" si="4"/>
        <v>0.11973575557390587</v>
      </c>
      <c r="AL13" s="175">
        <f t="shared" si="4"/>
        <v>0.12590799031476999</v>
      </c>
      <c r="AM13" s="173">
        <f t="shared" si="5"/>
        <v>6.5530086267476251E-2</v>
      </c>
      <c r="AN13" s="173">
        <f t="shared" si="5"/>
        <v>6.7532380377155893E-2</v>
      </c>
      <c r="AO13" s="173">
        <f t="shared" si="5"/>
        <v>6.3524641768868517E-2</v>
      </c>
      <c r="AP13" s="174">
        <f t="shared" si="5"/>
        <v>7.1213047068538399E-2</v>
      </c>
      <c r="AQ13" s="176">
        <f t="shared" si="5"/>
        <v>7.9056497175141238E-2</v>
      </c>
    </row>
    <row r="14" spans="3:43" x14ac:dyDescent="0.25">
      <c r="C14" s="170" t="s">
        <v>178</v>
      </c>
      <c r="D14" s="171" t="s">
        <v>179</v>
      </c>
      <c r="E14" s="172">
        <v>31.29</v>
      </c>
      <c r="F14" s="115">
        <v>59.29</v>
      </c>
      <c r="G14" s="114">
        <f t="shared" si="6"/>
        <v>1855.1840999999999</v>
      </c>
      <c r="H14" s="114">
        <v>164.67</v>
      </c>
      <c r="I14" s="115">
        <v>0.43</v>
      </c>
      <c r="J14" s="114">
        <v>0</v>
      </c>
      <c r="K14" s="114">
        <v>0</v>
      </c>
      <c r="L14" s="137">
        <f t="shared" si="7"/>
        <v>1690.9440999999999</v>
      </c>
      <c r="M14" s="114">
        <v>493.61</v>
      </c>
      <c r="N14" s="114">
        <v>516.01</v>
      </c>
      <c r="O14" s="114">
        <v>516.01</v>
      </c>
      <c r="P14" s="140">
        <v>568.74</v>
      </c>
      <c r="Q14" s="136">
        <v>628.67999999999995</v>
      </c>
      <c r="R14" s="173">
        <v>9.8299999999999998E-2</v>
      </c>
      <c r="S14" s="174">
        <f t="shared" si="0"/>
        <v>0.10218794209414539</v>
      </c>
      <c r="T14" s="175">
        <f t="shared" si="1"/>
        <v>0.10539086401519127</v>
      </c>
      <c r="U14" s="114">
        <v>57.15</v>
      </c>
      <c r="V14" s="114">
        <v>74.56</v>
      </c>
      <c r="W14" s="114">
        <v>74.56</v>
      </c>
      <c r="X14" s="140">
        <v>89.55</v>
      </c>
      <c r="Y14" s="136">
        <v>108.55</v>
      </c>
      <c r="Z14" s="173">
        <v>1.4633</v>
      </c>
      <c r="AA14" s="174">
        <f t="shared" si="2"/>
        <v>0.20104613733905574</v>
      </c>
      <c r="AB14" s="175">
        <f t="shared" si="3"/>
        <v>0.21217197096594087</v>
      </c>
      <c r="AC14" s="114">
        <v>46.63</v>
      </c>
      <c r="AD14" s="114">
        <v>55.95</v>
      </c>
      <c r="AE14" s="114">
        <v>55.95</v>
      </c>
      <c r="AF14" s="140">
        <v>64.62</v>
      </c>
      <c r="AG14" s="136">
        <v>80.61</v>
      </c>
      <c r="AH14" s="173">
        <f t="shared" si="4"/>
        <v>0.11577966410729118</v>
      </c>
      <c r="AI14" s="173">
        <f t="shared" si="4"/>
        <v>0.14449332377279511</v>
      </c>
      <c r="AJ14" s="173">
        <f t="shared" si="4"/>
        <v>0.14449332377279511</v>
      </c>
      <c r="AK14" s="174">
        <f t="shared" si="4"/>
        <v>0.15745331786053379</v>
      </c>
      <c r="AL14" s="175">
        <f t="shared" si="4"/>
        <v>0.17266335814722913</v>
      </c>
      <c r="AM14" s="173">
        <f t="shared" si="5"/>
        <v>9.4467291991653338E-2</v>
      </c>
      <c r="AN14" s="173">
        <f t="shared" si="5"/>
        <v>0.10842813123776672</v>
      </c>
      <c r="AO14" s="173">
        <f t="shared" si="5"/>
        <v>0.10842813123776672</v>
      </c>
      <c r="AP14" s="174">
        <f t="shared" si="5"/>
        <v>0.11361958012448571</v>
      </c>
      <c r="AQ14" s="176">
        <f t="shared" si="5"/>
        <v>0.12822103454857797</v>
      </c>
    </row>
    <row r="15" spans="3:43" x14ac:dyDescent="0.25">
      <c r="C15" s="170" t="s">
        <v>181</v>
      </c>
      <c r="D15" s="171" t="s">
        <v>180</v>
      </c>
      <c r="E15" s="172">
        <v>82.28</v>
      </c>
      <c r="F15" s="115">
        <v>346.13</v>
      </c>
      <c r="G15" s="114">
        <f t="shared" si="6"/>
        <v>28479.576400000002</v>
      </c>
      <c r="H15" s="114">
        <v>700</v>
      </c>
      <c r="I15" s="114">
        <v>6392</v>
      </c>
      <c r="J15" s="114">
        <v>0</v>
      </c>
      <c r="K15" s="114">
        <v>107</v>
      </c>
      <c r="L15" s="137">
        <f t="shared" si="7"/>
        <v>34278.576400000005</v>
      </c>
      <c r="M15" s="114">
        <v>13122</v>
      </c>
      <c r="N15" s="114">
        <v>12749</v>
      </c>
      <c r="O15" s="114">
        <v>12749</v>
      </c>
      <c r="P15" s="140">
        <v>12900</v>
      </c>
      <c r="Q15" s="136">
        <v>13220</v>
      </c>
      <c r="R15" s="173">
        <v>5.6899999999999999E-2</v>
      </c>
      <c r="S15" s="174">
        <f t="shared" si="0"/>
        <v>1.1844066201270653E-2</v>
      </c>
      <c r="T15" s="175">
        <f t="shared" si="1"/>
        <v>2.4806201550387597E-2</v>
      </c>
      <c r="U15" s="114">
        <v>1825</v>
      </c>
      <c r="V15" s="114">
        <v>2439</v>
      </c>
      <c r="W15" s="114">
        <v>2439</v>
      </c>
      <c r="X15" s="140">
        <v>2350</v>
      </c>
      <c r="Y15" s="136">
        <v>2450</v>
      </c>
      <c r="Z15" s="173">
        <v>0.24360000000000001</v>
      </c>
      <c r="AA15" s="174">
        <f t="shared" si="2"/>
        <v>-3.6490364903648986E-2</v>
      </c>
      <c r="AB15" s="175">
        <f t="shared" si="3"/>
        <v>4.2553191489361764E-2</v>
      </c>
      <c r="AC15" s="114">
        <v>951</v>
      </c>
      <c r="AD15" s="114">
        <v>1343</v>
      </c>
      <c r="AE15" s="114">
        <v>1343</v>
      </c>
      <c r="AF15" s="140">
        <v>1340</v>
      </c>
      <c r="AG15" s="136">
        <v>1410</v>
      </c>
      <c r="AH15" s="173">
        <f t="shared" si="4"/>
        <v>0.13907940862673374</v>
      </c>
      <c r="AI15" s="173">
        <f t="shared" si="4"/>
        <v>0.19130912228410071</v>
      </c>
      <c r="AJ15" s="173">
        <f t="shared" si="4"/>
        <v>0.19130912228410071</v>
      </c>
      <c r="AK15" s="174">
        <f t="shared" si="4"/>
        <v>0.18217054263565891</v>
      </c>
      <c r="AL15" s="175">
        <f t="shared" si="4"/>
        <v>0.18532526475037822</v>
      </c>
      <c r="AM15" s="173">
        <f t="shared" si="5"/>
        <v>7.2473708276177412E-2</v>
      </c>
      <c r="AN15" s="173">
        <f t="shared" si="5"/>
        <v>0.10534159541924856</v>
      </c>
      <c r="AO15" s="173">
        <f t="shared" si="5"/>
        <v>0.10534159541924856</v>
      </c>
      <c r="AP15" s="174">
        <f t="shared" si="5"/>
        <v>0.10387596899224806</v>
      </c>
      <c r="AQ15" s="176">
        <f t="shared" si="5"/>
        <v>0.10665658093797277</v>
      </c>
    </row>
    <row r="16" spans="3:43" x14ac:dyDescent="0.25">
      <c r="C16" s="170" t="s">
        <v>214</v>
      </c>
      <c r="D16" s="171" t="s">
        <v>215</v>
      </c>
      <c r="E16" s="172"/>
      <c r="F16" s="115"/>
      <c r="G16" s="114"/>
      <c r="H16" s="114"/>
      <c r="I16" s="114"/>
      <c r="J16" s="114"/>
      <c r="K16" s="114"/>
      <c r="L16" s="137"/>
      <c r="M16" s="114"/>
      <c r="N16" s="114"/>
      <c r="O16" s="114"/>
      <c r="P16" s="140"/>
      <c r="Q16" s="136"/>
      <c r="R16" s="173"/>
      <c r="S16" s="174"/>
      <c r="T16" s="175"/>
      <c r="U16" s="114"/>
      <c r="V16" s="114"/>
      <c r="W16" s="114"/>
      <c r="X16" s="140"/>
      <c r="Y16" s="136"/>
      <c r="Z16" s="173"/>
      <c r="AA16" s="174"/>
      <c r="AB16" s="175"/>
      <c r="AC16" s="114"/>
      <c r="AD16" s="114"/>
      <c r="AE16" s="114"/>
      <c r="AF16" s="140"/>
      <c r="AG16" s="136"/>
      <c r="AH16" s="173"/>
      <c r="AI16" s="173"/>
      <c r="AJ16" s="173"/>
      <c r="AK16" s="174"/>
      <c r="AL16" s="175"/>
      <c r="AM16" s="173"/>
      <c r="AN16" s="173"/>
      <c r="AO16" s="173"/>
      <c r="AP16" s="174"/>
      <c r="AQ16" s="176"/>
    </row>
    <row r="17" spans="3:43" x14ac:dyDescent="0.25">
      <c r="C17" s="170"/>
      <c r="D17" s="171"/>
      <c r="E17" s="172"/>
      <c r="F17" s="115"/>
      <c r="G17" s="114"/>
      <c r="H17" s="114"/>
      <c r="I17" s="114"/>
      <c r="J17" s="114"/>
      <c r="K17" s="114"/>
      <c r="L17" s="137"/>
      <c r="M17" s="114"/>
      <c r="N17" s="114"/>
      <c r="O17" s="114"/>
      <c r="P17" s="140"/>
      <c r="Q17" s="136"/>
      <c r="R17" s="177"/>
      <c r="S17" s="174"/>
      <c r="T17" s="175"/>
      <c r="U17" s="114"/>
      <c r="V17" s="114"/>
      <c r="W17" s="114"/>
      <c r="X17" s="140"/>
      <c r="Y17" s="136"/>
      <c r="Z17" s="177"/>
      <c r="AA17" s="174"/>
      <c r="AB17" s="175"/>
      <c r="AC17" s="114"/>
      <c r="AD17" s="114"/>
      <c r="AE17" s="114"/>
      <c r="AF17" s="140"/>
      <c r="AG17" s="136"/>
      <c r="AH17" s="177"/>
      <c r="AI17" s="177"/>
      <c r="AJ17" s="177"/>
      <c r="AK17" s="174"/>
      <c r="AL17" s="175"/>
      <c r="AM17" s="177"/>
      <c r="AN17" s="177"/>
      <c r="AO17" s="177"/>
      <c r="AP17" s="174"/>
      <c r="AQ17" s="176"/>
    </row>
    <row r="18" spans="3:43" x14ac:dyDescent="0.25">
      <c r="C18" s="178" t="s">
        <v>191</v>
      </c>
      <c r="D18" s="179"/>
      <c r="E18" s="153">
        <f>MIN(E8:E15)</f>
        <v>6.28</v>
      </c>
      <c r="F18" s="153">
        <f>MIN(F8:F15)</f>
        <v>59.29</v>
      </c>
      <c r="G18" s="153">
        <f>MIN(G8:G15)</f>
        <v>638.048</v>
      </c>
      <c r="H18" s="153">
        <f>MIN(H8:H15)</f>
        <v>103.68</v>
      </c>
      <c r="I18" s="153">
        <f>MIN(I8:I15)</f>
        <v>0.43</v>
      </c>
      <c r="J18" s="153">
        <f>MIN(J8:J15)</f>
        <v>0</v>
      </c>
      <c r="K18" s="153">
        <f>MIN(K8:K15)</f>
        <v>0</v>
      </c>
      <c r="L18" s="154">
        <f>MIN(L8:L15)</f>
        <v>1690.9440999999999</v>
      </c>
      <c r="M18" s="153">
        <f>MIN(M8:M15)</f>
        <v>493.61</v>
      </c>
      <c r="N18" s="153">
        <f>MIN(N8:N15)</f>
        <v>516.01</v>
      </c>
      <c r="O18" s="153">
        <f>MIN(O8:O15)</f>
        <v>516.01</v>
      </c>
      <c r="P18" s="155">
        <f>MIN(P8:P15)</f>
        <v>568.74</v>
      </c>
      <c r="Q18" s="156">
        <f>MIN(Q8:Q15)</f>
        <v>628.67999999999995</v>
      </c>
      <c r="R18" s="157">
        <f>MIN(R8:R15)</f>
        <v>-2.18E-2</v>
      </c>
      <c r="S18" s="158">
        <f>MIN(S8:S15)</f>
        <v>-1.6981246097133584E-2</v>
      </c>
      <c r="T18" s="159">
        <f>MIN(T8:T15)</f>
        <v>-1.1270491803278659E-2</v>
      </c>
      <c r="U18" s="153">
        <f>MIN(U8:U15)</f>
        <v>57.15</v>
      </c>
      <c r="V18" s="153">
        <f>MIN(V8:V15)</f>
        <v>74.56</v>
      </c>
      <c r="W18" s="153">
        <f>MIN(W8:W15)</f>
        <v>74.56</v>
      </c>
      <c r="X18" s="155">
        <f>MIN(X8:X15)</f>
        <v>89.55</v>
      </c>
      <c r="Y18" s="156">
        <f>MIN(Y8:Y15)</f>
        <v>108.55</v>
      </c>
      <c r="Z18" s="157">
        <f>MIN(Z8:Z15)</f>
        <v>-6.3700000000000007E-2</v>
      </c>
      <c r="AA18" s="158">
        <f>MIN(AA8:AA15)</f>
        <v>-9.7514694312028416E-2</v>
      </c>
      <c r="AB18" s="159">
        <f>MIN(AB8:AB15)</f>
        <v>-2.0512820512820551E-2</v>
      </c>
      <c r="AC18" s="153">
        <f>MIN(AC8:AC15)</f>
        <v>46.63</v>
      </c>
      <c r="AD18" s="153">
        <f>MIN(AD8:AD15)</f>
        <v>55.95</v>
      </c>
      <c r="AE18" s="153">
        <f>MIN(AE8:AE15)</f>
        <v>55.95</v>
      </c>
      <c r="AF18" s="155">
        <f>MIN(AF8:AF15)</f>
        <v>64.62</v>
      </c>
      <c r="AG18" s="156">
        <f>MIN(AG8:AG15)</f>
        <v>80.61</v>
      </c>
      <c r="AH18" s="157">
        <f>MIN(AH8:AH15)</f>
        <v>0.10348846396965866</v>
      </c>
      <c r="AI18" s="157">
        <f>MIN(AI8:AI15)</f>
        <v>0.11378095429836924</v>
      </c>
      <c r="AJ18" s="157">
        <f>MIN(AJ8:AJ15)</f>
        <v>0.11059121777598697</v>
      </c>
      <c r="AK18" s="158">
        <f>MIN(AK8:AK15)</f>
        <v>0.11973575557390587</v>
      </c>
      <c r="AL18" s="159">
        <f>MIN(AL8:AL15)</f>
        <v>0.12590799031476999</v>
      </c>
      <c r="AM18" s="157">
        <f>MIN(AM8:AM15)</f>
        <v>2.808944374209861E-2</v>
      </c>
      <c r="AN18" s="157">
        <f>MIN(AN8:AN15)</f>
        <v>4.6284726166584626E-2</v>
      </c>
      <c r="AO18" s="157">
        <f>MIN(AO8:AO15)</f>
        <v>4.9410578074765177E-2</v>
      </c>
      <c r="AP18" s="158">
        <f>MIN(AP8:AP15)</f>
        <v>3.6271255060728744E-2</v>
      </c>
      <c r="AQ18" s="160">
        <f>MIN(AQ8:AQ15)</f>
        <v>4.5276264591439686E-2</v>
      </c>
    </row>
    <row r="19" spans="3:43" x14ac:dyDescent="0.25">
      <c r="C19" s="170" t="s">
        <v>187</v>
      </c>
      <c r="D19" s="230"/>
      <c r="E19" s="231">
        <f>_xlfn.PERCENTILE.INC(E8:E15, 0.25)</f>
        <v>31.064999999999998</v>
      </c>
      <c r="F19" s="231">
        <f>_xlfn.PERCENTILE.INC(F8:F15, 0.25)</f>
        <v>92.727500000000006</v>
      </c>
      <c r="G19" s="231">
        <f>_xlfn.PERCENTILE.INC(G8:G15, 0.25)</f>
        <v>3279.9372000000003</v>
      </c>
      <c r="H19" s="231">
        <f>_xlfn.PERCENTILE.INC(H8:H15, 0.25)</f>
        <v>352.64250000000004</v>
      </c>
      <c r="I19" s="231">
        <f>_xlfn.PERCENTILE.INC(I8:I15, 0.25)</f>
        <v>1935.6875</v>
      </c>
      <c r="J19" s="231">
        <f>_xlfn.PERCENTILE.INC(J8:J15, 0.25)</f>
        <v>0</v>
      </c>
      <c r="K19" s="231">
        <f>_xlfn.PERCENTILE.INC(K8:K15, 0.25)</f>
        <v>0</v>
      </c>
      <c r="L19" s="137">
        <f>_xlfn.PERCENTILE.INC(L8:L15, 0.25)</f>
        <v>3662.530675</v>
      </c>
      <c r="M19" s="231">
        <f>_xlfn.PERCENTILE.INC(M8:M15, 0.25)</f>
        <v>4107.4674999999997</v>
      </c>
      <c r="N19" s="231">
        <f>_xlfn.PERCENTILE.INC(N8:N15, 0.25)</f>
        <v>4077.6550000000007</v>
      </c>
      <c r="O19" s="231">
        <f>_xlfn.PERCENTILE.INC(O8:O15, 0.25)</f>
        <v>4097.6675000000005</v>
      </c>
      <c r="P19" s="232">
        <f>_xlfn.PERCENTILE.INC(P8:P15, 0.25)</f>
        <v>4070</v>
      </c>
      <c r="Q19" s="136">
        <f>_xlfn.PERCENTILE.INC(Q8:Q15, 0.25)</f>
        <v>4240</v>
      </c>
      <c r="R19" s="138">
        <f>_xlfn.PERCENTILE.INC(R8:R15, 0.25)</f>
        <v>-1.7349999999999997E-2</v>
      </c>
      <c r="S19" s="141">
        <f>_xlfn.PERCENTILE.INC(S8:S15, 0.25)</f>
        <v>-1.0209696939806334E-3</v>
      </c>
      <c r="T19" s="139">
        <f>_xlfn.PERCENTILE.INC(T8:T15, 0.25)</f>
        <v>2.1749100915828268E-2</v>
      </c>
      <c r="U19" s="231">
        <f>_xlfn.PERCENTILE.INC(U8:U15, 0.25)</f>
        <v>450.07249999999999</v>
      </c>
      <c r="V19" s="231">
        <f>_xlfn.PERCENTILE.INC(V8:V15, 0.25)</f>
        <v>504.70000000000005</v>
      </c>
      <c r="W19" s="231">
        <f>_xlfn.PERCENTILE.INC(W8:W15, 0.25)</f>
        <v>509.08500000000004</v>
      </c>
      <c r="X19" s="232">
        <f>_xlfn.PERCENTILE.INC(X8:X15, 0.25)</f>
        <v>539.04</v>
      </c>
      <c r="Y19" s="136">
        <f>_xlfn.PERCENTILE.INC(Y8:Y15, 0.25)</f>
        <v>578.87</v>
      </c>
      <c r="Z19" s="138">
        <f>_xlfn.PERCENTILE.INC(Z8:Z15, 0.25)</f>
        <v>-1.5225000000000002E-2</v>
      </c>
      <c r="AA19" s="141">
        <f>_xlfn.PERCENTILE.INC(AA8:AA15, 0.25)</f>
        <v>3.5671371806137775E-2</v>
      </c>
      <c r="AB19" s="139">
        <f>_xlfn.PERCENTILE.INC(AB8:AB15, 0.25)</f>
        <v>4.225972120322824E-2</v>
      </c>
      <c r="AC19" s="231">
        <f>_xlfn.PERCENTILE.INC(AC8:AC15, 0.25)</f>
        <v>140.04249999999999</v>
      </c>
      <c r="AD19" s="231">
        <f>_xlfn.PERCENTILE.INC(AD8:AD15, 0.25)</f>
        <v>225.55250000000001</v>
      </c>
      <c r="AE19" s="231">
        <f>_xlfn.PERCENTILE.INC(AE8:AE15, 0.25)</f>
        <v>227.09750000000003</v>
      </c>
      <c r="AF19" s="232">
        <f>_xlfn.PERCENTILE.INC(AF8:AF15, 0.25)</f>
        <v>174.07750000000001</v>
      </c>
      <c r="AG19" s="136">
        <f>_xlfn.PERCENTILE.INC(AG8:AG15, 0.25)</f>
        <v>220.85750000000002</v>
      </c>
      <c r="AH19" s="138">
        <f>_xlfn.PERCENTILE.INC(AH8:AH15, 0.25)</f>
        <v>0.11409174456519466</v>
      </c>
      <c r="AI19" s="138">
        <f>_xlfn.PERCENTILE.INC(AI8:AI15, 0.25)</f>
        <v>0.13789573835842611</v>
      </c>
      <c r="AJ19" s="138">
        <f>_xlfn.PERCENTILE.INC(AJ8:AJ15, 0.25)</f>
        <v>0.13789573835842611</v>
      </c>
      <c r="AK19" s="141">
        <f>_xlfn.PERCENTILE.INC(AK8:AK15, 0.25)</f>
        <v>0.14971549446827484</v>
      </c>
      <c r="AL19" s="139">
        <f>_xlfn.PERCENTILE.INC(AL8:AL15, 0.25)</f>
        <v>0.16214537853260083</v>
      </c>
      <c r="AM19" s="138">
        <f>_xlfn.PERCENTILE.INC(AM8:AM15, 0.25)</f>
        <v>5.9922132001422525E-2</v>
      </c>
      <c r="AN19" s="138">
        <f>_xlfn.PERCENTILE.INC(AN8:AN15, 0.25)</f>
        <v>6.3381856230775038E-2</v>
      </c>
      <c r="AO19" s="138">
        <f>_xlfn.PERCENTILE.INC(AO8:AO15, 0.25)</f>
        <v>6.03760522745595E-2</v>
      </c>
      <c r="AP19" s="141">
        <f>_xlfn.PERCENTILE.INC(AP8:AP15, 0.25)</f>
        <v>6.6161674470169546E-2</v>
      </c>
      <c r="AQ19" s="161">
        <f>_xlfn.PERCENTILE.INC(AQ8:AQ15, 0.25)</f>
        <v>7.2724612980365838E-2</v>
      </c>
    </row>
    <row r="20" spans="3:43" x14ac:dyDescent="0.25">
      <c r="C20" s="243" t="s">
        <v>128</v>
      </c>
      <c r="D20" s="244"/>
      <c r="E20" s="250">
        <f>MEDIAN(E8:E15)</f>
        <v>47.325000000000003</v>
      </c>
      <c r="F20" s="250">
        <f>MEDIAN(F8:F15)</f>
        <v>223.86500000000001</v>
      </c>
      <c r="G20" s="250">
        <f>MEDIAN(G8:G15)</f>
        <v>12164.7631</v>
      </c>
      <c r="H20" s="250">
        <f>MEDIAN(H8:H15)</f>
        <v>610.65</v>
      </c>
      <c r="I20" s="250">
        <f>MEDIAN(I8:I15)</f>
        <v>4624.6949999999997</v>
      </c>
      <c r="J20" s="250">
        <f>MEDIAN(J8:J15)</f>
        <v>0</v>
      </c>
      <c r="K20" s="250">
        <f>MEDIAN(K8:K15)</f>
        <v>10.45</v>
      </c>
      <c r="L20" s="251">
        <f>MEDIAN(L8:L15)</f>
        <v>16206.4031</v>
      </c>
      <c r="M20" s="250">
        <f>MEDIAN(M8:M15)</f>
        <v>9550.505000000001</v>
      </c>
      <c r="N20" s="250">
        <f>MEDIAN(N8:N15)</f>
        <v>9921.75</v>
      </c>
      <c r="O20" s="250">
        <f>MEDIAN(O8:O15)</f>
        <v>9922.1</v>
      </c>
      <c r="P20" s="252">
        <f>MEDIAN(P8:P15)</f>
        <v>10025</v>
      </c>
      <c r="Q20" s="253">
        <f>MEDIAN(Q8:Q15)</f>
        <v>10235</v>
      </c>
      <c r="R20" s="254">
        <f>MEDIAN(R8:R15)</f>
        <v>3.9699999999999999E-2</v>
      </c>
      <c r="S20" s="255">
        <f>MEDIAN(S8:S15)</f>
        <v>1.3857742113453253E-2</v>
      </c>
      <c r="T20" s="256">
        <f>MEDIAN(T8:T15)</f>
        <v>2.780387081369573E-2</v>
      </c>
      <c r="U20" s="250">
        <f>MEDIAN(U8:U15)</f>
        <v>1191.8150000000001</v>
      </c>
      <c r="V20" s="250">
        <f>MEDIAN(V8:V15)</f>
        <v>1320.28</v>
      </c>
      <c r="W20" s="250">
        <f>MEDIAN(W8:W15)</f>
        <v>1307.3200000000002</v>
      </c>
      <c r="X20" s="252">
        <f>MEDIAN(X8:X15)</f>
        <v>1450</v>
      </c>
      <c r="Y20" s="253">
        <f>MEDIAN(Y8:Y15)</f>
        <v>1535</v>
      </c>
      <c r="Z20" s="254">
        <f>MEDIAN(Z8:Z15)</f>
        <v>5.3599999999999995E-2</v>
      </c>
      <c r="AA20" s="255">
        <f>MEDIAN(AA8:AA15)</f>
        <v>9.7995030705577801E-2</v>
      </c>
      <c r="AB20" s="256">
        <f>MEDIAN(AB8:AB15)</f>
        <v>6.5407030780165187E-2</v>
      </c>
      <c r="AC20" s="250">
        <f>MEDIAN(AC8:AC15)</f>
        <v>547.43500000000006</v>
      </c>
      <c r="AD20" s="250">
        <f>MEDIAN(AD8:AD15)</f>
        <v>585.87</v>
      </c>
      <c r="AE20" s="250">
        <f>MEDIAN(AE8:AE15)</f>
        <v>574.32500000000005</v>
      </c>
      <c r="AF20" s="252">
        <f>MEDIAN(AF8:AF15)</f>
        <v>633.69499999999994</v>
      </c>
      <c r="AG20" s="253">
        <f>MEDIAN(AG8:AG15)</f>
        <v>706.81999999999994</v>
      </c>
      <c r="AH20" s="254">
        <f>MEDIAN(AH8:AH15)</f>
        <v>0.14558748002499611</v>
      </c>
      <c r="AI20" s="254">
        <f>MEDIAN(AI8:AI15)</f>
        <v>0.1748247095910842</v>
      </c>
      <c r="AJ20" s="254">
        <f>MEDIAN(AJ8:AJ15)</f>
        <v>0.17644916941520217</v>
      </c>
      <c r="AK20" s="255">
        <f>MEDIAN(AK8:AK15)</f>
        <v>0.18239509499541132</v>
      </c>
      <c r="AL20" s="256">
        <f>MEDIAN(AL8:AL15)</f>
        <v>0.18610322643459504</v>
      </c>
      <c r="AM20" s="254">
        <f>MEDIAN(AM8:AM15)</f>
        <v>8.3470500133915382E-2</v>
      </c>
      <c r="AN20" s="254">
        <f>MEDIAN(AN8:AN15)</f>
        <v>0.10499105129253447</v>
      </c>
      <c r="AO20" s="254">
        <f>MEDIAN(AO8:AO15)</f>
        <v>0.10421291636029703</v>
      </c>
      <c r="AP20" s="255">
        <f>MEDIAN(AP8:AP15)</f>
        <v>0.10631127216735692</v>
      </c>
      <c r="AQ20" s="257">
        <f>MEDIAN(AQ8:AQ15)</f>
        <v>0.1126547153394527</v>
      </c>
    </row>
    <row r="21" spans="3:43" x14ac:dyDescent="0.25">
      <c r="C21" s="170" t="s">
        <v>188</v>
      </c>
      <c r="D21" s="230"/>
      <c r="E21" s="231">
        <f>_xlfn.PERCENTILE.INC(E8:E15, 0.75)</f>
        <v>88.805000000000007</v>
      </c>
      <c r="F21" s="231">
        <f>_xlfn.PERCENTILE.INC(F8:F15, 0.75)</f>
        <v>552.61</v>
      </c>
      <c r="G21" s="231">
        <f>_xlfn.PERCENTILE.INC(G8:G15, 0.75)</f>
        <v>29467.8315</v>
      </c>
      <c r="H21" s="231">
        <f>_xlfn.PERCENTILE.INC(H8:H15, 0.75)</f>
        <v>868.35749999999996</v>
      </c>
      <c r="I21" s="231">
        <f>_xlfn.PERCENTILE.INC(I8:I15, 0.75)</f>
        <v>8756.0249999999996</v>
      </c>
      <c r="J21" s="231">
        <f>_xlfn.PERCENTILE.INC(J8:J15, 0.75)</f>
        <v>0</v>
      </c>
      <c r="K21" s="231">
        <f>_xlfn.PERCENTILE.INC(K8:K15, 0.75)</f>
        <v>142.6</v>
      </c>
      <c r="L21" s="137">
        <f>_xlfn.PERCENTILE.INC(L8:L15, 0.75)</f>
        <v>37295.931500000006</v>
      </c>
      <c r="M21" s="231">
        <f>_xlfn.PERCENTILE.INC(M8:M15, 0.75)</f>
        <v>14865.05</v>
      </c>
      <c r="N21" s="231">
        <f>_xlfn.PERCENTILE.INC(N8:N15, 0.75)</f>
        <v>14526.05</v>
      </c>
      <c r="O21" s="231">
        <f>_xlfn.PERCENTILE.INC(O8:O15, 0.75)</f>
        <v>14472.825000000001</v>
      </c>
      <c r="P21" s="234">
        <f>_xlfn.PERCENTILE.INC(P8:P15, 0.75)</f>
        <v>14555</v>
      </c>
      <c r="Q21" s="235">
        <f>_xlfn.PERCENTILE.INC(Q8:Q15, 0.75)</f>
        <v>14740</v>
      </c>
      <c r="R21" s="233">
        <f>_xlfn.PERCENTILE.INC(R8:R15, 0.75)</f>
        <v>7.5050000000000006E-2</v>
      </c>
      <c r="S21" s="236">
        <f>_xlfn.PERCENTILE.INC(S8:S15, 0.75)</f>
        <v>9.8038948387460856E-2</v>
      </c>
      <c r="T21" s="237">
        <f>_xlfn.PERCENTILE.INC(T8:T15, 0.75)</f>
        <v>4.4063002606621882E-2</v>
      </c>
      <c r="U21" s="231">
        <f>_xlfn.PERCENTILE.INC(U8:U15, 0.75)</f>
        <v>2292.2249999999999</v>
      </c>
      <c r="V21" s="231">
        <f>_xlfn.PERCENTILE.INC(V8:V15, 0.75)</f>
        <v>2909.6</v>
      </c>
      <c r="W21" s="231">
        <f>_xlfn.PERCENTILE.INC(W8:W15, 0.75)</f>
        <v>2880.6750000000002</v>
      </c>
      <c r="X21" s="234">
        <f>_xlfn.PERCENTILE.INC(X8:X15, 0.75)</f>
        <v>2737.5</v>
      </c>
      <c r="Y21" s="235">
        <f>_xlfn.PERCENTILE.INC(Y8:Y15, 0.75)</f>
        <v>2792.5</v>
      </c>
      <c r="Z21" s="233">
        <f>_xlfn.PERCENTILE.INC(Z8:Z15, 0.75)</f>
        <v>0.24425000000000002</v>
      </c>
      <c r="AA21" s="236">
        <f>_xlfn.PERCENTILE.INC(AA8:AA15, 0.75)</f>
        <v>0.14709224606190918</v>
      </c>
      <c r="AB21" s="237">
        <f>_xlfn.PERCENTILE.INC(AB8:AB15, 0.75)</f>
        <v>7.4556632904184239E-2</v>
      </c>
      <c r="AC21" s="231">
        <f>_xlfn.PERCENTILE.INC(AC8:AC15, 0.75)</f>
        <v>1361.7249999999999</v>
      </c>
      <c r="AD21" s="231">
        <f>_xlfn.PERCENTILE.INC(AD8:AD15, 0.75)</f>
        <v>1631.4</v>
      </c>
      <c r="AE21" s="231">
        <f>_xlfn.PERCENTILE.INC(AE8:AE15, 0.75)</f>
        <v>1646.925</v>
      </c>
      <c r="AF21" s="234">
        <f>_xlfn.PERCENTILE.INC(AF8:AF15, 0.75)</f>
        <v>1600</v>
      </c>
      <c r="AG21" s="235">
        <f>_xlfn.PERCENTILE.INC(AG8:AG15, 0.75)</f>
        <v>1630</v>
      </c>
      <c r="AH21" s="233">
        <f>_xlfn.PERCENTILE.INC(AH8:AH15, 0.75)</f>
        <v>0.18385954518281755</v>
      </c>
      <c r="AI21" s="233">
        <f>_xlfn.PERCENTILE.INC(AI8:AI15, 0.75)</f>
        <v>0.19302665200526917</v>
      </c>
      <c r="AJ21" s="233">
        <f>_xlfn.PERCENTILE.INC(AJ8:AJ15, 0.75)</f>
        <v>0.19302665200526917</v>
      </c>
      <c r="AK21" s="236">
        <f>_xlfn.PERCENTILE.INC(AK8:AK15, 0.75)</f>
        <v>0.19432290792621823</v>
      </c>
      <c r="AL21" s="237">
        <f>_xlfn.PERCENTILE.INC(AL8:AL15, 0.75)</f>
        <v>0.19644290424601307</v>
      </c>
      <c r="AM21" s="233">
        <f>_xlfn.PERCENTILE.INC(AM8:AM15, 0.75)</f>
        <v>0.11063314982973342</v>
      </c>
      <c r="AN21" s="233">
        <f>_xlfn.PERCENTILE.INC(AN8:AN15, 0.75)</f>
        <v>0.11098747435505857</v>
      </c>
      <c r="AO21" s="233">
        <f>_xlfn.PERCENTILE.INC(AO8:AO15, 0.75)</f>
        <v>0.11098747435505857</v>
      </c>
      <c r="AP21" s="236">
        <f>_xlfn.PERCENTILE.INC(AP8:AP15, 0.75)</f>
        <v>0.11402550063414132</v>
      </c>
      <c r="AQ21" s="236">
        <f>_xlfn.PERCENTILE.INC(AQ8:AQ15, 0.75)</f>
        <v>0.11971976219875201</v>
      </c>
    </row>
    <row r="22" spans="3:43" x14ac:dyDescent="0.25">
      <c r="C22" s="180" t="s">
        <v>190</v>
      </c>
      <c r="D22" s="181"/>
      <c r="E22" s="162">
        <f>MAX(E8:E15)</f>
        <v>115.03</v>
      </c>
      <c r="F22" s="162">
        <f>MAX(F8:F15)</f>
        <v>2599</v>
      </c>
      <c r="G22" s="162">
        <f>MAX(G8:G15)</f>
        <v>281679.62</v>
      </c>
      <c r="H22" s="162">
        <f>MAX(H8:H15)</f>
        <v>7871</v>
      </c>
      <c r="I22" s="162">
        <f>MAX(I8:I15)</f>
        <v>63560</v>
      </c>
      <c r="J22" s="162">
        <f>MAX(J8:J15)</f>
        <v>0</v>
      </c>
      <c r="K22" s="162">
        <f>MAX(K8:K15)</f>
        <v>776</v>
      </c>
      <c r="L22" s="163">
        <f>MAX(L8:L15)</f>
        <v>338144.62</v>
      </c>
      <c r="M22" s="162">
        <f>MAX(M8:M15)</f>
        <v>93351</v>
      </c>
      <c r="N22" s="162">
        <f>MAX(N8:N15)</f>
        <v>91720</v>
      </c>
      <c r="O22" s="162">
        <f>MAX(O8:O15)</f>
        <v>91720</v>
      </c>
      <c r="P22" s="164">
        <f>MAX(P8:P15)</f>
        <v>114280</v>
      </c>
      <c r="Q22" s="165">
        <f>MAX(Q8:Q15)</f>
        <v>117800</v>
      </c>
      <c r="R22" s="166">
        <f>MAX(R8:R15)</f>
        <v>0.1636</v>
      </c>
      <c r="S22" s="167">
        <f>MAX(S8:S15)</f>
        <v>0.24596598342782383</v>
      </c>
      <c r="T22" s="168">
        <f>MAX(T8:T15)</f>
        <v>0.10539086401519127</v>
      </c>
      <c r="U22" s="162">
        <f>MAX(U8:U15)</f>
        <v>18156</v>
      </c>
      <c r="V22" s="162">
        <f>MAX(V8:V15)</f>
        <v>18177</v>
      </c>
      <c r="W22" s="162">
        <f>MAX(W8:W15)</f>
        <v>18177</v>
      </c>
      <c r="X22" s="164">
        <f>MAX(X8:X15)</f>
        <v>22750</v>
      </c>
      <c r="Y22" s="165">
        <f>MAX(Y8:Y15)</f>
        <v>24080</v>
      </c>
      <c r="Z22" s="166">
        <f>MAX(Z8:Z15)</f>
        <v>1.4633</v>
      </c>
      <c r="AA22" s="167">
        <f>MAX(AA8:AA15)</f>
        <v>0.25158166914232272</v>
      </c>
      <c r="AB22" s="168">
        <f>MAX(AB8:AB15)</f>
        <v>0.21217197096594087</v>
      </c>
      <c r="AC22" s="162">
        <f>MAX(AC8:AC15)</f>
        <v>11209</v>
      </c>
      <c r="AD22" s="162">
        <f>MAX(AD8:AD15)</f>
        <v>10884</v>
      </c>
      <c r="AE22" s="162">
        <f>MAX(AE8:AE15)</f>
        <v>10884</v>
      </c>
      <c r="AF22" s="164">
        <f>MAX(AF8:AF15)</f>
        <v>13170</v>
      </c>
      <c r="AG22" s="165">
        <f>MAX(AG8:AG15)</f>
        <v>14080</v>
      </c>
      <c r="AH22" s="166">
        <f>MAX(AH8:AH15)</f>
        <v>0.19449175691744064</v>
      </c>
      <c r="AI22" s="166">
        <f>MAX(AI8:AI15)</f>
        <v>0.21762383417601674</v>
      </c>
      <c r="AJ22" s="166">
        <f>MAX(AJ8:AJ15)</f>
        <v>0.21409263755898658</v>
      </c>
      <c r="AK22" s="167">
        <f>MAX(AK8:AK15)</f>
        <v>0.19979508196721313</v>
      </c>
      <c r="AL22" s="168">
        <f>MAX(AL8:AL15)</f>
        <v>0.20441426146010186</v>
      </c>
      <c r="AM22" s="166">
        <f>MAX(AM8:AM15)</f>
        <v>0.12908700022892178</v>
      </c>
      <c r="AN22" s="166">
        <f>MAX(AN8:AN15)</f>
        <v>0.12572769574763812</v>
      </c>
      <c r="AO22" s="166">
        <f>MAX(AO8:AO15)</f>
        <v>0.130251523342649</v>
      </c>
      <c r="AP22" s="167">
        <f>MAX(AP8:AP15)</f>
        <v>0.12192622950819672</v>
      </c>
      <c r="AQ22" s="169">
        <f>MAX(AQ8:AQ15)</f>
        <v>0.12822103454857797</v>
      </c>
    </row>
    <row r="23" spans="3:43" x14ac:dyDescent="0.25">
      <c r="C23" s="170"/>
      <c r="D23" s="171"/>
      <c r="E23" s="172"/>
      <c r="F23" s="115"/>
      <c r="G23" s="114"/>
      <c r="H23" s="114"/>
      <c r="I23" s="114"/>
      <c r="J23" s="114"/>
      <c r="K23" s="114"/>
      <c r="L23" s="137"/>
      <c r="M23" s="114"/>
      <c r="N23" s="182"/>
      <c r="O23" s="182"/>
      <c r="P23" s="183"/>
      <c r="Q23" s="184"/>
      <c r="R23" s="185"/>
      <c r="S23" s="186"/>
      <c r="T23" s="187"/>
      <c r="U23" s="182"/>
      <c r="V23" s="182"/>
      <c r="W23" s="182"/>
      <c r="X23" s="183"/>
      <c r="Y23" s="184"/>
      <c r="Z23" s="185"/>
      <c r="AA23" s="186"/>
      <c r="AB23" s="187"/>
      <c r="AC23" s="182"/>
      <c r="AD23" s="114"/>
      <c r="AE23" s="114"/>
      <c r="AF23" s="140"/>
      <c r="AG23" s="136"/>
      <c r="AH23" s="185"/>
      <c r="AI23" s="188"/>
      <c r="AJ23" s="188"/>
      <c r="AK23" s="189"/>
      <c r="AL23" s="190"/>
      <c r="AM23" s="188"/>
      <c r="AN23" s="188"/>
      <c r="AO23" s="188"/>
      <c r="AP23" s="189"/>
      <c r="AQ23" s="191"/>
    </row>
    <row r="24" spans="3:43" x14ac:dyDescent="0.25">
      <c r="C24" s="170"/>
      <c r="D24" s="171"/>
      <c r="E24" s="172"/>
      <c r="F24" s="115"/>
      <c r="G24" s="114"/>
      <c r="H24" s="114"/>
      <c r="I24" s="114"/>
      <c r="J24" s="114"/>
      <c r="K24" s="114"/>
      <c r="L24" s="137"/>
      <c r="M24" s="114"/>
      <c r="N24" s="182"/>
      <c r="O24" s="182"/>
      <c r="P24" s="183"/>
      <c r="Q24" s="184"/>
      <c r="R24" s="185"/>
      <c r="S24" s="186"/>
      <c r="T24" s="187"/>
      <c r="U24" s="182"/>
      <c r="V24" s="182"/>
      <c r="W24" s="182"/>
      <c r="X24" s="183"/>
      <c r="Y24" s="184"/>
      <c r="Z24" s="185"/>
      <c r="AA24" s="186"/>
      <c r="AB24" s="187"/>
      <c r="AC24" s="182"/>
      <c r="AD24" s="114"/>
      <c r="AE24" s="114"/>
      <c r="AF24" s="140"/>
      <c r="AG24" s="136"/>
      <c r="AH24" s="185"/>
      <c r="AI24" s="188"/>
      <c r="AJ24" s="188"/>
      <c r="AK24" s="189"/>
      <c r="AL24" s="190"/>
      <c r="AM24" s="188"/>
      <c r="AN24" s="188"/>
      <c r="AO24" s="188"/>
      <c r="AP24" s="189"/>
      <c r="AQ24" s="191"/>
    </row>
    <row r="25" spans="3:43" x14ac:dyDescent="0.25">
      <c r="C25" s="192" t="s">
        <v>243</v>
      </c>
      <c r="D25" s="193" t="s">
        <v>155</v>
      </c>
      <c r="E25" s="194">
        <f>Model!F4</f>
        <v>75.14</v>
      </c>
      <c r="F25" s="195">
        <v>131.82</v>
      </c>
      <c r="G25" s="196">
        <f t="shared" si="6"/>
        <v>9904.9547999999995</v>
      </c>
      <c r="H25" s="196">
        <v>49.6</v>
      </c>
      <c r="I25" s="196">
        <v>833</v>
      </c>
      <c r="J25" s="196">
        <v>0</v>
      </c>
      <c r="K25" s="196">
        <v>0</v>
      </c>
      <c r="L25" s="197">
        <f t="shared" si="7"/>
        <v>10688.354799999999</v>
      </c>
      <c r="M25" s="196">
        <v>1667</v>
      </c>
      <c r="N25" s="196">
        <v>1996</v>
      </c>
      <c r="O25" s="196">
        <v>2099</v>
      </c>
      <c r="P25" s="198">
        <v>2402</v>
      </c>
      <c r="Q25" s="199">
        <v>2806</v>
      </c>
      <c r="R25" s="200">
        <v>0.2064</v>
      </c>
      <c r="S25" s="201">
        <f>P25/N25-1</f>
        <v>0.20340681362725443</v>
      </c>
      <c r="T25" s="202">
        <f>Q25/P25-1</f>
        <v>0.16819317235636966</v>
      </c>
      <c r="U25" s="196">
        <v>314</v>
      </c>
      <c r="V25" s="196">
        <v>423</v>
      </c>
      <c r="W25" s="196">
        <v>447</v>
      </c>
      <c r="X25" s="198">
        <v>553</v>
      </c>
      <c r="Y25" s="199">
        <v>655</v>
      </c>
      <c r="Z25" s="200">
        <v>0.3473</v>
      </c>
      <c r="AA25" s="201">
        <f>X25/V25-1</f>
        <v>0.30732860520094563</v>
      </c>
      <c r="AB25" s="202">
        <f>Y25/X25-1</f>
        <v>0.18444846292947559</v>
      </c>
      <c r="AC25" s="196">
        <v>166</v>
      </c>
      <c r="AD25" s="196">
        <v>247</v>
      </c>
      <c r="AE25" s="196">
        <v>280</v>
      </c>
      <c r="AF25" s="198">
        <v>359</v>
      </c>
      <c r="AG25" s="199">
        <v>431</v>
      </c>
      <c r="AH25" s="200">
        <f>U25/M25</f>
        <v>0.18836232753449311</v>
      </c>
      <c r="AI25" s="200">
        <f>V25/N25</f>
        <v>0.21192384769539077</v>
      </c>
      <c r="AJ25" s="200">
        <f>W25/O25</f>
        <v>0.21295855169128156</v>
      </c>
      <c r="AK25" s="201">
        <f>X25/P25</f>
        <v>0.23022481265611991</v>
      </c>
      <c r="AL25" s="202">
        <f>Y25/Q25</f>
        <v>0.23342836778332146</v>
      </c>
      <c r="AM25" s="200">
        <f>AC25/M25</f>
        <v>9.9580083983203366E-2</v>
      </c>
      <c r="AN25" s="200">
        <f>AD25/N25</f>
        <v>0.12374749498997996</v>
      </c>
      <c r="AO25" s="200">
        <f>AE25/O25</f>
        <v>0.13339685564554549</v>
      </c>
      <c r="AP25" s="201">
        <f>AF25/P25</f>
        <v>0.14945878434637802</v>
      </c>
      <c r="AQ25" s="203">
        <f>AG25/Q25</f>
        <v>0.15359942979330007</v>
      </c>
    </row>
    <row r="26" spans="3:43" x14ac:dyDescent="0.25">
      <c r="R26" s="11"/>
      <c r="AD26" s="11"/>
      <c r="AE26" s="11"/>
      <c r="AF26" s="11"/>
      <c r="AG26" s="11"/>
    </row>
    <row r="27" spans="3:43" ht="26.25" x14ac:dyDescent="0.4">
      <c r="C27" s="259" t="s">
        <v>189</v>
      </c>
      <c r="D27" s="118"/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8"/>
      <c r="AJ27" s="118"/>
      <c r="AK27" s="118"/>
      <c r="AL27" s="118"/>
      <c r="AM27" s="118"/>
      <c r="AN27" s="118"/>
      <c r="AO27" s="118"/>
      <c r="AP27" s="118"/>
      <c r="AQ27" s="118"/>
    </row>
    <row r="29" spans="3:43" ht="15.75" x14ac:dyDescent="0.25">
      <c r="C29" s="131"/>
      <c r="D29" s="132"/>
      <c r="E29" s="227" t="s">
        <v>192</v>
      </c>
      <c r="F29" s="228"/>
      <c r="G29" s="228"/>
      <c r="H29" s="229"/>
      <c r="I29" s="223" t="s">
        <v>193</v>
      </c>
      <c r="J29" s="224"/>
      <c r="K29" s="224"/>
      <c r="L29" s="225"/>
      <c r="M29" s="223" t="s">
        <v>194</v>
      </c>
      <c r="N29" s="224"/>
      <c r="O29" s="224"/>
      <c r="P29" s="225"/>
      <c r="Q29" s="223" t="s">
        <v>164</v>
      </c>
      <c r="R29" s="226"/>
    </row>
    <row r="30" spans="3:43" ht="15.75" x14ac:dyDescent="0.25">
      <c r="C30" s="134"/>
      <c r="D30" s="129"/>
      <c r="E30" s="120"/>
      <c r="F30" s="120"/>
      <c r="G30" s="120"/>
      <c r="H30" s="127"/>
      <c r="I30" s="121"/>
      <c r="J30" s="121"/>
      <c r="K30" s="121"/>
      <c r="L30" s="128"/>
      <c r="M30" s="121"/>
      <c r="N30" s="121"/>
      <c r="O30" s="121"/>
      <c r="P30" s="128"/>
      <c r="Q30" s="125"/>
      <c r="R30" s="135"/>
    </row>
    <row r="31" spans="3:43" ht="15.75" x14ac:dyDescent="0.25">
      <c r="C31" s="151" t="s">
        <v>171</v>
      </c>
      <c r="D31" s="117" t="s">
        <v>122</v>
      </c>
      <c r="E31" s="116" t="s">
        <v>98</v>
      </c>
      <c r="F31" s="143" t="s">
        <v>177</v>
      </c>
      <c r="G31" s="144" t="s">
        <v>92</v>
      </c>
      <c r="H31" s="145" t="s">
        <v>91</v>
      </c>
      <c r="I31" s="116" t="s">
        <v>98</v>
      </c>
      <c r="J31" s="143" t="s">
        <v>177</v>
      </c>
      <c r="K31" s="144" t="s">
        <v>92</v>
      </c>
      <c r="L31" s="145" t="s">
        <v>91</v>
      </c>
      <c r="M31" s="116" t="s">
        <v>98</v>
      </c>
      <c r="N31" s="143" t="s">
        <v>177</v>
      </c>
      <c r="O31" s="144" t="s">
        <v>92</v>
      </c>
      <c r="P31" s="145" t="s">
        <v>91</v>
      </c>
      <c r="Q31" s="144" t="s">
        <v>92</v>
      </c>
      <c r="R31" s="148" t="s">
        <v>91</v>
      </c>
    </row>
    <row r="32" spans="3:43" x14ac:dyDescent="0.25">
      <c r="C32" s="122"/>
      <c r="G32" s="123"/>
      <c r="H32" s="130"/>
      <c r="K32" s="123"/>
      <c r="L32" s="130"/>
      <c r="O32" s="123"/>
      <c r="P32" s="130"/>
      <c r="Q32" s="123"/>
      <c r="R32" s="142"/>
    </row>
    <row r="33" spans="3:18" x14ac:dyDescent="0.25">
      <c r="C33" s="170" t="s">
        <v>156</v>
      </c>
      <c r="D33" s="171" t="s">
        <v>129</v>
      </c>
      <c r="E33" s="115">
        <f>$L8/V8</f>
        <v>15.963255506607931</v>
      </c>
      <c r="F33" s="115">
        <f>$L8/W8</f>
        <v>14.915524996258046</v>
      </c>
      <c r="G33" s="204">
        <f>$L8/X8</f>
        <v>14.164978322672354</v>
      </c>
      <c r="H33" s="205">
        <f>$L8/Y8</f>
        <v>13.209255368504774</v>
      </c>
      <c r="I33" s="115">
        <f>$L8/N8</f>
        <v>2.9940396749091134</v>
      </c>
      <c r="J33" s="115">
        <f>$L8/O8</f>
        <v>2.8242239101015332</v>
      </c>
      <c r="K33" s="204">
        <f>$L8/P8</f>
        <v>2.7301540410958904</v>
      </c>
      <c r="L33" s="205">
        <f>$L8/Q8</f>
        <v>2.5883278571428572</v>
      </c>
      <c r="M33" s="115">
        <f>$G8/AD8</f>
        <v>26.953233077309598</v>
      </c>
      <c r="N33" s="115">
        <f>$G8/AE8</f>
        <v>25.808336655440236</v>
      </c>
      <c r="O33" s="204">
        <f>$G8/AF8</f>
        <v>23.649649807898218</v>
      </c>
      <c r="P33" s="205">
        <f>$G8/AG8</f>
        <v>20.266934204134508</v>
      </c>
      <c r="Q33" s="214">
        <f>E8/(((AF8/AD8)-1)*100)</f>
        <v>2.6480354059609428</v>
      </c>
      <c r="R33" s="215">
        <f>E8/(((AG8/AF8)-1)*100)</f>
        <v>2.2161895471698103</v>
      </c>
    </row>
    <row r="34" spans="3:18" x14ac:dyDescent="0.25">
      <c r="C34" s="170" t="s">
        <v>157</v>
      </c>
      <c r="D34" s="171" t="s">
        <v>130</v>
      </c>
      <c r="E34" s="115">
        <f>$L9/V9</f>
        <v>10.682052172558789</v>
      </c>
      <c r="F34" s="115">
        <f>$L9/W9</f>
        <v>10.57500107924761</v>
      </c>
      <c r="G34" s="204">
        <f>$L9/X9</f>
        <v>9.4606147586206895</v>
      </c>
      <c r="H34" s="205">
        <f>$L9/Y9</f>
        <v>9.0846962913907277</v>
      </c>
      <c r="I34" s="115">
        <f>$L9/N9</f>
        <v>1.7314667222032891</v>
      </c>
      <c r="J34" s="115">
        <f>$L9/O9</f>
        <v>1.7295456597112777</v>
      </c>
      <c r="K34" s="204">
        <f>$L9/P9</f>
        <v>1.7276941309823677</v>
      </c>
      <c r="L34" s="205">
        <f>$L9/Q9</f>
        <v>1.6977588366336631</v>
      </c>
      <c r="M34" s="115">
        <f>$G9/AD9</f>
        <v>20.822719934551404</v>
      </c>
      <c r="N34" s="115">
        <f>$G9/AE9</f>
        <v>19.483774942587395</v>
      </c>
      <c r="O34" s="204">
        <f>$G9/AF9</f>
        <v>18.853559012345677</v>
      </c>
      <c r="P34" s="205">
        <f>$G9/AG9</f>
        <v>17.588490544307003</v>
      </c>
      <c r="Q34" s="214">
        <f>E9/(((AF9/AD9)-1)*100)</f>
        <v>11.013446736292416</v>
      </c>
      <c r="R34" s="215">
        <f>E9/(((AG9/AF9)-1)*100)</f>
        <v>15.992842430484032</v>
      </c>
    </row>
    <row r="35" spans="3:18" x14ac:dyDescent="0.25">
      <c r="C35" s="170" t="s">
        <v>158</v>
      </c>
      <c r="D35" s="171" t="s">
        <v>131</v>
      </c>
      <c r="E35" s="115">
        <f>$L10/V10</f>
        <v>4.5651144649821935</v>
      </c>
      <c r="F35" s="115">
        <f>$L10/W10</f>
        <v>4.5651144649821935</v>
      </c>
      <c r="G35" s="204">
        <f>$L10/X10</f>
        <v>4.3078282020098575</v>
      </c>
      <c r="H35" s="205">
        <f>$L10/Y10</f>
        <v>4.0105595614087353</v>
      </c>
      <c r="I35" s="115">
        <f>$L10/N10</f>
        <v>0.5391536320121767</v>
      </c>
      <c r="J35" s="115">
        <f>$L10/O10</f>
        <v>0.5391536320121767</v>
      </c>
      <c r="K35" s="204">
        <f>$L10/P10</f>
        <v>0.54494898785425094</v>
      </c>
      <c r="L35" s="205">
        <f>$L10/Q10</f>
        <v>0.52374474708171204</v>
      </c>
      <c r="M35" s="115">
        <f>$G10/AD10</f>
        <v>2.5090365709791582</v>
      </c>
      <c r="N35" s="115">
        <f>$G10/AE10</f>
        <v>2.5090365709791582</v>
      </c>
      <c r="O35" s="204">
        <f>$G10/AF10</f>
        <v>3.5609331398593591</v>
      </c>
      <c r="P35" s="205">
        <f>$G10/AG10</f>
        <v>2.7416981780680647</v>
      </c>
      <c r="Q35" s="214">
        <f>E10/(((AF10/AD10)-1)*100)</f>
        <v>-0.21259371671991475</v>
      </c>
      <c r="R35" s="215">
        <f>E10/(((AG10/AF10)-1)*100)</f>
        <v>0.21017004109077336</v>
      </c>
    </row>
    <row r="36" spans="3:18" x14ac:dyDescent="0.25">
      <c r="C36" s="170" t="s">
        <v>159</v>
      </c>
      <c r="D36" s="171" t="s">
        <v>132</v>
      </c>
      <c r="E36" s="115">
        <f>$L11/V11</f>
        <v>18.602883864224019</v>
      </c>
      <c r="F36" s="115">
        <f>$L11/W11</f>
        <v>18.602883864224019</v>
      </c>
      <c r="G36" s="204">
        <f>$L11/X11</f>
        <v>14.863499780219779</v>
      </c>
      <c r="H36" s="205">
        <f>$L11/Y11</f>
        <v>14.042550664451827</v>
      </c>
      <c r="I36" s="115">
        <f>$L11/N11</f>
        <v>3.6867054077627563</v>
      </c>
      <c r="J36" s="115">
        <f>$L11/O11</f>
        <v>3.6867054077627563</v>
      </c>
      <c r="K36" s="204">
        <f>$L11/P11</f>
        <v>2.9589133706685335</v>
      </c>
      <c r="L36" s="205">
        <f>$L11/Q11</f>
        <v>2.870497623089983</v>
      </c>
      <c r="M36" s="115">
        <f>$G11/AD11</f>
        <v>25.880156192576258</v>
      </c>
      <c r="N36" s="115">
        <f>$G11/AE11</f>
        <v>25.880156192576258</v>
      </c>
      <c r="O36" s="204">
        <f>$G11/AF11</f>
        <v>21.387974183750948</v>
      </c>
      <c r="P36" s="205">
        <f>$G11/AG11</f>
        <v>20.005654829545453</v>
      </c>
      <c r="Q36" s="214">
        <f>E11/(((AF11/AD11)-1)*100)</f>
        <v>5.1601396325459312</v>
      </c>
      <c r="R36" s="215">
        <f>E11/(((AG11/AF11)-1)*100)</f>
        <v>15.685325274725281</v>
      </c>
    </row>
    <row r="37" spans="3:18" x14ac:dyDescent="0.25">
      <c r="C37" s="170" t="s">
        <v>160</v>
      </c>
      <c r="D37" s="171" t="s">
        <v>133</v>
      </c>
      <c r="E37" s="115">
        <f>$L12/V12</f>
        <v>10.725227194890547</v>
      </c>
      <c r="F37" s="115">
        <f>$L12/W12</f>
        <v>11.020281237368334</v>
      </c>
      <c r="G37" s="204">
        <f>$L12/X12</f>
        <v>11.884101743589744</v>
      </c>
      <c r="H37" s="205">
        <f>$L12/Y12</f>
        <v>12.132983455497383</v>
      </c>
      <c r="I37" s="115">
        <f>$L12/N12</f>
        <v>2.3340650645609653</v>
      </c>
      <c r="J37" s="115">
        <f>$L12/O12</f>
        <v>2.3593610767499991</v>
      </c>
      <c r="K37" s="204">
        <f>$L12/P12</f>
        <v>2.3743850819672132</v>
      </c>
      <c r="L37" s="205">
        <f>$L12/Q12</f>
        <v>2.401450611398964</v>
      </c>
      <c r="M37" s="115">
        <f>$G12/AD12</f>
        <v>12.990706080269167</v>
      </c>
      <c r="N37" s="115">
        <f>$G12/AE12</f>
        <v>12.675419861648495</v>
      </c>
      <c r="O37" s="204">
        <f>$G12/AF12</f>
        <v>13.627141512605041</v>
      </c>
      <c r="P37" s="205">
        <f>$G12/AG12</f>
        <v>14.162706026200873</v>
      </c>
      <c r="Q37" s="214">
        <f>E12/(((AF12/AD12)-1)*100)</f>
        <v>-12.345965351629518</v>
      </c>
      <c r="R37" s="215">
        <f>E12/(((AG12/AF12)-1)*100)</f>
        <v>-15.247866666666676</v>
      </c>
    </row>
    <row r="38" spans="3:18" x14ac:dyDescent="0.25">
      <c r="C38" s="170" t="s">
        <v>161</v>
      </c>
      <c r="D38" s="171" t="s">
        <v>134</v>
      </c>
      <c r="E38" s="115">
        <f>$L13/V13</f>
        <v>13.783151080833997</v>
      </c>
      <c r="F38" s="115">
        <f>$L13/W13</f>
        <v>14.190334891911585</v>
      </c>
      <c r="G38" s="204">
        <f>$L13/X13</f>
        <v>12.893044689655172</v>
      </c>
      <c r="H38" s="205">
        <f>$L13/Y13</f>
        <v>11.983919743589743</v>
      </c>
      <c r="I38" s="115">
        <f>$L13/N13</f>
        <v>1.5682600832158915</v>
      </c>
      <c r="J38" s="115">
        <f>$L13/O13</f>
        <v>1.5693264163455805</v>
      </c>
      <c r="K38" s="204">
        <f>$L13/P13</f>
        <v>1.5437584475639965</v>
      </c>
      <c r="L38" s="205">
        <f>$L13/Q13</f>
        <v>1.508871251008878</v>
      </c>
      <c r="M38" s="115">
        <f>$G13/AD13</f>
        <v>20.736652588691246</v>
      </c>
      <c r="N38" s="115">
        <f>$G13/AE13</f>
        <v>22.059907234886026</v>
      </c>
      <c r="O38" s="204">
        <f>$G13/AF13</f>
        <v>19.357639583019285</v>
      </c>
      <c r="P38" s="205">
        <f>$G13/AG13</f>
        <v>17.043046829537218</v>
      </c>
      <c r="Q38" s="214">
        <f>E13/(((AF13/AD13)-1)*100)</f>
        <v>4.2659399476896267</v>
      </c>
      <c r="R38" s="215">
        <f>E13/(((AG13/AF13)-1)*100)</f>
        <v>2.2377076588114742</v>
      </c>
    </row>
    <row r="39" spans="3:18" x14ac:dyDescent="0.25">
      <c r="C39" s="170" t="s">
        <v>178</v>
      </c>
      <c r="D39" s="171" t="s">
        <v>179</v>
      </c>
      <c r="E39" s="115">
        <f>$L14/V14</f>
        <v>22.678971298283262</v>
      </c>
      <c r="F39" s="115">
        <f>$L14/W14</f>
        <v>22.678971298283262</v>
      </c>
      <c r="G39" s="204">
        <f>$L14/X14</f>
        <v>18.88268118369626</v>
      </c>
      <c r="H39" s="205">
        <f>$L14/Y14</f>
        <v>15.577559649930906</v>
      </c>
      <c r="I39" s="115">
        <f>$L14/N14</f>
        <v>3.2769599426367706</v>
      </c>
      <c r="J39" s="115">
        <f>$L14/O14</f>
        <v>3.2769599426367706</v>
      </c>
      <c r="K39" s="204">
        <f>$L14/P14</f>
        <v>2.9731408024756476</v>
      </c>
      <c r="L39" s="205">
        <f>$L14/Q14</f>
        <v>2.6896737608958454</v>
      </c>
      <c r="M39" s="115">
        <f>$G14/AD14</f>
        <v>33.157892761394102</v>
      </c>
      <c r="N39" s="115">
        <f>$G14/AE14</f>
        <v>33.157892761394102</v>
      </c>
      <c r="O39" s="204">
        <f>$G14/AF14</f>
        <v>28.70913184772516</v>
      </c>
      <c r="P39" s="205">
        <f>$G14/AG14</f>
        <v>23.01431708224786</v>
      </c>
      <c r="Q39" s="214">
        <f>E14/(((AF14/AD14)-1)*100)</f>
        <v>2.0192335640138408</v>
      </c>
      <c r="R39" s="215">
        <f>E14/(((AG14/AF14)-1)*100)</f>
        <v>1.2645151969981239</v>
      </c>
    </row>
    <row r="40" spans="3:18" x14ac:dyDescent="0.25">
      <c r="C40" s="170" t="s">
        <v>181</v>
      </c>
      <c r="D40" s="171" t="s">
        <v>180</v>
      </c>
      <c r="E40" s="115">
        <f>$L15/V15</f>
        <v>14.054356867568679</v>
      </c>
      <c r="F40" s="115">
        <f>$L15/W15</f>
        <v>14.054356867568679</v>
      </c>
      <c r="G40" s="204">
        <f>$L15/X15</f>
        <v>14.586628255319152</v>
      </c>
      <c r="H40" s="205">
        <f>$L15/Y15</f>
        <v>13.991255673469389</v>
      </c>
      <c r="I40" s="115">
        <f>$L15/N15</f>
        <v>2.6887266766020868</v>
      </c>
      <c r="J40" s="115">
        <f>$L15/O15</f>
        <v>2.6887266766020868</v>
      </c>
      <c r="K40" s="204">
        <f>$L15/P15</f>
        <v>2.6572539844961245</v>
      </c>
      <c r="L40" s="205">
        <f>$L15/Q15</f>
        <v>2.5929331618759459</v>
      </c>
      <c r="M40" s="115">
        <f>$G15/AD15</f>
        <v>21.205939240506332</v>
      </c>
      <c r="N40" s="115">
        <f>$G15/AE15</f>
        <v>21.205939240506332</v>
      </c>
      <c r="O40" s="204">
        <f>$G15/AF15</f>
        <v>21.253415223880598</v>
      </c>
      <c r="P40" s="205">
        <f>$G15/AG15</f>
        <v>20.198281134751774</v>
      </c>
      <c r="Q40" s="214">
        <f>E15/(((AF15/AD15)-1)*100)</f>
        <v>-368.3401333333249</v>
      </c>
      <c r="R40" s="215">
        <f>E15/(((AG15/AF15)-1)*100)</f>
        <v>15.750742857142844</v>
      </c>
    </row>
    <row r="41" spans="3:18" x14ac:dyDescent="0.25">
      <c r="C41" s="170"/>
      <c r="D41" s="171"/>
      <c r="E41" s="115"/>
      <c r="F41" s="115"/>
      <c r="G41" s="204"/>
      <c r="H41" s="205"/>
      <c r="I41" s="115"/>
      <c r="J41" s="115"/>
      <c r="K41" s="204"/>
      <c r="L41" s="205"/>
      <c r="M41" s="115"/>
      <c r="N41" s="115"/>
      <c r="O41" s="204"/>
      <c r="P41" s="205"/>
      <c r="Q41" s="214"/>
      <c r="R41" s="215"/>
    </row>
    <row r="42" spans="3:18" x14ac:dyDescent="0.25">
      <c r="C42" s="170"/>
      <c r="D42" s="171"/>
      <c r="E42" s="114"/>
      <c r="F42" s="114"/>
      <c r="G42" s="140"/>
      <c r="H42" s="136"/>
      <c r="I42" s="114"/>
      <c r="J42" s="114"/>
      <c r="K42" s="140"/>
      <c r="L42" s="136"/>
      <c r="M42" s="114"/>
      <c r="N42" s="114"/>
      <c r="O42" s="140"/>
      <c r="P42" s="136"/>
      <c r="Q42" s="174"/>
      <c r="R42" s="176"/>
    </row>
    <row r="43" spans="3:18" x14ac:dyDescent="0.25">
      <c r="C43" s="178" t="s">
        <v>191</v>
      </c>
      <c r="D43" s="179"/>
      <c r="E43" s="208">
        <f>MIN(E33:E40)</f>
        <v>4.5651144649821935</v>
      </c>
      <c r="F43" s="208">
        <f t="shared" ref="F43:R43" si="8">MIN(F33:F40)</f>
        <v>4.5651144649821935</v>
      </c>
      <c r="G43" s="209">
        <f t="shared" si="8"/>
        <v>4.3078282020098575</v>
      </c>
      <c r="H43" s="210">
        <f t="shared" si="8"/>
        <v>4.0105595614087353</v>
      </c>
      <c r="I43" s="241">
        <f t="shared" si="8"/>
        <v>0.5391536320121767</v>
      </c>
      <c r="J43" s="208">
        <f t="shared" si="8"/>
        <v>0.5391536320121767</v>
      </c>
      <c r="K43" s="209">
        <f t="shared" si="8"/>
        <v>0.54494898785425094</v>
      </c>
      <c r="L43" s="210">
        <f t="shared" si="8"/>
        <v>0.52374474708171204</v>
      </c>
      <c r="M43" s="241">
        <f t="shared" si="8"/>
        <v>2.5090365709791582</v>
      </c>
      <c r="N43" s="208">
        <f t="shared" si="8"/>
        <v>2.5090365709791582</v>
      </c>
      <c r="O43" s="209">
        <f t="shared" si="8"/>
        <v>3.5609331398593591</v>
      </c>
      <c r="P43" s="210">
        <f t="shared" si="8"/>
        <v>2.7416981780680647</v>
      </c>
      <c r="Q43" s="242">
        <f t="shared" si="8"/>
        <v>-368.3401333333249</v>
      </c>
      <c r="R43" s="218">
        <f t="shared" si="8"/>
        <v>-15.247866666666676</v>
      </c>
    </row>
    <row r="44" spans="3:18" x14ac:dyDescent="0.25">
      <c r="C44" s="170" t="s">
        <v>187</v>
      </c>
      <c r="D44" s="230"/>
      <c r="E44" s="238">
        <f t="shared" ref="E44:R44" si="9">_xlfn.PERCENTILE.INC(E33:E40, 0.25)</f>
        <v>10.714433439307607</v>
      </c>
      <c r="F44" s="238">
        <f t="shared" si="9"/>
        <v>10.908961197838153</v>
      </c>
      <c r="G44" s="239">
        <f t="shared" si="9"/>
        <v>11.278229997347481</v>
      </c>
      <c r="H44" s="205">
        <f t="shared" si="9"/>
        <v>11.259113880539989</v>
      </c>
      <c r="I44" s="240">
        <f t="shared" si="9"/>
        <v>1.6906650624564397</v>
      </c>
      <c r="J44" s="238">
        <f>_xlfn.PERCENTILE.INC(J33:J40, 0.25)</f>
        <v>1.6894908488698535</v>
      </c>
      <c r="K44" s="239">
        <f t="shared" si="9"/>
        <v>1.681710210127775</v>
      </c>
      <c r="L44" s="205">
        <f t="shared" si="9"/>
        <v>1.6505369402274668</v>
      </c>
      <c r="M44" s="240">
        <f t="shared" si="9"/>
        <v>18.800165961585726</v>
      </c>
      <c r="N44" s="238">
        <f t="shared" si="9"/>
        <v>17.781686172352671</v>
      </c>
      <c r="O44" s="239">
        <f t="shared" si="9"/>
        <v>17.546954637410519</v>
      </c>
      <c r="P44" s="205">
        <f t="shared" si="9"/>
        <v>16.322961628703133</v>
      </c>
      <c r="Q44" s="219">
        <f t="shared" si="9"/>
        <v>-3.2459366254473156</v>
      </c>
      <c r="R44" s="220">
        <f t="shared" si="9"/>
        <v>1.0009289080212862</v>
      </c>
    </row>
    <row r="45" spans="3:18" x14ac:dyDescent="0.25">
      <c r="C45" s="243" t="s">
        <v>128</v>
      </c>
      <c r="D45" s="244"/>
      <c r="E45" s="245">
        <f>MEDIAN(E33:E40)</f>
        <v>13.918753974201337</v>
      </c>
      <c r="F45" s="245">
        <f t="shared" ref="F45:R45" si="10">MEDIAN(F33:F40)</f>
        <v>14.122345879740131</v>
      </c>
      <c r="G45" s="246">
        <f t="shared" si="10"/>
        <v>13.529011506163762</v>
      </c>
      <c r="H45" s="247">
        <f t="shared" si="10"/>
        <v>12.671119412001079</v>
      </c>
      <c r="I45" s="245">
        <f t="shared" si="10"/>
        <v>2.5113958705815262</v>
      </c>
      <c r="J45" s="245">
        <f t="shared" si="10"/>
        <v>2.5240438766760427</v>
      </c>
      <c r="K45" s="246">
        <f t="shared" si="10"/>
        <v>2.5158195332316691</v>
      </c>
      <c r="L45" s="247">
        <f t="shared" si="10"/>
        <v>2.4948892342709108</v>
      </c>
      <c r="M45" s="245">
        <f t="shared" si="10"/>
        <v>21.01432958752887</v>
      </c>
      <c r="N45" s="245">
        <f t="shared" si="10"/>
        <v>21.632923237696179</v>
      </c>
      <c r="O45" s="246">
        <f t="shared" si="10"/>
        <v>20.305527403449943</v>
      </c>
      <c r="P45" s="247">
        <f t="shared" si="10"/>
        <v>18.797072686926228</v>
      </c>
      <c r="Q45" s="248">
        <f t="shared" si="10"/>
        <v>2.3336344849873916</v>
      </c>
      <c r="R45" s="249">
        <f t="shared" si="10"/>
        <v>2.2269486029906425</v>
      </c>
    </row>
    <row r="46" spans="3:18" x14ac:dyDescent="0.25">
      <c r="C46" s="170" t="s">
        <v>188</v>
      </c>
      <c r="D46" s="230"/>
      <c r="E46" s="238">
        <f t="shared" ref="E46" si="11">_xlfn.PERCENTILE.INC(E34:E42, 0.75)</f>
        <v>16.328620365896349</v>
      </c>
      <c r="F46" s="238">
        <f>_xlfn.PERCENTILE.INC(F33:F40, 0.75)</f>
        <v>15.837364713249539</v>
      </c>
      <c r="G46" s="239">
        <f t="shared" ref="G46:R46" si="12">_xlfn.PERCENTILE.INC(G33:G40, 0.75)</f>
        <v>14.655846136544309</v>
      </c>
      <c r="H46" s="205">
        <f t="shared" si="12"/>
        <v>14.004079421215</v>
      </c>
      <c r="I46" s="238">
        <f t="shared" si="12"/>
        <v>3.0647697418410278</v>
      </c>
      <c r="J46" s="238">
        <f t="shared" si="12"/>
        <v>2.9374079182353423</v>
      </c>
      <c r="K46" s="239">
        <f t="shared" si="12"/>
        <v>2.7873438734890512</v>
      </c>
      <c r="L46" s="205">
        <f t="shared" si="12"/>
        <v>2.6171183116309207</v>
      </c>
      <c r="M46" s="238">
        <f t="shared" si="12"/>
        <v>26.148425413759593</v>
      </c>
      <c r="N46" s="238">
        <f t="shared" si="12"/>
        <v>25.826291539724242</v>
      </c>
      <c r="O46" s="239">
        <f t="shared" si="12"/>
        <v>21.953393089787767</v>
      </c>
      <c r="P46" s="205">
        <f t="shared" si="12"/>
        <v>20.215444402097457</v>
      </c>
      <c r="Q46" s="219">
        <f t="shared" si="12"/>
        <v>4.4894898689037026</v>
      </c>
      <c r="R46" s="220">
        <f t="shared" si="12"/>
        <v>15.701679670329671</v>
      </c>
    </row>
    <row r="47" spans="3:18" x14ac:dyDescent="0.25">
      <c r="C47" s="180" t="s">
        <v>190</v>
      </c>
      <c r="D47" s="181"/>
      <c r="E47" s="211">
        <f t="shared" ref="E47:R47" si="13">MAX(E33:E40)</f>
        <v>22.678971298283262</v>
      </c>
      <c r="F47" s="211">
        <f t="shared" si="13"/>
        <v>22.678971298283262</v>
      </c>
      <c r="G47" s="212">
        <f t="shared" si="13"/>
        <v>18.88268118369626</v>
      </c>
      <c r="H47" s="213">
        <f t="shared" si="13"/>
        <v>15.577559649930906</v>
      </c>
      <c r="I47" s="211">
        <f t="shared" si="13"/>
        <v>3.6867054077627563</v>
      </c>
      <c r="J47" s="211">
        <f t="shared" si="13"/>
        <v>3.6867054077627563</v>
      </c>
      <c r="K47" s="212">
        <f t="shared" si="13"/>
        <v>2.9731408024756476</v>
      </c>
      <c r="L47" s="213">
        <f t="shared" si="13"/>
        <v>2.870497623089983</v>
      </c>
      <c r="M47" s="211">
        <f t="shared" si="13"/>
        <v>33.157892761394102</v>
      </c>
      <c r="N47" s="211">
        <f t="shared" si="13"/>
        <v>33.157892761394102</v>
      </c>
      <c r="O47" s="212">
        <f t="shared" si="13"/>
        <v>28.70913184772516</v>
      </c>
      <c r="P47" s="213">
        <f t="shared" si="13"/>
        <v>23.01431708224786</v>
      </c>
      <c r="Q47" s="221">
        <f t="shared" si="13"/>
        <v>11.013446736292416</v>
      </c>
      <c r="R47" s="222">
        <f t="shared" si="13"/>
        <v>15.992842430484032</v>
      </c>
    </row>
    <row r="48" spans="3:18" x14ac:dyDescent="0.25">
      <c r="C48" s="170"/>
      <c r="D48" s="171"/>
      <c r="E48" s="182"/>
      <c r="F48" s="182"/>
      <c r="G48" s="183"/>
      <c r="H48" s="184"/>
      <c r="I48" s="182"/>
      <c r="J48" s="182"/>
      <c r="K48" s="183"/>
      <c r="L48" s="184"/>
      <c r="M48" s="114"/>
      <c r="N48" s="114"/>
      <c r="O48" s="140"/>
      <c r="P48" s="136"/>
      <c r="Q48" s="189"/>
      <c r="R48" s="191"/>
    </row>
    <row r="49" spans="3:18" x14ac:dyDescent="0.25">
      <c r="C49" s="170"/>
      <c r="D49" s="171"/>
      <c r="E49" s="182"/>
      <c r="F49" s="182"/>
      <c r="G49" s="183"/>
      <c r="H49" s="184"/>
      <c r="I49" s="182"/>
      <c r="J49" s="182"/>
      <c r="K49" s="183"/>
      <c r="L49" s="184"/>
      <c r="M49" s="114"/>
      <c r="N49" s="114"/>
      <c r="O49" s="140"/>
      <c r="P49" s="136"/>
      <c r="Q49" s="189"/>
      <c r="R49" s="191"/>
    </row>
    <row r="50" spans="3:18" x14ac:dyDescent="0.25">
      <c r="C50" s="192" t="s">
        <v>243</v>
      </c>
      <c r="D50" s="193" t="s">
        <v>155</v>
      </c>
      <c r="E50" s="195">
        <f>$L25/V25</f>
        <v>25.267978250591014</v>
      </c>
      <c r="F50" s="195">
        <f>$L25/W25</f>
        <v>23.91130827740492</v>
      </c>
      <c r="G50" s="206">
        <f>$L25/X25</f>
        <v>19.327947197106688</v>
      </c>
      <c r="H50" s="207">
        <f>$L25/Y25</f>
        <v>16.318098931297708</v>
      </c>
      <c r="I50" s="195">
        <f>$L25/N25</f>
        <v>5.354887174348697</v>
      </c>
      <c r="J50" s="195">
        <f>$L25/O25</f>
        <v>5.0921175797999041</v>
      </c>
      <c r="K50" s="206">
        <f>$L25/P25</f>
        <v>4.4497730224812653</v>
      </c>
      <c r="L50" s="207">
        <f>$L25/Q25</f>
        <v>3.8091071988595862</v>
      </c>
      <c r="M50" s="195">
        <f t="shared" ref="M50" si="14">$G25/AD25</f>
        <v>40.101031578947364</v>
      </c>
      <c r="N50" s="195">
        <f t="shared" ref="N50" si="15">$G25/AE25</f>
        <v>35.374838571428569</v>
      </c>
      <c r="O50" s="206">
        <f t="shared" ref="O50" si="16">$G25/AF25</f>
        <v>27.590403342618384</v>
      </c>
      <c r="P50" s="207">
        <f t="shared" ref="P50" si="17">$G25/AG25</f>
        <v>22.981333642691414</v>
      </c>
      <c r="Q50" s="216">
        <f>E25/(((AF25/AD25)-1)*100)</f>
        <v>1.6571053571428569</v>
      </c>
      <c r="R50" s="217">
        <f>E25/(((AG25/AF25)-1)*100)</f>
        <v>3.746563888888887</v>
      </c>
    </row>
    <row r="52" spans="3:18" ht="26.25" x14ac:dyDescent="0.4">
      <c r="C52" s="259" t="s">
        <v>195</v>
      </c>
    </row>
    <row r="54" spans="3:18" x14ac:dyDescent="0.25">
      <c r="C54" s="263" t="s">
        <v>210</v>
      </c>
      <c r="D54" s="260"/>
      <c r="E54" s="269" t="s">
        <v>212</v>
      </c>
      <c r="F54" s="269"/>
      <c r="G54" s="269"/>
      <c r="H54" s="269"/>
      <c r="I54" s="269"/>
      <c r="J54" s="261" t="s">
        <v>208</v>
      </c>
      <c r="K54" s="260"/>
      <c r="L54" s="269" t="s">
        <v>213</v>
      </c>
      <c r="M54" s="269"/>
      <c r="N54" s="269"/>
      <c r="O54" s="269"/>
      <c r="P54" s="269"/>
      <c r="Q54" s="260"/>
      <c r="R54" s="260"/>
    </row>
    <row r="55" spans="3:18" ht="15.75" thickBot="1" x14ac:dyDescent="0.3">
      <c r="C55" s="260"/>
      <c r="D55" s="260"/>
      <c r="E55" s="261" t="s">
        <v>191</v>
      </c>
      <c r="F55" s="261" t="s">
        <v>197</v>
      </c>
      <c r="G55" s="261" t="s">
        <v>128</v>
      </c>
      <c r="H55" s="261" t="s">
        <v>198</v>
      </c>
      <c r="I55" s="261" t="s">
        <v>190</v>
      </c>
      <c r="J55" s="261" t="s">
        <v>199</v>
      </c>
      <c r="K55" s="260"/>
      <c r="L55" s="261"/>
      <c r="M55" s="261"/>
      <c r="N55" s="261"/>
      <c r="O55" s="261"/>
      <c r="P55" s="261"/>
      <c r="Q55" s="260"/>
      <c r="R55" s="260"/>
    </row>
    <row r="56" spans="3:18" x14ac:dyDescent="0.25">
      <c r="C56" s="263" t="s">
        <v>209</v>
      </c>
      <c r="D56" s="260"/>
      <c r="E56" s="261" t="s">
        <v>196</v>
      </c>
      <c r="F56" s="261" t="s">
        <v>196</v>
      </c>
      <c r="G56" s="261" t="s">
        <v>196</v>
      </c>
      <c r="H56" s="261" t="s">
        <v>196</v>
      </c>
      <c r="I56" s="261" t="s">
        <v>196</v>
      </c>
      <c r="J56" s="261" t="s">
        <v>200</v>
      </c>
      <c r="K56" s="260"/>
      <c r="L56" s="261" t="s">
        <v>191</v>
      </c>
      <c r="M56" s="261" t="s">
        <v>197</v>
      </c>
      <c r="N56" s="261" t="s">
        <v>128</v>
      </c>
      <c r="O56" s="261" t="s">
        <v>198</v>
      </c>
      <c r="P56" s="286" t="s">
        <v>190</v>
      </c>
      <c r="Q56" s="260"/>
      <c r="R56" s="260"/>
    </row>
    <row r="57" spans="3:18" s="266" customFormat="1" ht="8.25" customHeight="1" x14ac:dyDescent="0.25">
      <c r="C57" s="267"/>
      <c r="D57" s="264"/>
      <c r="E57" s="265"/>
      <c r="F57" s="265"/>
      <c r="G57" s="265"/>
      <c r="H57" s="265"/>
      <c r="I57" s="265"/>
      <c r="J57" s="265"/>
      <c r="K57" s="264"/>
      <c r="L57" s="264"/>
      <c r="M57" s="264"/>
      <c r="N57" s="264"/>
      <c r="O57" s="264"/>
      <c r="P57" s="287"/>
      <c r="Q57" s="264"/>
      <c r="R57" s="264"/>
    </row>
    <row r="58" spans="3:18" x14ac:dyDescent="0.25">
      <c r="C58" t="s">
        <v>153</v>
      </c>
      <c r="E58" s="262" cm="1">
        <f t="array" ref="E58:I66">TRANSPOSE(CHOOSE({1,2,3,4,5,6,7,8,9},
  F43:F47, G43:G47, H43:H47, J43:J47, K43:K47, L43:L47, N43:N47, O43:O47, P43:P47))</f>
        <v>4.5651144649821935</v>
      </c>
      <c r="F58" s="262">
        <v>10.908961197838153</v>
      </c>
      <c r="G58" s="262">
        <v>14.122345879740131</v>
      </c>
      <c r="H58" s="262">
        <v>15.837364713249539</v>
      </c>
      <c r="I58" s="262">
        <v>22.678971298283262</v>
      </c>
      <c r="J58" s="10">
        <f>W25</f>
        <v>447</v>
      </c>
      <c r="L58" s="274">
        <f>(E69+(SUM($I$83:$I$91)))/$I$93</f>
        <v>9.5403289777502707</v>
      </c>
      <c r="M58" s="274">
        <f>(F69+(SUM($I$83:$I$91)))/$I$93</f>
        <v>31.052235286251364</v>
      </c>
      <c r="N58" s="274">
        <f>(G69+(SUM($I$83:$I$91)))/$I$93</f>
        <v>41.948783251735996</v>
      </c>
      <c r="O58" s="274">
        <f>(H69+(SUM($I$83:$I$91)))/$I$93</f>
        <v>47.764391039467029</v>
      </c>
      <c r="P58" s="288">
        <f>(I69+(SUM($I$83:$I$91)))/$I$93</f>
        <v>70.964194889490358</v>
      </c>
    </row>
    <row r="59" spans="3:18" x14ac:dyDescent="0.25">
      <c r="C59" t="s">
        <v>201</v>
      </c>
      <c r="E59" s="262">
        <v>4.3078282020098575</v>
      </c>
      <c r="F59" s="262">
        <v>11.278229997347481</v>
      </c>
      <c r="G59" s="262">
        <v>13.529011506163762</v>
      </c>
      <c r="H59" s="262">
        <v>14.655846136544309</v>
      </c>
      <c r="I59" s="262">
        <v>18.88268118369626</v>
      </c>
      <c r="J59" s="10">
        <f>X25</f>
        <v>553</v>
      </c>
      <c r="L59" s="274">
        <f>(E70+(SUM($I$83:$I$91)))/$I$93</f>
        <v>12.131914699677221</v>
      </c>
      <c r="M59" s="274">
        <f>(F70+(SUM($I$83:$I$91)))/$I$93</f>
        <v>41.373548691648892</v>
      </c>
      <c r="N59" s="274">
        <f>(G70+(SUM($I$83:$I$91)))/$I$93</f>
        <v>50.815834948479441</v>
      </c>
      <c r="O59" s="274">
        <f>(H70+(SUM($I$83:$I$91)))/$I$93</f>
        <v>55.543035301995168</v>
      </c>
      <c r="P59" s="288">
        <f>(I70+(SUM($I$83:$I$91)))/$I$93</f>
        <v>73.2750925093615</v>
      </c>
    </row>
    <row r="60" spans="3:18" x14ac:dyDescent="0.25">
      <c r="C60" t="s">
        <v>202</v>
      </c>
      <c r="E60" s="262">
        <v>4.0105595614087353</v>
      </c>
      <c r="F60" s="262">
        <v>11.259113880539989</v>
      </c>
      <c r="G60" s="262">
        <v>12.671119412001079</v>
      </c>
      <c r="H60" s="262">
        <v>14.004079421215</v>
      </c>
      <c r="I60" s="262">
        <v>15.577559649930906</v>
      </c>
      <c r="J60" s="10">
        <f>Y25</f>
        <v>655</v>
      </c>
      <c r="L60" s="274">
        <f>(E71+(SUM($I$83:$I$91)))/$I$93</f>
        <v>13.988139225631327</v>
      </c>
      <c r="M60" s="274">
        <f>(F71+(SUM($I$83:$I$91)))/$I$93</f>
        <v>50.005458896629442</v>
      </c>
      <c r="N60" s="274">
        <f>(G71+(SUM($I$83:$I$91)))/$I$93</f>
        <v>57.021568918682355</v>
      </c>
      <c r="O60" s="274">
        <f>(H71+(SUM($I$83:$I$91)))/$I$93</f>
        <v>63.644909883900965</v>
      </c>
      <c r="P60" s="288">
        <f>(I71+(SUM($I$83:$I$91)))/$I$93</f>
        <v>71.463371041607829</v>
      </c>
    </row>
    <row r="61" spans="3:18" x14ac:dyDescent="0.25">
      <c r="C61" t="s">
        <v>203</v>
      </c>
      <c r="E61" s="262">
        <v>0.5391536320121767</v>
      </c>
      <c r="F61" s="262">
        <v>1.6894908488698535</v>
      </c>
      <c r="G61" s="262">
        <v>2.5240438766760427</v>
      </c>
      <c r="H61" s="262">
        <v>2.9374079182353423</v>
      </c>
      <c r="I61" s="262">
        <v>3.6867054077627563</v>
      </c>
      <c r="J61" s="10">
        <f>O25</f>
        <v>2099</v>
      </c>
      <c r="L61" s="274">
        <f>(E72+(SUM($I$83:$I$91)))/$I$93</f>
        <v>2.6451484872823459</v>
      </c>
      <c r="M61" s="274">
        <f>(F72+(SUM($I$83:$I$91)))/$I$93</f>
        <v>20.962231010300581</v>
      </c>
      <c r="N61" s="274">
        <f>(G72+(SUM($I$83:$I$91)))/$I$93</f>
        <v>34.251009688537501</v>
      </c>
      <c r="O61" s="274">
        <f>(H72+(SUM($I$83:$I$91)))/$I$93</f>
        <v>40.833099835958002</v>
      </c>
      <c r="P61" s="288">
        <f>(I72+(SUM($I$83:$I$91)))/$I$93</f>
        <v>52.764335084919026</v>
      </c>
    </row>
    <row r="62" spans="3:18" x14ac:dyDescent="0.25">
      <c r="C62" t="s">
        <v>204</v>
      </c>
      <c r="E62" s="262">
        <v>0.54494898785425094</v>
      </c>
      <c r="F62" s="262">
        <v>1.681710210127775</v>
      </c>
      <c r="G62" s="262">
        <v>2.5158195332316691</v>
      </c>
      <c r="H62" s="262">
        <v>2.7873438734890512</v>
      </c>
      <c r="I62" s="262">
        <v>2.9731408024756476</v>
      </c>
      <c r="J62" s="10">
        <f>P25</f>
        <v>2402</v>
      </c>
      <c r="L62" s="274">
        <f>(E73+(SUM($I$83:$I$91)))/$I$93</f>
        <v>3.9900430042930575</v>
      </c>
      <c r="M62" s="274">
        <f>(F73+(SUM($I$83:$I$91)))/$I$93</f>
        <v>24.703898685532664</v>
      </c>
      <c r="N62" s="274">
        <f>(G73+(SUM($I$83:$I$91)))/$I$93</f>
        <v>39.902886654699358</v>
      </c>
      <c r="O62" s="274">
        <f>(H73+(SUM($I$83:$I$91)))/$I$93</f>
        <v>44.850553665003041</v>
      </c>
      <c r="P62" s="288">
        <f>(I73+(SUM($I$83:$I$91)))/$I$93</f>
        <v>48.236111421229751</v>
      </c>
    </row>
    <row r="63" spans="3:18" x14ac:dyDescent="0.25">
      <c r="C63" t="s">
        <v>205</v>
      </c>
      <c r="E63" s="262">
        <v>0.52374474708171204</v>
      </c>
      <c r="F63" s="262">
        <v>1.6505369402274668</v>
      </c>
      <c r="G63" s="262">
        <v>2.4948892342709108</v>
      </c>
      <c r="H63" s="262">
        <v>2.6171183116309207</v>
      </c>
      <c r="I63" s="262">
        <v>2.870497623089983</v>
      </c>
      <c r="J63" s="10">
        <f>Q25</f>
        <v>2806</v>
      </c>
      <c r="L63" s="274">
        <f>(E74+(SUM($I$83:$I$91)))/$I$93</f>
        <v>5.2088284047282958</v>
      </c>
      <c r="M63" s="274">
        <f>(F74+(SUM($I$83:$I$91)))/$I$93</f>
        <v>29.194406419953513</v>
      </c>
      <c r="N63" s="274">
        <f>(G74+(SUM($I$83:$I$91)))/$I$93</f>
        <v>47.167798447611716</v>
      </c>
      <c r="O63" s="274">
        <f>(H74+(SUM($I$83:$I$91)))/$I$93</f>
        <v>49.769640285513304</v>
      </c>
      <c r="P63" s="288">
        <f>(I74+(SUM($I$83:$I$91)))/$I$93</f>
        <v>55.163225082616393</v>
      </c>
    </row>
    <row r="64" spans="3:18" x14ac:dyDescent="0.25">
      <c r="C64" t="s">
        <v>154</v>
      </c>
      <c r="E64" s="262">
        <v>2.5090365709791582</v>
      </c>
      <c r="F64" s="262">
        <v>17.781686172352671</v>
      </c>
      <c r="G64" s="262">
        <v>21.632923237696179</v>
      </c>
      <c r="H64" s="262">
        <v>25.826291539724242</v>
      </c>
      <c r="I64" s="262">
        <v>33.157892761394102</v>
      </c>
      <c r="J64" s="10">
        <f>AE25</f>
        <v>280</v>
      </c>
      <c r="L64" s="270">
        <f>E75/$E$80</f>
        <v>5.3294662408903379</v>
      </c>
      <c r="M64" s="270">
        <f t="shared" ref="M64:P64" si="18">F75/$E$80</f>
        <v>37.770233107713153</v>
      </c>
      <c r="N64" s="270">
        <f t="shared" si="18"/>
        <v>45.950679005878705</v>
      </c>
      <c r="O64" s="270">
        <f t="shared" si="18"/>
        <v>54.85784881749953</v>
      </c>
      <c r="P64" s="289">
        <f t="shared" si="18"/>
        <v>70.430966266047264</v>
      </c>
    </row>
    <row r="65" spans="3:16" x14ac:dyDescent="0.25">
      <c r="C65" t="s">
        <v>206</v>
      </c>
      <c r="E65" s="262">
        <v>3.5609331398593591</v>
      </c>
      <c r="F65" s="262">
        <v>17.546954637410519</v>
      </c>
      <c r="G65" s="262">
        <v>20.305527403449943</v>
      </c>
      <c r="H65" s="262">
        <v>21.953393089787767</v>
      </c>
      <c r="I65" s="262">
        <v>28.70913184772516</v>
      </c>
      <c r="J65" s="10">
        <f>AF25</f>
        <v>359</v>
      </c>
      <c r="L65" s="270">
        <f t="shared" ref="L65:L66" si="19">E76/$E$80</f>
        <v>9.6978834563003335</v>
      </c>
      <c r="M65" s="270">
        <f t="shared" ref="M65:M66" si="20">F76/$E$80</f>
        <v>47.787564215068855</v>
      </c>
      <c r="N65" s="270">
        <f t="shared" ref="N65:N66" si="21">G76/$E$80</f>
        <v>55.300290834763537</v>
      </c>
      <c r="O65" s="270">
        <f t="shared" ref="O65:O66" si="22">H76/$E$80</f>
        <v>59.788105896175153</v>
      </c>
      <c r="P65" s="289">
        <f t="shared" ref="P65:P66" si="23">I76/$E$80</f>
        <v>78.186757194153643</v>
      </c>
    </row>
    <row r="66" spans="3:16" ht="15.75" thickBot="1" x14ac:dyDescent="0.3">
      <c r="C66" t="s">
        <v>207</v>
      </c>
      <c r="E66" s="262">
        <v>2.7416981780680647</v>
      </c>
      <c r="F66" s="262">
        <v>16.322961628703133</v>
      </c>
      <c r="G66" s="262">
        <v>18.797072686926228</v>
      </c>
      <c r="H66" s="262">
        <v>20.215444402097457</v>
      </c>
      <c r="I66" s="262">
        <v>23.01431708224786</v>
      </c>
      <c r="J66" s="10">
        <f>AG25</f>
        <v>431</v>
      </c>
      <c r="L66" s="270">
        <f t="shared" si="19"/>
        <v>8.9642839838213924</v>
      </c>
      <c r="M66" s="270">
        <f t="shared" si="20"/>
        <v>53.369719784335089</v>
      </c>
      <c r="N66" s="270">
        <f t="shared" si="21"/>
        <v>61.459098225346722</v>
      </c>
      <c r="O66" s="270">
        <f t="shared" si="22"/>
        <v>66.096620674434874</v>
      </c>
      <c r="P66" s="290">
        <f t="shared" si="23"/>
        <v>75.247842986260267</v>
      </c>
    </row>
    <row r="67" spans="3:16" x14ac:dyDescent="0.25">
      <c r="E67" s="262"/>
      <c r="F67" s="262"/>
      <c r="G67" s="262"/>
      <c r="H67" s="262"/>
      <c r="I67" s="262"/>
    </row>
    <row r="68" spans="3:16" ht="15.75" thickBot="1" x14ac:dyDescent="0.3">
      <c r="E68" s="262"/>
      <c r="F68" s="262"/>
      <c r="G68" s="262"/>
      <c r="H68" s="262"/>
      <c r="I68" s="262"/>
    </row>
    <row r="69" spans="3:16" ht="15.75" thickBot="1" x14ac:dyDescent="0.3">
      <c r="C69" t="s">
        <v>65</v>
      </c>
      <c r="E69" s="268">
        <f>E58*$J$58</f>
        <v>2040.6061658470405</v>
      </c>
      <c r="F69" s="268">
        <f t="shared" ref="F69:I69" si="24">F58*$J$58</f>
        <v>4876.3056554336545</v>
      </c>
      <c r="G69" s="268">
        <f t="shared" si="24"/>
        <v>6312.6886082438386</v>
      </c>
      <c r="H69" s="268">
        <f t="shared" si="24"/>
        <v>7079.3020268225437</v>
      </c>
      <c r="I69" s="268">
        <f t="shared" si="24"/>
        <v>10137.500170332618</v>
      </c>
      <c r="J69" s="285"/>
      <c r="K69" s="118"/>
      <c r="N69" s="291" t="s">
        <v>213</v>
      </c>
      <c r="O69" s="292"/>
      <c r="P69" s="293">
        <f>MEDIAN(P58:P66)</f>
        <v>70.964194889490358</v>
      </c>
    </row>
    <row r="70" spans="3:16" x14ac:dyDescent="0.25">
      <c r="C70" t="s">
        <v>65</v>
      </c>
      <c r="E70" s="268">
        <f>E59*$J$59</f>
        <v>2382.2289957114513</v>
      </c>
      <c r="F70" s="268">
        <f t="shared" ref="F70:I70" si="25">F59*$J$59</f>
        <v>6236.8611885331566</v>
      </c>
      <c r="G70" s="268">
        <f t="shared" si="25"/>
        <v>7481.5433629085601</v>
      </c>
      <c r="H70" s="268">
        <f t="shared" si="25"/>
        <v>8104.6829135090029</v>
      </c>
      <c r="I70" s="268">
        <f t="shared" si="25"/>
        <v>10442.122694584032</v>
      </c>
    </row>
    <row r="71" spans="3:16" ht="15" customHeight="1" x14ac:dyDescent="0.25">
      <c r="C71" t="s">
        <v>65</v>
      </c>
      <c r="E71" s="268">
        <f>E60*$J$60</f>
        <v>2626.9165127227216</v>
      </c>
      <c r="F71" s="268">
        <f t="shared" ref="F71:I71" si="26">F60*$J$60</f>
        <v>7374.7195917536928</v>
      </c>
      <c r="G71" s="268">
        <f t="shared" si="26"/>
        <v>8299.5832148607078</v>
      </c>
      <c r="H71" s="268">
        <f t="shared" si="26"/>
        <v>9172.672020895825</v>
      </c>
      <c r="I71" s="268">
        <f t="shared" si="26"/>
        <v>10203.301570704743</v>
      </c>
      <c r="N71" s="294" t="s">
        <v>216</v>
      </c>
      <c r="O71" s="294"/>
      <c r="P71" s="294"/>
    </row>
    <row r="72" spans="3:16" x14ac:dyDescent="0.25">
      <c r="C72" t="s">
        <v>65</v>
      </c>
      <c r="E72" s="268">
        <f>E61*$J$61</f>
        <v>1131.6834735935588</v>
      </c>
      <c r="F72" s="268">
        <f t="shared" ref="F72:I72" si="27">F61*$J$61</f>
        <v>3546.2412917778224</v>
      </c>
      <c r="G72" s="268">
        <f t="shared" si="27"/>
        <v>5297.9680971430134</v>
      </c>
      <c r="H72" s="268">
        <f t="shared" si="27"/>
        <v>6165.6192203759838</v>
      </c>
      <c r="I72" s="268">
        <f t="shared" si="27"/>
        <v>7738.3946508940253</v>
      </c>
      <c r="N72" s="294"/>
      <c r="O72" s="294"/>
      <c r="P72" s="294"/>
    </row>
    <row r="73" spans="3:16" x14ac:dyDescent="0.25">
      <c r="C73" t="s">
        <v>65</v>
      </c>
      <c r="E73" s="268">
        <f>E62*$J$62</f>
        <v>1308.9674688259108</v>
      </c>
      <c r="F73" s="268">
        <f t="shared" ref="F73:I73" si="28">F62*$J$62</f>
        <v>4039.4679247269155</v>
      </c>
      <c r="G73" s="268">
        <f t="shared" si="28"/>
        <v>6042.9985188224691</v>
      </c>
      <c r="H73" s="268">
        <f t="shared" si="28"/>
        <v>6695.1999841207007</v>
      </c>
      <c r="I73" s="268">
        <f t="shared" si="28"/>
        <v>7141.4842075465058</v>
      </c>
      <c r="N73" s="294"/>
      <c r="O73" s="294"/>
      <c r="P73" s="294"/>
    </row>
    <row r="74" spans="3:16" x14ac:dyDescent="0.25">
      <c r="C74" t="s">
        <v>65</v>
      </c>
      <c r="E74" s="268">
        <f>E63*$J$63</f>
        <v>1469.627760311284</v>
      </c>
      <c r="F74" s="268">
        <f t="shared" ref="F74:I74" si="29">F63*$J$63</f>
        <v>4631.4066542782721</v>
      </c>
      <c r="G74" s="268">
        <f t="shared" si="29"/>
        <v>7000.659191364176</v>
      </c>
      <c r="H74" s="268">
        <f t="shared" si="29"/>
        <v>7343.6339824363631</v>
      </c>
      <c r="I74" s="268">
        <f t="shared" si="29"/>
        <v>8054.6163303904923</v>
      </c>
      <c r="N74" s="294"/>
      <c r="O74" s="294"/>
      <c r="P74" s="294"/>
    </row>
    <row r="75" spans="3:16" x14ac:dyDescent="0.25">
      <c r="C75" t="s">
        <v>76</v>
      </c>
      <c r="E75" s="268">
        <f>E64*$J$64</f>
        <v>702.53023987416429</v>
      </c>
      <c r="F75" s="268">
        <f t="shared" ref="F75:I75" si="30">F64*$J$64</f>
        <v>4978.8721282587476</v>
      </c>
      <c r="G75" s="268">
        <f t="shared" si="30"/>
        <v>6057.2185065549302</v>
      </c>
      <c r="H75" s="268">
        <f t="shared" si="30"/>
        <v>7231.3616311227879</v>
      </c>
      <c r="I75" s="268">
        <f t="shared" si="30"/>
        <v>9284.209973190349</v>
      </c>
      <c r="N75" s="294"/>
      <c r="O75" s="294"/>
      <c r="P75" s="294"/>
    </row>
    <row r="76" spans="3:16" x14ac:dyDescent="0.25">
      <c r="C76" t="s">
        <v>76</v>
      </c>
      <c r="E76" s="268">
        <f>E65*$J$65</f>
        <v>1278.37499720951</v>
      </c>
      <c r="F76" s="268">
        <f t="shared" ref="F76:I76" si="31">F65*$J$65</f>
        <v>6299.3567148303764</v>
      </c>
      <c r="G76" s="268">
        <f t="shared" si="31"/>
        <v>7289.6843378385292</v>
      </c>
      <c r="H76" s="268">
        <f t="shared" si="31"/>
        <v>7881.2681192338086</v>
      </c>
      <c r="I76" s="268">
        <f t="shared" si="31"/>
        <v>10306.578333333333</v>
      </c>
      <c r="N76" s="294"/>
      <c r="O76" s="294"/>
      <c r="P76" s="294"/>
    </row>
    <row r="77" spans="3:16" x14ac:dyDescent="0.25">
      <c r="C77" t="s">
        <v>76</v>
      </c>
      <c r="E77" s="268">
        <f>E66*$J$66</f>
        <v>1181.6719147473359</v>
      </c>
      <c r="F77" s="268">
        <f t="shared" ref="F77:I77" si="32">F66*$J$66</f>
        <v>7035.1964619710507</v>
      </c>
      <c r="G77" s="268">
        <f t="shared" si="32"/>
        <v>8101.538328065204</v>
      </c>
      <c r="H77" s="268">
        <f t="shared" si="32"/>
        <v>8712.8565373040037</v>
      </c>
      <c r="I77" s="268">
        <f t="shared" si="32"/>
        <v>9919.170662448827</v>
      </c>
    </row>
    <row r="80" spans="3:16" x14ac:dyDescent="0.25">
      <c r="C80" t="s">
        <v>211</v>
      </c>
      <c r="E80" s="34">
        <f>F25</f>
        <v>131.82</v>
      </c>
    </row>
    <row r="82" spans="5:9" x14ac:dyDescent="0.25">
      <c r="E82" s="271" t="s">
        <v>65</v>
      </c>
      <c r="F82" s="272"/>
      <c r="G82" s="275"/>
      <c r="H82" s="275"/>
      <c r="I82" s="273">
        <f>L25</f>
        <v>10688.354799999999</v>
      </c>
    </row>
    <row r="83" spans="5:9" x14ac:dyDescent="0.25">
      <c r="E83" s="19" t="s">
        <v>66</v>
      </c>
      <c r="F83" s="19"/>
      <c r="I83" s="53">
        <v>50</v>
      </c>
    </row>
    <row r="84" spans="5:9" x14ac:dyDescent="0.25">
      <c r="E84" s="19" t="s">
        <v>67</v>
      </c>
      <c r="F84" s="19"/>
      <c r="I84" s="53" t="s">
        <v>68</v>
      </c>
    </row>
    <row r="85" spans="5:9" x14ac:dyDescent="0.25">
      <c r="E85" s="19" t="s">
        <v>69</v>
      </c>
      <c r="F85" s="19"/>
      <c r="I85" s="53" t="s">
        <v>68</v>
      </c>
    </row>
    <row r="86" spans="5:9" x14ac:dyDescent="0.25">
      <c r="E86" s="19" t="s">
        <v>70</v>
      </c>
      <c r="F86" s="19"/>
      <c r="I86" s="53" t="s">
        <v>68</v>
      </c>
    </row>
    <row r="87" spans="5:9" x14ac:dyDescent="0.25">
      <c r="E87" s="19" t="s">
        <v>71</v>
      </c>
      <c r="F87" s="19"/>
      <c r="I87" s="53">
        <v>-833</v>
      </c>
    </row>
    <row r="88" spans="5:9" x14ac:dyDescent="0.25">
      <c r="E88" s="19" t="s">
        <v>72</v>
      </c>
      <c r="F88" s="19"/>
      <c r="I88" s="53" t="s">
        <v>68</v>
      </c>
    </row>
    <row r="89" spans="5:9" x14ac:dyDescent="0.25">
      <c r="E89" s="19" t="s">
        <v>73</v>
      </c>
      <c r="F89" s="19"/>
      <c r="I89" s="53" t="s">
        <v>68</v>
      </c>
    </row>
    <row r="90" spans="5:9" x14ac:dyDescent="0.25">
      <c r="E90" s="276" t="s">
        <v>74</v>
      </c>
      <c r="F90" s="276"/>
      <c r="G90" s="277"/>
      <c r="H90" s="277"/>
      <c r="I90" s="278" t="s">
        <v>68</v>
      </c>
    </row>
    <row r="91" spans="5:9" x14ac:dyDescent="0.25">
      <c r="E91" s="272" t="s">
        <v>75</v>
      </c>
      <c r="F91" s="272"/>
      <c r="G91" s="275"/>
      <c r="H91" s="275"/>
      <c r="I91" s="279" t="s">
        <v>68</v>
      </c>
    </row>
    <row r="92" spans="5:9" x14ac:dyDescent="0.25">
      <c r="E92" s="280" t="s">
        <v>76</v>
      </c>
      <c r="F92" s="281"/>
      <c r="G92" s="282"/>
      <c r="H92" s="282"/>
      <c r="I92" s="283">
        <f>SUM(I82:I91)</f>
        <v>9905.3547999999992</v>
      </c>
    </row>
    <row r="93" spans="5:9" x14ac:dyDescent="0.25">
      <c r="E93" s="272" t="s">
        <v>77</v>
      </c>
      <c r="F93" s="272"/>
      <c r="G93" s="275"/>
      <c r="H93" s="275"/>
      <c r="I93" s="284">
        <f>E80</f>
        <v>131.82</v>
      </c>
    </row>
  </sheetData>
  <mergeCells count="12">
    <mergeCell ref="N71:P76"/>
    <mergeCell ref="U4:Y4"/>
    <mergeCell ref="AC4:AG4"/>
    <mergeCell ref="AH4:AL4"/>
    <mergeCell ref="AM4:AQ4"/>
    <mergeCell ref="Z4:AB4"/>
    <mergeCell ref="M29:P29"/>
    <mergeCell ref="Q29:R29"/>
    <mergeCell ref="E29:H29"/>
    <mergeCell ref="I29:L29"/>
    <mergeCell ref="M4:Q4"/>
    <mergeCell ref="R4:T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AFB3-271A-48DB-833A-654F5F0FC3CF}">
  <dimension ref="C3:AB22"/>
  <sheetViews>
    <sheetView showGridLines="0" topLeftCell="B1" workbookViewId="0">
      <selection activeCell="J37" sqref="J37"/>
    </sheetView>
  </sheetViews>
  <sheetFormatPr defaultRowHeight="15" x14ac:dyDescent="0.25"/>
  <cols>
    <col min="18" max="18" width="11.5703125" bestFit="1" customWidth="1"/>
  </cols>
  <sheetData>
    <row r="3" spans="3:28" x14ac:dyDescent="0.25">
      <c r="C3" s="2" t="s">
        <v>1</v>
      </c>
      <c r="D3" s="2"/>
      <c r="E3" s="2"/>
      <c r="F3" s="2"/>
      <c r="G3" s="3" t="s">
        <v>19</v>
      </c>
      <c r="H3" s="3" t="s">
        <v>20</v>
      </c>
      <c r="I3" s="3" t="s">
        <v>2</v>
      </c>
      <c r="J3" s="3" t="s">
        <v>3</v>
      </c>
      <c r="K3" s="3" t="s">
        <v>4</v>
      </c>
      <c r="L3" s="3" t="s">
        <v>5</v>
      </c>
      <c r="M3" s="3" t="s">
        <v>6</v>
      </c>
      <c r="N3" s="3" t="s">
        <v>7</v>
      </c>
      <c r="O3" s="3" t="s">
        <v>8</v>
      </c>
      <c r="P3" s="3" t="s">
        <v>9</v>
      </c>
      <c r="Q3" s="3" t="s">
        <v>21</v>
      </c>
      <c r="R3" s="4" t="s">
        <v>10</v>
      </c>
      <c r="S3" s="4" t="s">
        <v>11</v>
      </c>
      <c r="T3" s="4" t="s">
        <v>12</v>
      </c>
      <c r="U3" s="4" t="s">
        <v>13</v>
      </c>
      <c r="V3" s="4" t="s">
        <v>14</v>
      </c>
      <c r="W3" s="4" t="s">
        <v>15</v>
      </c>
      <c r="X3" s="4" t="s">
        <v>16</v>
      </c>
      <c r="Y3" s="4" t="s">
        <v>22</v>
      </c>
      <c r="Z3" s="4" t="s">
        <v>23</v>
      </c>
      <c r="AA3" s="4" t="s">
        <v>24</v>
      </c>
      <c r="AB3" s="4" t="s">
        <v>25</v>
      </c>
    </row>
    <row r="4" spans="3:28" x14ac:dyDescent="0.25">
      <c r="C4" s="5" t="s">
        <v>17</v>
      </c>
      <c r="D4" s="5"/>
      <c r="E4" s="5"/>
      <c r="F4" s="5"/>
      <c r="G4" s="6">
        <v>44742</v>
      </c>
      <c r="H4" s="6">
        <v>44834</v>
      </c>
      <c r="I4" s="6">
        <v>44926</v>
      </c>
      <c r="J4" s="6">
        <v>45016</v>
      </c>
      <c r="K4" s="6">
        <v>45107</v>
      </c>
      <c r="L4" s="6">
        <v>45199</v>
      </c>
      <c r="M4" s="6">
        <v>45291</v>
      </c>
      <c r="N4" s="6">
        <v>45382</v>
      </c>
      <c r="O4" s="6">
        <v>45473</v>
      </c>
      <c r="P4" s="6">
        <v>45565</v>
      </c>
      <c r="Q4" s="6">
        <v>45657</v>
      </c>
      <c r="R4" s="6">
        <f>+Q4+90</f>
        <v>45747</v>
      </c>
      <c r="S4" s="6">
        <v>45838</v>
      </c>
      <c r="T4" s="6">
        <v>45930</v>
      </c>
      <c r="U4" s="6">
        <v>46022</v>
      </c>
      <c r="V4" s="6">
        <v>46112</v>
      </c>
      <c r="W4" s="6">
        <v>46203</v>
      </c>
      <c r="X4" s="6">
        <v>46295</v>
      </c>
      <c r="Y4" s="6">
        <v>46387</v>
      </c>
      <c r="Z4" s="6">
        <v>46477</v>
      </c>
      <c r="AA4" s="6">
        <v>46568</v>
      </c>
      <c r="AB4" s="6">
        <v>46660</v>
      </c>
    </row>
    <row r="6" spans="3:28" x14ac:dyDescent="0.25">
      <c r="C6" s="28" t="str">
        <f>Model!C77</f>
        <v>EBITDA</v>
      </c>
      <c r="D6" s="28"/>
      <c r="E6" s="28"/>
      <c r="F6" s="28"/>
      <c r="G6" s="28">
        <f>Model!G77</f>
        <v>72.40000000000002</v>
      </c>
      <c r="H6" s="28">
        <f>Model!H77</f>
        <v>66.100000000000009</v>
      </c>
      <c r="I6" s="28">
        <f>Model!I77</f>
        <v>80.09999999999998</v>
      </c>
      <c r="J6" s="28">
        <f>Model!J77</f>
        <v>62.800000000000026</v>
      </c>
      <c r="K6" s="28">
        <f>Model!K77</f>
        <v>80.900000000000006</v>
      </c>
      <c r="L6" s="28">
        <f>Model!L77</f>
        <v>90.100000000000009</v>
      </c>
      <c r="M6" s="28">
        <f>Model!M77</f>
        <v>95.2</v>
      </c>
      <c r="N6" s="28">
        <f>Model!N77</f>
        <v>95.200000000000017</v>
      </c>
      <c r="O6" s="28">
        <f>Model!O77</f>
        <v>115.89999999999998</v>
      </c>
      <c r="P6" s="28">
        <f>Model!P77</f>
        <v>116.39999999999996</v>
      </c>
      <c r="Q6" s="28">
        <f>Model!Q77</f>
        <v>119.49999999999997</v>
      </c>
      <c r="R6" s="28">
        <f>Model!R77</f>
        <v>139.19600200154662</v>
      </c>
      <c r="S6" s="28">
        <f>Model!S77</f>
        <v>144.30218545656186</v>
      </c>
      <c r="T6" s="28">
        <f>Model!T77</f>
        <v>153.50346013487322</v>
      </c>
      <c r="U6" s="28">
        <f>Model!U77</f>
        <v>146.28336402571682</v>
      </c>
      <c r="V6" s="28">
        <f>Model!V77</f>
        <v>163.75155367972246</v>
      </c>
      <c r="W6" s="28">
        <f>Model!W77</f>
        <v>170.37875846494131</v>
      </c>
      <c r="X6" s="28">
        <f>Model!X77</f>
        <v>183.60734727295826</v>
      </c>
      <c r="Y6" s="28">
        <f>Model!Y77</f>
        <v>174.10950085145146</v>
      </c>
      <c r="Z6" s="28">
        <f>Model!Z77</f>
        <v>193.54111173574915</v>
      </c>
      <c r="AA6" s="28">
        <f>Model!AA77</f>
        <v>198.1252670126828</v>
      </c>
      <c r="AB6" s="28">
        <f>Model!AB77</f>
        <v>211.9772718287368</v>
      </c>
    </row>
    <row r="7" spans="3:28" x14ac:dyDescent="0.25">
      <c r="C7" s="106" t="s">
        <v>144</v>
      </c>
      <c r="D7" s="106"/>
      <c r="E7" s="106"/>
      <c r="F7" s="106"/>
      <c r="G7" s="107">
        <v>17.8</v>
      </c>
      <c r="H7" s="107">
        <v>17.899999999999999</v>
      </c>
      <c r="I7" s="107">
        <v>17.3</v>
      </c>
      <c r="J7" s="107">
        <v>20.399999999999999</v>
      </c>
      <c r="K7" s="107">
        <v>19.3</v>
      </c>
      <c r="L7" s="107">
        <v>21.2</v>
      </c>
      <c r="M7" s="107">
        <v>24.8</v>
      </c>
      <c r="N7" s="107">
        <v>22.5</v>
      </c>
      <c r="O7" s="107">
        <v>17.899999999999999</v>
      </c>
      <c r="P7" s="107">
        <v>23.9</v>
      </c>
      <c r="Q7" s="107">
        <v>24</v>
      </c>
      <c r="R7" s="107">
        <f>Q7-0.75</f>
        <v>23.25</v>
      </c>
      <c r="S7" s="107">
        <f t="shared" ref="S7:AA7" si="0">R7-0.75</f>
        <v>22.5</v>
      </c>
      <c r="T7" s="107">
        <f t="shared" si="0"/>
        <v>21.75</v>
      </c>
      <c r="U7" s="107">
        <f t="shared" si="0"/>
        <v>21</v>
      </c>
      <c r="V7" s="107">
        <f t="shared" si="0"/>
        <v>20.25</v>
      </c>
      <c r="W7" s="107">
        <f t="shared" si="0"/>
        <v>19.5</v>
      </c>
      <c r="X7" s="107">
        <f t="shared" si="0"/>
        <v>18.75</v>
      </c>
      <c r="Y7" s="107">
        <f t="shared" si="0"/>
        <v>18</v>
      </c>
      <c r="Z7" s="107">
        <f t="shared" si="0"/>
        <v>17.25</v>
      </c>
      <c r="AA7" s="107">
        <f t="shared" si="0"/>
        <v>16.5</v>
      </c>
      <c r="AB7" s="108">
        <v>15</v>
      </c>
    </row>
    <row r="8" spans="3:28" x14ac:dyDescent="0.25">
      <c r="C8" s="10" t="s">
        <v>143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5">
        <f>(((SUM(O6:R6)*R7)+(SUM('3-Step Valuation'!$E$32:$E$40)))/'3-Step Valuation'!$E$42)</f>
        <v>80.660423657532689</v>
      </c>
      <c r="S8" s="105">
        <f>(((SUM(P6:S6)*S7)+(SUM('3-Step Valuation'!$E$32:$E$40)))/'3-Step Valuation'!$E$42)</f>
        <v>82.71475662120649</v>
      </c>
      <c r="T8" s="105">
        <f>(((SUM(Q6:T6)*T7)+(SUM('3-Step Valuation'!$E$32:$E$40)))/'3-Step Valuation'!$E$42)</f>
        <v>85.881587279224348</v>
      </c>
      <c r="U8" s="105">
        <f>(((SUM(R6:U6)*U7)+(SUM('3-Step Valuation'!$E$32:$E$40)))/'3-Step Valuation'!$E$42)</f>
        <v>86.982136580129492</v>
      </c>
      <c r="V8" s="105">
        <f>(((SUM(S6:V6)*V7)+(SUM('3-Step Valuation'!$E$32:$E$40)))/'3-Step Valuation'!$E$42)</f>
        <v>87.435680524667788</v>
      </c>
      <c r="W8" s="105">
        <f>(((SUM(T6:W6)*W7)+(SUM('3-Step Valuation'!$E$32:$E$40)))/'3-Step Valuation'!$E$42)</f>
        <v>87.834806235415343</v>
      </c>
      <c r="X8" s="105">
        <f>(((SUM(U6:X6)*X7)+(SUM('3-Step Valuation'!$E$32:$E$40)))/'3-Step Valuation'!$E$42)</f>
        <v>88.510045437434428</v>
      </c>
      <c r="Y8" s="105">
        <f>(((SUM(V6:Y6)*Y7)+(SUM('3-Step Valuation'!$E$32:$E$40)))/'3-Step Valuation'!$E$42)</f>
        <v>88.531701447756959</v>
      </c>
      <c r="Z8" s="105">
        <f>(((SUM(W6:Z6)*Z7)+(SUM('3-Step Valuation'!$E$32:$E$40)))/'3-Step Valuation'!$E$42)</f>
        <v>88.493653399392954</v>
      </c>
      <c r="AA8" s="105">
        <f>(((SUM(X6:AA6)*AA7)+(SUM('3-Step Valuation'!$E$32:$E$40)))/'3-Step Valuation'!$E$42)</f>
        <v>87.860895489317912</v>
      </c>
      <c r="AB8" s="112">
        <f>(((SUM(Y6:AB6)*AB7)+(SUM('3-Step Valuation'!$E$32:$E$40)))/'3-Step Valuation'!$E$42)</f>
        <v>82.561806034208033</v>
      </c>
    </row>
    <row r="9" spans="3:28" x14ac:dyDescent="0.25"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spans="3:28" x14ac:dyDescent="0.25">
      <c r="C10" s="28" t="s">
        <v>145</v>
      </c>
      <c r="D10" s="28"/>
      <c r="E10" s="28"/>
      <c r="F10" s="28"/>
      <c r="G10" s="35">
        <f>Model!G97</f>
        <v>0.28686720469552468</v>
      </c>
      <c r="H10" s="35">
        <f>Model!H97</f>
        <v>0.36042780748663111</v>
      </c>
      <c r="I10" s="35">
        <f>Model!I97</f>
        <v>0.32765011119347642</v>
      </c>
      <c r="J10" s="35">
        <f>Model!J97</f>
        <v>0.23163418290854595</v>
      </c>
      <c r="K10" s="35">
        <f>Model!K97</f>
        <v>0.33459214501510576</v>
      </c>
      <c r="L10" s="35">
        <f>Model!L97</f>
        <v>0.34661654135338354</v>
      </c>
      <c r="M10" s="35">
        <f>Model!M97</f>
        <v>0.33460365853658541</v>
      </c>
      <c r="N10" s="35">
        <f>Model!N97</f>
        <v>0.43664122137404593</v>
      </c>
      <c r="O10" s="35">
        <f>Model!O97</f>
        <v>0.56692307692307675</v>
      </c>
      <c r="P10" s="35">
        <f>Model!P97</f>
        <v>0.55026861089792756</v>
      </c>
      <c r="Q10" s="35">
        <f>Model!Q97</f>
        <v>0.5965865011636925</v>
      </c>
      <c r="R10" s="35">
        <f>Model!R97</f>
        <v>0.67134690903247785</v>
      </c>
      <c r="S10" s="35">
        <f>Model!S97</f>
        <v>0.72006075035745876</v>
      </c>
      <c r="T10" s="35">
        <f>Model!T97</f>
        <v>0.76943992358537805</v>
      </c>
      <c r="U10" s="35">
        <f>Model!U97</f>
        <v>0.72695639938062007</v>
      </c>
      <c r="V10" s="35">
        <f>Model!V97</f>
        <v>0.82072173394081294</v>
      </c>
      <c r="W10" s="35">
        <f>Model!W97</f>
        <v>0.86221402918075174</v>
      </c>
      <c r="X10" s="35">
        <f>Model!X97</f>
        <v>0.93514626951647328</v>
      </c>
      <c r="Y10" s="35">
        <f>Model!Y97</f>
        <v>0.88191545768123591</v>
      </c>
      <c r="Z10" s="35">
        <f>Model!Z97</f>
        <v>0.98970119702975778</v>
      </c>
      <c r="AA10" s="35">
        <f>Model!AA97</f>
        <v>1.0161305708689519</v>
      </c>
      <c r="AB10" s="35">
        <f>Model!AB97</f>
        <v>1.0930523848309677</v>
      </c>
    </row>
    <row r="11" spans="3:28" x14ac:dyDescent="0.25">
      <c r="C11" s="106" t="s">
        <v>146</v>
      </c>
      <c r="D11" s="106"/>
      <c r="E11" s="106"/>
      <c r="F11" s="106"/>
      <c r="G11" s="107">
        <v>30.2</v>
      </c>
      <c r="H11" s="107">
        <v>28.2</v>
      </c>
      <c r="I11" s="107">
        <v>28.5</v>
      </c>
      <c r="J11" s="107">
        <v>34</v>
      </c>
      <c r="K11" s="107">
        <v>32.1</v>
      </c>
      <c r="L11" s="107">
        <v>36.9</v>
      </c>
      <c r="M11" s="107">
        <v>46.8</v>
      </c>
      <c r="N11" s="107">
        <v>40</v>
      </c>
      <c r="O11" s="107">
        <v>29.7</v>
      </c>
      <c r="P11" s="107">
        <v>29.5</v>
      </c>
      <c r="Q11" s="107">
        <v>36.9</v>
      </c>
      <c r="R11" s="107">
        <f>Q11-1.35</f>
        <v>35.549999999999997</v>
      </c>
      <c r="S11" s="107">
        <f t="shared" ref="S11:AA11" si="1">R11-1.35</f>
        <v>34.199999999999996</v>
      </c>
      <c r="T11" s="107">
        <f t="shared" si="1"/>
        <v>32.849999999999994</v>
      </c>
      <c r="U11" s="107">
        <f t="shared" si="1"/>
        <v>31.499999999999993</v>
      </c>
      <c r="V11" s="107">
        <f t="shared" si="1"/>
        <v>30.149999999999991</v>
      </c>
      <c r="W11" s="107">
        <f t="shared" si="1"/>
        <v>28.79999999999999</v>
      </c>
      <c r="X11" s="107">
        <f t="shared" si="1"/>
        <v>27.449999999999989</v>
      </c>
      <c r="Y11" s="107">
        <f t="shared" si="1"/>
        <v>26.099999999999987</v>
      </c>
      <c r="Z11" s="107">
        <f t="shared" si="1"/>
        <v>24.749999999999986</v>
      </c>
      <c r="AA11" s="107">
        <f t="shared" si="1"/>
        <v>23.399999999999984</v>
      </c>
      <c r="AB11" s="110">
        <v>22</v>
      </c>
    </row>
    <row r="12" spans="3:28" x14ac:dyDescent="0.25">
      <c r="C12" s="10" t="s">
        <v>143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5">
        <f>SUM(O10:R10)*R11</f>
        <v>84.791197234510562</v>
      </c>
      <c r="S12" s="105">
        <f t="shared" ref="S12:AB12" si="2">SUM(P10:S10)*S11</f>
        <v>86.808586783643221</v>
      </c>
      <c r="T12" s="105">
        <f t="shared" si="2"/>
        <v>90.581709663966379</v>
      </c>
      <c r="U12" s="105">
        <f t="shared" si="2"/>
        <v>90.96582544421193</v>
      </c>
      <c r="V12" s="105">
        <f t="shared" si="2"/>
        <v>91.570941039017697</v>
      </c>
      <c r="W12" s="105">
        <f t="shared" si="2"/>
        <v>91.564764079321776</v>
      </c>
      <c r="X12" s="105">
        <f t="shared" si="2"/>
        <v>91.821304958912123</v>
      </c>
      <c r="Y12" s="105">
        <f t="shared" si="2"/>
        <v>91.349934497332995</v>
      </c>
      <c r="Z12" s="105">
        <f t="shared" si="2"/>
        <v>90.807179596853359</v>
      </c>
      <c r="AA12" s="105">
        <f t="shared" si="2"/>
        <v>89.455707785256138</v>
      </c>
      <c r="AB12" s="112">
        <f t="shared" si="2"/>
        <v>87.577591429040098</v>
      </c>
    </row>
    <row r="13" spans="3:28" x14ac:dyDescent="0.25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spans="3:28" x14ac:dyDescent="0.25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spans="3:28" x14ac:dyDescent="0.25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3:28" x14ac:dyDescent="0.25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spans="3:28" x14ac:dyDescent="0.25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spans="3:28" x14ac:dyDescent="0.25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3:28" x14ac:dyDescent="0.25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spans="3:28" x14ac:dyDescent="0.2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spans="3:28" x14ac:dyDescent="0.2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spans="3:28" x14ac:dyDescent="0.2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362184FB624A4481F6DF91C293675F" ma:contentTypeVersion="11" ma:contentTypeDescription="Create a new document." ma:contentTypeScope="" ma:versionID="45d9650957114715f19cf6d40ba4196b">
  <xsd:schema xmlns:xsd="http://www.w3.org/2001/XMLSchema" xmlns:xs="http://www.w3.org/2001/XMLSchema" xmlns:p="http://schemas.microsoft.com/office/2006/metadata/properties" xmlns:ns3="861c1a6e-6642-4574-a611-3ef8e3122eab" targetNamespace="http://schemas.microsoft.com/office/2006/metadata/properties" ma:root="true" ma:fieldsID="1b7fc27b902a3c5609f7f9c54add15cd" ns3:_="">
    <xsd:import namespace="861c1a6e-6642-4574-a611-3ef8e3122ea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c1a6e-6642-4574-a611-3ef8e3122ea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1c1a6e-6642-4574-a611-3ef8e3122eab" xsi:nil="true"/>
  </documentManagement>
</p:properties>
</file>

<file path=customXml/itemProps1.xml><?xml version="1.0" encoding="utf-8"?>
<ds:datastoreItem xmlns:ds="http://schemas.openxmlformats.org/officeDocument/2006/customXml" ds:itemID="{17E94507-F770-469A-9096-F6F811E75F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1c1a6e-6642-4574-a611-3ef8e3122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C899C9-3157-43D9-B90F-71F612E67D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2B515-E91A-43C9-B91A-CB56DE355D7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61c1a6e-6642-4574-a611-3ef8e3122ea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Valuation Summary</vt:lpstr>
      <vt:lpstr>Model</vt:lpstr>
      <vt:lpstr>3-Step Valuation</vt:lpstr>
      <vt:lpstr>Comps</vt:lpstr>
      <vt:lpstr>Target - Historical Multiple</vt:lpstr>
    </vt:vector>
  </TitlesOfParts>
  <Company>Keoghs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 Harper</dc:creator>
  <cp:lastModifiedBy>Grayson Harper</cp:lastModifiedBy>
  <dcterms:created xsi:type="dcterms:W3CDTF">2025-04-18T17:03:59Z</dcterms:created>
  <dcterms:modified xsi:type="dcterms:W3CDTF">2025-04-24T03:50:46Z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0x010100C3362184FB624A4481F6DF91C293675F</vt:lpwstr>
  </property>
</Properties>
</file>