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4D3FFE3F-752E-4C6D-A459-F6B0E3AA61FE}" xr6:coauthVersionLast="47" xr6:coauthVersionMax="47" xr10:uidLastSave="{00000000-0000-0000-0000-000000000000}"/>
  <bookViews>
    <workbookView xWindow="-113" yWindow="-113" windowWidth="24267" windowHeight="13023" xr2:uid="{46AA51FD-E198-4C7B-A5D6-6B1142E05612}"/>
  </bookViews>
  <sheets>
    <sheet name="Cover" sheetId="11" r:id="rId1"/>
    <sheet name="Model" sheetId="6" r:id="rId2"/>
    <sheet name="Valuation" sheetId="9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G5" i="9"/>
  <c r="F6" i="9"/>
  <c r="E12" i="11"/>
  <c r="E10" i="11"/>
  <c r="F79" i="9" l="1"/>
  <c r="F78" i="9"/>
  <c r="V30" i="6"/>
  <c r="W30" i="6"/>
  <c r="X30" i="6"/>
  <c r="F75" i="9"/>
  <c r="F73" i="9"/>
  <c r="F71" i="9"/>
  <c r="M6" i="9" l="1"/>
  <c r="E74" i="9"/>
  <c r="E73" i="9"/>
  <c r="E72" i="9" l="1"/>
  <c r="E71" i="9"/>
  <c r="E75" i="9" l="1"/>
  <c r="F77" i="9" s="1"/>
  <c r="J63" i="9" l="1"/>
  <c r="J64" i="9"/>
  <c r="J65" i="9"/>
  <c r="J62" i="9"/>
  <c r="I66" i="9"/>
  <c r="H66" i="9"/>
  <c r="E66" i="9"/>
  <c r="D66" i="9"/>
  <c r="G65" i="9"/>
  <c r="F65" i="9"/>
  <c r="G64" i="9"/>
  <c r="F64" i="9"/>
  <c r="G63" i="9"/>
  <c r="F63" i="9"/>
  <c r="G62" i="9"/>
  <c r="F62" i="9"/>
  <c r="J66" i="9" l="1"/>
  <c r="E42" i="9" s="1"/>
  <c r="G66" i="9"/>
  <c r="E39" i="9" s="1"/>
  <c r="F66" i="9"/>
  <c r="E40" i="9" s="1"/>
  <c r="E53" i="9" l="1"/>
  <c r="E38" i="9"/>
  <c r="E37" i="9"/>
  <c r="AA99" i="6"/>
  <c r="Z99" i="6"/>
  <c r="AA88" i="6"/>
  <c r="AA90" i="6"/>
  <c r="AA91" i="6" s="1"/>
  <c r="P91" i="6"/>
  <c r="Z88" i="6"/>
  <c r="Z90" i="6"/>
  <c r="F91" i="6"/>
  <c r="G91" i="6"/>
  <c r="H91" i="6"/>
  <c r="I91" i="6"/>
  <c r="J91" i="6"/>
  <c r="K91" i="6"/>
  <c r="L91" i="6"/>
  <c r="M91" i="6"/>
  <c r="N91" i="6"/>
  <c r="O91" i="6"/>
  <c r="E91" i="6"/>
  <c r="F92" i="6"/>
  <c r="G92" i="6"/>
  <c r="G93" i="6" s="1"/>
  <c r="H92" i="6"/>
  <c r="I92" i="6"/>
  <c r="J92" i="6"/>
  <c r="K92" i="6"/>
  <c r="L92" i="6"/>
  <c r="M92" i="6"/>
  <c r="M93" i="6" s="1"/>
  <c r="N92" i="6"/>
  <c r="O92" i="6"/>
  <c r="O93" i="6" s="1"/>
  <c r="P92" i="6"/>
  <c r="E92" i="6"/>
  <c r="J89" i="6"/>
  <c r="K89" i="6"/>
  <c r="L89" i="6"/>
  <c r="M89" i="6"/>
  <c r="N89" i="6"/>
  <c r="O89" i="6"/>
  <c r="P89" i="6"/>
  <c r="I89" i="6"/>
  <c r="D23" i="9"/>
  <c r="N93" i="6" l="1"/>
  <c r="E54" i="9"/>
  <c r="J47" i="9"/>
  <c r="AA92" i="6"/>
  <c r="Q91" i="6"/>
  <c r="R91" i="6" s="1"/>
  <c r="Z91" i="6"/>
  <c r="P93" i="6"/>
  <c r="H93" i="6"/>
  <c r="L93" i="6"/>
  <c r="Z92" i="6"/>
  <c r="I93" i="6"/>
  <c r="K93" i="6"/>
  <c r="F93" i="6"/>
  <c r="J93" i="6"/>
  <c r="E6" i="9"/>
  <c r="F5" i="9"/>
  <c r="H5" i="9"/>
  <c r="I5" i="9"/>
  <c r="J5" i="9"/>
  <c r="AA95" i="6"/>
  <c r="Z95" i="6"/>
  <c r="AA85" i="6"/>
  <c r="Z85" i="6"/>
  <c r="AB79" i="6"/>
  <c r="AC79" i="6" s="1"/>
  <c r="AD79" i="6" s="1"/>
  <c r="AE79" i="6" s="1"/>
  <c r="AF79" i="6" s="1"/>
  <c r="Q59" i="6"/>
  <c r="F82" i="6"/>
  <c r="G82" i="6"/>
  <c r="H82" i="6"/>
  <c r="I82" i="6"/>
  <c r="J82" i="6"/>
  <c r="K82" i="6"/>
  <c r="L82" i="6"/>
  <c r="M82" i="6"/>
  <c r="N82" i="6"/>
  <c r="O82" i="6"/>
  <c r="P82" i="6"/>
  <c r="E82" i="6"/>
  <c r="T79" i="6"/>
  <c r="X79" i="6" s="1"/>
  <c r="S79" i="6"/>
  <c r="W79" i="6" s="1"/>
  <c r="R79" i="6"/>
  <c r="V79" i="6" s="1"/>
  <c r="Q79" i="6"/>
  <c r="U79" i="6" s="1"/>
  <c r="AA57" i="6"/>
  <c r="Z57" i="6"/>
  <c r="AC55" i="6"/>
  <c r="AD55" i="6"/>
  <c r="AE55" i="6"/>
  <c r="AF55" i="6"/>
  <c r="AB55" i="6"/>
  <c r="AA55" i="6"/>
  <c r="AA54" i="6"/>
  <c r="Z55" i="6"/>
  <c r="Z54" i="6"/>
  <c r="R55" i="6"/>
  <c r="F66" i="6"/>
  <c r="G66" i="6"/>
  <c r="H66" i="6"/>
  <c r="I66" i="6"/>
  <c r="J66" i="6"/>
  <c r="K66" i="6"/>
  <c r="L66" i="6"/>
  <c r="M66" i="6"/>
  <c r="N66" i="6"/>
  <c r="O66" i="6"/>
  <c r="P66" i="6"/>
  <c r="E66" i="6"/>
  <c r="AA49" i="6"/>
  <c r="AA50" i="6"/>
  <c r="AA51" i="6"/>
  <c r="AA52" i="6"/>
  <c r="Z49" i="6"/>
  <c r="Z50" i="6"/>
  <c r="Z51" i="6"/>
  <c r="Z52" i="6"/>
  <c r="AB46" i="6"/>
  <c r="AC46" i="6" s="1"/>
  <c r="AD46" i="6" s="1"/>
  <c r="AE46" i="6" s="1"/>
  <c r="AF46" i="6" s="1"/>
  <c r="F63" i="6"/>
  <c r="G63" i="6"/>
  <c r="H63" i="6"/>
  <c r="I63" i="6"/>
  <c r="J63" i="6"/>
  <c r="K63" i="6"/>
  <c r="L63" i="6"/>
  <c r="M63" i="6"/>
  <c r="N63" i="6"/>
  <c r="O63" i="6"/>
  <c r="P63" i="6"/>
  <c r="E63" i="6"/>
  <c r="E65" i="6"/>
  <c r="F48" i="6"/>
  <c r="G48" i="6"/>
  <c r="H48" i="6"/>
  <c r="I48" i="6"/>
  <c r="J48" i="6"/>
  <c r="K48" i="6"/>
  <c r="L48" i="6"/>
  <c r="M48" i="6"/>
  <c r="N48" i="6"/>
  <c r="O48" i="6"/>
  <c r="P48" i="6"/>
  <c r="E48" i="6"/>
  <c r="T46" i="6"/>
  <c r="X46" i="6" s="1"/>
  <c r="S46" i="6"/>
  <c r="W46" i="6" s="1"/>
  <c r="R46" i="6"/>
  <c r="V46" i="6" s="1"/>
  <c r="Q46" i="6"/>
  <c r="U46" i="6" s="1"/>
  <c r="Z41" i="6"/>
  <c r="Z89" i="6" s="1"/>
  <c r="Z16" i="6"/>
  <c r="Z40" i="6"/>
  <c r="Z37" i="6"/>
  <c r="Z26" i="6"/>
  <c r="Z18" i="6"/>
  <c r="Z15" i="6"/>
  <c r="AA40" i="6"/>
  <c r="AA37" i="6"/>
  <c r="AA29" i="6"/>
  <c r="AA26" i="6"/>
  <c r="AA18" i="6"/>
  <c r="AA15" i="6"/>
  <c r="I41" i="6"/>
  <c r="J41" i="6"/>
  <c r="K41" i="6"/>
  <c r="L41" i="6"/>
  <c r="N41" i="6"/>
  <c r="O41" i="6"/>
  <c r="P41" i="6"/>
  <c r="M41" i="6"/>
  <c r="J38" i="6"/>
  <c r="K38" i="6"/>
  <c r="L38" i="6"/>
  <c r="M38" i="6"/>
  <c r="N38" i="6"/>
  <c r="O38" i="6"/>
  <c r="P38" i="6"/>
  <c r="I38" i="6"/>
  <c r="L35" i="6"/>
  <c r="M35" i="6"/>
  <c r="N35" i="6"/>
  <c r="O35" i="6"/>
  <c r="P35" i="6"/>
  <c r="Q35" i="6" s="1"/>
  <c r="P30" i="6"/>
  <c r="L30" i="6"/>
  <c r="F24" i="6"/>
  <c r="G24" i="6"/>
  <c r="H24" i="6"/>
  <c r="I24" i="6"/>
  <c r="J24" i="6"/>
  <c r="K24" i="6"/>
  <c r="L24" i="6"/>
  <c r="M24" i="6"/>
  <c r="N24" i="6"/>
  <c r="O24" i="6"/>
  <c r="P24" i="6"/>
  <c r="E24" i="6"/>
  <c r="P19" i="6"/>
  <c r="Q20" i="6" s="1"/>
  <c r="R20" i="6" s="1"/>
  <c r="S20" i="6" s="1"/>
  <c r="T20" i="6" s="1"/>
  <c r="U20" i="6" s="1"/>
  <c r="V20" i="6" s="1"/>
  <c r="W20" i="6" s="1"/>
  <c r="X20" i="6" s="1"/>
  <c r="O19" i="6"/>
  <c r="N19" i="6"/>
  <c r="M19" i="6"/>
  <c r="L19" i="6"/>
  <c r="K19" i="6"/>
  <c r="J19" i="6"/>
  <c r="I19" i="6"/>
  <c r="P27" i="6"/>
  <c r="O27" i="6"/>
  <c r="N27" i="6"/>
  <c r="M27" i="6"/>
  <c r="J16" i="6"/>
  <c r="K16" i="6"/>
  <c r="L16" i="6"/>
  <c r="M16" i="6"/>
  <c r="N16" i="6"/>
  <c r="O16" i="6"/>
  <c r="P16" i="6"/>
  <c r="I16" i="6"/>
  <c r="AB13" i="6"/>
  <c r="AC13" i="6" s="1"/>
  <c r="AD13" i="6" s="1"/>
  <c r="AE13" i="6" s="1"/>
  <c r="AF13" i="6" s="1"/>
  <c r="R13" i="6"/>
  <c r="V13" i="6" s="1"/>
  <c r="S13" i="6"/>
  <c r="W13" i="6" s="1"/>
  <c r="T13" i="6"/>
  <c r="X13" i="6" s="1"/>
  <c r="Q13" i="6"/>
  <c r="U13" i="6" s="1"/>
  <c r="Q31" i="6" l="1"/>
  <c r="R31" i="6" s="1"/>
  <c r="S31" i="6" s="1"/>
  <c r="T31" i="6" s="1"/>
  <c r="U31" i="6" s="1"/>
  <c r="V31" i="6" s="1"/>
  <c r="W31" i="6" s="1"/>
  <c r="X31" i="6" s="1"/>
  <c r="K65" i="6"/>
  <c r="K100" i="6"/>
  <c r="J86" i="6"/>
  <c r="J100" i="6"/>
  <c r="I64" i="6"/>
  <c r="I100" i="6"/>
  <c r="P65" i="6"/>
  <c r="P100" i="6"/>
  <c r="H64" i="6"/>
  <c r="H100" i="6"/>
  <c r="AA93" i="6"/>
  <c r="E64" i="6"/>
  <c r="E100" i="6"/>
  <c r="O64" i="6"/>
  <c r="O100" i="6"/>
  <c r="G64" i="6"/>
  <c r="G100" i="6"/>
  <c r="N96" i="6"/>
  <c r="N100" i="6"/>
  <c r="F62" i="6"/>
  <c r="F100" i="6"/>
  <c r="M65" i="6"/>
  <c r="M100" i="6"/>
  <c r="L65" i="6"/>
  <c r="L100" i="6"/>
  <c r="J50" i="9"/>
  <c r="E57" i="9" s="1"/>
  <c r="E47" i="9"/>
  <c r="E50" i="9" s="1"/>
  <c r="E56" i="9" s="1"/>
  <c r="AA82" i="6"/>
  <c r="K96" i="6"/>
  <c r="O96" i="6"/>
  <c r="L96" i="6"/>
  <c r="Z82" i="6"/>
  <c r="G96" i="6"/>
  <c r="S91" i="6"/>
  <c r="H7" i="9"/>
  <c r="J6" i="9"/>
  <c r="I7" i="9"/>
  <c r="J7" i="9"/>
  <c r="G7" i="9"/>
  <c r="F7" i="9"/>
  <c r="I6" i="9"/>
  <c r="H6" i="9"/>
  <c r="N86" i="6"/>
  <c r="J96" i="6"/>
  <c r="M86" i="6"/>
  <c r="I96" i="6"/>
  <c r="L86" i="6"/>
  <c r="P96" i="6"/>
  <c r="H96" i="6"/>
  <c r="F86" i="6"/>
  <c r="E96" i="6"/>
  <c r="F96" i="6"/>
  <c r="M96" i="6"/>
  <c r="K86" i="6"/>
  <c r="E86" i="6"/>
  <c r="I86" i="6"/>
  <c r="P86" i="6"/>
  <c r="H86" i="6"/>
  <c r="O86" i="6"/>
  <c r="G86" i="6"/>
  <c r="AA59" i="6"/>
  <c r="AF59" i="6"/>
  <c r="R59" i="6"/>
  <c r="S59" i="6" s="1"/>
  <c r="T59" i="6" s="1"/>
  <c r="U59" i="6" s="1"/>
  <c r="V59" i="6" s="1"/>
  <c r="W59" i="6" s="1"/>
  <c r="X59" i="6" s="1"/>
  <c r="AE59" i="6"/>
  <c r="AD59" i="6"/>
  <c r="AC59" i="6"/>
  <c r="Z59" i="6"/>
  <c r="AB59" i="6"/>
  <c r="Z38" i="6"/>
  <c r="L53" i="6"/>
  <c r="L81" i="6" s="1"/>
  <c r="L83" i="6" s="1"/>
  <c r="AA24" i="6"/>
  <c r="AA41" i="6"/>
  <c r="AA89" i="6" s="1"/>
  <c r="F53" i="6"/>
  <c r="F81" i="6" s="1"/>
  <c r="F83" i="6" s="1"/>
  <c r="AA27" i="6"/>
  <c r="L64" i="6"/>
  <c r="AA48" i="6"/>
  <c r="F65" i="6"/>
  <c r="N53" i="6"/>
  <c r="N81" i="6" s="1"/>
  <c r="N83" i="6" s="1"/>
  <c r="K53" i="6"/>
  <c r="K81" i="6" s="1"/>
  <c r="K83" i="6" s="1"/>
  <c r="Q24" i="6"/>
  <c r="Z48" i="6"/>
  <c r="K64" i="6"/>
  <c r="AA38" i="6"/>
  <c r="S55" i="6"/>
  <c r="Q32" i="6"/>
  <c r="J62" i="6"/>
  <c r="N64" i="6"/>
  <c r="F64" i="6"/>
  <c r="J65" i="6"/>
  <c r="AA16" i="6"/>
  <c r="Q21" i="6"/>
  <c r="M53" i="6"/>
  <c r="M81" i="6" s="1"/>
  <c r="E62" i="6"/>
  <c r="I62" i="6"/>
  <c r="M64" i="6"/>
  <c r="I65" i="6"/>
  <c r="H62" i="6"/>
  <c r="G62" i="6"/>
  <c r="G65" i="6"/>
  <c r="J53" i="6"/>
  <c r="N62" i="6"/>
  <c r="J64" i="6"/>
  <c r="N65" i="6"/>
  <c r="E53" i="6"/>
  <c r="I53" i="6"/>
  <c r="I81" i="6" s="1"/>
  <c r="M62" i="6"/>
  <c r="P62" i="6"/>
  <c r="H65" i="6"/>
  <c r="O62" i="6"/>
  <c r="O65" i="6"/>
  <c r="P53" i="6"/>
  <c r="H53" i="6"/>
  <c r="H81" i="6" s="1"/>
  <c r="H83" i="6" s="1"/>
  <c r="L62" i="6"/>
  <c r="P64" i="6"/>
  <c r="Z24" i="6"/>
  <c r="O53" i="6"/>
  <c r="G53" i="6"/>
  <c r="G81" i="6" s="1"/>
  <c r="G83" i="6" s="1"/>
  <c r="K62" i="6"/>
  <c r="Q38" i="6"/>
  <c r="R38" i="6" s="1"/>
  <c r="AA19" i="6"/>
  <c r="Q33" i="6"/>
  <c r="R33" i="6" s="1"/>
  <c r="S33" i="6" s="1"/>
  <c r="T33" i="6" s="1"/>
  <c r="Q22" i="6"/>
  <c r="R22" i="6" s="1"/>
  <c r="S22" i="6" s="1"/>
  <c r="T22" i="6" s="1"/>
  <c r="U22" i="6" s="1"/>
  <c r="V22" i="6" s="1"/>
  <c r="W22" i="6" s="1"/>
  <c r="X22" i="6" s="1"/>
  <c r="R35" i="6"/>
  <c r="S35" i="6" s="1"/>
  <c r="T35" i="6" s="1"/>
  <c r="U35" i="6" s="1"/>
  <c r="V35" i="6" s="1"/>
  <c r="W35" i="6" s="1"/>
  <c r="X35" i="6" s="1"/>
  <c r="R21" i="6" l="1"/>
  <c r="Q19" i="6"/>
  <c r="Q18" i="6" s="1"/>
  <c r="Q50" i="6" s="1"/>
  <c r="R32" i="6"/>
  <c r="Q30" i="6"/>
  <c r="Q29" i="6" s="1"/>
  <c r="Q26" i="6" s="1"/>
  <c r="D29" i="9"/>
  <c r="I29" i="9" s="1"/>
  <c r="E58" i="9"/>
  <c r="M3" i="9" s="1"/>
  <c r="Z53" i="6"/>
  <c r="Z56" i="6" s="1"/>
  <c r="Z58" i="6" s="1"/>
  <c r="Z100" i="6"/>
  <c r="AA53" i="6"/>
  <c r="AA56" i="6" s="1"/>
  <c r="AA58" i="6" s="1"/>
  <c r="AA100" i="6"/>
  <c r="Q100" i="6"/>
  <c r="R100" i="6" s="1"/>
  <c r="S100" i="6" s="1"/>
  <c r="T100" i="6" s="1"/>
  <c r="U100" i="6" s="1"/>
  <c r="V100" i="6" s="1"/>
  <c r="W100" i="6" s="1"/>
  <c r="X100" i="6" s="1"/>
  <c r="AA96" i="6"/>
  <c r="Z96" i="6"/>
  <c r="T91" i="6"/>
  <c r="I83" i="6"/>
  <c r="Z81" i="6"/>
  <c r="Z83" i="6" s="1"/>
  <c r="M83" i="6"/>
  <c r="O71" i="6"/>
  <c r="O81" i="6"/>
  <c r="O83" i="6" s="1"/>
  <c r="J71" i="6"/>
  <c r="J81" i="6"/>
  <c r="J83" i="6" s="1"/>
  <c r="E71" i="6"/>
  <c r="E81" i="6"/>
  <c r="E83" i="6" s="1"/>
  <c r="P71" i="6"/>
  <c r="P81" i="6"/>
  <c r="P83" i="6" s="1"/>
  <c r="K56" i="6"/>
  <c r="K58" i="6" s="1"/>
  <c r="K72" i="6" s="1"/>
  <c r="K71" i="6"/>
  <c r="N56" i="6"/>
  <c r="N58" i="6" s="1"/>
  <c r="N72" i="6" s="1"/>
  <c r="N71" i="6"/>
  <c r="L56" i="6"/>
  <c r="L58" i="6" s="1"/>
  <c r="L60" i="6" s="1"/>
  <c r="L71" i="6"/>
  <c r="G56" i="6"/>
  <c r="G58" i="6" s="1"/>
  <c r="G72" i="6" s="1"/>
  <c r="G71" i="6"/>
  <c r="I56" i="6"/>
  <c r="I58" i="6" s="1"/>
  <c r="I72" i="6" s="1"/>
  <c r="I71" i="6"/>
  <c r="F56" i="6"/>
  <c r="F58" i="6" s="1"/>
  <c r="F72" i="6" s="1"/>
  <c r="F71" i="6"/>
  <c r="M56" i="6"/>
  <c r="M58" i="6" s="1"/>
  <c r="M72" i="6" s="1"/>
  <c r="M71" i="6"/>
  <c r="H56" i="6"/>
  <c r="H58" i="6" s="1"/>
  <c r="H72" i="6" s="1"/>
  <c r="H71" i="6"/>
  <c r="K60" i="6"/>
  <c r="E56" i="6"/>
  <c r="E58" i="6" s="1"/>
  <c r="T55" i="6"/>
  <c r="O68" i="6"/>
  <c r="O56" i="6"/>
  <c r="O58" i="6" s="1"/>
  <c r="L68" i="6"/>
  <c r="J56" i="6"/>
  <c r="J58" i="6" s="1"/>
  <c r="P68" i="6"/>
  <c r="P56" i="6"/>
  <c r="P58" i="6" s="1"/>
  <c r="M68" i="6"/>
  <c r="N68" i="6"/>
  <c r="S38" i="6"/>
  <c r="R24" i="6"/>
  <c r="S24" i="6" s="1"/>
  <c r="Z71" i="6" l="1"/>
  <c r="S32" i="6"/>
  <c r="R30" i="6"/>
  <c r="R29" i="6" s="1"/>
  <c r="V29" i="6" s="1"/>
  <c r="V26" i="6" s="1"/>
  <c r="S21" i="6"/>
  <c r="R19" i="6"/>
  <c r="R18" i="6" s="1"/>
  <c r="R50" i="6" s="1"/>
  <c r="AA68" i="6"/>
  <c r="AA71" i="6"/>
  <c r="I60" i="6"/>
  <c r="U91" i="6"/>
  <c r="AA81" i="6"/>
  <c r="H60" i="6"/>
  <c r="G60" i="6"/>
  <c r="N69" i="6"/>
  <c r="Z60" i="6"/>
  <c r="Z72" i="6"/>
  <c r="AA60" i="6"/>
  <c r="AA69" i="6"/>
  <c r="AA72" i="6"/>
  <c r="M69" i="6"/>
  <c r="N60" i="6"/>
  <c r="F60" i="6"/>
  <c r="L72" i="6"/>
  <c r="L69" i="6"/>
  <c r="M60" i="6"/>
  <c r="P69" i="6"/>
  <c r="P72" i="6"/>
  <c r="P60" i="6"/>
  <c r="J60" i="6"/>
  <c r="J72" i="6"/>
  <c r="E60" i="6"/>
  <c r="E72" i="6"/>
  <c r="O69" i="6"/>
  <c r="O72" i="6"/>
  <c r="O60" i="6"/>
  <c r="U55" i="6"/>
  <c r="Q15" i="6"/>
  <c r="T38" i="6"/>
  <c r="Q27" i="6"/>
  <c r="T24" i="6"/>
  <c r="R26" i="6" l="1"/>
  <c r="V27" i="6" s="1"/>
  <c r="T21" i="6"/>
  <c r="S19" i="6"/>
  <c r="S18" i="6" s="1"/>
  <c r="S50" i="6" s="1"/>
  <c r="R15" i="6"/>
  <c r="R54" i="6" s="1"/>
  <c r="T32" i="6"/>
  <c r="S30" i="6"/>
  <c r="S29" i="6" s="1"/>
  <c r="AA83" i="6"/>
  <c r="AA102" i="6" s="1"/>
  <c r="AA104" i="6"/>
  <c r="V91" i="6"/>
  <c r="Q16" i="6"/>
  <c r="Q54" i="6"/>
  <c r="V55" i="6"/>
  <c r="R27" i="6"/>
  <c r="Q37" i="6"/>
  <c r="Q40" i="6" s="1"/>
  <c r="U38" i="6"/>
  <c r="U24" i="6"/>
  <c r="R37" i="6" l="1"/>
  <c r="R40" i="6" s="1"/>
  <c r="R16" i="6"/>
  <c r="S15" i="6"/>
  <c r="S54" i="6" s="1"/>
  <c r="S26" i="6"/>
  <c r="W29" i="6"/>
  <c r="W26" i="6" s="1"/>
  <c r="U32" i="6"/>
  <c r="U30" i="6" s="1"/>
  <c r="U29" i="6" s="1"/>
  <c r="T30" i="6"/>
  <c r="T29" i="6" s="1"/>
  <c r="U21" i="6"/>
  <c r="T19" i="6"/>
  <c r="T18" i="6" s="1"/>
  <c r="T15" i="6" s="1"/>
  <c r="W91" i="6"/>
  <c r="W55" i="6"/>
  <c r="Q48" i="6"/>
  <c r="Q99" i="6" s="1"/>
  <c r="Q41" i="6"/>
  <c r="Q89" i="6" s="1"/>
  <c r="Q88" i="6" s="1"/>
  <c r="R41" i="6"/>
  <c r="R89" i="6" s="1"/>
  <c r="R48" i="6"/>
  <c r="R99" i="6" s="1"/>
  <c r="S16" i="6"/>
  <c r="S37" i="6"/>
  <c r="V38" i="6"/>
  <c r="V24" i="6"/>
  <c r="AB15" i="6" l="1"/>
  <c r="S40" i="6"/>
  <c r="W27" i="6"/>
  <c r="V21" i="6"/>
  <c r="U19" i="6"/>
  <c r="U18" i="6" s="1"/>
  <c r="U50" i="6" s="1"/>
  <c r="T26" i="6"/>
  <c r="T27" i="6" s="1"/>
  <c r="X29" i="6"/>
  <c r="X26" i="6" s="1"/>
  <c r="U26" i="6"/>
  <c r="AB18" i="6"/>
  <c r="AB19" i="6" s="1"/>
  <c r="T50" i="6"/>
  <c r="AB50" i="6" s="1"/>
  <c r="AB29" i="6"/>
  <c r="AB30" i="6" s="1"/>
  <c r="S27" i="6"/>
  <c r="Q90" i="6"/>
  <c r="Q92" i="6" s="1"/>
  <c r="Q93" i="6" s="1"/>
  <c r="R88" i="6"/>
  <c r="X91" i="6"/>
  <c r="R85" i="6"/>
  <c r="R86" i="6" s="1"/>
  <c r="R95" i="6"/>
  <c r="R96" i="6" s="1"/>
  <c r="Q85" i="6"/>
  <c r="Q95" i="6"/>
  <c r="AB16" i="6"/>
  <c r="AB54" i="6"/>
  <c r="T16" i="6"/>
  <c r="T54" i="6"/>
  <c r="X55" i="6"/>
  <c r="T37" i="6"/>
  <c r="Q49" i="6"/>
  <c r="Q51" i="6"/>
  <c r="Q52" i="6"/>
  <c r="R49" i="6"/>
  <c r="R52" i="6"/>
  <c r="R51" i="6"/>
  <c r="S41" i="6"/>
  <c r="S89" i="6" s="1"/>
  <c r="S48" i="6"/>
  <c r="S99" i="6" s="1"/>
  <c r="W38" i="6"/>
  <c r="W24" i="6"/>
  <c r="X27" i="6" l="1"/>
  <c r="AB26" i="6"/>
  <c r="AB27" i="6" s="1"/>
  <c r="T40" i="6"/>
  <c r="T41" i="6" s="1"/>
  <c r="T89" i="6" s="1"/>
  <c r="AC29" i="6"/>
  <c r="AC30" i="6" s="1"/>
  <c r="AD30" i="6" s="1"/>
  <c r="AE30" i="6" s="1"/>
  <c r="AF30" i="6" s="1"/>
  <c r="U15" i="6"/>
  <c r="U37" i="6" s="1"/>
  <c r="U40" i="6" s="1"/>
  <c r="U48" i="6" s="1"/>
  <c r="U99" i="6" s="1"/>
  <c r="AD29" i="6"/>
  <c r="AD26" i="6" s="1"/>
  <c r="U27" i="6"/>
  <c r="AC26" i="6"/>
  <c r="AC27" i="6" s="1"/>
  <c r="W21" i="6"/>
  <c r="V19" i="6"/>
  <c r="V18" i="6" s="1"/>
  <c r="V15" i="6" s="1"/>
  <c r="Q96" i="6"/>
  <c r="S88" i="6"/>
  <c r="R90" i="6"/>
  <c r="R92" i="6" s="1"/>
  <c r="R93" i="6" s="1"/>
  <c r="Q86" i="6"/>
  <c r="S85" i="6"/>
  <c r="S86" i="6" s="1"/>
  <c r="S95" i="6"/>
  <c r="S96" i="6" s="1"/>
  <c r="AB37" i="6"/>
  <c r="AB38" i="6" s="1"/>
  <c r="T48" i="6"/>
  <c r="AB40" i="6"/>
  <c r="AB41" i="6" s="1"/>
  <c r="AB89" i="6" s="1"/>
  <c r="R53" i="6"/>
  <c r="Q53" i="6"/>
  <c r="S49" i="6"/>
  <c r="S52" i="6"/>
  <c r="S51" i="6"/>
  <c r="X38" i="6"/>
  <c r="X24" i="6"/>
  <c r="U16" i="6" l="1"/>
  <c r="U54" i="6"/>
  <c r="AD27" i="6"/>
  <c r="AE29" i="6"/>
  <c r="AF29" i="6" s="1"/>
  <c r="AF26" i="6" s="1"/>
  <c r="V50" i="6"/>
  <c r="X21" i="6"/>
  <c r="X19" i="6" s="1"/>
  <c r="X18" i="6" s="1"/>
  <c r="X50" i="6" s="1"/>
  <c r="W19" i="6"/>
  <c r="W18" i="6" s="1"/>
  <c r="W15" i="6" s="1"/>
  <c r="T95" i="6"/>
  <c r="T96" i="6" s="1"/>
  <c r="T99" i="6"/>
  <c r="AB99" i="6" s="1"/>
  <c r="S90" i="6"/>
  <c r="S92" i="6" s="1"/>
  <c r="S93" i="6" s="1"/>
  <c r="T88" i="6"/>
  <c r="U85" i="6"/>
  <c r="U95" i="6"/>
  <c r="R71" i="6"/>
  <c r="R81" i="6"/>
  <c r="R104" i="6" s="1"/>
  <c r="T49" i="6"/>
  <c r="AB49" i="6" s="1"/>
  <c r="T85" i="6"/>
  <c r="T86" i="6" s="1"/>
  <c r="Q71" i="6"/>
  <c r="Q81" i="6"/>
  <c r="Q104" i="6" s="1"/>
  <c r="AE26" i="6"/>
  <c r="AE27" i="6" s="1"/>
  <c r="V16" i="6"/>
  <c r="V54" i="6"/>
  <c r="T51" i="6"/>
  <c r="AB48" i="6"/>
  <c r="T52" i="6"/>
  <c r="AB52" i="6" s="1"/>
  <c r="S53" i="6"/>
  <c r="S81" i="6" s="1"/>
  <c r="S104" i="6" s="1"/>
  <c r="R68" i="6"/>
  <c r="R56" i="6"/>
  <c r="Q68" i="6"/>
  <c r="Q56" i="6"/>
  <c r="V37" i="6"/>
  <c r="V40" i="6" s="1"/>
  <c r="V41" i="6" s="1"/>
  <c r="V89" i="6" s="1"/>
  <c r="U49" i="6"/>
  <c r="U51" i="6"/>
  <c r="U52" i="6"/>
  <c r="AB24" i="6"/>
  <c r="AC24" i="6"/>
  <c r="AD24" i="6"/>
  <c r="AE24" i="6"/>
  <c r="AF24" i="6"/>
  <c r="AC18" i="6"/>
  <c r="U41" i="6"/>
  <c r="U89" i="6" s="1"/>
  <c r="W50" i="6" l="1"/>
  <c r="AC50" i="6"/>
  <c r="X15" i="6"/>
  <c r="X54" i="6" s="1"/>
  <c r="AB95" i="6"/>
  <c r="AB96" i="6" s="1"/>
  <c r="AB100" i="6"/>
  <c r="U96" i="6"/>
  <c r="AB88" i="6"/>
  <c r="U88" i="6"/>
  <c r="T90" i="6"/>
  <c r="U86" i="6"/>
  <c r="AB85" i="6"/>
  <c r="Q57" i="6"/>
  <c r="R57" i="6"/>
  <c r="S56" i="6"/>
  <c r="S71" i="6"/>
  <c r="AF27" i="6"/>
  <c r="T53" i="6"/>
  <c r="S68" i="6"/>
  <c r="W16" i="6"/>
  <c r="W54" i="6"/>
  <c r="AB51" i="6"/>
  <c r="AB53" i="6" s="1"/>
  <c r="AB71" i="6" s="1"/>
  <c r="W37" i="6"/>
  <c r="W40" i="6" s="1"/>
  <c r="W48" i="6" s="1"/>
  <c r="W99" i="6" s="1"/>
  <c r="V48" i="6"/>
  <c r="V99" i="6" s="1"/>
  <c r="U53" i="6"/>
  <c r="AC19" i="6"/>
  <c r="AD19" i="6" s="1"/>
  <c r="AE19" i="6" s="1"/>
  <c r="AF19" i="6" s="1"/>
  <c r="AC15" i="6"/>
  <c r="X37" i="6"/>
  <c r="X40" i="6" s="1"/>
  <c r="X48" i="6" s="1"/>
  <c r="X99" i="6" s="1"/>
  <c r="Q82" i="6" l="1"/>
  <c r="Q83" i="6" s="1"/>
  <c r="Q102" i="6" s="1"/>
  <c r="X16" i="6"/>
  <c r="AC99" i="6"/>
  <c r="T92" i="6"/>
  <c r="T93" i="6" s="1"/>
  <c r="AB90" i="6"/>
  <c r="AB91" i="6" s="1"/>
  <c r="V88" i="6"/>
  <c r="U90" i="6"/>
  <c r="U92" i="6" s="1"/>
  <c r="V85" i="6"/>
  <c r="V95" i="6"/>
  <c r="W85" i="6"/>
  <c r="W86" i="6" s="1"/>
  <c r="W95" i="6"/>
  <c r="W96" i="6" s="1"/>
  <c r="X85" i="6"/>
  <c r="X86" i="6" s="1"/>
  <c r="X95" i="6"/>
  <c r="X96" i="6" s="1"/>
  <c r="U71" i="6"/>
  <c r="U81" i="6"/>
  <c r="U104" i="6" s="1"/>
  <c r="R58" i="6"/>
  <c r="R69" i="6" s="1"/>
  <c r="R82" i="6"/>
  <c r="R83" i="6" s="1"/>
  <c r="R102" i="6" s="1"/>
  <c r="T71" i="6"/>
  <c r="T81" i="6"/>
  <c r="S57" i="6"/>
  <c r="Q58" i="6"/>
  <c r="AC16" i="6"/>
  <c r="AD16" i="6" s="1"/>
  <c r="AE16" i="6" s="1"/>
  <c r="AF16" i="6" s="1"/>
  <c r="AC54" i="6"/>
  <c r="AB68" i="6"/>
  <c r="AB56" i="6"/>
  <c r="W41" i="6"/>
  <c r="W89" i="6" s="1"/>
  <c r="T68" i="6"/>
  <c r="T56" i="6"/>
  <c r="U68" i="6"/>
  <c r="U56" i="6"/>
  <c r="V49" i="6"/>
  <c r="V52" i="6"/>
  <c r="V51" i="6"/>
  <c r="AC48" i="6"/>
  <c r="W49" i="6"/>
  <c r="W51" i="6"/>
  <c r="W52" i="6"/>
  <c r="X49" i="6"/>
  <c r="X52" i="6"/>
  <c r="X51" i="6"/>
  <c r="AD18" i="6"/>
  <c r="AD50" i="6" s="1"/>
  <c r="X41" i="6"/>
  <c r="X89" i="6" s="1"/>
  <c r="AC40" i="6"/>
  <c r="AC41" i="6" s="1"/>
  <c r="AC89" i="6" s="1"/>
  <c r="AC37" i="6"/>
  <c r="AC38" i="6" s="1"/>
  <c r="AB81" i="6" l="1"/>
  <c r="AB104" i="6" s="1"/>
  <c r="T104" i="6"/>
  <c r="AC100" i="6"/>
  <c r="AD100" i="6" s="1"/>
  <c r="AB92" i="6"/>
  <c r="AB93" i="6" s="1"/>
  <c r="V96" i="6"/>
  <c r="AC95" i="6"/>
  <c r="AC96" i="6" s="1"/>
  <c r="V86" i="6"/>
  <c r="AC85" i="6"/>
  <c r="U93" i="6"/>
  <c r="V90" i="6"/>
  <c r="V92" i="6" s="1"/>
  <c r="V93" i="6" s="1"/>
  <c r="W88" i="6"/>
  <c r="R72" i="6"/>
  <c r="R60" i="6"/>
  <c r="S58" i="6"/>
  <c r="S69" i="6" s="1"/>
  <c r="S82" i="6"/>
  <c r="S83" i="6" s="1"/>
  <c r="S102" i="6" s="1"/>
  <c r="Q60" i="6"/>
  <c r="Q69" i="6"/>
  <c r="Q72" i="6"/>
  <c r="T57" i="6"/>
  <c r="AB57" i="6" s="1"/>
  <c r="U57" i="6"/>
  <c r="U82" i="6" s="1"/>
  <c r="W53" i="6"/>
  <c r="W81" i="6" s="1"/>
  <c r="W104" i="6" s="1"/>
  <c r="AC51" i="6"/>
  <c r="X53" i="6"/>
  <c r="V53" i="6"/>
  <c r="AC52" i="6"/>
  <c r="AC49" i="6"/>
  <c r="AD15" i="6"/>
  <c r="AE18" i="6"/>
  <c r="AE50" i="6" s="1"/>
  <c r="S60" i="6" l="1"/>
  <c r="AE100" i="6"/>
  <c r="U83" i="6"/>
  <c r="U102" i="6" s="1"/>
  <c r="W90" i="6"/>
  <c r="W92" i="6" s="1"/>
  <c r="W93" i="6" s="1"/>
  <c r="X88" i="6"/>
  <c r="S72" i="6"/>
  <c r="V71" i="6"/>
  <c r="V81" i="6"/>
  <c r="V104" i="6" s="1"/>
  <c r="X71" i="6"/>
  <c r="X81" i="6"/>
  <c r="X104" i="6" s="1"/>
  <c r="AB58" i="6"/>
  <c r="AB69" i="6" s="1"/>
  <c r="T82" i="6"/>
  <c r="T83" i="6" s="1"/>
  <c r="T102" i="6" s="1"/>
  <c r="T58" i="6"/>
  <c r="U58" i="6"/>
  <c r="W68" i="6"/>
  <c r="W71" i="6"/>
  <c r="AD37" i="6"/>
  <c r="AD38" i="6" s="1"/>
  <c r="AD54" i="6"/>
  <c r="AC53" i="6"/>
  <c r="AC71" i="6" s="1"/>
  <c r="W56" i="6"/>
  <c r="V68" i="6"/>
  <c r="V56" i="6"/>
  <c r="X68" i="6"/>
  <c r="X56" i="6"/>
  <c r="AE15" i="6"/>
  <c r="AF18" i="6"/>
  <c r="AB82" i="6" l="1"/>
  <c r="AB83" i="6" s="1"/>
  <c r="AB102" i="6" s="1"/>
  <c r="F9" i="9" s="1"/>
  <c r="AF100" i="6"/>
  <c r="AC81" i="6"/>
  <c r="AC104" i="6" s="1"/>
  <c r="AC88" i="6"/>
  <c r="X90" i="6"/>
  <c r="AC90" i="6" s="1"/>
  <c r="AB60" i="6"/>
  <c r="AB72" i="6"/>
  <c r="V57" i="6"/>
  <c r="T60" i="6"/>
  <c r="T72" i="6"/>
  <c r="T69" i="6"/>
  <c r="U60" i="6"/>
  <c r="U72" i="6"/>
  <c r="U69" i="6"/>
  <c r="X57" i="6"/>
  <c r="W57" i="6"/>
  <c r="AD40" i="6"/>
  <c r="AD41" i="6" s="1"/>
  <c r="AD89" i="6" s="1"/>
  <c r="AE37" i="6"/>
  <c r="AE38" i="6" s="1"/>
  <c r="AE54" i="6"/>
  <c r="AC68" i="6"/>
  <c r="AC56" i="6"/>
  <c r="AF15" i="6"/>
  <c r="AF50" i="6"/>
  <c r="X92" i="6" l="1"/>
  <c r="X93" i="6" s="1"/>
  <c r="AC91" i="6"/>
  <c r="AD91" i="6" s="1"/>
  <c r="AD88" i="6"/>
  <c r="AC92" i="6"/>
  <c r="AC93" i="6" s="1"/>
  <c r="W58" i="6"/>
  <c r="W69" i="6" s="1"/>
  <c r="W82" i="6"/>
  <c r="W83" i="6" s="1"/>
  <c r="W102" i="6" s="1"/>
  <c r="X58" i="6"/>
  <c r="X69" i="6" s="1"/>
  <c r="X82" i="6"/>
  <c r="X83" i="6" s="1"/>
  <c r="V58" i="6"/>
  <c r="V60" i="6" s="1"/>
  <c r="V82" i="6"/>
  <c r="AC57" i="6"/>
  <c r="AC58" i="6" s="1"/>
  <c r="AE40" i="6"/>
  <c r="AE48" i="6" s="1"/>
  <c r="AE99" i="6" s="1"/>
  <c r="AD48" i="6"/>
  <c r="AD99" i="6" s="1"/>
  <c r="AF37" i="6"/>
  <c r="AF54" i="6"/>
  <c r="X60" i="6" l="1"/>
  <c r="W60" i="6"/>
  <c r="X102" i="6"/>
  <c r="V69" i="6"/>
  <c r="V72" i="6"/>
  <c r="AE95" i="6"/>
  <c r="AE96" i="6" s="1"/>
  <c r="AE85" i="6"/>
  <c r="V83" i="6"/>
  <c r="V102" i="6" s="1"/>
  <c r="AC82" i="6"/>
  <c r="AC83" i="6" s="1"/>
  <c r="X72" i="6"/>
  <c r="AD52" i="6"/>
  <c r="AD95" i="6"/>
  <c r="AD96" i="6" s="1"/>
  <c r="AD85" i="6"/>
  <c r="AE91" i="6"/>
  <c r="AD90" i="6"/>
  <c r="AD92" i="6" s="1"/>
  <c r="AD93" i="6" s="1"/>
  <c r="AD49" i="6"/>
  <c r="W72" i="6"/>
  <c r="AD51" i="6"/>
  <c r="AC60" i="6"/>
  <c r="AC72" i="6"/>
  <c r="AC69" i="6"/>
  <c r="AE41" i="6"/>
  <c r="AE89" i="6" s="1"/>
  <c r="AF40" i="6"/>
  <c r="AF38" i="6"/>
  <c r="AE49" i="6"/>
  <c r="AE52" i="6"/>
  <c r="AE51" i="6"/>
  <c r="AE53" i="6" l="1"/>
  <c r="AE81" i="6" s="1"/>
  <c r="AE104" i="6" s="1"/>
  <c r="AD53" i="6"/>
  <c r="AD68" i="6" s="1"/>
  <c r="AC102" i="6"/>
  <c r="G9" i="9" s="1"/>
  <c r="AE88" i="6"/>
  <c r="AE90" i="6" s="1"/>
  <c r="AF91" i="6"/>
  <c r="AF48" i="6"/>
  <c r="AF99" i="6" s="1"/>
  <c r="AF41" i="6"/>
  <c r="AF89" i="6" s="1"/>
  <c r="AD71" i="6" l="1"/>
  <c r="AD81" i="6"/>
  <c r="AD104" i="6" s="1"/>
  <c r="AE68" i="6"/>
  <c r="AE71" i="6"/>
  <c r="AE56" i="6"/>
  <c r="AE57" i="6" s="1"/>
  <c r="AE82" i="6" s="1"/>
  <c r="AE83" i="6" s="1"/>
  <c r="AD56" i="6"/>
  <c r="AD57" i="6" s="1"/>
  <c r="AD82" i="6" s="1"/>
  <c r="AD83" i="6" s="1"/>
  <c r="AF95" i="6"/>
  <c r="AF96" i="6" s="1"/>
  <c r="AF85" i="6"/>
  <c r="AE92" i="6"/>
  <c r="AE93" i="6" s="1"/>
  <c r="AF88" i="6"/>
  <c r="AF90" i="6" s="1"/>
  <c r="AF51" i="6"/>
  <c r="AF49" i="6"/>
  <c r="AF52" i="6"/>
  <c r="AE102" i="6" l="1"/>
  <c r="I9" i="9" s="1"/>
  <c r="AD102" i="6"/>
  <c r="H9" i="9" s="1"/>
  <c r="AE58" i="6"/>
  <c r="AE72" i="6" s="1"/>
  <c r="AD58" i="6"/>
  <c r="AF92" i="6"/>
  <c r="AF93" i="6" s="1"/>
  <c r="AF53" i="6"/>
  <c r="AF56" i="6" s="1"/>
  <c r="AE60" i="6" l="1"/>
  <c r="AD60" i="6"/>
  <c r="AE69" i="6"/>
  <c r="AD69" i="6"/>
  <c r="AD72" i="6"/>
  <c r="AF57" i="6"/>
  <c r="AF82" i="6" s="1"/>
  <c r="AF71" i="6"/>
  <c r="AF81" i="6"/>
  <c r="AF104" i="6" s="1"/>
  <c r="J12" i="9" s="1"/>
  <c r="AF68" i="6"/>
  <c r="AF83" i="6" l="1"/>
  <c r="AF102" i="6" s="1"/>
  <c r="I17" i="9"/>
  <c r="AF58" i="6"/>
  <c r="J9" i="9" l="1"/>
  <c r="AF60" i="6"/>
  <c r="AF72" i="6"/>
  <c r="AF69" i="6"/>
  <c r="J10" i="9" l="1"/>
  <c r="D17" i="9" s="1"/>
  <c r="D16" i="9"/>
  <c r="I16" i="9"/>
  <c r="I18" i="9" s="1"/>
  <c r="I28" i="9" s="1"/>
  <c r="I30" i="9" s="1"/>
  <c r="D18" i="9" l="1"/>
  <c r="D28" i="9" s="1"/>
  <c r="D30" i="9" s="1"/>
  <c r="C5" i="6" s="1"/>
  <c r="C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E74" authorId="0" shapeId="0" xr:uid="{FE32A01A-7389-4072-920E-62F08AC374F2}">
      <text>
        <r>
          <rPr>
            <b/>
            <sz val="9"/>
            <color indexed="81"/>
            <rFont val="Tahoma"/>
            <charset val="1"/>
          </rPr>
          <t>Grayson Harper:</t>
        </r>
        <r>
          <rPr>
            <sz val="9"/>
            <color indexed="81"/>
            <rFont val="Tahoma"/>
            <charset val="1"/>
          </rPr>
          <t xml:space="preserve">
FY 25 guidance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E48" authorId="0" shapeId="0" xr:uid="{484B9358-EFF7-4AE5-B39C-34EF6347A92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  <comment ref="J48" authorId="0" shapeId="0" xr:uid="{CAB52032-B8C8-406D-BCAA-6992F967D44E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sharedStrings.xml><?xml version="1.0" encoding="utf-8"?>
<sst xmlns="http://schemas.openxmlformats.org/spreadsheetml/2006/main" count="377" uniqueCount="189">
  <si>
    <t>Total revenue</t>
  </si>
  <si>
    <t>Personnel</t>
  </si>
  <si>
    <t>Transaction expense</t>
  </si>
  <si>
    <t>Provision for credit losses</t>
  </si>
  <si>
    <t>Net interest expense</t>
  </si>
  <si>
    <t>REVENUE BUILD</t>
  </si>
  <si>
    <t>Fiscal Year</t>
  </si>
  <si>
    <t>2023A</t>
  </si>
  <si>
    <t>2024A</t>
  </si>
  <si>
    <t>2025F</t>
  </si>
  <si>
    <t>2026F</t>
  </si>
  <si>
    <t>2027F</t>
  </si>
  <si>
    <t>2028F</t>
  </si>
  <si>
    <t>2029F</t>
  </si>
  <si>
    <t>Period Ending</t>
  </si>
  <si>
    <t>2Q 2022A</t>
  </si>
  <si>
    <t>3Q 2022A</t>
  </si>
  <si>
    <t>4Q 2022A</t>
  </si>
  <si>
    <t>1Q 2023A</t>
  </si>
  <si>
    <t>2Q 2023A</t>
  </si>
  <si>
    <t>3Q 2023A</t>
  </si>
  <si>
    <t>4Q 2023A</t>
  </si>
  <si>
    <t>1Q 2024A</t>
  </si>
  <si>
    <t>2Q 2024A</t>
  </si>
  <si>
    <t>1Q 2022A</t>
  </si>
  <si>
    <t>3Q 2024A</t>
  </si>
  <si>
    <t>4Q 2024A</t>
  </si>
  <si>
    <t>Subscribers</t>
  </si>
  <si>
    <t>-</t>
  </si>
  <si>
    <t>Subscription revenue</t>
  </si>
  <si>
    <t>Upside</t>
  </si>
  <si>
    <t>Base</t>
  </si>
  <si>
    <t>Downside</t>
  </si>
  <si>
    <t>1Q 2025A</t>
  </si>
  <si>
    <t>2Q 2025A</t>
  </si>
  <si>
    <t>3Q 2025A</t>
  </si>
  <si>
    <t>4Q 2025A</t>
  </si>
  <si>
    <t>1Q 2026A</t>
  </si>
  <si>
    <t>2Q 2026A</t>
  </si>
  <si>
    <t>3Q 2026A</t>
  </si>
  <si>
    <t>4Q 2026A</t>
  </si>
  <si>
    <t>Transaction revenue</t>
  </si>
  <si>
    <t>Other revenue</t>
  </si>
  <si>
    <t>Quarterly Projections</t>
  </si>
  <si>
    <t>Annual Roll-up &amp; Projection</t>
  </si>
  <si>
    <t>QoQ growth rate</t>
  </si>
  <si>
    <t>Take rate</t>
  </si>
  <si>
    <t>Subscription Rev/Subscriber</t>
  </si>
  <si>
    <t>% of Transaction Rev</t>
  </si>
  <si>
    <t>INCOME STATEMENT</t>
  </si>
  <si>
    <t>SG&amp;A</t>
  </si>
  <si>
    <t>Operating Income (EBIT)</t>
  </si>
  <si>
    <t>Personnel % of total rev</t>
  </si>
  <si>
    <t>SG&amp;A % of total rev</t>
  </si>
  <si>
    <t>Provision for credit losses % of total rev</t>
  </si>
  <si>
    <t>Transaction expense % GMV</t>
  </si>
  <si>
    <t>Gross Merchandise Volume (GMV)</t>
  </si>
  <si>
    <t>EBIT QoQ growth rate</t>
  </si>
  <si>
    <t>Other income</t>
  </si>
  <si>
    <t>EBT</t>
  </si>
  <si>
    <t>Net income</t>
  </si>
  <si>
    <t>Net interest exp % of Transaction rev</t>
  </si>
  <si>
    <t>Net income QoQ growth rate</t>
  </si>
  <si>
    <t>EBIT margin</t>
  </si>
  <si>
    <t>Net profit margin</t>
  </si>
  <si>
    <t>Shares outstanding</t>
  </si>
  <si>
    <t>EPS</t>
  </si>
  <si>
    <t>Tax (expense) benefit</t>
  </si>
  <si>
    <t>Tax Rate</t>
  </si>
  <si>
    <t>EBIT</t>
  </si>
  <si>
    <t>Income tax</t>
  </si>
  <si>
    <t>NOPAT</t>
  </si>
  <si>
    <t>D&amp;A</t>
  </si>
  <si>
    <t>% of revenue</t>
  </si>
  <si>
    <t>Current assets</t>
  </si>
  <si>
    <t>Current liabilities</t>
  </si>
  <si>
    <t>ratio</t>
  </si>
  <si>
    <t>WC</t>
  </si>
  <si>
    <t>Changes in NWC</t>
  </si>
  <si>
    <t>CAPEX</t>
  </si>
  <si>
    <t>FCFF</t>
  </si>
  <si>
    <t>Free Cash Flow to the Firm (FCFF) (Unlevered FCF)</t>
  </si>
  <si>
    <t>Fiscal Quarter</t>
  </si>
  <si>
    <t>Valuation Date</t>
  </si>
  <si>
    <t>Date for NPV calc</t>
  </si>
  <si>
    <t>Year Frac</t>
  </si>
  <si>
    <t>Terminal value</t>
  </si>
  <si>
    <t>EBITDA 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</si>
  <si>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</si>
  <si>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</si>
  <si>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</si>
  <si>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</si>
  <si>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</si>
  <si>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</si>
  <si>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Equity Value</t>
  </si>
  <si>
    <t>Shares Outstanding (MM)</t>
  </si>
  <si>
    <t>Equity Value per Share</t>
  </si>
  <si>
    <t>(+) Cash &amp; Cash-Equivalents:</t>
  </si>
  <si>
    <t>(+) Equity Investments:</t>
  </si>
  <si>
    <t>(+) Other Non-Core Assets, Net:</t>
  </si>
  <si>
    <t>(+) Net Operating Losses:</t>
  </si>
  <si>
    <t>(-) Total Debt &amp; Capital Leases:</t>
  </si>
  <si>
    <t>(-) Preferred Stock:</t>
  </si>
  <si>
    <t>(-) Noncontrolling Interests:</t>
  </si>
  <si>
    <t>(-) Unfunded Pension Obligations:</t>
  </si>
  <si>
    <t>(-) Restructuring &amp; Other Liabilities:</t>
  </si>
  <si>
    <t>EBITDA Exit Multiple</t>
  </si>
  <si>
    <t>rev growth rate / 2</t>
  </si>
  <si>
    <t>SBC</t>
  </si>
  <si>
    <t>EV/EBITDA Exit</t>
  </si>
  <si>
    <t>EBITDA</t>
  </si>
  <si>
    <t>WACC</t>
  </si>
  <si>
    <t>Total Debt</t>
  </si>
  <si>
    <t>Mkt val Equity</t>
  </si>
  <si>
    <t>% Debt</t>
  </si>
  <si>
    <t>% Equity</t>
  </si>
  <si>
    <t>Beta</t>
  </si>
  <si>
    <t>Risk Free Rate</t>
  </si>
  <si>
    <t>Equity Risk Premium</t>
  </si>
  <si>
    <t>Cost of Debt</t>
  </si>
  <si>
    <t>Pre-Tax Cost of Debt</t>
  </si>
  <si>
    <t>Comparable Companies</t>
  </si>
  <si>
    <t>Total</t>
  </si>
  <si>
    <t>Mkt. Val.</t>
  </si>
  <si>
    <t xml:space="preserve">Equity / </t>
  </si>
  <si>
    <t>Debt /</t>
  </si>
  <si>
    <t>Tax</t>
  </si>
  <si>
    <t>Levered</t>
  </si>
  <si>
    <t>Unlevered</t>
  </si>
  <si>
    <t>Name</t>
  </si>
  <si>
    <t>Ticker</t>
  </si>
  <si>
    <t>Debt</t>
  </si>
  <si>
    <t>Equity</t>
  </si>
  <si>
    <t>Capital</t>
  </si>
  <si>
    <t>Rate</t>
  </si>
  <si>
    <t>Beta (5-Yr)</t>
  </si>
  <si>
    <t>SHOP</t>
  </si>
  <si>
    <t>Median</t>
  </si>
  <si>
    <t>Affirm</t>
  </si>
  <si>
    <t>AFRM</t>
  </si>
  <si>
    <t>Paypal</t>
  </si>
  <si>
    <t>PYPL</t>
  </si>
  <si>
    <t>SQ</t>
  </si>
  <si>
    <t>Square</t>
  </si>
  <si>
    <t>Shopify</t>
  </si>
  <si>
    <t>Industry Beta</t>
  </si>
  <si>
    <t>Beta (relevered)</t>
  </si>
  <si>
    <t>Median % Debt</t>
  </si>
  <si>
    <t>Median % Equity</t>
  </si>
  <si>
    <t>Industry Method</t>
  </si>
  <si>
    <t>Cost of Equity (industry capital structure)</t>
  </si>
  <si>
    <t>Cost of Equity (current capital structure)</t>
  </si>
  <si>
    <t>WACC (industry capital structure)</t>
  </si>
  <si>
    <t>WACC (current capital structure)</t>
  </si>
  <si>
    <t>Average WACC</t>
  </si>
  <si>
    <t>Options:</t>
  </si>
  <si>
    <t>Warrants:</t>
  </si>
  <si>
    <t>RSUs:</t>
  </si>
  <si>
    <t>Other:</t>
  </si>
  <si>
    <t>Total:</t>
  </si>
  <si>
    <t>Share price</t>
  </si>
  <si>
    <t>Fully Diluted Shares</t>
  </si>
  <si>
    <t>Proceeds</t>
  </si>
  <si>
    <t>Dilution</t>
  </si>
  <si>
    <t>Price</t>
  </si>
  <si>
    <t>Number</t>
  </si>
  <si>
    <t>Type</t>
  </si>
  <si>
    <t>Shares from ITM options/rsu</t>
  </si>
  <si>
    <t>Shares repurchased</t>
  </si>
  <si>
    <t>Total new shares from options/rsu</t>
  </si>
  <si>
    <t>GMV Scenario</t>
  </si>
  <si>
    <t>Subscriber Scenario</t>
  </si>
  <si>
    <t>Implied Share price</t>
  </si>
  <si>
    <t>Share Price</t>
  </si>
  <si>
    <t>Premium/Discount</t>
  </si>
  <si>
    <t>DCF Model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</si>
  <si>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</si>
  <si>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</si>
  <si>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</si>
  <si>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</si>
  <si>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</si>
  <si>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</si>
  <si>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</si>
  <si>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</si>
  <si>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</si>
  <si>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</si>
  <si>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</si>
  <si>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$SEZL</t>
  </si>
  <si>
    <t>Sezzle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</si>
</sst>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,##0.0_);\(#,##0.0\)"/>
    <numFmt numFmtId="167" formatCode="_(* #,##0.000_);_(* \(#,##0.000\);_(* &quot;-&quot;???_);_(@_)"/>
    <numFmt numFmtId="168" formatCode="_(* #,##0_);_(* \(#,##0\);_(* &quot;-&quot;???_);_(@_)"/>
    <numFmt numFmtId="169" formatCode="&quot;$&quot;#,##0.00"/>
  </numFmts>
  <fonts count="31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FF"/>
      <name val="Aptos Narrow"/>
      <family val="2"/>
      <scheme val="minor"/>
    </font>
    <font>
      <sz val="10"/>
      <color rgb="FF0000FF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/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 style="thin">
        <color theme="1" tint="0.249977111117893"/>
      </bottom>
      <diagonal/>
    </border>
    <border>
      <left style="hair">
        <color theme="0" tint="-0.14999847407452621"/>
      </left>
      <right style="hair">
        <color theme="0" tint="-0.14999847407452621"/>
      </right>
      <top/>
      <bottom/>
      <diagonal/>
    </border>
    <border>
      <left/>
      <right style="hair">
        <color theme="0" tint="-0.14999847407452621"/>
      </right>
      <top style="thin">
        <color theme="1" tint="0.249977111117893"/>
      </top>
      <bottom/>
      <diagonal/>
    </border>
    <border>
      <left/>
      <right/>
      <top/>
      <bottom style="hair">
        <color theme="0" tint="-0.14999847407452621"/>
      </bottom>
      <diagonal/>
    </border>
    <border>
      <left/>
      <right style="hair">
        <color theme="0" tint="-0.14999847407452621"/>
      </right>
      <top/>
      <bottom style="hair">
        <color theme="0" tint="-0.149998474074526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8" fillId="0" borderId="0"/>
    <xf numFmtId="0" fontId="17" fillId="0" borderId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4" quotePrefix="1" applyFont="1" applyFill="1" applyAlignment="1">
      <alignment vertical="top"/>
    </xf>
    <xf numFmtId="0" fontId="6" fillId="2" borderId="0" xfId="4" applyFont="1" applyFill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3" borderId="0" xfId="4" applyFont="1" applyFill="1" applyAlignment="1">
      <alignment horizontal="center" vertical="center" wrapText="1"/>
    </xf>
    <xf numFmtId="0" fontId="3" fillId="0" borderId="2" xfId="0" applyFont="1" applyBorder="1"/>
    <xf numFmtId="14" fontId="7" fillId="0" borderId="2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3" fontId="11" fillId="0" borderId="0" xfId="0" applyNumberFormat="1" applyFont="1"/>
    <xf numFmtId="0" fontId="8" fillId="0" borderId="0" xfId="0" applyFont="1"/>
    <xf numFmtId="164" fontId="8" fillId="0" borderId="0" xfId="3" applyNumberFormat="1" applyFont="1"/>
    <xf numFmtId="3" fontId="3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left" indent="1"/>
    </xf>
    <xf numFmtId="0" fontId="3" fillId="0" borderId="4" xfId="0" applyFont="1" applyBorder="1"/>
    <xf numFmtId="0" fontId="3" fillId="0" borderId="5" xfId="0" applyFont="1" applyBorder="1"/>
    <xf numFmtId="0" fontId="6" fillId="2" borderId="6" xfId="4" applyFont="1" applyFill="1" applyBorder="1" applyAlignment="1">
      <alignment horizontal="center" vertical="center" wrapText="1"/>
    </xf>
    <xf numFmtId="0" fontId="3" fillId="0" borderId="6" xfId="0" applyFont="1" applyBorder="1"/>
    <xf numFmtId="3" fontId="11" fillId="0" borderId="6" xfId="0" applyNumberFormat="1" applyFont="1" applyBorder="1"/>
    <xf numFmtId="164" fontId="8" fillId="0" borderId="6" xfId="3" applyNumberFormat="1" applyFont="1" applyBorder="1"/>
    <xf numFmtId="3" fontId="3" fillId="0" borderId="6" xfId="0" applyNumberFormat="1" applyFont="1" applyBorder="1"/>
    <xf numFmtId="14" fontId="3" fillId="0" borderId="2" xfId="0" applyNumberFormat="1" applyFont="1" applyBorder="1"/>
    <xf numFmtId="0" fontId="13" fillId="0" borderId="0" xfId="0" applyFont="1"/>
    <xf numFmtId="14" fontId="8" fillId="0" borderId="8" xfId="0" applyNumberFormat="1" applyFont="1" applyBorder="1" applyAlignment="1">
      <alignment horizontal="right"/>
    </xf>
    <xf numFmtId="14" fontId="13" fillId="0" borderId="2" xfId="0" applyNumberFormat="1" applyFont="1" applyBorder="1"/>
    <xf numFmtId="0" fontId="5" fillId="2" borderId="6" xfId="4" quotePrefix="1" applyFont="1" applyFill="1" applyBorder="1" applyAlignment="1">
      <alignment vertical="top"/>
    </xf>
    <xf numFmtId="0" fontId="6" fillId="2" borderId="9" xfId="4" applyFont="1" applyFill="1" applyBorder="1" applyAlignment="1">
      <alignment horizontal="center" vertical="center" wrapText="1"/>
    </xf>
    <xf numFmtId="0" fontId="6" fillId="3" borderId="6" xfId="4" applyFont="1" applyFill="1" applyBorder="1" applyAlignment="1">
      <alignment horizontal="center" vertical="center" wrapText="1"/>
    </xf>
    <xf numFmtId="0" fontId="6" fillId="3" borderId="9" xfId="4" applyFont="1" applyFill="1" applyBorder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14" fontId="7" fillId="0" borderId="8" xfId="0" applyNumberFormat="1" applyFont="1" applyBorder="1" applyAlignment="1">
      <alignment horizontal="right"/>
    </xf>
    <xf numFmtId="0" fontId="7" fillId="0" borderId="0" xfId="0" applyFont="1"/>
    <xf numFmtId="9" fontId="8" fillId="0" borderId="0" xfId="3" applyFont="1" applyBorder="1"/>
    <xf numFmtId="3" fontId="2" fillId="0" borderId="6" xfId="0" applyNumberFormat="1" applyFont="1" applyBorder="1"/>
    <xf numFmtId="9" fontId="8" fillId="0" borderId="0" xfId="3" applyFont="1"/>
    <xf numFmtId="9" fontId="8" fillId="0" borderId="5" xfId="3" applyFont="1" applyBorder="1"/>
    <xf numFmtId="9" fontId="8" fillId="4" borderId="0" xfId="3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3" fontId="12" fillId="0" borderId="0" xfId="0" applyNumberFormat="1" applyFont="1" applyAlignment="1">
      <alignment horizontal="center"/>
    </xf>
    <xf numFmtId="14" fontId="3" fillId="0" borderId="0" xfId="0" applyNumberFormat="1" applyFont="1"/>
    <xf numFmtId="9" fontId="8" fillId="0" borderId="0" xfId="3" applyFont="1" applyFill="1" applyBorder="1"/>
    <xf numFmtId="164" fontId="8" fillId="0" borderId="0" xfId="3" applyNumberFormat="1" applyFont="1" applyFill="1"/>
    <xf numFmtId="0" fontId="2" fillId="0" borderId="0" xfId="0" applyFont="1" applyAlignment="1">
      <alignment horizontal="center"/>
    </xf>
    <xf numFmtId="9" fontId="8" fillId="0" borderId="7" xfId="3" applyFont="1" applyBorder="1"/>
    <xf numFmtId="0" fontId="3" fillId="0" borderId="10" xfId="0" applyFont="1" applyBorder="1"/>
    <xf numFmtId="9" fontId="8" fillId="0" borderId="6" xfId="3" applyFont="1" applyBorder="1"/>
    <xf numFmtId="165" fontId="3" fillId="0" borderId="6" xfId="0" applyNumberFormat="1" applyFont="1" applyBorder="1"/>
    <xf numFmtId="0" fontId="2" fillId="0" borderId="6" xfId="0" applyFont="1" applyBorder="1"/>
    <xf numFmtId="0" fontId="3" fillId="0" borderId="11" xfId="0" applyFont="1" applyBorder="1"/>
    <xf numFmtId="3" fontId="3" fillId="0" borderId="11" xfId="0" applyNumberFormat="1" applyFont="1" applyBorder="1"/>
    <xf numFmtId="3" fontId="3" fillId="0" borderId="12" xfId="0" applyNumberFormat="1" applyFont="1" applyBorder="1"/>
    <xf numFmtId="0" fontId="2" fillId="0" borderId="11" xfId="0" applyFont="1" applyBorder="1"/>
    <xf numFmtId="0" fontId="2" fillId="0" borderId="12" xfId="0" applyFont="1" applyBorder="1"/>
    <xf numFmtId="164" fontId="8" fillId="0" borderId="0" xfId="3" applyNumberFormat="1" applyFont="1" applyFill="1" applyBorder="1"/>
    <xf numFmtId="164" fontId="8" fillId="0" borderId="0" xfId="3" applyNumberFormat="1" applyFont="1" applyBorder="1"/>
    <xf numFmtId="164" fontId="8" fillId="0" borderId="6" xfId="3" applyNumberFormat="1" applyFont="1" applyFill="1" applyBorder="1"/>
    <xf numFmtId="0" fontId="3" fillId="0" borderId="0" xfId="0" applyFont="1" applyAlignment="1">
      <alignment horizontal="left"/>
    </xf>
    <xf numFmtId="37" fontId="3" fillId="0" borderId="0" xfId="0" applyNumberFormat="1" applyFont="1"/>
    <xf numFmtId="37" fontId="12" fillId="0" borderId="0" xfId="0" applyNumberFormat="1" applyFont="1"/>
    <xf numFmtId="0" fontId="3" fillId="0" borderId="11" xfId="0" applyFont="1" applyBorder="1" applyAlignment="1">
      <alignment horizontal="left"/>
    </xf>
    <xf numFmtId="37" fontId="12" fillId="0" borderId="11" xfId="0" applyNumberFormat="1" applyFont="1" applyBorder="1"/>
    <xf numFmtId="37" fontId="2" fillId="0" borderId="0" xfId="0" applyNumberFormat="1" applyFont="1"/>
    <xf numFmtId="3" fontId="3" fillId="0" borderId="10" xfId="0" applyNumberFormat="1" applyFont="1" applyBorder="1"/>
    <xf numFmtId="37" fontId="12" fillId="0" borderId="6" xfId="0" applyNumberFormat="1" applyFont="1" applyBorder="1"/>
    <xf numFmtId="37" fontId="12" fillId="0" borderId="12" xfId="0" applyNumberFormat="1" applyFont="1" applyBorder="1"/>
    <xf numFmtId="37" fontId="2" fillId="0" borderId="6" xfId="0" applyNumberFormat="1" applyFont="1" applyBorder="1"/>
    <xf numFmtId="37" fontId="3" fillId="0" borderId="11" xfId="0" applyNumberFormat="1" applyFont="1" applyBorder="1"/>
    <xf numFmtId="37" fontId="3" fillId="0" borderId="6" xfId="0" applyNumberFormat="1" applyFont="1" applyBorder="1"/>
    <xf numFmtId="37" fontId="3" fillId="0" borderId="12" xfId="0" applyNumberFormat="1" applyFont="1" applyBorder="1"/>
    <xf numFmtId="0" fontId="3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39" fontId="2" fillId="0" borderId="0" xfId="0" applyNumberFormat="1" applyFont="1"/>
    <xf numFmtId="0" fontId="3" fillId="0" borderId="13" xfId="0" applyFont="1" applyBorder="1"/>
    <xf numFmtId="37" fontId="11" fillId="0" borderId="0" xfId="0" applyNumberFormat="1" applyFont="1"/>
    <xf numFmtId="0" fontId="7" fillId="0" borderId="0" xfId="0" applyFont="1" applyAlignment="1">
      <alignment horizontal="left"/>
    </xf>
    <xf numFmtId="0" fontId="7" fillId="0" borderId="11" xfId="0" applyFont="1" applyBorder="1"/>
    <xf numFmtId="39" fontId="2" fillId="0" borderId="6" xfId="0" applyNumberFormat="1" applyFont="1" applyBorder="1"/>
    <xf numFmtId="0" fontId="3" fillId="0" borderId="12" xfId="0" applyFont="1" applyBorder="1"/>
    <xf numFmtId="14" fontId="7" fillId="0" borderId="2" xfId="0" applyNumberFormat="1" applyFont="1" applyBorder="1"/>
    <xf numFmtId="43" fontId="3" fillId="0" borderId="0" xfId="1" applyFont="1"/>
    <xf numFmtId="0" fontId="2" fillId="0" borderId="13" xfId="0" applyFont="1" applyBorder="1"/>
    <xf numFmtId="2" fontId="3" fillId="0" borderId="0" xfId="0" applyNumberFormat="1" applyFont="1"/>
    <xf numFmtId="9" fontId="3" fillId="0" borderId="0" xfId="0" applyNumberFormat="1" applyFont="1"/>
    <xf numFmtId="37" fontId="11" fillId="0" borderId="6" xfId="0" applyNumberFormat="1" applyFont="1" applyBorder="1"/>
    <xf numFmtId="0" fontId="3" fillId="0" borderId="14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 applyAlignment="1">
      <alignment horizontal="left"/>
    </xf>
    <xf numFmtId="164" fontId="12" fillId="0" borderId="0" xfId="3" applyNumberFormat="1" applyFont="1"/>
    <xf numFmtId="164" fontId="12" fillId="0" borderId="14" xfId="3" applyNumberFormat="1" applyFont="1" applyBorder="1"/>
    <xf numFmtId="9" fontId="3" fillId="0" borderId="13" xfId="0" applyNumberFormat="1" applyFont="1" applyBorder="1"/>
    <xf numFmtId="164" fontId="2" fillId="0" borderId="0" xfId="3" applyNumberFormat="1" applyFont="1"/>
    <xf numFmtId="37" fontId="6" fillId="6" borderId="0" xfId="0" applyNumberFormat="1" applyFont="1" applyFill="1" applyAlignment="1">
      <alignment vertical="center"/>
    </xf>
    <xf numFmtId="37" fontId="6" fillId="0" borderId="0" xfId="0" applyNumberFormat="1" applyFont="1" applyAlignment="1">
      <alignment vertical="center"/>
    </xf>
    <xf numFmtId="39" fontId="12" fillId="0" borderId="0" xfId="0" applyNumberFormat="1" applyFont="1"/>
    <xf numFmtId="164" fontId="19" fillId="0" borderId="0" xfId="3" applyNumberFormat="1" applyFont="1"/>
    <xf numFmtId="9" fontId="12" fillId="0" borderId="0" xfId="3" applyFont="1"/>
    <xf numFmtId="0" fontId="14" fillId="0" borderId="0" xfId="6" applyFont="1"/>
    <xf numFmtId="164" fontId="19" fillId="0" borderId="0" xfId="3" applyNumberFormat="1" applyFont="1" applyBorder="1"/>
    <xf numFmtId="9" fontId="12" fillId="0" borderId="0" xfId="3" applyFont="1" applyBorder="1"/>
    <xf numFmtId="2" fontId="19" fillId="0" borderId="0" xfId="0" applyNumberFormat="1" applyFont="1"/>
    <xf numFmtId="2" fontId="20" fillId="0" borderId="0" xfId="0" applyNumberFormat="1" applyFont="1"/>
    <xf numFmtId="0" fontId="14" fillId="0" borderId="11" xfId="6" applyFont="1" applyBorder="1"/>
    <xf numFmtId="39" fontId="12" fillId="0" borderId="11" xfId="0" applyNumberFormat="1" applyFont="1" applyBorder="1"/>
    <xf numFmtId="164" fontId="19" fillId="0" borderId="11" xfId="3" applyNumberFormat="1" applyFont="1" applyBorder="1"/>
    <xf numFmtId="9" fontId="12" fillId="0" borderId="11" xfId="3" applyFont="1" applyBorder="1"/>
    <xf numFmtId="166" fontId="12" fillId="0" borderId="11" xfId="0" applyNumberFormat="1" applyFont="1" applyBorder="1"/>
    <xf numFmtId="14" fontId="3" fillId="0" borderId="6" xfId="0" applyNumberFormat="1" applyFont="1" applyBorder="1"/>
    <xf numFmtId="37" fontId="3" fillId="0" borderId="0" xfId="0" applyNumberFormat="1" applyFont="1" applyAlignment="1">
      <alignment horizontal="right"/>
    </xf>
    <xf numFmtId="37" fontId="3" fillId="0" borderId="11" xfId="0" applyNumberFormat="1" applyFont="1" applyBorder="1" applyAlignment="1">
      <alignment horizontal="right"/>
    </xf>
    <xf numFmtId="0" fontId="15" fillId="0" borderId="0" xfId="5" applyFont="1" applyAlignment="1">
      <alignment horizontal="center"/>
    </xf>
    <xf numFmtId="0" fontId="15" fillId="0" borderId="11" xfId="5" applyFont="1" applyBorder="1" applyAlignment="1">
      <alignment horizontal="center"/>
    </xf>
    <xf numFmtId="2" fontId="19" fillId="0" borderId="0" xfId="5" applyNumberFormat="1" applyFont="1" applyAlignment="1">
      <alignment horizontal="right"/>
    </xf>
    <xf numFmtId="2" fontId="19" fillId="0" borderId="11" xfId="5" applyNumberFormat="1" applyFont="1" applyBorder="1" applyAlignment="1">
      <alignment horizontal="right"/>
    </xf>
    <xf numFmtId="164" fontId="3" fillId="0" borderId="0" xfId="0" applyNumberFormat="1" applyFont="1"/>
    <xf numFmtId="164" fontId="2" fillId="7" borderId="15" xfId="0" applyNumberFormat="1" applyFont="1" applyFill="1" applyBorder="1"/>
    <xf numFmtId="44" fontId="2" fillId="4" borderId="15" xfId="2" applyFont="1" applyFill="1" applyBorder="1"/>
    <xf numFmtId="9" fontId="3" fillId="0" borderId="5" xfId="3" applyFont="1" applyBorder="1"/>
    <xf numFmtId="2" fontId="3" fillId="0" borderId="5" xfId="0" applyNumberFormat="1" applyFont="1" applyBorder="1"/>
    <xf numFmtId="0" fontId="3" fillId="8" borderId="0" xfId="0" applyFont="1" applyFill="1"/>
    <xf numFmtId="37" fontId="12" fillId="0" borderId="5" xfId="0" applyNumberFormat="1" applyFont="1" applyBorder="1"/>
    <xf numFmtId="168" fontId="14" fillId="0" borderId="0" xfId="0" applyNumberFormat="1" applyFont="1"/>
    <xf numFmtId="167" fontId="14" fillId="0" borderId="0" xfId="0" applyNumberFormat="1" applyFont="1"/>
    <xf numFmtId="167" fontId="14" fillId="0" borderId="11" xfId="0" applyNumberFormat="1" applyFont="1" applyBorder="1"/>
    <xf numFmtId="168" fontId="15" fillId="0" borderId="0" xfId="0" applyNumberFormat="1" applyFont="1"/>
    <xf numFmtId="168" fontId="3" fillId="0" borderId="0" xfId="0" applyNumberFormat="1" applyFont="1"/>
    <xf numFmtId="164" fontId="3" fillId="4" borderId="4" xfId="3" applyNumberFormat="1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44" fontId="3" fillId="4" borderId="4" xfId="1" applyNumberFormat="1" applyFont="1" applyFill="1" applyBorder="1" applyAlignment="1">
      <alignment horizontal="center"/>
    </xf>
    <xf numFmtId="14" fontId="3" fillId="5" borderId="5" xfId="0" applyNumberFormat="1" applyFont="1" applyFill="1" applyBorder="1" applyAlignment="1">
      <alignment horizontal="center"/>
    </xf>
    <xf numFmtId="44" fontId="3" fillId="5" borderId="5" xfId="2" applyFont="1" applyFill="1" applyBorder="1" applyAlignment="1">
      <alignment horizontal="center"/>
    </xf>
    <xf numFmtId="169" fontId="3" fillId="5" borderId="5" xfId="2" applyNumberFormat="1" applyFont="1" applyFill="1" applyBorder="1" applyAlignment="1">
      <alignment horizontal="center"/>
    </xf>
    <xf numFmtId="164" fontId="3" fillId="5" borderId="5" xfId="3" applyNumberFormat="1" applyFont="1" applyFill="1" applyBorder="1" applyAlignment="1">
      <alignment horizontal="center"/>
    </xf>
    <xf numFmtId="0" fontId="21" fillId="0" borderId="0" xfId="0" applyFont="1" applyAlignment="1">
      <alignment horizontal="centerContinuous"/>
    </xf>
    <xf numFmtId="0" fontId="3" fillId="0" borderId="6" xfId="0" applyFont="1" applyBorder="1" applyAlignment="1">
      <alignment horizontal="centerContinuous"/>
    </xf>
    <xf numFmtId="14" fontId="3" fillId="0" borderId="8" xfId="0" applyNumberFormat="1" applyFont="1" applyBorder="1"/>
    <xf numFmtId="9" fontId="8" fillId="4" borderId="6" xfId="3" applyFont="1" applyFill="1" applyBorder="1"/>
    <xf numFmtId="3" fontId="3" fillId="0" borderId="6" xfId="0" applyNumberFormat="1" applyFont="1" applyBorder="1" applyAlignment="1">
      <alignment horizontal="center"/>
    </xf>
    <xf numFmtId="9" fontId="3" fillId="0" borderId="6" xfId="0" applyNumberFormat="1" applyFont="1" applyBorder="1"/>
    <xf numFmtId="0" fontId="23" fillId="9" borderId="16" xfId="0" applyFont="1" applyFill="1" applyBorder="1"/>
    <xf numFmtId="0" fontId="23" fillId="9" borderId="17" xfId="0" applyFont="1" applyFill="1" applyBorder="1"/>
    <xf numFmtId="0" fontId="23" fillId="9" borderId="18" xfId="0" applyFont="1" applyFill="1" applyBorder="1"/>
    <xf numFmtId="0" fontId="23" fillId="9" borderId="19" xfId="0" applyFont="1" applyFill="1" applyBorder="1"/>
    <xf numFmtId="0" fontId="24" fillId="9" borderId="0" xfId="0" applyFont="1" applyFill="1"/>
    <xf numFmtId="0" fontId="23" fillId="9" borderId="0" xfId="0" applyFont="1" applyFill="1"/>
    <xf numFmtId="0" fontId="23" fillId="9" borderId="20" xfId="0" applyFont="1" applyFill="1" applyBorder="1"/>
    <xf numFmtId="0" fontId="25" fillId="9" borderId="0" xfId="0" applyFont="1" applyFill="1"/>
    <xf numFmtId="44" fontId="23" fillId="9" borderId="0" xfId="2" applyFont="1" applyFill="1" applyBorder="1" applyAlignment="1">
      <alignment horizontal="left"/>
    </xf>
    <xf numFmtId="14" fontId="23" fillId="9" borderId="0" xfId="0" applyNumberFormat="1" applyFont="1" applyFill="1" applyAlignment="1">
      <alignment horizontal="left"/>
    </xf>
    <xf numFmtId="0" fontId="26" fillId="9" borderId="0" xfId="0" applyFont="1" applyFill="1"/>
    <xf numFmtId="0" fontId="16" fillId="11" borderId="21" xfId="0" applyFont="1" applyFill="1" applyBorder="1" applyAlignment="1">
      <alignment horizontal="center"/>
    </xf>
    <xf numFmtId="37" fontId="28" fillId="0" borderId="21" xfId="0" applyNumberFormat="1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3" fillId="9" borderId="22" xfId="0" applyFont="1" applyFill="1" applyBorder="1"/>
    <xf numFmtId="0" fontId="26" fillId="9" borderId="23" xfId="0" applyFont="1" applyFill="1" applyBorder="1"/>
    <xf numFmtId="0" fontId="23" fillId="9" borderId="23" xfId="0" applyFont="1" applyFill="1" applyBorder="1"/>
    <xf numFmtId="0" fontId="23" fillId="9" borderId="24" xfId="0" applyFont="1" applyFill="1" applyBorder="1"/>
    <xf numFmtId="166" fontId="14" fillId="0" borderId="0" xfId="0" applyNumberFormat="1" applyFont="1"/>
    <xf numFmtId="0" fontId="16" fillId="0" borderId="21" xfId="0" applyFont="1" applyBorder="1" applyAlignment="1">
      <alignment horizontal="center"/>
    </xf>
    <xf numFmtId="0" fontId="25" fillId="9" borderId="0" xfId="0" applyFont="1" applyFill="1" applyAlignment="1">
      <alignment horizontal="center"/>
    </xf>
    <xf numFmtId="0" fontId="27" fillId="10" borderId="21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 2" xfId="4" xr:uid="{62BDB4D9-AC15-4262-8912-2B574695CACF}"/>
    <cellStyle name="Normal 2 2" xfId="6" xr:uid="{4BC6B9E2-4083-4E02-8C8C-0F69F3B4A8C9}"/>
    <cellStyle name="Normal 5" xfId="5" xr:uid="{3A4D0B2B-9735-42F1-965D-2C90AF93F57C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48D2-D56B-4379-86F8-6461EDA567BF}">
  <dimension ref="B3:H20"/>
  <sheetViews>
    <sheetView showGridLines="0" tabSelected="1" workbookViewId="0">
      <selection activeCell="E13" sqref="E13"/>
    </sheetView>
  </sheetViews>
  <sheetFormatPr defaultRowHeight="13.15" x14ac:dyDescent="0.25"/>
  <cols>
    <col min="3" max="3" width="17.44140625" bestFit="1" customWidth="1"/>
    <col min="5" max="5" width="13.109375" bestFit="1" customWidth="1"/>
  </cols>
  <sheetData>
    <row r="3" spans="2:8" ht="21.3" x14ac:dyDescent="0.4">
      <c r="B3" s="144"/>
      <c r="C3" s="145"/>
      <c r="D3" s="145"/>
      <c r="E3" s="145"/>
      <c r="F3" s="145"/>
      <c r="G3" s="145"/>
      <c r="H3" s="146"/>
    </row>
    <row r="4" spans="2:8" ht="26.3" x14ac:dyDescent="0.5">
      <c r="B4" s="147"/>
      <c r="C4" s="148" t="s">
        <v>175</v>
      </c>
      <c r="D4" s="149"/>
      <c r="E4" s="149"/>
      <c r="F4" s="149"/>
      <c r="G4" s="149"/>
      <c r="H4" s="150"/>
    </row>
    <row r="5" spans="2:8" ht="21.3" x14ac:dyDescent="0.4">
      <c r="B5" s="147"/>
      <c r="C5" s="149"/>
      <c r="D5" s="149"/>
      <c r="E5" s="149"/>
      <c r="F5" s="149"/>
      <c r="G5" s="149"/>
      <c r="H5" s="150"/>
    </row>
    <row r="6" spans="2:8" ht="21.3" x14ac:dyDescent="0.4">
      <c r="B6" s="147"/>
      <c r="C6" s="164" t="s">
        <v>176</v>
      </c>
      <c r="D6" s="164"/>
      <c r="E6" s="149" t="s">
        <v>188</v>
      </c>
      <c r="F6" s="149"/>
      <c r="G6" s="149"/>
      <c r="H6" s="150"/>
    </row>
    <row r="7" spans="2:8" ht="21.3" x14ac:dyDescent="0.4">
      <c r="B7" s="147"/>
      <c r="C7" s="151"/>
      <c r="D7" s="151"/>
      <c r="E7" s="149"/>
      <c r="F7" s="149"/>
      <c r="G7" s="149"/>
      <c r="H7" s="150"/>
    </row>
    <row r="8" spans="2:8" ht="21.3" x14ac:dyDescent="0.4">
      <c r="B8" s="147"/>
      <c r="C8" s="164" t="s">
        <v>177</v>
      </c>
      <c r="D8" s="164"/>
      <c r="E8" s="149" t="s">
        <v>187</v>
      </c>
      <c r="F8" s="149"/>
      <c r="G8" s="149"/>
      <c r="H8" s="150"/>
    </row>
    <row r="9" spans="2:8" ht="21.3" x14ac:dyDescent="0.4">
      <c r="B9" s="147"/>
      <c r="C9" s="151"/>
      <c r="D9" s="151"/>
      <c r="E9" s="149"/>
      <c r="F9" s="149"/>
      <c r="G9" s="149"/>
      <c r="H9" s="150"/>
    </row>
    <row r="10" spans="2:8" ht="21.3" x14ac:dyDescent="0.4">
      <c r="B10" s="147"/>
      <c r="C10" s="164" t="s">
        <v>178</v>
      </c>
      <c r="D10" s="164"/>
      <c r="E10" s="152">
        <f>Model!C4</f>
        <v>235.93</v>
      </c>
      <c r="F10" s="149"/>
      <c r="G10" s="149"/>
      <c r="H10" s="150"/>
    </row>
    <row r="11" spans="2:8" ht="21.3" x14ac:dyDescent="0.4">
      <c r="B11" s="147"/>
      <c r="C11" s="149"/>
      <c r="D11" s="149"/>
      <c r="E11" s="149"/>
      <c r="F11" s="149"/>
      <c r="G11" s="149"/>
      <c r="H11" s="150"/>
    </row>
    <row r="12" spans="2:8" ht="21.3" x14ac:dyDescent="0.4">
      <c r="B12" s="147"/>
      <c r="C12" s="164" t="s">
        <v>179</v>
      </c>
      <c r="D12" s="164"/>
      <c r="E12" s="153">
        <f>Model!C3</f>
        <v>45739</v>
      </c>
      <c r="F12" s="149"/>
      <c r="G12" s="149"/>
      <c r="H12" s="150"/>
    </row>
    <row r="13" spans="2:8" ht="21.3" x14ac:dyDescent="0.4">
      <c r="B13" s="147"/>
      <c r="C13" s="149"/>
      <c r="D13" s="149"/>
      <c r="E13" s="149"/>
      <c r="F13" s="149"/>
      <c r="G13" s="149"/>
      <c r="H13" s="150"/>
    </row>
    <row r="14" spans="2:8" ht="21.3" x14ac:dyDescent="0.4">
      <c r="B14" s="147"/>
      <c r="C14" s="154"/>
      <c r="D14" s="149"/>
      <c r="E14" s="149"/>
      <c r="F14" s="149"/>
      <c r="G14" s="149"/>
      <c r="H14" s="150"/>
    </row>
    <row r="15" spans="2:8" ht="21.3" x14ac:dyDescent="0.4">
      <c r="B15" s="147"/>
      <c r="C15" s="165" t="s">
        <v>180</v>
      </c>
      <c r="D15" s="165"/>
      <c r="E15" s="165"/>
      <c r="F15" s="165"/>
      <c r="G15" s="165"/>
      <c r="H15" s="150"/>
    </row>
    <row r="16" spans="2:8" ht="21.3" x14ac:dyDescent="0.4">
      <c r="B16" s="147"/>
      <c r="C16" s="155" t="s">
        <v>181</v>
      </c>
      <c r="D16" s="166" t="s">
        <v>182</v>
      </c>
      <c r="E16" s="166"/>
      <c r="F16" s="166"/>
      <c r="G16" s="166"/>
      <c r="H16" s="150"/>
    </row>
    <row r="17" spans="2:8" ht="21.3" x14ac:dyDescent="0.4">
      <c r="B17" s="147"/>
      <c r="C17" s="156" t="s">
        <v>183</v>
      </c>
      <c r="D17" s="163" t="s">
        <v>184</v>
      </c>
      <c r="E17" s="163"/>
      <c r="F17" s="163"/>
      <c r="G17" s="163"/>
      <c r="H17" s="150"/>
    </row>
    <row r="18" spans="2:8" ht="21.3" x14ac:dyDescent="0.4">
      <c r="B18" s="147"/>
      <c r="C18" s="157" t="s">
        <v>185</v>
      </c>
      <c r="D18" s="163" t="s">
        <v>186</v>
      </c>
      <c r="E18" s="163"/>
      <c r="F18" s="163"/>
      <c r="G18" s="163"/>
      <c r="H18" s="150"/>
    </row>
    <row r="19" spans="2:8" ht="21.3" x14ac:dyDescent="0.4">
      <c r="B19" s="147"/>
      <c r="C19" s="154"/>
      <c r="D19" s="149"/>
      <c r="E19" s="149"/>
      <c r="F19" s="149"/>
      <c r="G19" s="149"/>
      <c r="H19" s="150"/>
    </row>
    <row r="20" spans="2:8" ht="21.3" x14ac:dyDescent="0.4">
      <c r="B20" s="158"/>
      <c r="C20" s="159"/>
      <c r="D20" s="160"/>
      <c r="E20" s="160"/>
      <c r="F20" s="160"/>
      <c r="G20" s="160"/>
      <c r="H20" s="161"/>
    </row>
  </sheetData>
  <mergeCells count="8">
    <mergeCell ref="D17:G17"/>
    <mergeCell ref="D18:G18"/>
    <mergeCell ref="C6:D6"/>
    <mergeCell ref="C8:D8"/>
    <mergeCell ref="C10:D10"/>
    <mergeCell ref="C12:D12"/>
    <mergeCell ref="C15:G15"/>
    <mergeCell ref="D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ADBF-5F9A-4931-A455-64D6E172F095}">
  <dimension ref="B1:AF108"/>
  <sheetViews>
    <sheetView showGridLines="0" zoomScale="80" zoomScaleNormal="80" workbookViewId="0">
      <pane xSplit="4" topLeftCell="E1" activePane="topRight" state="frozen"/>
      <selection pane="topRight" activeCell="B12" sqref="B12"/>
    </sheetView>
  </sheetViews>
  <sheetFormatPr defaultRowHeight="13.15" x14ac:dyDescent="0.25"/>
  <cols>
    <col min="1" max="1" width="3.21875" style="2" customWidth="1"/>
    <col min="2" max="2" width="15.5546875" style="2" customWidth="1"/>
    <col min="3" max="3" width="11.44140625" style="2" customWidth="1"/>
    <col min="4" max="4" width="13.21875" style="2" customWidth="1"/>
    <col min="5" max="7" width="9.44140625" style="2" bestFit="1" customWidth="1"/>
    <col min="8" max="8" width="10.44140625" style="2" bestFit="1" customWidth="1"/>
    <col min="9" max="11" width="9.44140625" style="2" bestFit="1" customWidth="1"/>
    <col min="12" max="12" width="10.44140625" style="2" bestFit="1" customWidth="1"/>
    <col min="13" max="15" width="9.44140625" style="2" bestFit="1" customWidth="1"/>
    <col min="16" max="16" width="10.44140625" style="2" bestFit="1" customWidth="1"/>
    <col min="17" max="17" width="9.33203125" style="2" bestFit="1" customWidth="1"/>
    <col min="18" max="19" width="8.88671875" style="2" bestFit="1" customWidth="1"/>
    <col min="20" max="20" width="9.88671875" style="2" bestFit="1" customWidth="1"/>
    <col min="21" max="21" width="8.88671875" style="2" bestFit="1" customWidth="1"/>
    <col min="22" max="22" width="8.88671875" style="2" customWidth="1"/>
    <col min="23" max="23" width="8.88671875" style="2" bestFit="1" customWidth="1"/>
    <col min="24" max="24" width="9.88671875" style="2" bestFit="1" customWidth="1"/>
    <col min="25" max="25" width="8.88671875" style="2" customWidth="1"/>
    <col min="26" max="27" width="10.44140625" style="2" bestFit="1" customWidth="1"/>
    <col min="28" max="32" width="9.88671875" style="2" bestFit="1" customWidth="1"/>
    <col min="33" max="16384" width="8.88671875" style="2"/>
  </cols>
  <sheetData>
    <row r="1" spans="2:32" x14ac:dyDescent="0.25">
      <c r="X1" s="21"/>
    </row>
    <row r="2" spans="2:32" x14ac:dyDescent="0.25">
      <c r="B2" s="19" t="s">
        <v>130</v>
      </c>
      <c r="C2" s="134" t="s">
        <v>187</v>
      </c>
      <c r="X2" s="21"/>
    </row>
    <row r="3" spans="2:32" x14ac:dyDescent="0.25">
      <c r="B3" s="19" t="s">
        <v>83</v>
      </c>
      <c r="C3" s="134">
        <v>45739</v>
      </c>
      <c r="X3" s="21"/>
    </row>
    <row r="4" spans="2:32" ht="23.8" x14ac:dyDescent="0.45">
      <c r="B4" s="19" t="s">
        <v>173</v>
      </c>
      <c r="C4" s="136">
        <v>235.93</v>
      </c>
      <c r="E4" s="75"/>
      <c r="F4" s="75"/>
      <c r="G4" s="138" t="s">
        <v>43</v>
      </c>
      <c r="H4" s="75"/>
      <c r="I4" s="75"/>
      <c r="J4" s="75"/>
      <c r="K4" s="75"/>
      <c r="L4" s="75"/>
      <c r="M4" s="75"/>
      <c r="N4" s="76"/>
      <c r="O4" s="76"/>
      <c r="P4" s="76"/>
      <c r="Q4" s="75"/>
      <c r="R4" s="75"/>
      <c r="S4" s="75"/>
      <c r="T4" s="75"/>
      <c r="U4" s="75"/>
      <c r="V4" s="75"/>
      <c r="W4" s="75"/>
      <c r="X4" s="139"/>
      <c r="Z4" s="76"/>
      <c r="AA4" s="138" t="s">
        <v>44</v>
      </c>
      <c r="AB4" s="76"/>
      <c r="AC4" s="76"/>
      <c r="AD4" s="76"/>
      <c r="AE4" s="76"/>
      <c r="AF4" s="76"/>
    </row>
    <row r="5" spans="2:32" ht="18.2" x14ac:dyDescent="0.35">
      <c r="B5" s="19" t="s">
        <v>172</v>
      </c>
      <c r="C5" s="136">
        <f>+AVERAGE(Valuation!D30,Valuation!I30)</f>
        <v>275.44073664161795</v>
      </c>
      <c r="E5" s="75"/>
      <c r="F5" s="75"/>
      <c r="G5" s="76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139"/>
      <c r="Z5" s="76"/>
      <c r="AA5" s="76"/>
      <c r="AB5" s="76"/>
      <c r="AC5" s="76"/>
      <c r="AD5" s="76"/>
      <c r="AE5" s="76"/>
      <c r="AF5" s="76"/>
    </row>
    <row r="6" spans="2:32" ht="18.2" x14ac:dyDescent="0.35">
      <c r="B6" s="19" t="s">
        <v>174</v>
      </c>
      <c r="C6" s="137">
        <f>+C5/C4-1</f>
        <v>0.16746804832627449</v>
      </c>
      <c r="E6" s="75"/>
      <c r="F6" s="75"/>
      <c r="G6" s="76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139"/>
      <c r="Z6" s="76"/>
      <c r="AA6" s="76"/>
      <c r="AB6" s="76"/>
      <c r="AC6" s="76"/>
      <c r="AD6" s="76"/>
      <c r="AE6" s="76"/>
      <c r="AF6" s="76"/>
    </row>
    <row r="7" spans="2:32" ht="18.2" x14ac:dyDescent="0.35">
      <c r="B7" s="19" t="s">
        <v>170</v>
      </c>
      <c r="C7" s="135" t="s">
        <v>31</v>
      </c>
      <c r="E7" s="75"/>
      <c r="F7" s="75"/>
      <c r="G7" s="76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139"/>
      <c r="Z7" s="76"/>
      <c r="AA7" s="76"/>
      <c r="AB7" s="76"/>
      <c r="AC7" s="76"/>
      <c r="AD7" s="76"/>
      <c r="AE7" s="76"/>
      <c r="AF7" s="76"/>
    </row>
    <row r="8" spans="2:32" ht="18.2" x14ac:dyDescent="0.35">
      <c r="B8" s="19" t="s">
        <v>171</v>
      </c>
      <c r="C8" s="135" t="s">
        <v>31</v>
      </c>
      <c r="E8" s="75"/>
      <c r="F8" s="75"/>
      <c r="G8" s="76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139"/>
      <c r="Z8" s="76"/>
      <c r="AA8" s="76"/>
      <c r="AB8" s="76"/>
      <c r="AC8" s="76"/>
      <c r="AD8" s="76"/>
      <c r="AE8" s="76"/>
      <c r="AF8" s="76"/>
    </row>
    <row r="9" spans="2:32" x14ac:dyDescent="0.25">
      <c r="X9" s="21"/>
    </row>
    <row r="10" spans="2:32" x14ac:dyDescent="0.25">
      <c r="X10" s="21"/>
    </row>
    <row r="11" spans="2:32" x14ac:dyDescent="0.25">
      <c r="B11" s="1" t="s">
        <v>5</v>
      </c>
      <c r="C11" s="1"/>
      <c r="D11" s="1"/>
      <c r="X11" s="21"/>
    </row>
    <row r="12" spans="2:32" ht="15.05" customHeight="1" x14ac:dyDescent="0.25">
      <c r="B12" s="3" t="s">
        <v>82</v>
      </c>
      <c r="C12" s="3"/>
      <c r="D12" s="29"/>
      <c r="E12" s="20" t="s">
        <v>24</v>
      </c>
      <c r="F12" s="30" t="s">
        <v>15</v>
      </c>
      <c r="G12" s="30" t="s">
        <v>16</v>
      </c>
      <c r="H12" s="30" t="s">
        <v>17</v>
      </c>
      <c r="I12" s="30" t="s">
        <v>18</v>
      </c>
      <c r="J12" s="30" t="s">
        <v>19</v>
      </c>
      <c r="K12" s="30" t="s">
        <v>20</v>
      </c>
      <c r="L12" s="30" t="s">
        <v>21</v>
      </c>
      <c r="M12" s="30" t="s">
        <v>22</v>
      </c>
      <c r="N12" s="30" t="s">
        <v>23</v>
      </c>
      <c r="O12" s="30" t="s">
        <v>25</v>
      </c>
      <c r="P12" s="30" t="s">
        <v>26</v>
      </c>
      <c r="Q12" s="31" t="s">
        <v>33</v>
      </c>
      <c r="R12" s="32" t="s">
        <v>34</v>
      </c>
      <c r="S12" s="32" t="s">
        <v>35</v>
      </c>
      <c r="T12" s="32" t="s">
        <v>36</v>
      </c>
      <c r="U12" s="32" t="s">
        <v>37</v>
      </c>
      <c r="V12" s="32" t="s">
        <v>38</v>
      </c>
      <c r="W12" s="32" t="s">
        <v>39</v>
      </c>
      <c r="X12" s="32" t="s">
        <v>40</v>
      </c>
      <c r="Y12" s="33"/>
      <c r="Z12" s="5" t="s">
        <v>7</v>
      </c>
      <c r="AA12" s="20" t="s">
        <v>8</v>
      </c>
      <c r="AB12" s="6" t="s">
        <v>9</v>
      </c>
      <c r="AC12" s="6" t="s">
        <v>10</v>
      </c>
      <c r="AD12" s="6" t="s">
        <v>11</v>
      </c>
      <c r="AE12" s="6" t="s">
        <v>12</v>
      </c>
      <c r="AF12" s="6" t="s">
        <v>13</v>
      </c>
    </row>
    <row r="13" spans="2:32" x14ac:dyDescent="0.25">
      <c r="B13" s="7" t="s">
        <v>14</v>
      </c>
      <c r="C13" s="7"/>
      <c r="D13" s="7"/>
      <c r="E13" s="10">
        <v>44651</v>
      </c>
      <c r="F13" s="10">
        <v>44742</v>
      </c>
      <c r="G13" s="10">
        <v>44834</v>
      </c>
      <c r="H13" s="10">
        <v>44926</v>
      </c>
      <c r="I13" s="10">
        <v>45016</v>
      </c>
      <c r="J13" s="10">
        <v>45107</v>
      </c>
      <c r="K13" s="10">
        <v>45199</v>
      </c>
      <c r="L13" s="10">
        <v>45291</v>
      </c>
      <c r="M13" s="10">
        <v>45382</v>
      </c>
      <c r="N13" s="10">
        <v>45473</v>
      </c>
      <c r="O13" s="10">
        <v>45565</v>
      </c>
      <c r="P13" s="27">
        <v>45657</v>
      </c>
      <c r="Q13" s="28">
        <f>+M13+365</f>
        <v>45747</v>
      </c>
      <c r="R13" s="28">
        <f t="shared" ref="R13:X13" si="0">+N13+365</f>
        <v>45838</v>
      </c>
      <c r="S13" s="28">
        <f t="shared" si="0"/>
        <v>45930</v>
      </c>
      <c r="T13" s="28">
        <f t="shared" si="0"/>
        <v>46022</v>
      </c>
      <c r="U13" s="28">
        <f t="shared" si="0"/>
        <v>46112</v>
      </c>
      <c r="V13" s="28">
        <f t="shared" si="0"/>
        <v>46203</v>
      </c>
      <c r="W13" s="28">
        <f t="shared" si="0"/>
        <v>46295</v>
      </c>
      <c r="X13" s="140">
        <f t="shared" si="0"/>
        <v>46387</v>
      </c>
      <c r="Y13" s="45"/>
      <c r="Z13" s="9">
        <v>45291</v>
      </c>
      <c r="AA13" s="34">
        <v>45657</v>
      </c>
      <c r="AB13" s="25">
        <f>+AA13+365</f>
        <v>46022</v>
      </c>
      <c r="AC13" s="25">
        <f t="shared" ref="AC13:AF13" si="1">+AB13+365</f>
        <v>46387</v>
      </c>
      <c r="AD13" s="25">
        <f t="shared" si="1"/>
        <v>46752</v>
      </c>
      <c r="AE13" s="25">
        <f t="shared" si="1"/>
        <v>47117</v>
      </c>
      <c r="AF13" s="25">
        <f t="shared" si="1"/>
        <v>47482</v>
      </c>
    </row>
    <row r="14" spans="2:32" x14ac:dyDescent="0.25">
      <c r="P14" s="50"/>
      <c r="X14" s="21"/>
      <c r="AA14" s="50"/>
    </row>
    <row r="15" spans="2:32" x14ac:dyDescent="0.25">
      <c r="B15" s="1" t="s">
        <v>41</v>
      </c>
      <c r="C15" s="1"/>
      <c r="D15" s="1"/>
      <c r="E15" s="11">
        <v>22864</v>
      </c>
      <c r="F15" s="11">
        <v>24953</v>
      </c>
      <c r="G15" s="11">
        <v>25063</v>
      </c>
      <c r="H15" s="11">
        <v>29719</v>
      </c>
      <c r="I15" s="11">
        <v>25866</v>
      </c>
      <c r="J15" s="11">
        <v>25958</v>
      </c>
      <c r="K15" s="11">
        <v>27046</v>
      </c>
      <c r="L15" s="11">
        <v>30869</v>
      </c>
      <c r="M15" s="11">
        <v>26618</v>
      </c>
      <c r="N15" s="11">
        <v>29081</v>
      </c>
      <c r="O15" s="11">
        <v>36398</v>
      </c>
      <c r="P15" s="22">
        <v>54679</v>
      </c>
      <c r="Q15" s="15">
        <f>+Q18*Q24</f>
        <v>39304.675782223079</v>
      </c>
      <c r="R15" s="15">
        <f t="shared" ref="R15:X15" si="2">+R18*R24</f>
        <v>41854.967891674845</v>
      </c>
      <c r="S15" s="15">
        <f t="shared" si="2"/>
        <v>51142.153808737727</v>
      </c>
      <c r="T15" s="15">
        <f t="shared" si="2"/>
        <v>65323.473619016411</v>
      </c>
      <c r="U15" s="15">
        <f t="shared" si="2"/>
        <v>51929.2332950653</v>
      </c>
      <c r="V15" s="15">
        <f t="shared" si="2"/>
        <v>54461.573101571208</v>
      </c>
      <c r="W15" s="15">
        <f t="shared" si="2"/>
        <v>65523.191684501144</v>
      </c>
      <c r="X15" s="37">
        <f t="shared" si="2"/>
        <v>82385.791503632485</v>
      </c>
      <c r="Y15" s="15"/>
      <c r="Z15" s="15">
        <f>SUM(I15:L15)</f>
        <v>109739</v>
      </c>
      <c r="AA15" s="37">
        <f>+SUM(M15:P15)</f>
        <v>146776</v>
      </c>
      <c r="AB15" s="15">
        <f>+SUM(Q15:T15)</f>
        <v>197625.27110165206</v>
      </c>
      <c r="AC15" s="15">
        <f>+SUM(U15:X15)</f>
        <v>254299.78958477016</v>
      </c>
      <c r="AD15" s="15">
        <f>+AD18*AD24</f>
        <v>314512.3060096823</v>
      </c>
      <c r="AE15" s="15">
        <f t="shared" ref="AE15:AF15" si="3">+AE18*AE24</f>
        <v>373256.18760641129</v>
      </c>
      <c r="AF15" s="15">
        <f t="shared" si="3"/>
        <v>424309.30625506421</v>
      </c>
    </row>
    <row r="16" spans="2:32" x14ac:dyDescent="0.25">
      <c r="B16" s="12" t="s">
        <v>45</v>
      </c>
      <c r="E16" s="14"/>
      <c r="F16" s="14"/>
      <c r="G16" s="14"/>
      <c r="H16" s="14"/>
      <c r="I16" s="36">
        <f>+I15/E15-1</f>
        <v>0.13129811056683005</v>
      </c>
      <c r="J16" s="36">
        <f t="shared" ref="J16:Q16" si="4">+J15/F15-1</f>
        <v>4.0275718350498924E-2</v>
      </c>
      <c r="K16" s="36">
        <f t="shared" si="4"/>
        <v>7.9120616047560155E-2</v>
      </c>
      <c r="L16" s="36">
        <f t="shared" si="4"/>
        <v>3.8695783841986575E-2</v>
      </c>
      <c r="M16" s="36">
        <f t="shared" si="4"/>
        <v>2.9072914250367177E-2</v>
      </c>
      <c r="N16" s="36">
        <f t="shared" si="4"/>
        <v>0.12030973110409127</v>
      </c>
      <c r="O16" s="36">
        <f t="shared" si="4"/>
        <v>0.34578126155438893</v>
      </c>
      <c r="P16" s="51">
        <f t="shared" si="4"/>
        <v>0.77132398198840257</v>
      </c>
      <c r="Q16" s="36">
        <f t="shared" si="4"/>
        <v>0.47662017365027731</v>
      </c>
      <c r="R16" s="36">
        <f t="shared" ref="R16" si="5">+R15/N15-1</f>
        <v>0.43925476743147907</v>
      </c>
      <c r="S16" s="36">
        <f t="shared" ref="S16" si="6">+S15/O15-1</f>
        <v>0.40508142779102507</v>
      </c>
      <c r="T16" s="36">
        <f t="shared" ref="T16" si="7">+T15/P15-1</f>
        <v>0.19467206091948297</v>
      </c>
      <c r="U16" s="36">
        <f t="shared" ref="U16" si="8">+U15/Q15-1</f>
        <v>0.32119734514009446</v>
      </c>
      <c r="V16" s="36">
        <f t="shared" ref="V16" si="9">+V15/R15-1</f>
        <v>0.30119734514009444</v>
      </c>
      <c r="W16" s="36">
        <f t="shared" ref="W16" si="10">+W15/S15-1</f>
        <v>0.28119734514009442</v>
      </c>
      <c r="X16" s="51">
        <f t="shared" ref="X16" si="11">+X15/T15-1</f>
        <v>0.26119734514009418</v>
      </c>
      <c r="Y16" s="46"/>
      <c r="Z16" s="46">
        <f>(SUM(I15:L15)/SUM(E15:H15))-1</f>
        <v>6.9591321552841645E-2</v>
      </c>
      <c r="AA16" s="51">
        <f>AA15/Z15-1</f>
        <v>0.33750079734643101</v>
      </c>
      <c r="AB16" s="36">
        <f t="shared" ref="AB16:AC16" si="12">AB15/AA15-1</f>
        <v>0.34644131943677481</v>
      </c>
      <c r="AC16" s="36">
        <f t="shared" si="12"/>
        <v>0.28677768873985032</v>
      </c>
      <c r="AD16" s="36">
        <f>+AC16-0.05</f>
        <v>0.23677768873985033</v>
      </c>
      <c r="AE16" s="36">
        <f t="shared" ref="AE16:AF16" si="13">+AD16-0.05</f>
        <v>0.18677768873985034</v>
      </c>
      <c r="AF16" s="36">
        <f t="shared" si="13"/>
        <v>0.13677768873985036</v>
      </c>
    </row>
    <row r="17" spans="2:32" x14ac:dyDescent="0.25">
      <c r="B17" s="12"/>
      <c r="E17" s="14"/>
      <c r="F17" s="14"/>
      <c r="G17" s="14"/>
      <c r="H17" s="14"/>
      <c r="I17" s="36"/>
      <c r="J17" s="36"/>
      <c r="K17" s="36"/>
      <c r="L17" s="36"/>
      <c r="M17" s="36"/>
      <c r="N17" s="36"/>
      <c r="O17" s="36"/>
      <c r="P17" s="51"/>
      <c r="Q17" s="36"/>
      <c r="R17" s="36"/>
      <c r="S17" s="36"/>
      <c r="T17" s="36"/>
      <c r="U17" s="36"/>
      <c r="V17" s="36"/>
      <c r="W17" s="36"/>
      <c r="X17" s="51"/>
      <c r="Y17" s="46"/>
      <c r="Z17" s="1"/>
      <c r="AA17" s="53"/>
      <c r="AB17" s="1"/>
      <c r="AC17" s="1"/>
    </row>
    <row r="18" spans="2:32" x14ac:dyDescent="0.25">
      <c r="B18" s="26" t="s">
        <v>56</v>
      </c>
      <c r="E18" s="11">
        <v>450539</v>
      </c>
      <c r="F18" s="11">
        <v>419062</v>
      </c>
      <c r="G18" s="11">
        <v>421460</v>
      </c>
      <c r="H18" s="11">
        <v>452325</v>
      </c>
      <c r="I18" s="11">
        <v>369812</v>
      </c>
      <c r="J18" s="11">
        <v>383080</v>
      </c>
      <c r="K18" s="11">
        <v>469500</v>
      </c>
      <c r="L18" s="11">
        <v>601915</v>
      </c>
      <c r="M18" s="11">
        <v>492672</v>
      </c>
      <c r="N18" s="11">
        <v>532236</v>
      </c>
      <c r="O18" s="11">
        <v>659889</v>
      </c>
      <c r="P18" s="22">
        <v>855440</v>
      </c>
      <c r="Q18" s="15">
        <f>+M18*(1+Q19)</f>
        <v>690330.6984248606</v>
      </c>
      <c r="R18" s="15">
        <f t="shared" ref="R18:X18" si="14">+N18*(1+R19)</f>
        <v>735122.95018798334</v>
      </c>
      <c r="S18" s="15">
        <f t="shared" si="14"/>
        <v>898239.15488715179</v>
      </c>
      <c r="T18" s="15">
        <f t="shared" si="14"/>
        <v>1147313.8569266424</v>
      </c>
      <c r="U18" s="15">
        <f t="shared" si="14"/>
        <v>912063.08602763305</v>
      </c>
      <c r="V18" s="15">
        <f t="shared" si="14"/>
        <v>956540.03113615781</v>
      </c>
      <c r="W18" s="15">
        <f t="shared" si="14"/>
        <v>1150821.6205423009</v>
      </c>
      <c r="X18" s="37">
        <f t="shared" si="14"/>
        <v>1446989.1903983233</v>
      </c>
      <c r="Y18" s="15"/>
      <c r="Z18" s="15">
        <f>SUM(I18:L18)</f>
        <v>1824307</v>
      </c>
      <c r="AA18" s="37">
        <f>+SUM(M18:P18)</f>
        <v>2540237</v>
      </c>
      <c r="AB18" s="15">
        <f>+SUM(Q18:T18)</f>
        <v>3471006.6604266381</v>
      </c>
      <c r="AC18" s="15">
        <f>+SUM(U18:X18)</f>
        <v>4466413.9281044155</v>
      </c>
      <c r="AD18" s="15">
        <f>+AC18*(1+AD19)</f>
        <v>5523961.0949564548</v>
      </c>
      <c r="AE18" s="15">
        <f t="shared" ref="AE18:AF18" si="15">+AD18*(1+AE19)</f>
        <v>6555713.7809612742</v>
      </c>
      <c r="AF18" s="15">
        <f t="shared" si="15"/>
        <v>7452389.1599611435</v>
      </c>
    </row>
    <row r="19" spans="2:32" x14ac:dyDescent="0.25">
      <c r="B19" s="12" t="s">
        <v>45</v>
      </c>
      <c r="E19" s="14"/>
      <c r="F19" s="14"/>
      <c r="G19" s="14"/>
      <c r="H19" s="14"/>
      <c r="I19" s="36">
        <f>+I18/E18-1</f>
        <v>-0.17917871704780275</v>
      </c>
      <c r="J19" s="36">
        <f t="shared" ref="J19" si="16">+J18/F18-1</f>
        <v>-8.5863189695080888E-2</v>
      </c>
      <c r="K19" s="36">
        <f t="shared" ref="K19" si="17">+K18/G18-1</f>
        <v>0.11398471978360947</v>
      </c>
      <c r="L19" s="36">
        <f t="shared" ref="L19" si="18">+L18/H18-1</f>
        <v>0.33071353562151118</v>
      </c>
      <c r="M19" s="36">
        <f t="shared" ref="M19" si="19">+M18/I18-1</f>
        <v>0.3322228591825036</v>
      </c>
      <c r="N19" s="36">
        <f t="shared" ref="N19" si="20">+N18/J18-1</f>
        <v>0.38935992481988091</v>
      </c>
      <c r="O19" s="36">
        <f t="shared" ref="O19" si="21">+O18/K18-1</f>
        <v>0.40551437699680504</v>
      </c>
      <c r="P19" s="51">
        <f t="shared" ref="P19" si="22">+P18/L18-1</f>
        <v>0.42119734514009455</v>
      </c>
      <c r="Q19" s="40">
        <f>INDEX(Q20:Q22,MATCH($C$7,$B$20:$B$22,0))</f>
        <v>0.40119734514009453</v>
      </c>
      <c r="R19" s="40">
        <f t="shared" ref="R19:X19" si="23">INDEX(R20:R22,MATCH($C$7,$B$20:$B$22,0))</f>
        <v>0.38119734514009451</v>
      </c>
      <c r="S19" s="40">
        <f t="shared" si="23"/>
        <v>0.36119734514009449</v>
      </c>
      <c r="T19" s="40">
        <f t="shared" si="23"/>
        <v>0.34119734514009448</v>
      </c>
      <c r="U19" s="40">
        <f t="shared" si="23"/>
        <v>0.32119734514009446</v>
      </c>
      <c r="V19" s="40">
        <f t="shared" si="23"/>
        <v>0.30119734514009444</v>
      </c>
      <c r="W19" s="40">
        <f t="shared" si="23"/>
        <v>0.28119734514009442</v>
      </c>
      <c r="X19" s="141">
        <f t="shared" si="23"/>
        <v>0.26119734514009441</v>
      </c>
      <c r="Y19" s="46"/>
      <c r="Z19" s="1"/>
      <c r="AA19" s="51">
        <f>AA18/Z18-1</f>
        <v>0.39243943042481333</v>
      </c>
      <c r="AB19" s="36">
        <f t="shared" ref="AB19:AC19" si="24">AB18/AA18-1</f>
        <v>0.36641055949765233</v>
      </c>
      <c r="AC19" s="36">
        <f t="shared" si="24"/>
        <v>0.28677768873985032</v>
      </c>
      <c r="AD19" s="36">
        <f>+AC19-0.05</f>
        <v>0.23677768873985033</v>
      </c>
      <c r="AE19" s="36">
        <f t="shared" ref="AE19:AF19" si="25">+AD19-0.05</f>
        <v>0.18677768873985034</v>
      </c>
      <c r="AF19" s="36">
        <f t="shared" si="25"/>
        <v>0.13677768873985036</v>
      </c>
    </row>
    <row r="20" spans="2:32" x14ac:dyDescent="0.25">
      <c r="B20" s="17" t="s">
        <v>30</v>
      </c>
      <c r="E20" s="14"/>
      <c r="F20" s="14"/>
      <c r="G20" s="14"/>
      <c r="H20" s="14"/>
      <c r="I20" s="36"/>
      <c r="J20" s="36"/>
      <c r="K20" s="36"/>
      <c r="L20" s="36"/>
      <c r="M20" s="36"/>
      <c r="N20" s="36"/>
      <c r="O20" s="36"/>
      <c r="P20" s="51"/>
      <c r="Q20" s="49">
        <f>+P19-0.015</f>
        <v>0.40619734514009453</v>
      </c>
      <c r="R20" s="39">
        <f>+Q20-0.015</f>
        <v>0.39119734514009452</v>
      </c>
      <c r="S20" s="39">
        <f t="shared" ref="S20:X20" si="26">+R20-0.015</f>
        <v>0.37619734514009451</v>
      </c>
      <c r="T20" s="39">
        <f t="shared" si="26"/>
        <v>0.36119734514009449</v>
      </c>
      <c r="U20" s="39">
        <f t="shared" si="26"/>
        <v>0.34619734514009448</v>
      </c>
      <c r="V20" s="39">
        <f t="shared" si="26"/>
        <v>0.33119734514009447</v>
      </c>
      <c r="W20" s="39">
        <f t="shared" si="26"/>
        <v>0.31619734514009445</v>
      </c>
      <c r="X20" s="39">
        <f t="shared" si="26"/>
        <v>0.30119734514009444</v>
      </c>
      <c r="Y20" s="46"/>
      <c r="Z20" s="1"/>
      <c r="AA20" s="53"/>
      <c r="AB20" s="1"/>
      <c r="AC20" s="1"/>
    </row>
    <row r="21" spans="2:32" x14ac:dyDescent="0.25">
      <c r="B21" s="17" t="s">
        <v>31</v>
      </c>
      <c r="E21" s="14"/>
      <c r="F21" s="14"/>
      <c r="G21" s="14"/>
      <c r="H21" s="14"/>
      <c r="I21" s="36"/>
      <c r="J21" s="36"/>
      <c r="K21" s="36"/>
      <c r="L21" s="36"/>
      <c r="M21" s="36"/>
      <c r="N21" s="36"/>
      <c r="O21" s="36"/>
      <c r="P21" s="51"/>
      <c r="Q21" s="49">
        <f>+P19-0.02</f>
        <v>0.40119734514009453</v>
      </c>
      <c r="R21" s="39">
        <f>+Q21-0.02</f>
        <v>0.38119734514009451</v>
      </c>
      <c r="S21" s="39">
        <f t="shared" ref="S21:X21" si="27">+R21-0.02</f>
        <v>0.36119734514009449</v>
      </c>
      <c r="T21" s="39">
        <f t="shared" si="27"/>
        <v>0.34119734514009448</v>
      </c>
      <c r="U21" s="39">
        <f t="shared" si="27"/>
        <v>0.32119734514009446</v>
      </c>
      <c r="V21" s="39">
        <f t="shared" si="27"/>
        <v>0.30119734514009444</v>
      </c>
      <c r="W21" s="39">
        <f t="shared" si="27"/>
        <v>0.28119734514009442</v>
      </c>
      <c r="X21" s="39">
        <f t="shared" si="27"/>
        <v>0.26119734514009441</v>
      </c>
      <c r="Y21" s="46"/>
      <c r="Z21" s="1"/>
      <c r="AA21" s="53"/>
      <c r="AB21" s="1"/>
      <c r="AC21" s="1"/>
    </row>
    <row r="22" spans="2:32" x14ac:dyDescent="0.25">
      <c r="B22" s="17" t="s">
        <v>32</v>
      </c>
      <c r="E22" s="14"/>
      <c r="F22" s="14"/>
      <c r="G22" s="14"/>
      <c r="H22" s="14"/>
      <c r="I22" s="36"/>
      <c r="J22" s="36"/>
      <c r="K22" s="36"/>
      <c r="L22" s="36"/>
      <c r="M22" s="36"/>
      <c r="N22" s="36"/>
      <c r="O22" s="36"/>
      <c r="P22" s="51"/>
      <c r="Q22" s="49">
        <f>+P19-0.025</f>
        <v>0.39619734514009453</v>
      </c>
      <c r="R22" s="39">
        <f>+Q22-0.025</f>
        <v>0.3711973451400945</v>
      </c>
      <c r="S22" s="39">
        <f t="shared" ref="S22:X22" si="28">+R22-0.025</f>
        <v>0.34619734514009448</v>
      </c>
      <c r="T22" s="39">
        <f t="shared" si="28"/>
        <v>0.32119734514009446</v>
      </c>
      <c r="U22" s="39">
        <f t="shared" si="28"/>
        <v>0.29619734514009444</v>
      </c>
      <c r="V22" s="39">
        <f t="shared" si="28"/>
        <v>0.27119734514009441</v>
      </c>
      <c r="W22" s="39">
        <f t="shared" si="28"/>
        <v>0.24619734514009442</v>
      </c>
      <c r="X22" s="39">
        <f t="shared" si="28"/>
        <v>0.22119734514009443</v>
      </c>
      <c r="Y22" s="46"/>
      <c r="Z22" s="1"/>
      <c r="AA22" s="53"/>
      <c r="AB22" s="1"/>
      <c r="AC22" s="1"/>
    </row>
    <row r="23" spans="2:32" x14ac:dyDescent="0.25">
      <c r="B23" s="12"/>
      <c r="E23" s="14"/>
      <c r="F23" s="14"/>
      <c r="G23" s="14"/>
      <c r="H23" s="14"/>
      <c r="I23" s="36"/>
      <c r="J23" s="36"/>
      <c r="K23" s="36"/>
      <c r="L23" s="36"/>
      <c r="M23" s="36"/>
      <c r="N23" s="36"/>
      <c r="O23" s="36"/>
      <c r="P23" s="51"/>
      <c r="Q23" s="36"/>
      <c r="R23" s="36"/>
      <c r="S23" s="36"/>
      <c r="T23" s="36"/>
      <c r="U23" s="36"/>
      <c r="V23" s="36"/>
      <c r="W23" s="36"/>
      <c r="X23" s="51"/>
      <c r="Y23" s="46"/>
      <c r="Z23" s="1"/>
      <c r="AA23" s="53"/>
      <c r="AB23" s="1"/>
      <c r="AC23" s="1"/>
    </row>
    <row r="24" spans="2:32" x14ac:dyDescent="0.25">
      <c r="B24" s="26" t="s">
        <v>46</v>
      </c>
      <c r="E24" s="13">
        <f>+E15/E18</f>
        <v>5.0748103937727919E-2</v>
      </c>
      <c r="F24" s="13">
        <f t="shared" ref="F24:P24" si="29">+F15/F18</f>
        <v>5.954488834587722E-2</v>
      </c>
      <c r="G24" s="13">
        <f t="shared" si="29"/>
        <v>5.9467090589854318E-2</v>
      </c>
      <c r="H24" s="13">
        <f t="shared" si="29"/>
        <v>6.5702757972696618E-2</v>
      </c>
      <c r="I24" s="13">
        <f t="shared" si="29"/>
        <v>6.994364704228094E-2</v>
      </c>
      <c r="J24" s="13">
        <f t="shared" si="29"/>
        <v>6.7761303122063271E-2</v>
      </c>
      <c r="K24" s="13">
        <f t="shared" si="29"/>
        <v>5.7605963791267305E-2</v>
      </c>
      <c r="L24" s="13">
        <f t="shared" si="29"/>
        <v>5.1284649825972105E-2</v>
      </c>
      <c r="M24" s="13">
        <f t="shared" si="29"/>
        <v>5.4027831904390748E-2</v>
      </c>
      <c r="N24" s="13">
        <f t="shared" si="29"/>
        <v>5.4639295350182998E-2</v>
      </c>
      <c r="O24" s="13">
        <f t="shared" si="29"/>
        <v>5.5157761381080757E-2</v>
      </c>
      <c r="P24" s="23">
        <f t="shared" si="29"/>
        <v>6.3919152716730571E-2</v>
      </c>
      <c r="Q24" s="13">
        <f>AVERAGE(M24:P24)</f>
        <v>5.6936010338096268E-2</v>
      </c>
      <c r="R24" s="13">
        <f>+Q24</f>
        <v>5.6936010338096268E-2</v>
      </c>
      <c r="S24" s="13">
        <f t="shared" ref="S24:X24" si="30">+R24</f>
        <v>5.6936010338096268E-2</v>
      </c>
      <c r="T24" s="13">
        <f t="shared" si="30"/>
        <v>5.6936010338096268E-2</v>
      </c>
      <c r="U24" s="13">
        <f t="shared" si="30"/>
        <v>5.6936010338096268E-2</v>
      </c>
      <c r="V24" s="13">
        <f t="shared" si="30"/>
        <v>5.6936010338096268E-2</v>
      </c>
      <c r="W24" s="60">
        <f t="shared" si="30"/>
        <v>5.6936010338096268E-2</v>
      </c>
      <c r="X24" s="23">
        <f t="shared" si="30"/>
        <v>5.6936010338096268E-2</v>
      </c>
      <c r="Y24" s="47"/>
      <c r="Z24" s="59">
        <f>+Z15/Z18</f>
        <v>6.0153800867946021E-2</v>
      </c>
      <c r="AA24" s="61">
        <f>+AA15/AA18</f>
        <v>5.7780435447558634E-2</v>
      </c>
      <c r="AB24" s="60">
        <f>+$X$24</f>
        <v>5.6936010338096268E-2</v>
      </c>
      <c r="AC24" s="60">
        <f t="shared" ref="AC24:AF24" si="31">+$X$24</f>
        <v>5.6936010338096268E-2</v>
      </c>
      <c r="AD24" s="60">
        <f t="shared" si="31"/>
        <v>5.6936010338096268E-2</v>
      </c>
      <c r="AE24" s="60">
        <f t="shared" si="31"/>
        <v>5.6936010338096268E-2</v>
      </c>
      <c r="AF24" s="60">
        <f t="shared" si="31"/>
        <v>5.6936010338096268E-2</v>
      </c>
    </row>
    <row r="25" spans="2:32" x14ac:dyDescent="0.25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4"/>
      <c r="Q25" s="14"/>
      <c r="R25" s="14"/>
      <c r="S25" s="14"/>
      <c r="T25" s="14"/>
      <c r="U25" s="14"/>
      <c r="V25" s="14"/>
      <c r="W25" s="14"/>
      <c r="X25" s="24"/>
      <c r="Y25" s="14"/>
      <c r="Z25" s="1"/>
      <c r="AA25" s="53"/>
      <c r="AB25" s="1"/>
      <c r="AC25" s="1"/>
    </row>
    <row r="26" spans="2:32" x14ac:dyDescent="0.25">
      <c r="B26" s="1" t="s">
        <v>29</v>
      </c>
      <c r="C26" s="1"/>
      <c r="D26" s="1"/>
      <c r="E26" s="44" t="s">
        <v>28</v>
      </c>
      <c r="F26" s="44" t="s">
        <v>28</v>
      </c>
      <c r="G26" s="44" t="s">
        <v>28</v>
      </c>
      <c r="H26" s="44" t="s">
        <v>28</v>
      </c>
      <c r="I26" s="11">
        <v>4123</v>
      </c>
      <c r="J26" s="11">
        <v>5091</v>
      </c>
      <c r="K26" s="11">
        <v>8555</v>
      </c>
      <c r="L26" s="11">
        <v>11944</v>
      </c>
      <c r="M26" s="11">
        <v>14673</v>
      </c>
      <c r="N26" s="11">
        <v>19847</v>
      </c>
      <c r="O26" s="11">
        <v>22857</v>
      </c>
      <c r="P26" s="22">
        <v>24845</v>
      </c>
      <c r="Q26" s="15">
        <f>+Q29*Q35</f>
        <v>27416.918631276814</v>
      </c>
      <c r="R26" s="15">
        <f t="shared" ref="R26:X26" si="32">+R29*R35</f>
        <v>30894.753894281945</v>
      </c>
      <c r="S26" s="15">
        <f t="shared" si="32"/>
        <v>31657.197287248509</v>
      </c>
      <c r="T26" s="15">
        <f t="shared" si="32"/>
        <v>37340.335504886003</v>
      </c>
      <c r="U26" s="15">
        <f t="shared" si="32"/>
        <v>37093.215483716056</v>
      </c>
      <c r="V26" s="15">
        <f t="shared" si="32"/>
        <v>40163.180062566527</v>
      </c>
      <c r="W26" s="15">
        <f t="shared" si="32"/>
        <v>39571.496609060632</v>
      </c>
      <c r="X26" s="37">
        <f t="shared" si="32"/>
        <v>44808.402605863201</v>
      </c>
      <c r="Y26" s="15"/>
      <c r="Z26" s="15">
        <f>SUM(I26:L26)</f>
        <v>29713</v>
      </c>
      <c r="AA26" s="37">
        <f>+SUM(M26:P26)</f>
        <v>82222</v>
      </c>
      <c r="AB26" s="15">
        <f>+SUM(Q26:T26)</f>
        <v>127309.20531769327</v>
      </c>
      <c r="AC26" s="15">
        <f>+SUM(U26:X26)</f>
        <v>161636.29476120643</v>
      </c>
      <c r="AD26" s="15">
        <f>+AD29*$X$35</f>
        <v>197137.37360684256</v>
      </c>
      <c r="AE26" s="15">
        <f t="shared" ref="AE26:AF26" si="33">+AE29*$X$35</f>
        <v>230578.88326521157</v>
      </c>
      <c r="AF26" s="15">
        <f t="shared" si="33"/>
        <v>258164.31812937796</v>
      </c>
    </row>
    <row r="27" spans="2:32" x14ac:dyDescent="0.25">
      <c r="B27" s="12" t="s">
        <v>45</v>
      </c>
      <c r="E27" s="14"/>
      <c r="F27" s="14"/>
      <c r="G27" s="14"/>
      <c r="H27" s="14"/>
      <c r="I27" s="36"/>
      <c r="J27" s="36"/>
      <c r="K27" s="36"/>
      <c r="L27" s="36"/>
      <c r="M27" s="36">
        <f t="shared" ref="M27" si="34">+M26/I26-1</f>
        <v>2.5588163958282806</v>
      </c>
      <c r="N27" s="36">
        <f t="shared" ref="N27" si="35">+N26/J26-1</f>
        <v>2.8984482419956787</v>
      </c>
      <c r="O27" s="36">
        <f t="shared" ref="O27:Q27" si="36">+O26/K26-1</f>
        <v>1.67177089421391</v>
      </c>
      <c r="P27" s="51">
        <f t="shared" ref="P27" si="37">+P26/L26-1</f>
        <v>1.0801239115874077</v>
      </c>
      <c r="Q27" s="36">
        <f t="shared" si="36"/>
        <v>0.86852849664532239</v>
      </c>
      <c r="R27" s="36">
        <f t="shared" ref="R27" si="38">+R26/N26-1</f>
        <v>0.55664603689635439</v>
      </c>
      <c r="S27" s="36">
        <f t="shared" ref="S27" si="39">+S26/O26-1</f>
        <v>0.38501103763610756</v>
      </c>
      <c r="T27" s="36">
        <f t="shared" ref="T27" si="40">+T26/P26-1</f>
        <v>0.50293159609120552</v>
      </c>
      <c r="U27" s="36">
        <f t="shared" ref="U27" si="41">+U26/Q26-1</f>
        <v>0.35293159609120583</v>
      </c>
      <c r="V27" s="36">
        <f t="shared" ref="V27" si="42">+V26/R26-1</f>
        <v>0.30000000000000004</v>
      </c>
      <c r="W27" s="36">
        <f t="shared" ref="W27" si="43">+W26/S26-1</f>
        <v>0.24999999999999978</v>
      </c>
      <c r="X27" s="51">
        <f t="shared" ref="X27" si="44">+X26/T26-1</f>
        <v>0.19999999999999996</v>
      </c>
      <c r="Y27" s="46"/>
      <c r="Z27" s="1"/>
      <c r="AA27" s="51">
        <f>AA26/Z26-1</f>
        <v>1.767206273348366</v>
      </c>
      <c r="AB27" s="36">
        <f t="shared" ref="AB27:AC27" si="45">AB26/AA26-1</f>
        <v>0.54835938456487643</v>
      </c>
      <c r="AC27" s="36">
        <f t="shared" si="45"/>
        <v>0.26963556451280768</v>
      </c>
      <c r="AD27" s="36">
        <f t="shared" ref="AD27" si="46">AD26/AC26-1</f>
        <v>0.21963556451280764</v>
      </c>
      <c r="AE27" s="36">
        <f t="shared" ref="AE27" si="47">AE26/AD26-1</f>
        <v>0.16963556451280759</v>
      </c>
      <c r="AF27" s="36">
        <f t="shared" ref="AF27" si="48">AF26/AE26-1</f>
        <v>0.11963556451280777</v>
      </c>
    </row>
    <row r="28" spans="2:32" x14ac:dyDescent="0.25">
      <c r="B28" s="12"/>
      <c r="E28" s="14"/>
      <c r="F28" s="14"/>
      <c r="G28" s="14"/>
      <c r="H28" s="14"/>
      <c r="I28" s="36"/>
      <c r="J28" s="36"/>
      <c r="K28" s="36"/>
      <c r="L28" s="36"/>
      <c r="M28" s="36"/>
      <c r="N28" s="36"/>
      <c r="O28" s="36"/>
      <c r="P28" s="51"/>
      <c r="Q28" s="36"/>
      <c r="R28" s="36"/>
      <c r="S28" s="36"/>
      <c r="T28" s="36"/>
      <c r="U28" s="36"/>
      <c r="V28" s="36"/>
      <c r="W28" s="36"/>
      <c r="X28" s="51"/>
      <c r="Y28" s="46"/>
      <c r="Z28" s="1"/>
      <c r="AA28" s="53"/>
      <c r="AB28" s="1"/>
      <c r="AC28" s="1"/>
    </row>
    <row r="29" spans="2:32" x14ac:dyDescent="0.25">
      <c r="B29" s="26" t="s">
        <v>27</v>
      </c>
      <c r="E29" s="44" t="s">
        <v>28</v>
      </c>
      <c r="F29" s="44" t="s">
        <v>28</v>
      </c>
      <c r="G29" s="44" t="s">
        <v>28</v>
      </c>
      <c r="H29" s="11">
        <v>119</v>
      </c>
      <c r="I29" s="42" t="s">
        <v>28</v>
      </c>
      <c r="J29" s="44" t="s">
        <v>28</v>
      </c>
      <c r="K29" s="44" t="s">
        <v>28</v>
      </c>
      <c r="L29" s="11">
        <v>307</v>
      </c>
      <c r="M29" s="11">
        <v>371</v>
      </c>
      <c r="N29" s="11">
        <v>462</v>
      </c>
      <c r="O29" s="11">
        <v>529</v>
      </c>
      <c r="P29" s="22">
        <v>707</v>
      </c>
      <c r="Q29" s="15">
        <f>+M29*(1+Q30)</f>
        <v>780.18762214983724</v>
      </c>
      <c r="R29" s="15">
        <f t="shared" ref="R29:X29" si="49">+N29*(1+R30)</f>
        <v>879.15439739413694</v>
      </c>
      <c r="S29" s="15">
        <f t="shared" si="49"/>
        <v>900.85081433224775</v>
      </c>
      <c r="T29" s="15">
        <f t="shared" si="49"/>
        <v>1062.5726384364823</v>
      </c>
      <c r="U29" s="15">
        <f t="shared" si="49"/>
        <v>1055.5404848857818</v>
      </c>
      <c r="V29" s="15">
        <f t="shared" si="49"/>
        <v>1142.9007166123781</v>
      </c>
      <c r="W29" s="15">
        <f t="shared" si="49"/>
        <v>1126.0635179153096</v>
      </c>
      <c r="X29" s="37">
        <f t="shared" si="49"/>
        <v>1275.0871661237786</v>
      </c>
      <c r="Y29" s="15"/>
      <c r="Z29" s="48" t="s">
        <v>28</v>
      </c>
      <c r="AA29" s="37">
        <f>+SUM(M29:P29)</f>
        <v>2069</v>
      </c>
      <c r="AB29" s="15">
        <f>+SUM(Q29:T29)</f>
        <v>3622.7654723127043</v>
      </c>
      <c r="AC29" s="15">
        <f>+SUM(U29:X29)</f>
        <v>4599.5918855372483</v>
      </c>
      <c r="AD29" s="15">
        <f>+AC29*(1+AD30)</f>
        <v>5609.8258458457512</v>
      </c>
      <c r="AE29" s="15">
        <f t="shared" ref="AE29:AF29" si="50">+AD29*(1+AE30)</f>
        <v>6561.4518200243338</v>
      </c>
      <c r="AF29" s="15">
        <f t="shared" si="50"/>
        <v>7346.434812536535</v>
      </c>
    </row>
    <row r="30" spans="2:32" x14ac:dyDescent="0.25">
      <c r="B30" s="12" t="s">
        <v>45</v>
      </c>
      <c r="E30" s="14"/>
      <c r="F30" s="14"/>
      <c r="G30" s="14"/>
      <c r="H30" s="14"/>
      <c r="I30" s="36"/>
      <c r="J30" s="36"/>
      <c r="K30" s="36"/>
      <c r="L30" s="36">
        <f>+L29/H29-1</f>
        <v>1.5798319327731094</v>
      </c>
      <c r="M30" s="36"/>
      <c r="N30" s="36"/>
      <c r="O30" s="36"/>
      <c r="P30" s="51">
        <f>+P29/L29-1</f>
        <v>1.3029315960912053</v>
      </c>
      <c r="Q30" s="40">
        <f>INDEX(Q31:Q33,MATCH($C$8,$B$31:$B$33,0))</f>
        <v>1.1029315960912054</v>
      </c>
      <c r="R30" s="40">
        <f t="shared" ref="R30:X30" si="51">INDEX(R31:R33,MATCH($C$8,$B$31:$B$33,0))</f>
        <v>0.90293159609120544</v>
      </c>
      <c r="S30" s="40">
        <f t="shared" si="51"/>
        <v>0.70293159609120548</v>
      </c>
      <c r="T30" s="40">
        <f t="shared" si="51"/>
        <v>0.50293159609120552</v>
      </c>
      <c r="U30" s="40">
        <f t="shared" si="51"/>
        <v>0.3529315960912055</v>
      </c>
      <c r="V30" s="40">
        <f t="shared" si="51"/>
        <v>0.3</v>
      </c>
      <c r="W30" s="40">
        <f t="shared" si="51"/>
        <v>0.25</v>
      </c>
      <c r="X30" s="141">
        <f t="shared" si="51"/>
        <v>0.2</v>
      </c>
      <c r="Y30" s="46"/>
      <c r="Z30" s="1"/>
      <c r="AA30" s="51"/>
      <c r="AB30" s="36">
        <f>AB29/AA29-1</f>
        <v>0.75097412871566194</v>
      </c>
      <c r="AC30" s="36">
        <f>AC29/AB29-1</f>
        <v>0.26963556451280768</v>
      </c>
      <c r="AD30" s="36">
        <f>+AC30-0.05</f>
        <v>0.21963556451280769</v>
      </c>
      <c r="AE30" s="36">
        <f t="shared" ref="AE30:AF30" si="52">+AD30-0.05</f>
        <v>0.1696355645128077</v>
      </c>
      <c r="AF30" s="36">
        <f t="shared" si="52"/>
        <v>0.1196355645128077</v>
      </c>
    </row>
    <row r="31" spans="2:32" x14ac:dyDescent="0.25">
      <c r="B31" s="17" t="s">
        <v>30</v>
      </c>
      <c r="E31" s="14"/>
      <c r="F31" s="14"/>
      <c r="G31" s="14"/>
      <c r="H31" s="14"/>
      <c r="I31" s="36"/>
      <c r="J31" s="36"/>
      <c r="K31" s="36"/>
      <c r="L31" s="36"/>
      <c r="M31" s="36"/>
      <c r="N31" s="36"/>
      <c r="O31" s="36"/>
      <c r="P31" s="51"/>
      <c r="Q31" s="49">
        <f>+P30-0.175</f>
        <v>1.1279315960912053</v>
      </c>
      <c r="R31" s="39">
        <f>+Q31-0.175</f>
        <v>0.95293159609120526</v>
      </c>
      <c r="S31" s="39">
        <f t="shared" ref="S31:T31" si="53">+R31-0.175</f>
        <v>0.77793159609120521</v>
      </c>
      <c r="T31" s="39">
        <f t="shared" si="53"/>
        <v>0.60293159609120517</v>
      </c>
      <c r="U31" s="39">
        <f>+T31-0.1</f>
        <v>0.50293159609120519</v>
      </c>
      <c r="V31" s="39">
        <f t="shared" ref="V31:X31" si="54">+U31-0.1</f>
        <v>0.40293159609120521</v>
      </c>
      <c r="W31" s="39">
        <f t="shared" si="54"/>
        <v>0.30293159609120524</v>
      </c>
      <c r="X31" s="39">
        <f t="shared" si="54"/>
        <v>0.20293159609120523</v>
      </c>
      <c r="Y31" s="46"/>
      <c r="Z31" s="1"/>
      <c r="AA31" s="53"/>
      <c r="AB31" s="1"/>
      <c r="AC31" s="1"/>
    </row>
    <row r="32" spans="2:32" x14ac:dyDescent="0.25">
      <c r="B32" s="17" t="s">
        <v>31</v>
      </c>
      <c r="E32" s="14"/>
      <c r="F32" s="14"/>
      <c r="G32" s="14"/>
      <c r="H32" s="14"/>
      <c r="I32" s="36"/>
      <c r="J32" s="36"/>
      <c r="K32" s="36"/>
      <c r="L32" s="36"/>
      <c r="M32" s="36"/>
      <c r="N32" s="36"/>
      <c r="O32" s="36"/>
      <c r="P32" s="51"/>
      <c r="Q32" s="49">
        <f>+P30-0.2</f>
        <v>1.1029315960912054</v>
      </c>
      <c r="R32" s="39">
        <f>+Q32-0.2</f>
        <v>0.90293159609120544</v>
      </c>
      <c r="S32" s="39">
        <f t="shared" ref="S32:T32" si="55">+R32-0.2</f>
        <v>0.70293159609120548</v>
      </c>
      <c r="T32" s="39">
        <f t="shared" si="55"/>
        <v>0.50293159609120552</v>
      </c>
      <c r="U32" s="39">
        <f t="shared" ref="U32" si="56">+T32-0.15</f>
        <v>0.3529315960912055</v>
      </c>
      <c r="V32" s="39">
        <v>0.3</v>
      </c>
      <c r="W32" s="39">
        <v>0.25</v>
      </c>
      <c r="X32" s="39">
        <v>0.2</v>
      </c>
      <c r="Y32" s="46"/>
      <c r="Z32" s="1"/>
      <c r="AA32" s="53"/>
      <c r="AB32" s="1"/>
      <c r="AC32" s="1"/>
    </row>
    <row r="33" spans="2:32" x14ac:dyDescent="0.25">
      <c r="B33" s="17" t="s">
        <v>32</v>
      </c>
      <c r="E33" s="14"/>
      <c r="F33" s="14"/>
      <c r="G33" s="14"/>
      <c r="H33" s="14"/>
      <c r="I33" s="36"/>
      <c r="J33" s="36"/>
      <c r="K33" s="36"/>
      <c r="L33" s="36"/>
      <c r="M33" s="36"/>
      <c r="N33" s="36"/>
      <c r="O33" s="36"/>
      <c r="P33" s="51"/>
      <c r="Q33" s="49">
        <f>+P30-0.25</f>
        <v>1.0529315960912053</v>
      </c>
      <c r="R33" s="49">
        <f>+Q33-0.25</f>
        <v>0.80293159609120535</v>
      </c>
      <c r="S33" s="49">
        <f t="shared" ref="S33:T33" si="57">+R33-0.25</f>
        <v>0.55293159609120535</v>
      </c>
      <c r="T33" s="49">
        <f t="shared" si="57"/>
        <v>0.30293159609120535</v>
      </c>
      <c r="U33" s="39">
        <v>0.25</v>
      </c>
      <c r="V33" s="39">
        <v>0.2</v>
      </c>
      <c r="W33" s="39">
        <v>0.15</v>
      </c>
      <c r="X33" s="39">
        <v>0.15</v>
      </c>
      <c r="Y33" s="46"/>
      <c r="Z33" s="1"/>
      <c r="AA33" s="53"/>
      <c r="AB33" s="1"/>
      <c r="AC33" s="1"/>
    </row>
    <row r="34" spans="2:32" x14ac:dyDescent="0.25">
      <c r="B34" s="17"/>
      <c r="E34" s="14"/>
      <c r="F34" s="14"/>
      <c r="G34" s="14"/>
      <c r="H34" s="14"/>
      <c r="I34" s="36"/>
      <c r="J34" s="36"/>
      <c r="K34" s="36"/>
      <c r="L34" s="36"/>
      <c r="M34" s="36"/>
      <c r="N34" s="36"/>
      <c r="O34" s="36"/>
      <c r="P34" s="51"/>
      <c r="Q34" s="36"/>
      <c r="R34" s="36"/>
      <c r="S34" s="36"/>
      <c r="T34" s="36"/>
      <c r="U34" s="36"/>
      <c r="V34" s="36"/>
      <c r="W34" s="36"/>
      <c r="X34" s="51"/>
      <c r="Y34" s="46"/>
      <c r="Z34" s="1"/>
      <c r="AA34" s="53"/>
      <c r="AB34" s="1"/>
      <c r="AC34" s="1"/>
    </row>
    <row r="35" spans="2:32" x14ac:dyDescent="0.25">
      <c r="B35" s="41" t="s">
        <v>47</v>
      </c>
      <c r="E35" s="44" t="s">
        <v>28</v>
      </c>
      <c r="F35" s="44" t="s">
        <v>28</v>
      </c>
      <c r="G35" s="44" t="s">
        <v>28</v>
      </c>
      <c r="H35" s="44" t="s">
        <v>28</v>
      </c>
      <c r="I35" s="44" t="s">
        <v>28</v>
      </c>
      <c r="J35" s="44" t="s">
        <v>28</v>
      </c>
      <c r="K35" s="44" t="s">
        <v>28</v>
      </c>
      <c r="L35" s="43">
        <f t="shared" ref="L35:P35" si="58">+L26/L29</f>
        <v>38.905537459283387</v>
      </c>
      <c r="M35" s="43">
        <f t="shared" si="58"/>
        <v>39.549865229110509</v>
      </c>
      <c r="N35" s="43">
        <f t="shared" si="58"/>
        <v>42.958874458874462</v>
      </c>
      <c r="O35" s="43">
        <f t="shared" si="58"/>
        <v>43.20793950850662</v>
      </c>
      <c r="P35" s="52">
        <f t="shared" si="58"/>
        <v>35.141442715700144</v>
      </c>
      <c r="Q35" s="43">
        <f>+P35</f>
        <v>35.141442715700144</v>
      </c>
      <c r="R35" s="43">
        <f>+Q35</f>
        <v>35.141442715700144</v>
      </c>
      <c r="S35" s="43">
        <f t="shared" ref="S35:X35" si="59">+R35</f>
        <v>35.141442715700144</v>
      </c>
      <c r="T35" s="43">
        <f t="shared" si="59"/>
        <v>35.141442715700144</v>
      </c>
      <c r="U35" s="43">
        <f t="shared" si="59"/>
        <v>35.141442715700144</v>
      </c>
      <c r="V35" s="43">
        <f t="shared" si="59"/>
        <v>35.141442715700144</v>
      </c>
      <c r="W35" s="43">
        <f t="shared" si="59"/>
        <v>35.141442715700144</v>
      </c>
      <c r="X35" s="52">
        <f t="shared" si="59"/>
        <v>35.141442715700144</v>
      </c>
      <c r="Y35" s="43"/>
      <c r="Z35" s="1"/>
      <c r="AA35" s="53"/>
      <c r="AB35" s="1"/>
      <c r="AC35" s="1"/>
    </row>
    <row r="36" spans="2:32" x14ac:dyDescent="0.25"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24"/>
      <c r="Q36" s="14"/>
      <c r="R36" s="14"/>
      <c r="S36" s="14"/>
      <c r="T36" s="14"/>
      <c r="U36" s="14"/>
      <c r="V36" s="14"/>
      <c r="W36" s="14"/>
      <c r="X36" s="24"/>
      <c r="Y36" s="14"/>
      <c r="Z36" s="1"/>
      <c r="AA36" s="53"/>
      <c r="AB36" s="1"/>
      <c r="AC36" s="1"/>
    </row>
    <row r="37" spans="2:32" x14ac:dyDescent="0.25">
      <c r="B37" s="1" t="s">
        <v>42</v>
      </c>
      <c r="C37" s="1"/>
      <c r="D37" s="1"/>
      <c r="E37" s="15"/>
      <c r="F37" s="15"/>
      <c r="G37" s="15"/>
      <c r="H37" s="15"/>
      <c r="I37" s="11">
        <v>4684</v>
      </c>
      <c r="J37" s="11">
        <v>3889</v>
      </c>
      <c r="K37" s="11">
        <v>5243</v>
      </c>
      <c r="L37" s="11">
        <v>6089</v>
      </c>
      <c r="M37" s="11">
        <v>5688</v>
      </c>
      <c r="N37" s="11">
        <v>7041</v>
      </c>
      <c r="O37" s="11">
        <v>10703</v>
      </c>
      <c r="P37" s="22">
        <v>18698</v>
      </c>
      <c r="Q37" s="15">
        <f>+Q38*Q15</f>
        <v>10728.41647074329</v>
      </c>
      <c r="R37" s="15">
        <f t="shared" ref="R37:X37" si="60">+R38*R15</f>
        <v>11424.532017500293</v>
      </c>
      <c r="S37" s="15">
        <f t="shared" si="60"/>
        <v>13959.517903442566</v>
      </c>
      <c r="T37" s="15">
        <f t="shared" si="60"/>
        <v>17830.383188592277</v>
      </c>
      <c r="U37" s="15">
        <f t="shared" si="60"/>
        <v>14174.355358703297</v>
      </c>
      <c r="V37" s="15">
        <f t="shared" si="60"/>
        <v>14865.570730639389</v>
      </c>
      <c r="W37" s="15">
        <f t="shared" si="60"/>
        <v>17884.897277326232</v>
      </c>
      <c r="X37" s="37">
        <f t="shared" si="60"/>
        <v>22487.63194028315</v>
      </c>
      <c r="Y37" s="15"/>
      <c r="Z37" s="15">
        <f>SUM(I37:L37)</f>
        <v>19905</v>
      </c>
      <c r="AA37" s="37">
        <f>+SUM(M37:P37)</f>
        <v>42130</v>
      </c>
      <c r="AB37" s="15">
        <f>+SUM(Q37:T37)</f>
        <v>53942.849580278424</v>
      </c>
      <c r="AC37" s="15">
        <f>+SUM(U37:X37)</f>
        <v>69412.455306952063</v>
      </c>
      <c r="AD37" s="15">
        <f>+$Q$38*AD15</f>
        <v>85847.776044290338</v>
      </c>
      <c r="AE37" s="15">
        <f t="shared" ref="AE37:AF37" si="61">+$Q$38*AE15</f>
        <v>101882.22523729918</v>
      </c>
      <c r="AF37" s="15">
        <f t="shared" si="61"/>
        <v>115817.44052892982</v>
      </c>
    </row>
    <row r="38" spans="2:32" x14ac:dyDescent="0.25">
      <c r="B38" s="12" t="s">
        <v>48</v>
      </c>
      <c r="E38" s="14"/>
      <c r="F38" s="14"/>
      <c r="G38" s="14"/>
      <c r="H38" s="14"/>
      <c r="I38" s="36">
        <f>+I37/I15</f>
        <v>0.18108714142117066</v>
      </c>
      <c r="J38" s="36">
        <f t="shared" ref="J38:P38" si="62">+J37/J15</f>
        <v>0.14981893828492179</v>
      </c>
      <c r="K38" s="36">
        <f t="shared" si="62"/>
        <v>0.19385491385047696</v>
      </c>
      <c r="L38" s="36">
        <f t="shared" si="62"/>
        <v>0.19725290744760116</v>
      </c>
      <c r="M38" s="36">
        <f t="shared" si="62"/>
        <v>0.21368998422120369</v>
      </c>
      <c r="N38" s="36">
        <f t="shared" si="62"/>
        <v>0.24211684605068601</v>
      </c>
      <c r="O38" s="36">
        <f t="shared" si="62"/>
        <v>0.29405461838562558</v>
      </c>
      <c r="P38" s="51">
        <f t="shared" si="62"/>
        <v>0.34195943598090672</v>
      </c>
      <c r="Q38" s="36">
        <f>+AVERAGE(M38:P38)</f>
        <v>0.27295522115960547</v>
      </c>
      <c r="R38" s="36">
        <f>+Q38</f>
        <v>0.27295522115960547</v>
      </c>
      <c r="S38" s="36">
        <f t="shared" ref="S38:X38" si="63">+R38</f>
        <v>0.27295522115960547</v>
      </c>
      <c r="T38" s="36">
        <f t="shared" si="63"/>
        <v>0.27295522115960547</v>
      </c>
      <c r="U38" s="36">
        <f t="shared" si="63"/>
        <v>0.27295522115960547</v>
      </c>
      <c r="V38" s="36">
        <f t="shared" si="63"/>
        <v>0.27295522115960547</v>
      </c>
      <c r="W38" s="36">
        <f t="shared" si="63"/>
        <v>0.27295522115960547</v>
      </c>
      <c r="X38" s="51">
        <f t="shared" si="63"/>
        <v>0.27295522115960547</v>
      </c>
      <c r="Y38" s="46"/>
      <c r="Z38" s="36">
        <f>+Z37/Z15</f>
        <v>0.1813849224068016</v>
      </c>
      <c r="AA38" s="51">
        <f>+AA37/AA15</f>
        <v>0.28703602768845043</v>
      </c>
      <c r="AB38" s="36">
        <f>+AB37/AB15</f>
        <v>0.27295522115960547</v>
      </c>
      <c r="AC38" s="36">
        <f t="shared" ref="AC38:AF38" si="64">+AC37/AC15</f>
        <v>0.27295522115960541</v>
      </c>
      <c r="AD38" s="36">
        <f t="shared" si="64"/>
        <v>0.27295522115960547</v>
      </c>
      <c r="AE38" s="36">
        <f t="shared" si="64"/>
        <v>0.27295522115960547</v>
      </c>
      <c r="AF38" s="36">
        <f t="shared" si="64"/>
        <v>0.27295522115960547</v>
      </c>
    </row>
    <row r="39" spans="2:32" x14ac:dyDescent="0.25">
      <c r="B39" s="54"/>
      <c r="C39" s="54"/>
      <c r="D39" s="54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6"/>
      <c r="Q39" s="55"/>
      <c r="R39" s="55"/>
      <c r="S39" s="55"/>
      <c r="T39" s="55"/>
      <c r="U39" s="55"/>
      <c r="V39" s="55"/>
      <c r="W39" s="55"/>
      <c r="X39" s="56"/>
      <c r="Y39" s="14"/>
      <c r="Z39" s="57"/>
      <c r="AA39" s="58"/>
      <c r="AB39" s="57"/>
      <c r="AC39" s="57"/>
      <c r="AD39" s="54"/>
      <c r="AE39" s="54"/>
      <c r="AF39" s="54"/>
    </row>
    <row r="40" spans="2:32" x14ac:dyDescent="0.25">
      <c r="B40" s="1" t="s">
        <v>0</v>
      </c>
      <c r="E40" s="11">
        <v>27633.962</v>
      </c>
      <c r="F40" s="11">
        <v>29252.038</v>
      </c>
      <c r="G40" s="11">
        <v>30408.249</v>
      </c>
      <c r="H40" s="11">
        <v>38276.192000000003</v>
      </c>
      <c r="I40" s="11">
        <v>34673.430999999997</v>
      </c>
      <c r="J40" s="11">
        <v>34937.665000000001</v>
      </c>
      <c r="K40" s="11">
        <v>40844.201000000001</v>
      </c>
      <c r="L40" s="11">
        <v>48901.474999999999</v>
      </c>
      <c r="M40" s="11">
        <v>46978.633999999998</v>
      </c>
      <c r="N40" s="11">
        <v>55968.504999999997</v>
      </c>
      <c r="O40" s="11">
        <v>69957.691000000006</v>
      </c>
      <c r="P40" s="22">
        <v>98223.06</v>
      </c>
      <c r="Q40" s="15">
        <f t="shared" ref="Q40:X40" si="65">+Q37+Q26+Q15</f>
        <v>77450.01088424318</v>
      </c>
      <c r="R40" s="15">
        <f t="shared" si="65"/>
        <v>84174.253803457075</v>
      </c>
      <c r="S40" s="15">
        <f t="shared" si="65"/>
        <v>96758.8689994288</v>
      </c>
      <c r="T40" s="15">
        <f t="shared" si="65"/>
        <v>120494.19231249469</v>
      </c>
      <c r="U40" s="15">
        <f t="shared" si="65"/>
        <v>103196.80413748465</v>
      </c>
      <c r="V40" s="15">
        <f t="shared" si="65"/>
        <v>109490.32389477713</v>
      </c>
      <c r="W40" s="15">
        <f t="shared" si="65"/>
        <v>122979.58557088801</v>
      </c>
      <c r="X40" s="37">
        <f t="shared" si="65"/>
        <v>149681.82604977884</v>
      </c>
      <c r="Y40" s="15"/>
      <c r="Z40" s="15">
        <f>SUM(I40:L40)</f>
        <v>159356.772</v>
      </c>
      <c r="AA40" s="37">
        <f>+SUM(M40:P40)</f>
        <v>271127.89</v>
      </c>
      <c r="AB40" s="15">
        <f>+SUM(Q40:T40)</f>
        <v>378877.32599962375</v>
      </c>
      <c r="AC40" s="15">
        <f>+SUM(U40:X40)</f>
        <v>485348.53965292865</v>
      </c>
      <c r="AD40" s="15">
        <f>+AD37+AD26+AD15</f>
        <v>597497.45566081512</v>
      </c>
      <c r="AE40" s="15">
        <f t="shared" ref="AE40:AF40" si="66">+AE37+AE26+AE15</f>
        <v>705717.29610892199</v>
      </c>
      <c r="AF40" s="15">
        <f t="shared" si="66"/>
        <v>798291.06491337204</v>
      </c>
    </row>
    <row r="41" spans="2:32" x14ac:dyDescent="0.25">
      <c r="B41" s="12" t="s">
        <v>45</v>
      </c>
      <c r="E41" s="14"/>
      <c r="F41" s="14"/>
      <c r="G41" s="14"/>
      <c r="H41" s="14"/>
      <c r="I41" s="36">
        <f t="shared" ref="I41" si="67">+I40/E40-1</f>
        <v>0.25473976551028032</v>
      </c>
      <c r="J41" s="36">
        <f t="shared" ref="J41" si="68">+J40/F40-1</f>
        <v>0.19436686770337164</v>
      </c>
      <c r="K41" s="36">
        <f t="shared" ref="K41" si="69">+K40/G40-1</f>
        <v>0.34319476928776793</v>
      </c>
      <c r="L41" s="36">
        <f t="shared" ref="L41" si="70">+L40/H40-1</f>
        <v>0.27759509096411672</v>
      </c>
      <c r="M41" s="36">
        <f t="shared" ref="M41" si="71">+M40/I40-1</f>
        <v>0.35488853122149933</v>
      </c>
      <c r="N41" s="36">
        <f t="shared" ref="N41" si="72">+N40/J40-1</f>
        <v>0.60195322154471387</v>
      </c>
      <c r="O41" s="36">
        <f t="shared" ref="O41" si="73">+O40/K40-1</f>
        <v>0.71279372070468483</v>
      </c>
      <c r="P41" s="51">
        <f t="shared" ref="P41" si="74">+P40/L40-1</f>
        <v>1.0085909474100729</v>
      </c>
      <c r="Q41" s="36">
        <f>+Q40/M40-1</f>
        <v>0.64862202856394635</v>
      </c>
      <c r="R41" s="36">
        <f t="shared" ref="R41" si="75">+R40/N40-1</f>
        <v>0.50395751688305923</v>
      </c>
      <c r="S41" s="36">
        <f t="shared" ref="S41" si="76">+S40/O40-1</f>
        <v>0.38310552587318525</v>
      </c>
      <c r="T41" s="36">
        <f t="shared" ref="T41" si="77">+T40/P40-1</f>
        <v>0.22674036333723158</v>
      </c>
      <c r="U41" s="36">
        <f t="shared" ref="U41" si="78">+U40/Q40-1</f>
        <v>0.33243111213660947</v>
      </c>
      <c r="V41" s="36">
        <f t="shared" ref="V41" si="79">+V40/R40-1</f>
        <v>0.30075787960570333</v>
      </c>
      <c r="W41" s="36">
        <f t="shared" ref="W41" si="80">+W40/S40-1</f>
        <v>0.27099031688365427</v>
      </c>
      <c r="X41" s="51">
        <f t="shared" ref="X41" si="81">+X40/T40-1</f>
        <v>0.24223270165243904</v>
      </c>
      <c r="Y41" s="46"/>
      <c r="Z41" s="46">
        <f>(SUM(I40:L40)/SUM(E40:H40))-1</f>
        <v>0.26906277250392074</v>
      </c>
      <c r="AA41" s="51">
        <f>AA40/Z40-1</f>
        <v>0.7013891948062303</v>
      </c>
      <c r="AB41" s="36">
        <f t="shared" ref="AB41:AC41" si="82">AB40/AA40-1</f>
        <v>0.39741184870218893</v>
      </c>
      <c r="AC41" s="36">
        <f t="shared" si="82"/>
        <v>0.28101764435861387</v>
      </c>
      <c r="AD41" s="36">
        <f t="shared" ref="AD41" si="83">AD40/AC40-1</f>
        <v>0.23106882342343882</v>
      </c>
      <c r="AE41" s="36">
        <f t="shared" ref="AE41" si="84">AE40/AD40-1</f>
        <v>0.18112184315231739</v>
      </c>
      <c r="AF41" s="36">
        <f t="shared" ref="AF41" si="85">AF40/AE40-1</f>
        <v>0.13117684562199261</v>
      </c>
    </row>
    <row r="42" spans="2:32" x14ac:dyDescent="0.25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24"/>
      <c r="Q42" s="14"/>
      <c r="R42" s="14"/>
      <c r="S42" s="14"/>
      <c r="T42" s="14"/>
      <c r="U42" s="14"/>
      <c r="V42" s="14"/>
      <c r="W42" s="14"/>
      <c r="X42" s="24"/>
      <c r="Y42" s="14"/>
      <c r="AA42" s="21"/>
      <c r="AC42" s="14"/>
    </row>
    <row r="43" spans="2:32" x14ac:dyDescent="0.25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24"/>
      <c r="Q43" s="14"/>
      <c r="R43" s="14"/>
      <c r="S43" s="14"/>
      <c r="T43" s="14"/>
      <c r="U43" s="14"/>
      <c r="V43" s="14"/>
      <c r="W43" s="14"/>
      <c r="X43" s="24"/>
      <c r="Y43" s="14"/>
      <c r="AA43" s="21"/>
    </row>
    <row r="44" spans="2:32" x14ac:dyDescent="0.25">
      <c r="B44" s="1" t="s">
        <v>49</v>
      </c>
      <c r="C44" s="1"/>
      <c r="D44" s="1"/>
      <c r="P44" s="21"/>
      <c r="X44" s="21"/>
      <c r="Y44" s="14"/>
      <c r="AA44" s="21"/>
    </row>
    <row r="45" spans="2:32" x14ac:dyDescent="0.25">
      <c r="B45" s="3" t="s">
        <v>82</v>
      </c>
      <c r="C45" s="3"/>
      <c r="D45" s="29"/>
      <c r="E45" s="20" t="s">
        <v>24</v>
      </c>
      <c r="F45" s="30" t="s">
        <v>15</v>
      </c>
      <c r="G45" s="30" t="s">
        <v>16</v>
      </c>
      <c r="H45" s="30" t="s">
        <v>17</v>
      </c>
      <c r="I45" s="30" t="s">
        <v>18</v>
      </c>
      <c r="J45" s="30" t="s">
        <v>19</v>
      </c>
      <c r="K45" s="30" t="s">
        <v>20</v>
      </c>
      <c r="L45" s="30" t="s">
        <v>21</v>
      </c>
      <c r="M45" s="30" t="s">
        <v>22</v>
      </c>
      <c r="N45" s="30" t="s">
        <v>23</v>
      </c>
      <c r="O45" s="30" t="s">
        <v>25</v>
      </c>
      <c r="P45" s="30" t="s">
        <v>26</v>
      </c>
      <c r="Q45" s="31" t="s">
        <v>33</v>
      </c>
      <c r="R45" s="32" t="s">
        <v>34</v>
      </c>
      <c r="S45" s="32" t="s">
        <v>35</v>
      </c>
      <c r="T45" s="32" t="s">
        <v>36</v>
      </c>
      <c r="U45" s="32" t="s">
        <v>37</v>
      </c>
      <c r="V45" s="32" t="s">
        <v>38</v>
      </c>
      <c r="W45" s="32" t="s">
        <v>39</v>
      </c>
      <c r="X45" s="32" t="s">
        <v>40</v>
      </c>
      <c r="Y45" s="14"/>
      <c r="Z45" s="5" t="s">
        <v>7</v>
      </c>
      <c r="AA45" s="20" t="s">
        <v>8</v>
      </c>
      <c r="AB45" s="6" t="s">
        <v>9</v>
      </c>
      <c r="AC45" s="6" t="s">
        <v>10</v>
      </c>
      <c r="AD45" s="6" t="s">
        <v>11</v>
      </c>
      <c r="AE45" s="6" t="s">
        <v>12</v>
      </c>
      <c r="AF45" s="6" t="s">
        <v>13</v>
      </c>
    </row>
    <row r="46" spans="2:32" x14ac:dyDescent="0.25">
      <c r="B46" s="7" t="s">
        <v>14</v>
      </c>
      <c r="C46" s="7"/>
      <c r="D46" s="7"/>
      <c r="E46" s="10">
        <v>44651</v>
      </c>
      <c r="F46" s="10">
        <v>44742</v>
      </c>
      <c r="G46" s="10">
        <v>44834</v>
      </c>
      <c r="H46" s="10">
        <v>44926</v>
      </c>
      <c r="I46" s="10">
        <v>45016</v>
      </c>
      <c r="J46" s="10">
        <v>45107</v>
      </c>
      <c r="K46" s="10">
        <v>45199</v>
      </c>
      <c r="L46" s="10">
        <v>45291</v>
      </c>
      <c r="M46" s="10">
        <v>45382</v>
      </c>
      <c r="N46" s="10">
        <v>45473</v>
      </c>
      <c r="O46" s="10">
        <v>45565</v>
      </c>
      <c r="P46" s="27">
        <v>45657</v>
      </c>
      <c r="Q46" s="28">
        <f>+M46+365</f>
        <v>45747</v>
      </c>
      <c r="R46" s="28">
        <f t="shared" ref="R46" si="86">+N46+365</f>
        <v>45838</v>
      </c>
      <c r="S46" s="28">
        <f t="shared" ref="S46" si="87">+O46+365</f>
        <v>45930</v>
      </c>
      <c r="T46" s="28">
        <f t="shared" ref="T46" si="88">+P46+365</f>
        <v>46022</v>
      </c>
      <c r="U46" s="28">
        <f t="shared" ref="U46" si="89">+Q46+365</f>
        <v>46112</v>
      </c>
      <c r="V46" s="28">
        <f t="shared" ref="V46" si="90">+R46+365</f>
        <v>46203</v>
      </c>
      <c r="W46" s="28">
        <f t="shared" ref="W46" si="91">+S46+365</f>
        <v>46295</v>
      </c>
      <c r="X46" s="140">
        <f t="shared" ref="X46" si="92">+T46+365</f>
        <v>46387</v>
      </c>
      <c r="Y46" s="14"/>
      <c r="Z46" s="9">
        <v>45291</v>
      </c>
      <c r="AA46" s="34">
        <v>45657</v>
      </c>
      <c r="AB46" s="25">
        <f>+AA46+365</f>
        <v>46022</v>
      </c>
      <c r="AC46" s="25">
        <f t="shared" ref="AC46:AF46" si="93">+AB46+365</f>
        <v>46387</v>
      </c>
      <c r="AD46" s="25">
        <f t="shared" si="93"/>
        <v>46752</v>
      </c>
      <c r="AE46" s="25">
        <f t="shared" si="93"/>
        <v>47117</v>
      </c>
      <c r="AF46" s="25">
        <f t="shared" si="93"/>
        <v>47482</v>
      </c>
    </row>
    <row r="47" spans="2:32" x14ac:dyDescent="0.25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68"/>
      <c r="Q47" s="14"/>
      <c r="R47" s="14"/>
      <c r="S47" s="14"/>
      <c r="T47" s="14"/>
      <c r="U47" s="14"/>
      <c r="V47" s="14"/>
      <c r="W47" s="14"/>
      <c r="X47" s="24"/>
      <c r="Y47" s="14"/>
      <c r="AA47" s="21"/>
    </row>
    <row r="48" spans="2:32" x14ac:dyDescent="0.25">
      <c r="B48" s="1" t="s">
        <v>0</v>
      </c>
      <c r="E48" s="11">
        <f>+E40</f>
        <v>27633.962</v>
      </c>
      <c r="F48" s="11">
        <f t="shared" ref="F48:X48" si="94">+F40</f>
        <v>29252.038</v>
      </c>
      <c r="G48" s="11">
        <f t="shared" si="94"/>
        <v>30408.249</v>
      </c>
      <c r="H48" s="11">
        <f t="shared" si="94"/>
        <v>38276.192000000003</v>
      </c>
      <c r="I48" s="11">
        <f t="shared" si="94"/>
        <v>34673.430999999997</v>
      </c>
      <c r="J48" s="11">
        <f t="shared" si="94"/>
        <v>34937.665000000001</v>
      </c>
      <c r="K48" s="11">
        <f t="shared" si="94"/>
        <v>40844.201000000001</v>
      </c>
      <c r="L48" s="11">
        <f t="shared" si="94"/>
        <v>48901.474999999999</v>
      </c>
      <c r="M48" s="11">
        <f t="shared" si="94"/>
        <v>46978.633999999998</v>
      </c>
      <c r="N48" s="11">
        <f t="shared" si="94"/>
        <v>55968.504999999997</v>
      </c>
      <c r="O48" s="11">
        <f t="shared" si="94"/>
        <v>69957.691000000006</v>
      </c>
      <c r="P48" s="22">
        <f t="shared" si="94"/>
        <v>98223.06</v>
      </c>
      <c r="Q48" s="15">
        <f t="shared" si="94"/>
        <v>77450.01088424318</v>
      </c>
      <c r="R48" s="15">
        <f t="shared" si="94"/>
        <v>84174.253803457075</v>
      </c>
      <c r="S48" s="15">
        <f t="shared" si="94"/>
        <v>96758.8689994288</v>
      </c>
      <c r="T48" s="15">
        <f t="shared" si="94"/>
        <v>120494.19231249469</v>
      </c>
      <c r="U48" s="15">
        <f t="shared" si="94"/>
        <v>103196.80413748465</v>
      </c>
      <c r="V48" s="15">
        <f t="shared" si="94"/>
        <v>109490.32389477713</v>
      </c>
      <c r="W48" s="15">
        <f t="shared" si="94"/>
        <v>122979.58557088801</v>
      </c>
      <c r="X48" s="37">
        <f t="shared" si="94"/>
        <v>149681.82604977884</v>
      </c>
      <c r="Y48" s="14"/>
      <c r="Z48" s="15">
        <f>SUM(I48:L48)</f>
        <v>159356.772</v>
      </c>
      <c r="AA48" s="37">
        <f>+SUM(M48:P48)</f>
        <v>271127.89</v>
      </c>
      <c r="AB48" s="15">
        <f>+SUM(Q48:T48)</f>
        <v>378877.32599962375</v>
      </c>
      <c r="AC48" s="15">
        <f>+SUM(U48:X48)</f>
        <v>485348.53965292865</v>
      </c>
      <c r="AD48" s="15">
        <f>AD40</f>
        <v>597497.45566081512</v>
      </c>
      <c r="AE48" s="15">
        <f t="shared" ref="AE48:AF48" si="95">AE40</f>
        <v>705717.29610892199</v>
      </c>
      <c r="AF48" s="15">
        <f t="shared" si="95"/>
        <v>798291.06491337204</v>
      </c>
    </row>
    <row r="49" spans="2:32" x14ac:dyDescent="0.25">
      <c r="B49" s="62" t="s">
        <v>1</v>
      </c>
      <c r="E49" s="64">
        <v>-16379.638000000001</v>
      </c>
      <c r="F49" s="64">
        <v>-12321.880999999999</v>
      </c>
      <c r="G49" s="64">
        <v>-11586.550999999999</v>
      </c>
      <c r="H49" s="64">
        <v>-10929.013000000001</v>
      </c>
      <c r="I49" s="64">
        <v>-11573.99</v>
      </c>
      <c r="J49" s="64">
        <v>-12017.071</v>
      </c>
      <c r="K49" s="64">
        <v>-11079.174000000001</v>
      </c>
      <c r="L49" s="64">
        <v>-11703.68</v>
      </c>
      <c r="M49" s="64">
        <v>-11025.04</v>
      </c>
      <c r="N49" s="64">
        <v>-12736.522999999999</v>
      </c>
      <c r="O49" s="64">
        <v>-13423.723</v>
      </c>
      <c r="P49" s="69">
        <v>-14579.678</v>
      </c>
      <c r="Q49" s="63">
        <f>+Q48*-$P$62</f>
        <v>-11496.24354798925</v>
      </c>
      <c r="R49" s="63">
        <f t="shared" ref="R49:X49" si="96">+R48*-$P$62</f>
        <v>-12494.352307336785</v>
      </c>
      <c r="S49" s="63">
        <f t="shared" si="96"/>
        <v>-14362.341731726279</v>
      </c>
      <c r="T49" s="63">
        <f t="shared" si="96"/>
        <v>-17885.479487059842</v>
      </c>
      <c r="U49" s="63">
        <f t="shared" si="96"/>
        <v>-15317.952576040638</v>
      </c>
      <c r="V49" s="63">
        <f t="shared" si="96"/>
        <v>-16252.127214338025</v>
      </c>
      <c r="W49" s="63">
        <f t="shared" si="96"/>
        <v>-18254.397268798115</v>
      </c>
      <c r="X49" s="73">
        <f t="shared" si="96"/>
        <v>-22217.927503559629</v>
      </c>
      <c r="Y49" s="14"/>
      <c r="Z49" s="63">
        <f t="shared" ref="Z49:Z57" si="97">SUM(I49:L49)</f>
        <v>-46373.915000000001</v>
      </c>
      <c r="AA49" s="73">
        <f t="shared" ref="AA49:AA57" si="98">+SUM(M49:P49)</f>
        <v>-51764.964</v>
      </c>
      <c r="AB49" s="63">
        <f t="shared" ref="AB49:AB52" si="99">+SUM(Q49:T49)</f>
        <v>-56238.417074112156</v>
      </c>
      <c r="AC49" s="63">
        <f t="shared" ref="AC49:AC52" si="100">+SUM(U49:X49)</f>
        <v>-72042.404562736396</v>
      </c>
      <c r="AD49" s="63">
        <f>+AD48*-$P$62</f>
        <v>-88689.158221643287</v>
      </c>
      <c r="AE49" s="63">
        <f t="shared" ref="AE49:AF49" si="101">+AE48*-$P$62</f>
        <v>-104752.70202637483</v>
      </c>
      <c r="AF49" s="63">
        <f t="shared" si="101"/>
        <v>-118493.83104857519</v>
      </c>
    </row>
    <row r="50" spans="2:32" x14ac:dyDescent="0.25">
      <c r="B50" s="62" t="s">
        <v>2</v>
      </c>
      <c r="E50" s="64">
        <v>-11794.369000000001</v>
      </c>
      <c r="F50" s="64">
        <v>-10115.258</v>
      </c>
      <c r="G50" s="64">
        <v>-9319.8230000000003</v>
      </c>
      <c r="H50" s="64">
        <v>-9547.375</v>
      </c>
      <c r="I50" s="64">
        <v>-8238.5859999999993</v>
      </c>
      <c r="J50" s="64">
        <v>-7945.9480000000003</v>
      </c>
      <c r="K50" s="64">
        <v>-9936.8040000000001</v>
      </c>
      <c r="L50" s="64">
        <v>-13086.43</v>
      </c>
      <c r="M50" s="64">
        <v>-11787.146000000001</v>
      </c>
      <c r="N50" s="64">
        <v>-10741.618</v>
      </c>
      <c r="O50" s="64">
        <v>-12761.438</v>
      </c>
      <c r="P50" s="69">
        <v>-16074.145</v>
      </c>
      <c r="Q50" s="63">
        <f>-$P$63*Q18</f>
        <v>-12971.658730515854</v>
      </c>
      <c r="R50" s="63">
        <f t="shared" ref="R50:X50" si="102">-$P$63*R18</f>
        <v>-13813.327520515082</v>
      </c>
      <c r="S50" s="63">
        <f t="shared" si="102"/>
        <v>-16878.362503896868</v>
      </c>
      <c r="T50" s="63">
        <f t="shared" si="102"/>
        <v>-21558.600599396923</v>
      </c>
      <c r="U50" s="63">
        <f t="shared" si="102"/>
        <v>-17138.121076820873</v>
      </c>
      <c r="V50" s="63">
        <f t="shared" si="102"/>
        <v>-17973.86509724483</v>
      </c>
      <c r="W50" s="63">
        <f t="shared" si="102"/>
        <v>-21624.513230304783</v>
      </c>
      <c r="X50" s="73">
        <f t="shared" si="102"/>
        <v>-27189.649840895047</v>
      </c>
      <c r="Y50" s="14"/>
      <c r="Z50" s="63">
        <f t="shared" si="97"/>
        <v>-39207.767999999996</v>
      </c>
      <c r="AA50" s="73">
        <f t="shared" si="98"/>
        <v>-51364.347000000009</v>
      </c>
      <c r="AB50" s="63">
        <f t="shared" si="99"/>
        <v>-65221.94935432473</v>
      </c>
      <c r="AC50" s="63">
        <f t="shared" si="100"/>
        <v>-83926.149245265537</v>
      </c>
      <c r="AD50" s="63">
        <f>-$P$63*AD18</f>
        <v>-103797.98888839525</v>
      </c>
      <c r="AE50" s="63">
        <f t="shared" ref="AE50:AF50" si="103">-$P$63*AE18</f>
        <v>-123185.13734881437</v>
      </c>
      <c r="AF50" s="63">
        <f t="shared" si="103"/>
        <v>-140034.11572248623</v>
      </c>
    </row>
    <row r="51" spans="2:32" x14ac:dyDescent="0.25">
      <c r="B51" s="62" t="s">
        <v>50</v>
      </c>
      <c r="E51" s="64">
        <v>-15118.082</v>
      </c>
      <c r="F51" s="64">
        <v>-12476.887000000001</v>
      </c>
      <c r="G51" s="64">
        <v>-8322.3639999999996</v>
      </c>
      <c r="H51" s="64">
        <v>-7656.6260000000002</v>
      </c>
      <c r="I51" s="64">
        <v>-7746.56</v>
      </c>
      <c r="J51" s="64">
        <v>-6914.9209999999994</v>
      </c>
      <c r="K51" s="64">
        <v>-7801.93</v>
      </c>
      <c r="L51" s="64">
        <v>-5924.3040000000001</v>
      </c>
      <c r="M51" s="64">
        <v>-5191.8249999999998</v>
      </c>
      <c r="N51" s="64">
        <v>-5697.1040000000003</v>
      </c>
      <c r="O51" s="64">
        <v>-7529.0559999999996</v>
      </c>
      <c r="P51" s="69">
        <v>-12320.352000000001</v>
      </c>
      <c r="Q51" s="63">
        <f>-AVERAGE($M$64:$P$64)*Q48</f>
        <v>-8623.3078242016309</v>
      </c>
      <c r="R51" s="63">
        <f t="shared" ref="R51:X51" si="104">-AVERAGE($M$64:$P$64)*R48</f>
        <v>-9371.9870808611868</v>
      </c>
      <c r="S51" s="63">
        <f t="shared" si="104"/>
        <v>-10773.161973479153</v>
      </c>
      <c r="T51" s="63">
        <f t="shared" si="104"/>
        <v>-13415.860107394547</v>
      </c>
      <c r="U51" s="63">
        <f t="shared" si="104"/>
        <v>-11489.963634497306</v>
      </c>
      <c r="V51" s="63">
        <f t="shared" si="104"/>
        <v>-12190.686042993042</v>
      </c>
      <c r="W51" s="63">
        <f t="shared" si="104"/>
        <v>-13692.584550511203</v>
      </c>
      <c r="X51" s="73">
        <f t="shared" si="104"/>
        <v>-16665.620146199912</v>
      </c>
      <c r="Y51" s="14"/>
      <c r="Z51" s="63">
        <f t="shared" si="97"/>
        <v>-28387.715</v>
      </c>
      <c r="AA51" s="73">
        <f t="shared" si="98"/>
        <v>-30738.337</v>
      </c>
      <c r="AB51" s="63">
        <f t="shared" si="99"/>
        <v>-42184.316985936515</v>
      </c>
      <c r="AC51" s="63">
        <f t="shared" si="100"/>
        <v>-54038.854374201459</v>
      </c>
      <c r="AD51" s="63">
        <f>-AVERAGE($M$64:$P$64)*AD48</f>
        <v>-66525.548873598746</v>
      </c>
      <c r="AE51" s="63">
        <f t="shared" ref="AE51:AF51" si="105">-AVERAGE($M$64:$P$64)*AE48</f>
        <v>-78574.778902304519</v>
      </c>
      <c r="AF51" s="63">
        <f t="shared" si="105"/>
        <v>-88881.970544154319</v>
      </c>
    </row>
    <row r="52" spans="2:32" x14ac:dyDescent="0.25">
      <c r="B52" s="65" t="s">
        <v>3</v>
      </c>
      <c r="C52" s="54"/>
      <c r="D52" s="54"/>
      <c r="E52" s="66">
        <v>-10465.594999999999</v>
      </c>
      <c r="F52" s="66">
        <v>-7890.8090000000002</v>
      </c>
      <c r="G52" s="66">
        <v>-5679.9530000000004</v>
      </c>
      <c r="H52" s="66">
        <v>-5400.8220000000001</v>
      </c>
      <c r="I52" s="66">
        <v>-1694.364</v>
      </c>
      <c r="J52" s="66">
        <v>-4296.4340000000002</v>
      </c>
      <c r="K52" s="66">
        <v>-6676.5479999999998</v>
      </c>
      <c r="L52" s="66">
        <v>-10519.627</v>
      </c>
      <c r="M52" s="66">
        <v>-5139.9660000000003</v>
      </c>
      <c r="N52" s="66">
        <v>-10093.879999999999</v>
      </c>
      <c r="O52" s="66">
        <v>-15402.303</v>
      </c>
      <c r="P52" s="70">
        <v>-24378.526999999998</v>
      </c>
      <c r="Q52" s="72">
        <f>-AVERAGE($M$65:$P$65)*Q48</f>
        <v>-14679.130215734072</v>
      </c>
      <c r="R52" s="72">
        <f t="shared" ref="R52:X52" si="106">-AVERAGE($M$65:$P$65)*R48</f>
        <v>-15953.578550685175</v>
      </c>
      <c r="S52" s="72">
        <f t="shared" si="106"/>
        <v>-18338.745486977463</v>
      </c>
      <c r="T52" s="72">
        <f t="shared" si="106"/>
        <v>-22837.310401910559</v>
      </c>
      <c r="U52" s="72">
        <f t="shared" si="106"/>
        <v>-19558.929798548659</v>
      </c>
      <c r="V52" s="72">
        <f t="shared" si="106"/>
        <v>-20751.743007712277</v>
      </c>
      <c r="W52" s="72">
        <f t="shared" si="106"/>
        <v>-23308.367937742172</v>
      </c>
      <c r="X52" s="74">
        <f t="shared" si="106"/>
        <v>-28369.253799040707</v>
      </c>
      <c r="Y52" s="14"/>
      <c r="Z52" s="72">
        <f t="shared" si="97"/>
        <v>-23186.973000000002</v>
      </c>
      <c r="AA52" s="74">
        <f t="shared" si="98"/>
        <v>-55014.675999999992</v>
      </c>
      <c r="AB52" s="72">
        <f t="shared" si="99"/>
        <v>-71808.76465530727</v>
      </c>
      <c r="AC52" s="72">
        <f t="shared" si="100"/>
        <v>-91988.294543043812</v>
      </c>
      <c r="AD52" s="72">
        <f>-AVERAGE($M$65:$P$65)*AD48</f>
        <v>-113243.92153183369</v>
      </c>
      <c r="AE52" s="72">
        <f t="shared" ref="AE52:AF52" si="107">-AVERAGE($M$65:$P$65)*AE48</f>
        <v>-133754.86932547583</v>
      </c>
      <c r="AF52" s="72">
        <f t="shared" si="107"/>
        <v>-151300.41117017352</v>
      </c>
    </row>
    <row r="53" spans="2:32" x14ac:dyDescent="0.25">
      <c r="B53" s="1" t="s">
        <v>51</v>
      </c>
      <c r="E53" s="67">
        <f>SUM(E48:E52)</f>
        <v>-26123.722000000002</v>
      </c>
      <c r="F53" s="67">
        <f t="shared" ref="F53:P53" si="108">SUM(F48:F52)</f>
        <v>-13552.797000000002</v>
      </c>
      <c r="G53" s="67">
        <f t="shared" si="108"/>
        <v>-4500.442</v>
      </c>
      <c r="H53" s="67">
        <f t="shared" si="108"/>
        <v>4742.3560000000034</v>
      </c>
      <c r="I53" s="67">
        <f t="shared" si="108"/>
        <v>5419.9309999999987</v>
      </c>
      <c r="J53" s="67">
        <f t="shared" si="108"/>
        <v>3763.2910000000011</v>
      </c>
      <c r="K53" s="67">
        <f t="shared" si="108"/>
        <v>5349.7450000000017</v>
      </c>
      <c r="L53" s="67">
        <f t="shared" si="108"/>
        <v>7667.4339999999975</v>
      </c>
      <c r="M53" s="67">
        <f t="shared" si="108"/>
        <v>13834.656999999996</v>
      </c>
      <c r="N53" s="67">
        <f t="shared" si="108"/>
        <v>16699.379999999997</v>
      </c>
      <c r="O53" s="67">
        <f t="shared" si="108"/>
        <v>20841.171000000009</v>
      </c>
      <c r="P53" s="71">
        <f t="shared" si="108"/>
        <v>30870.357999999997</v>
      </c>
      <c r="Q53" s="67">
        <f t="shared" ref="Q53" si="109">SUM(Q48:Q52)</f>
        <v>29679.670565802382</v>
      </c>
      <c r="R53" s="67">
        <f t="shared" ref="R53" si="110">SUM(R48:R52)</f>
        <v>32541.008344058842</v>
      </c>
      <c r="S53" s="67">
        <f t="shared" ref="S53" si="111">SUM(S48:S52)</f>
        <v>36406.257303349033</v>
      </c>
      <c r="T53" s="67">
        <f t="shared" ref="T53" si="112">SUM(T48:T52)</f>
        <v>44796.941716732814</v>
      </c>
      <c r="U53" s="67">
        <f t="shared" ref="U53" si="113">SUM(U48:U52)</f>
        <v>39691.837051577182</v>
      </c>
      <c r="V53" s="67">
        <f t="shared" ref="V53" si="114">SUM(V48:V52)</f>
        <v>42321.902532488974</v>
      </c>
      <c r="W53" s="67">
        <f t="shared" ref="W53" si="115">SUM(W48:W52)</f>
        <v>46099.722583531729</v>
      </c>
      <c r="X53" s="71">
        <f t="shared" ref="X53" si="116">SUM(X48:X52)</f>
        <v>55239.374760083556</v>
      </c>
      <c r="Y53" s="14"/>
      <c r="Z53" s="15">
        <f>SUM(Z48:Z52)</f>
        <v>22200.400999999994</v>
      </c>
      <c r="AA53" s="37">
        <f t="shared" ref="AA53:AF53" si="117">SUM(AA48:AA52)</f>
        <v>82245.566000000006</v>
      </c>
      <c r="AB53" s="15">
        <f t="shared" si="117"/>
        <v>143423.87792994309</v>
      </c>
      <c r="AC53" s="15">
        <f t="shared" si="117"/>
        <v>183352.83692768146</v>
      </c>
      <c r="AD53" s="15">
        <f t="shared" si="117"/>
        <v>225240.83814534411</v>
      </c>
      <c r="AE53" s="15">
        <f t="shared" si="117"/>
        <v>265449.80850595236</v>
      </c>
      <c r="AF53" s="15">
        <f t="shared" si="117"/>
        <v>299580.73642798269</v>
      </c>
    </row>
    <row r="54" spans="2:32" x14ac:dyDescent="0.25">
      <c r="B54" s="2" t="s">
        <v>4</v>
      </c>
      <c r="E54" s="64">
        <v>-1615.3389999999999</v>
      </c>
      <c r="F54" s="64">
        <v>-1669.83</v>
      </c>
      <c r="G54" s="64">
        <v>-2191.9949999999999</v>
      </c>
      <c r="H54" s="64">
        <v>-3123.5520000000001</v>
      </c>
      <c r="I54" s="64">
        <v>-3377.047</v>
      </c>
      <c r="J54" s="64">
        <v>-3933.4459999999999</v>
      </c>
      <c r="K54" s="64">
        <v>-4143.2579999999998</v>
      </c>
      <c r="L54" s="64">
        <v>-4514.6289999999999</v>
      </c>
      <c r="M54" s="64">
        <v>-4081.442</v>
      </c>
      <c r="N54" s="64">
        <v>-2911.1329999999998</v>
      </c>
      <c r="O54" s="64">
        <v>-3327.998</v>
      </c>
      <c r="P54" s="69">
        <v>-3441.0720000000001</v>
      </c>
      <c r="Q54" s="63">
        <f>AVERAGE($M$66:$P$66)*Q15</f>
        <v>-4007.1508580599525</v>
      </c>
      <c r="R54" s="63">
        <f t="shared" ref="R54:X54" si="118">AVERAGE($M$66:$P$66)*R15</f>
        <v>-4267.155679657164</v>
      </c>
      <c r="S54" s="63">
        <f t="shared" si="118"/>
        <v>-5213.9935373899252</v>
      </c>
      <c r="T54" s="63">
        <f t="shared" si="118"/>
        <v>-6659.7932219120066</v>
      </c>
      <c r="U54" s="63">
        <f t="shared" si="118"/>
        <v>-5294.2370752446604</v>
      </c>
      <c r="V54" s="63">
        <f t="shared" si="118"/>
        <v>-5552.4116416693778</v>
      </c>
      <c r="W54" s="63">
        <f t="shared" si="118"/>
        <v>-6680.1546776815821</v>
      </c>
      <c r="X54" s="73">
        <f t="shared" si="118"/>
        <v>-8399.3135306574186</v>
      </c>
      <c r="Z54" s="63">
        <f t="shared" si="97"/>
        <v>-15968.380000000001</v>
      </c>
      <c r="AA54" s="73">
        <f t="shared" si="98"/>
        <v>-13761.645</v>
      </c>
      <c r="AB54" s="63">
        <f>AVERAGE($M$66:$P$66)*AB15</f>
        <v>-20148.093297019048</v>
      </c>
      <c r="AC54" s="63">
        <f t="shared" ref="AC54:AF54" si="119">AVERAGE($M$66:$P$66)*AC15</f>
        <v>-25926.116925253042</v>
      </c>
      <c r="AD54" s="63">
        <f t="shared" si="119"/>
        <v>-32064.842968813573</v>
      </c>
      <c r="AE54" s="63">
        <f t="shared" si="119"/>
        <v>-38053.840228334811</v>
      </c>
      <c r="AF54" s="63">
        <f t="shared" si="119"/>
        <v>-43258.756542441981</v>
      </c>
    </row>
    <row r="55" spans="2:32" x14ac:dyDescent="0.25">
      <c r="B55" s="54" t="s">
        <v>58</v>
      </c>
      <c r="C55" s="54"/>
      <c r="D55" s="54"/>
      <c r="E55" s="66">
        <v>-228.339</v>
      </c>
      <c r="F55" s="66">
        <v>155.33600000000001</v>
      </c>
      <c r="G55" s="66">
        <v>47.688000000000002</v>
      </c>
      <c r="H55" s="66">
        <v>-963.673</v>
      </c>
      <c r="I55" s="66">
        <v>-306.71400000000006</v>
      </c>
      <c r="J55" s="66">
        <v>1330.4589999999998</v>
      </c>
      <c r="K55" s="66">
        <v>103.78700000000001</v>
      </c>
      <c r="L55" s="66">
        <v>349.95599999999996</v>
      </c>
      <c r="M55" s="66">
        <v>-1353.116</v>
      </c>
      <c r="N55" s="66">
        <v>-209.57900000000001</v>
      </c>
      <c r="O55" s="66">
        <v>96.057000000000002</v>
      </c>
      <c r="P55" s="70">
        <v>299.863</v>
      </c>
      <c r="Q55" s="55">
        <v>0</v>
      </c>
      <c r="R55" s="55">
        <f>+Q55</f>
        <v>0</v>
      </c>
      <c r="S55" s="55">
        <f t="shared" ref="S55:X55" si="120">+R55</f>
        <v>0</v>
      </c>
      <c r="T55" s="55">
        <f t="shared" si="120"/>
        <v>0</v>
      </c>
      <c r="U55" s="55">
        <f t="shared" si="120"/>
        <v>0</v>
      </c>
      <c r="V55" s="55">
        <f t="shared" si="120"/>
        <v>0</v>
      </c>
      <c r="W55" s="55">
        <f t="shared" si="120"/>
        <v>0</v>
      </c>
      <c r="X55" s="56">
        <f t="shared" si="120"/>
        <v>0</v>
      </c>
      <c r="Y55" s="14"/>
      <c r="Z55" s="72">
        <f t="shared" si="97"/>
        <v>1477.4879999999996</v>
      </c>
      <c r="AA55" s="74">
        <f t="shared" si="98"/>
        <v>-1166.7749999999999</v>
      </c>
      <c r="AB55" s="72">
        <f>+$Q$55</f>
        <v>0</v>
      </c>
      <c r="AC55" s="72">
        <f t="shared" ref="AC55:AF55" si="121">+$Q$55</f>
        <v>0</v>
      </c>
      <c r="AD55" s="72">
        <f t="shared" si="121"/>
        <v>0</v>
      </c>
      <c r="AE55" s="72">
        <f t="shared" si="121"/>
        <v>0</v>
      </c>
      <c r="AF55" s="72">
        <f t="shared" si="121"/>
        <v>0</v>
      </c>
    </row>
    <row r="56" spans="2:32" x14ac:dyDescent="0.25">
      <c r="B56" s="1" t="s">
        <v>59</v>
      </c>
      <c r="E56" s="67">
        <f>SUM(E53:E55)</f>
        <v>-27967.4</v>
      </c>
      <c r="F56" s="67">
        <f t="shared" ref="F56:X56" si="122">SUM(F53:F55)</f>
        <v>-15067.291000000003</v>
      </c>
      <c r="G56" s="67">
        <f t="shared" si="122"/>
        <v>-6644.7489999999998</v>
      </c>
      <c r="H56" s="67">
        <f t="shared" si="122"/>
        <v>655.13100000000327</v>
      </c>
      <c r="I56" s="67">
        <f t="shared" si="122"/>
        <v>1736.1699999999987</v>
      </c>
      <c r="J56" s="67">
        <f t="shared" si="122"/>
        <v>1160.304000000001</v>
      </c>
      <c r="K56" s="67">
        <f t="shared" si="122"/>
        <v>1310.2740000000019</v>
      </c>
      <c r="L56" s="67">
        <f t="shared" si="122"/>
        <v>3502.7609999999977</v>
      </c>
      <c r="M56" s="67">
        <f t="shared" si="122"/>
        <v>8400.0989999999965</v>
      </c>
      <c r="N56" s="67">
        <f t="shared" si="122"/>
        <v>13578.667999999998</v>
      </c>
      <c r="O56" s="67">
        <f t="shared" si="122"/>
        <v>17609.23000000001</v>
      </c>
      <c r="P56" s="71">
        <f t="shared" si="122"/>
        <v>27729.148999999998</v>
      </c>
      <c r="Q56" s="67">
        <f t="shared" si="122"/>
        <v>25672.519707742431</v>
      </c>
      <c r="R56" s="67">
        <f t="shared" si="122"/>
        <v>28273.852664401678</v>
      </c>
      <c r="S56" s="67">
        <f t="shared" si="122"/>
        <v>31192.263765959109</v>
      </c>
      <c r="T56" s="67">
        <f t="shared" si="122"/>
        <v>38137.148494820809</v>
      </c>
      <c r="U56" s="67">
        <f t="shared" si="122"/>
        <v>34397.599976332524</v>
      </c>
      <c r="V56" s="67">
        <f t="shared" si="122"/>
        <v>36769.490890819594</v>
      </c>
      <c r="W56" s="67">
        <f t="shared" si="122"/>
        <v>39419.567905850148</v>
      </c>
      <c r="X56" s="71">
        <f t="shared" si="122"/>
        <v>46840.061229426137</v>
      </c>
      <c r="Y56" s="14"/>
      <c r="Z56" s="15">
        <f>SUM(Z53:Z55)</f>
        <v>7709.5089999999927</v>
      </c>
      <c r="AA56" s="37">
        <f>SUM(AA53:AA55)</f>
        <v>67317.146000000008</v>
      </c>
      <c r="AB56" s="15">
        <f t="shared" ref="AB56:AF56" si="123">SUM(AB53:AB55)</f>
        <v>123275.78463292404</v>
      </c>
      <c r="AC56" s="15">
        <f t="shared" si="123"/>
        <v>157426.72000242842</v>
      </c>
      <c r="AD56" s="15">
        <f t="shared" si="123"/>
        <v>193175.99517653053</v>
      </c>
      <c r="AE56" s="15">
        <f t="shared" si="123"/>
        <v>227395.96827761753</v>
      </c>
      <c r="AF56" s="15">
        <f t="shared" si="123"/>
        <v>256321.9798855407</v>
      </c>
    </row>
    <row r="57" spans="2:32" x14ac:dyDescent="0.25">
      <c r="B57" s="54" t="s">
        <v>67</v>
      </c>
      <c r="C57" s="54"/>
      <c r="D57" s="54"/>
      <c r="E57" s="64">
        <v>-21.146000000000001</v>
      </c>
      <c r="F57" s="64">
        <v>-16.652999999999999</v>
      </c>
      <c r="G57" s="64">
        <v>-10.827</v>
      </c>
      <c r="H57" s="64">
        <v>-20.821000000000002</v>
      </c>
      <c r="I57" s="64">
        <v>-11.624000000000001</v>
      </c>
      <c r="J57" s="64">
        <v>-20.526</v>
      </c>
      <c r="K57" s="64">
        <v>-15.874000000000001</v>
      </c>
      <c r="L57" s="64">
        <v>-563.46299999999997</v>
      </c>
      <c r="M57" s="64">
        <v>-393.09399999999999</v>
      </c>
      <c r="N57" s="64">
        <v>16123.213</v>
      </c>
      <c r="O57" s="64">
        <v>-2162.989</v>
      </c>
      <c r="P57" s="69">
        <v>-2361.9650000000001</v>
      </c>
      <c r="Q57" s="63">
        <f>+Q56*-$E$74</f>
        <v>-6418.1299269356077</v>
      </c>
      <c r="R57" s="63">
        <f t="shared" ref="R57:X57" si="124">+R56*-$E$74</f>
        <v>-7068.4631661004196</v>
      </c>
      <c r="S57" s="63">
        <f t="shared" si="124"/>
        <v>-7798.0659414897773</v>
      </c>
      <c r="T57" s="63">
        <f t="shared" si="124"/>
        <v>-9534.2871237052022</v>
      </c>
      <c r="U57" s="63">
        <f t="shared" si="124"/>
        <v>-8599.3999940831309</v>
      </c>
      <c r="V57" s="63">
        <f t="shared" si="124"/>
        <v>-9192.3727227048985</v>
      </c>
      <c r="W57" s="63">
        <f t="shared" si="124"/>
        <v>-9854.8919764625371</v>
      </c>
      <c r="X57" s="73">
        <f t="shared" si="124"/>
        <v>-11710.015307356534</v>
      </c>
      <c r="Y57" s="14"/>
      <c r="Z57" s="72">
        <f t="shared" si="97"/>
        <v>-611.48699999999997</v>
      </c>
      <c r="AA57" s="74">
        <f t="shared" si="98"/>
        <v>11205.165000000001</v>
      </c>
      <c r="AB57" s="72">
        <f>+SUM(Q57:T57)</f>
        <v>-30818.946158231007</v>
      </c>
      <c r="AC57" s="63">
        <f t="shared" ref="AC57" si="125">+SUM(U57:X57)</f>
        <v>-39356.680000607099</v>
      </c>
      <c r="AD57" s="72">
        <f>AD56*-$E$74</f>
        <v>-48293.998794132633</v>
      </c>
      <c r="AE57" s="72">
        <f t="shared" ref="AE57:AF57" si="126">AE56*-$E$74</f>
        <v>-56848.992069404383</v>
      </c>
      <c r="AF57" s="72">
        <f t="shared" si="126"/>
        <v>-64080.494971385175</v>
      </c>
    </row>
    <row r="58" spans="2:32" x14ac:dyDescent="0.25">
      <c r="B58" s="1" t="s">
        <v>60</v>
      </c>
      <c r="E58" s="67">
        <f>SUM(E56:E57)</f>
        <v>-27988.546000000002</v>
      </c>
      <c r="F58" s="67">
        <f t="shared" ref="F58:X58" si="127">SUM(F56:F57)</f>
        <v>-15083.944000000003</v>
      </c>
      <c r="G58" s="67">
        <f t="shared" si="127"/>
        <v>-6655.576</v>
      </c>
      <c r="H58" s="67">
        <f t="shared" si="127"/>
        <v>634.31000000000324</v>
      </c>
      <c r="I58" s="67">
        <f t="shared" si="127"/>
        <v>1724.5459999999987</v>
      </c>
      <c r="J58" s="67">
        <f t="shared" si="127"/>
        <v>1139.7780000000009</v>
      </c>
      <c r="K58" s="67">
        <f t="shared" si="127"/>
        <v>1294.4000000000019</v>
      </c>
      <c r="L58" s="67">
        <f t="shared" si="127"/>
        <v>2939.297999999998</v>
      </c>
      <c r="M58" s="67">
        <f t="shared" si="127"/>
        <v>8007.0049999999965</v>
      </c>
      <c r="N58" s="67">
        <f t="shared" si="127"/>
        <v>29701.880999999998</v>
      </c>
      <c r="O58" s="67">
        <f t="shared" si="127"/>
        <v>15446.241000000011</v>
      </c>
      <c r="P58" s="71">
        <f t="shared" si="127"/>
        <v>25367.183999999997</v>
      </c>
      <c r="Q58" s="67">
        <f t="shared" si="127"/>
        <v>19254.389780806821</v>
      </c>
      <c r="R58" s="67">
        <f t="shared" si="127"/>
        <v>21205.389498301258</v>
      </c>
      <c r="S58" s="67">
        <f t="shared" si="127"/>
        <v>23394.197824469331</v>
      </c>
      <c r="T58" s="67">
        <f t="shared" si="127"/>
        <v>28602.861371115607</v>
      </c>
      <c r="U58" s="67">
        <f t="shared" si="127"/>
        <v>25798.199982249393</v>
      </c>
      <c r="V58" s="67">
        <f t="shared" si="127"/>
        <v>27577.118168114695</v>
      </c>
      <c r="W58" s="67">
        <f t="shared" si="127"/>
        <v>29564.675929387609</v>
      </c>
      <c r="X58" s="71">
        <f t="shared" si="127"/>
        <v>35130.045922069607</v>
      </c>
      <c r="Y58" s="14"/>
      <c r="Z58" s="15">
        <f>SUM(Z56:Z57)</f>
        <v>7098.0219999999927</v>
      </c>
      <c r="AA58" s="37">
        <f>SUM(AA56:AA57)</f>
        <v>78522.311000000016</v>
      </c>
      <c r="AB58" s="15">
        <f t="shared" ref="AB58:AF58" si="128">SUM(AB56:AB57)</f>
        <v>92456.838474693039</v>
      </c>
      <c r="AC58" s="15">
        <f t="shared" si="128"/>
        <v>118070.04000182133</v>
      </c>
      <c r="AD58" s="15">
        <f t="shared" si="128"/>
        <v>144881.99638239789</v>
      </c>
      <c r="AE58" s="15">
        <f t="shared" si="128"/>
        <v>170546.97620821313</v>
      </c>
      <c r="AF58" s="15">
        <f t="shared" si="128"/>
        <v>192241.48491415553</v>
      </c>
    </row>
    <row r="59" spans="2:32" x14ac:dyDescent="0.25">
      <c r="B59" s="2" t="s">
        <v>65</v>
      </c>
      <c r="E59" s="64">
        <v>5383.4759999999997</v>
      </c>
      <c r="F59" s="64">
        <v>5451.49</v>
      </c>
      <c r="G59" s="64">
        <v>5464.4840000000004</v>
      </c>
      <c r="H59" s="64">
        <v>5443.6049999999996</v>
      </c>
      <c r="I59" s="64">
        <v>5480.6729999999998</v>
      </c>
      <c r="J59" s="64">
        <v>5579.6180000000004</v>
      </c>
      <c r="K59" s="64">
        <v>5667.43</v>
      </c>
      <c r="L59" s="64">
        <v>5606.0870000000004</v>
      </c>
      <c r="M59" s="64">
        <v>5660.1989999999996</v>
      </c>
      <c r="N59" s="64">
        <v>5660.1959999999999</v>
      </c>
      <c r="O59" s="64">
        <v>5545.3530000000001</v>
      </c>
      <c r="P59" s="69">
        <v>5618.4970000000003</v>
      </c>
      <c r="Q59" s="63">
        <f>+P59</f>
        <v>5618.4970000000003</v>
      </c>
      <c r="R59" s="63">
        <f t="shared" ref="R59:X59" si="129">+Q59</f>
        <v>5618.4970000000003</v>
      </c>
      <c r="S59" s="63">
        <f t="shared" si="129"/>
        <v>5618.4970000000003</v>
      </c>
      <c r="T59" s="63">
        <f t="shared" si="129"/>
        <v>5618.4970000000003</v>
      </c>
      <c r="U59" s="63">
        <f t="shared" si="129"/>
        <v>5618.4970000000003</v>
      </c>
      <c r="V59" s="63">
        <f t="shared" si="129"/>
        <v>5618.4970000000003</v>
      </c>
      <c r="W59" s="63">
        <f t="shared" si="129"/>
        <v>5618.4970000000003</v>
      </c>
      <c r="X59" s="73">
        <f t="shared" si="129"/>
        <v>5618.4970000000003</v>
      </c>
      <c r="Z59" s="63">
        <f>+$Q$59</f>
        <v>5618.4970000000003</v>
      </c>
      <c r="AA59" s="73">
        <f>+$Q$59</f>
        <v>5618.4970000000003</v>
      </c>
      <c r="AB59" s="63">
        <f t="shared" ref="AB59:AF59" si="130">+$Q$59</f>
        <v>5618.4970000000003</v>
      </c>
      <c r="AC59" s="63">
        <f t="shared" si="130"/>
        <v>5618.4970000000003</v>
      </c>
      <c r="AD59" s="63">
        <f t="shared" si="130"/>
        <v>5618.4970000000003</v>
      </c>
      <c r="AE59" s="63">
        <f t="shared" si="130"/>
        <v>5618.4970000000003</v>
      </c>
      <c r="AF59" s="63">
        <f t="shared" si="130"/>
        <v>5618.4970000000003</v>
      </c>
    </row>
    <row r="60" spans="2:32" x14ac:dyDescent="0.25">
      <c r="B60" s="1" t="s">
        <v>66</v>
      </c>
      <c r="E60" s="77">
        <f>+E58/E59</f>
        <v>-5.1989729312436808</v>
      </c>
      <c r="F60" s="77">
        <f t="shared" ref="F60:P60" si="131">+F58/F59</f>
        <v>-2.7669396807111459</v>
      </c>
      <c r="G60" s="77">
        <f t="shared" si="131"/>
        <v>-1.217969711321325</v>
      </c>
      <c r="H60" s="77">
        <f t="shared" si="131"/>
        <v>0.11652388444789864</v>
      </c>
      <c r="I60" s="77">
        <f t="shared" si="131"/>
        <v>0.31465953177648048</v>
      </c>
      <c r="J60" s="77">
        <f t="shared" si="131"/>
        <v>0.20427527475895318</v>
      </c>
      <c r="K60" s="77">
        <f t="shared" si="131"/>
        <v>0.22839276356302624</v>
      </c>
      <c r="L60" s="77">
        <f t="shared" si="131"/>
        <v>0.52430474232740198</v>
      </c>
      <c r="M60" s="77">
        <f t="shared" si="131"/>
        <v>1.4146154578664101</v>
      </c>
      <c r="N60" s="77">
        <f t="shared" si="131"/>
        <v>5.2475004399140941</v>
      </c>
      <c r="O60" s="77">
        <f t="shared" si="131"/>
        <v>2.7854387268042289</v>
      </c>
      <c r="P60" s="82">
        <f t="shared" si="131"/>
        <v>4.5149412734402095</v>
      </c>
      <c r="Q60" s="77">
        <f t="shared" ref="Q60" si="132">+Q58/Q59</f>
        <v>3.4269645032838532</v>
      </c>
      <c r="R60" s="77">
        <f t="shared" ref="R60" si="133">+R58/R59</f>
        <v>3.7742103445639033</v>
      </c>
      <c r="S60" s="77">
        <f t="shared" ref="S60" si="134">+S58/S59</f>
        <v>4.1637822044702224</v>
      </c>
      <c r="T60" s="77">
        <f t="shared" ref="T60" si="135">+T58/T59</f>
        <v>5.0908385945770913</v>
      </c>
      <c r="U60" s="77">
        <f t="shared" ref="U60" si="136">+U58/U59</f>
        <v>4.5916550248668626</v>
      </c>
      <c r="V60" s="77">
        <f t="shared" ref="V60" si="137">+V58/V59</f>
        <v>4.908273185536042</v>
      </c>
      <c r="W60" s="77">
        <f t="shared" ref="W60" si="138">+W58/W59</f>
        <v>5.2620257569573514</v>
      </c>
      <c r="X60" s="82">
        <f t="shared" ref="X60:AA60" si="139">+X58/X59</f>
        <v>6.2525700239885511</v>
      </c>
      <c r="Z60" s="77">
        <f t="shared" si="139"/>
        <v>1.2633311008264296</v>
      </c>
      <c r="AA60" s="82">
        <f t="shared" si="139"/>
        <v>13.975679082857926</v>
      </c>
      <c r="AB60" s="77">
        <f t="shared" ref="AB60" si="140">+AB58/AB59</f>
        <v>16.455795646895073</v>
      </c>
      <c r="AC60" s="77">
        <f t="shared" ref="AC60" si="141">+AC58/AC59</f>
        <v>21.01452399134881</v>
      </c>
      <c r="AD60" s="77">
        <f t="shared" ref="AD60" si="142">+AD58/AD59</f>
        <v>25.786610971296753</v>
      </c>
      <c r="AE60" s="77">
        <f t="shared" ref="AE60" si="143">+AE58/AE59</f>
        <v>30.354555000779236</v>
      </c>
      <c r="AF60" s="77">
        <f t="shared" ref="AF60" si="144">+AF58/AF59</f>
        <v>34.215820514659974</v>
      </c>
    </row>
    <row r="61" spans="2:32" x14ac:dyDescent="0.25">
      <c r="P61" s="21"/>
      <c r="X61" s="21"/>
      <c r="AA61" s="21"/>
    </row>
    <row r="62" spans="2:32" x14ac:dyDescent="0.25">
      <c r="B62" s="12" t="s">
        <v>52</v>
      </c>
      <c r="E62" s="13">
        <f>-E49/E48</f>
        <v>0.59273577925597498</v>
      </c>
      <c r="F62" s="13">
        <f t="shared" ref="F62:P62" si="145">-F49/F48</f>
        <v>0.42123153949136805</v>
      </c>
      <c r="G62" s="13">
        <f t="shared" si="145"/>
        <v>0.38103315320786801</v>
      </c>
      <c r="H62" s="13">
        <f t="shared" si="145"/>
        <v>0.28553031085223946</v>
      </c>
      <c r="I62" s="13">
        <f t="shared" si="145"/>
        <v>0.33379996343598073</v>
      </c>
      <c r="J62" s="13">
        <f t="shared" si="145"/>
        <v>0.34395747397543597</v>
      </c>
      <c r="K62" s="13">
        <f t="shared" si="145"/>
        <v>0.27125451664484757</v>
      </c>
      <c r="L62" s="13">
        <f t="shared" si="145"/>
        <v>0.23933184019500436</v>
      </c>
      <c r="M62" s="13">
        <f t="shared" si="145"/>
        <v>0.2346820045895758</v>
      </c>
      <c r="N62" s="13">
        <f t="shared" si="145"/>
        <v>0.22756589621252166</v>
      </c>
      <c r="O62" s="13">
        <f t="shared" si="145"/>
        <v>0.19188344852605269</v>
      </c>
      <c r="P62" s="23">
        <f t="shared" si="145"/>
        <v>0.14843436968874724</v>
      </c>
      <c r="Q62" s="16" t="s">
        <v>28</v>
      </c>
      <c r="R62" s="16" t="s">
        <v>28</v>
      </c>
      <c r="S62" s="16" t="s">
        <v>28</v>
      </c>
      <c r="T62" s="16" t="s">
        <v>28</v>
      </c>
      <c r="U62" s="16" t="s">
        <v>28</v>
      </c>
      <c r="V62" s="16" t="s">
        <v>28</v>
      </c>
      <c r="W62" s="16" t="s">
        <v>28</v>
      </c>
      <c r="X62" s="142" t="s">
        <v>28</v>
      </c>
      <c r="AA62" s="21"/>
    </row>
    <row r="63" spans="2:32" x14ac:dyDescent="0.25">
      <c r="B63" s="12" t="s">
        <v>55</v>
      </c>
      <c r="E63" s="13">
        <f>-E50/E18</f>
        <v>2.6178353039359524E-2</v>
      </c>
      <c r="F63" s="13">
        <f t="shared" ref="F63:P63" si="146">-F50/F18</f>
        <v>2.413785549632274E-2</v>
      </c>
      <c r="G63" s="13">
        <f t="shared" si="146"/>
        <v>2.2113185118397952E-2</v>
      </c>
      <c r="H63" s="13">
        <f t="shared" si="146"/>
        <v>2.1107334328193224E-2</v>
      </c>
      <c r="I63" s="13">
        <f t="shared" si="146"/>
        <v>2.2277768163282963E-2</v>
      </c>
      <c r="J63" s="13">
        <f t="shared" si="146"/>
        <v>2.0742267933590897E-2</v>
      </c>
      <c r="K63" s="13">
        <f t="shared" si="146"/>
        <v>2.1164651757188499E-2</v>
      </c>
      <c r="L63" s="13">
        <f t="shared" si="146"/>
        <v>2.1741325602452174E-2</v>
      </c>
      <c r="M63" s="13">
        <f t="shared" si="146"/>
        <v>2.3924935859963629E-2</v>
      </c>
      <c r="N63" s="13">
        <f t="shared" si="146"/>
        <v>2.0182058335024313E-2</v>
      </c>
      <c r="O63" s="13">
        <f t="shared" si="146"/>
        <v>1.9338764549795495E-2</v>
      </c>
      <c r="P63" s="23">
        <f t="shared" si="146"/>
        <v>1.8790499625923503E-2</v>
      </c>
      <c r="Q63" s="16" t="s">
        <v>28</v>
      </c>
      <c r="R63" s="16" t="s">
        <v>28</v>
      </c>
      <c r="S63" s="16" t="s">
        <v>28</v>
      </c>
      <c r="T63" s="16" t="s">
        <v>28</v>
      </c>
      <c r="U63" s="16" t="s">
        <v>28</v>
      </c>
      <c r="V63" s="16" t="s">
        <v>28</v>
      </c>
      <c r="W63" s="16" t="s">
        <v>28</v>
      </c>
      <c r="X63" s="142" t="s">
        <v>28</v>
      </c>
      <c r="AA63" s="21"/>
    </row>
    <row r="64" spans="2:32" x14ac:dyDescent="0.25">
      <c r="B64" s="12" t="s">
        <v>53</v>
      </c>
      <c r="E64" s="13">
        <f>-E51/E48</f>
        <v>0.54708340410976897</v>
      </c>
      <c r="F64" s="13">
        <f t="shared" ref="F64:P64" si="147">-F51/F48</f>
        <v>0.42653052071106978</v>
      </c>
      <c r="G64" s="13">
        <f t="shared" si="147"/>
        <v>0.2736877088845201</v>
      </c>
      <c r="H64" s="13">
        <f t="shared" si="147"/>
        <v>0.20003625230012431</v>
      </c>
      <c r="I64" s="13">
        <f t="shared" si="147"/>
        <v>0.22341486771239918</v>
      </c>
      <c r="J64" s="13">
        <f t="shared" si="147"/>
        <v>0.19792166992270374</v>
      </c>
      <c r="K64" s="13">
        <f t="shared" si="147"/>
        <v>0.19101683492351829</v>
      </c>
      <c r="L64" s="13">
        <f t="shared" si="147"/>
        <v>0.12114775679056716</v>
      </c>
      <c r="M64" s="13">
        <f t="shared" si="147"/>
        <v>0.11051460116954444</v>
      </c>
      <c r="N64" s="13">
        <f t="shared" si="147"/>
        <v>0.10179124848877061</v>
      </c>
      <c r="O64" s="13">
        <f t="shared" si="147"/>
        <v>0.10762299173081626</v>
      </c>
      <c r="P64" s="23">
        <f t="shared" si="147"/>
        <v>0.12543237809939947</v>
      </c>
      <c r="Q64" s="16" t="s">
        <v>28</v>
      </c>
      <c r="R64" s="16" t="s">
        <v>28</v>
      </c>
      <c r="S64" s="16" t="s">
        <v>28</v>
      </c>
      <c r="T64" s="16" t="s">
        <v>28</v>
      </c>
      <c r="U64" s="16" t="s">
        <v>28</v>
      </c>
      <c r="V64" s="16" t="s">
        <v>28</v>
      </c>
      <c r="W64" s="16" t="s">
        <v>28</v>
      </c>
      <c r="X64" s="142" t="s">
        <v>28</v>
      </c>
      <c r="AA64" s="21"/>
    </row>
    <row r="65" spans="2:32" x14ac:dyDescent="0.25">
      <c r="B65" s="12" t="s">
        <v>54</v>
      </c>
      <c r="E65" s="13">
        <f>+E52/E18</f>
        <v>-2.3229054532460009E-2</v>
      </c>
      <c r="F65" s="13">
        <f t="shared" ref="F65:P65" si="148">-F52/F48</f>
        <v>0.26975245280345939</v>
      </c>
      <c r="G65" s="13">
        <f t="shared" si="148"/>
        <v>0.18678987402398609</v>
      </c>
      <c r="H65" s="13">
        <f t="shared" si="148"/>
        <v>0.14110134048862541</v>
      </c>
      <c r="I65" s="13">
        <f t="shared" si="148"/>
        <v>4.8866349568924987E-2</v>
      </c>
      <c r="J65" s="13">
        <f t="shared" si="148"/>
        <v>0.12297427432543073</v>
      </c>
      <c r="K65" s="13">
        <f t="shared" si="148"/>
        <v>0.1634637925711902</v>
      </c>
      <c r="L65" s="13">
        <f t="shared" si="148"/>
        <v>0.21511880776602343</v>
      </c>
      <c r="M65" s="13">
        <f t="shared" si="148"/>
        <v>0.10941071636948832</v>
      </c>
      <c r="N65" s="13">
        <f t="shared" si="148"/>
        <v>0.18034928751446908</v>
      </c>
      <c r="O65" s="13">
        <f t="shared" si="148"/>
        <v>0.22016597145837757</v>
      </c>
      <c r="P65" s="23">
        <f t="shared" si="148"/>
        <v>0.2481955561148268</v>
      </c>
      <c r="Q65" s="16" t="s">
        <v>28</v>
      </c>
      <c r="R65" s="16" t="s">
        <v>28</v>
      </c>
      <c r="S65" s="16" t="s">
        <v>28</v>
      </c>
      <c r="T65" s="16" t="s">
        <v>28</v>
      </c>
      <c r="U65" s="16" t="s">
        <v>28</v>
      </c>
      <c r="V65" s="16" t="s">
        <v>28</v>
      </c>
      <c r="W65" s="16" t="s">
        <v>28</v>
      </c>
      <c r="X65" s="142" t="s">
        <v>28</v>
      </c>
      <c r="AA65" s="21"/>
    </row>
    <row r="66" spans="2:32" x14ac:dyDescent="0.25">
      <c r="B66" s="12" t="s">
        <v>61</v>
      </c>
      <c r="E66" s="13">
        <f>+E54/E15</f>
        <v>-7.0649886284114768E-2</v>
      </c>
      <c r="F66" s="13">
        <f t="shared" ref="F66:P66" si="149">+F54/F15</f>
        <v>-6.6919007734540931E-2</v>
      </c>
      <c r="G66" s="13">
        <f t="shared" si="149"/>
        <v>-8.74594023061884E-2</v>
      </c>
      <c r="H66" s="13">
        <f t="shared" si="149"/>
        <v>-0.10510286348800431</v>
      </c>
      <c r="I66" s="13">
        <f t="shared" si="149"/>
        <v>-0.13055930565220752</v>
      </c>
      <c r="J66" s="13">
        <f t="shared" si="149"/>
        <v>-0.15153116572925496</v>
      </c>
      <c r="K66" s="13">
        <f t="shared" si="149"/>
        <v>-0.1531930045108334</v>
      </c>
      <c r="L66" s="13">
        <f t="shared" si="149"/>
        <v>-0.14625122290971523</v>
      </c>
      <c r="M66" s="13">
        <f t="shared" si="149"/>
        <v>-0.15333390938462693</v>
      </c>
      <c r="N66" s="13">
        <f t="shared" si="149"/>
        <v>-0.10010429490045046</v>
      </c>
      <c r="O66" s="13">
        <f t="shared" si="149"/>
        <v>-9.1433540304412336E-2</v>
      </c>
      <c r="P66" s="23">
        <f t="shared" si="149"/>
        <v>-6.2932240896870828E-2</v>
      </c>
      <c r="Q66" s="16" t="s">
        <v>28</v>
      </c>
      <c r="R66" s="16" t="s">
        <v>28</v>
      </c>
      <c r="S66" s="16" t="s">
        <v>28</v>
      </c>
      <c r="T66" s="16" t="s">
        <v>28</v>
      </c>
      <c r="U66" s="16" t="s">
        <v>28</v>
      </c>
      <c r="V66" s="16" t="s">
        <v>28</v>
      </c>
      <c r="W66" s="16" t="s">
        <v>28</v>
      </c>
      <c r="X66" s="142" t="s">
        <v>28</v>
      </c>
      <c r="AA66" s="21"/>
    </row>
    <row r="67" spans="2:32" x14ac:dyDescent="0.25">
      <c r="P67" s="21"/>
      <c r="X67" s="21"/>
      <c r="AA67" s="21"/>
    </row>
    <row r="68" spans="2:32" x14ac:dyDescent="0.25">
      <c r="B68" s="12" t="s">
        <v>57</v>
      </c>
      <c r="E68" s="16" t="s">
        <v>28</v>
      </c>
      <c r="F68" s="16" t="s">
        <v>28</v>
      </c>
      <c r="G68" s="16" t="s">
        <v>28</v>
      </c>
      <c r="H68" s="16" t="s">
        <v>28</v>
      </c>
      <c r="I68" s="16" t="s">
        <v>28</v>
      </c>
      <c r="J68" s="16" t="s">
        <v>28</v>
      </c>
      <c r="K68" s="16" t="s">
        <v>28</v>
      </c>
      <c r="L68" s="36">
        <f t="shared" ref="L68:X68" si="150">+L53/H53-1</f>
        <v>0.61679848581590924</v>
      </c>
      <c r="M68" s="36">
        <f t="shared" si="150"/>
        <v>1.5525522372886296</v>
      </c>
      <c r="N68" s="36">
        <f t="shared" si="150"/>
        <v>3.43744052745323</v>
      </c>
      <c r="O68" s="36">
        <f t="shared" si="150"/>
        <v>2.8957316657149086</v>
      </c>
      <c r="P68" s="51">
        <f t="shared" si="150"/>
        <v>3.026165468134451</v>
      </c>
      <c r="Q68" s="36">
        <f t="shared" si="150"/>
        <v>1.1453130761248644</v>
      </c>
      <c r="R68" s="36">
        <f t="shared" si="150"/>
        <v>0.94863571845534667</v>
      </c>
      <c r="S68" s="36">
        <f t="shared" si="150"/>
        <v>0.74684317418387947</v>
      </c>
      <c r="T68" s="36">
        <f t="shared" si="150"/>
        <v>0.45113126698215877</v>
      </c>
      <c r="U68" s="36">
        <f t="shared" si="150"/>
        <v>0.33734089007413215</v>
      </c>
      <c r="V68" s="36">
        <f t="shared" si="150"/>
        <v>0.30057133095004018</v>
      </c>
      <c r="W68" s="36">
        <f t="shared" si="150"/>
        <v>0.26625822037715996</v>
      </c>
      <c r="X68" s="51">
        <f t="shared" si="150"/>
        <v>0.23310593632444832</v>
      </c>
      <c r="Y68" s="14"/>
      <c r="Z68" s="16" t="s">
        <v>28</v>
      </c>
      <c r="AA68" s="51">
        <f t="shared" ref="AA68:AF68" si="151">+AA53/Z53-1</f>
        <v>2.7046883072067045</v>
      </c>
      <c r="AB68" s="38">
        <f t="shared" si="151"/>
        <v>0.74384936362336029</v>
      </c>
      <c r="AC68" s="38">
        <f t="shared" si="151"/>
        <v>0.27839826655113931</v>
      </c>
      <c r="AD68" s="38">
        <f t="shared" si="151"/>
        <v>0.22845570278350391</v>
      </c>
      <c r="AE68" s="38">
        <f t="shared" si="151"/>
        <v>0.17851545346613418</v>
      </c>
      <c r="AF68" s="38">
        <f t="shared" si="151"/>
        <v>0.12857770783159173</v>
      </c>
    </row>
    <row r="69" spans="2:32" x14ac:dyDescent="0.25">
      <c r="B69" s="12" t="s">
        <v>62</v>
      </c>
      <c r="E69" s="16" t="s">
        <v>28</v>
      </c>
      <c r="F69" s="16" t="s">
        <v>28</v>
      </c>
      <c r="G69" s="16" t="s">
        <v>28</v>
      </c>
      <c r="H69" s="16" t="s">
        <v>28</v>
      </c>
      <c r="I69" s="16" t="s">
        <v>28</v>
      </c>
      <c r="J69" s="16" t="s">
        <v>28</v>
      </c>
      <c r="K69" s="16" t="s">
        <v>28</v>
      </c>
      <c r="L69" s="36">
        <f t="shared" ref="L69:Q69" si="152">+L58/H58-1</f>
        <v>3.6338509561570573</v>
      </c>
      <c r="M69" s="36">
        <f t="shared" si="152"/>
        <v>3.6429640032797055</v>
      </c>
      <c r="N69" s="36">
        <f t="shared" si="152"/>
        <v>25.059356295699665</v>
      </c>
      <c r="O69" s="36">
        <f t="shared" si="152"/>
        <v>10.933128090234849</v>
      </c>
      <c r="P69" s="51">
        <f t="shared" si="152"/>
        <v>7.6303545948726583</v>
      </c>
      <c r="Q69" s="36">
        <f t="shared" si="152"/>
        <v>1.4046931131936136</v>
      </c>
      <c r="R69" s="36">
        <f>-R58/N58-1</f>
        <v>-1.7139409621330466</v>
      </c>
      <c r="S69" s="36">
        <f t="shared" ref="S69:X69" si="153">+S58/O58-1</f>
        <v>0.51455605441280605</v>
      </c>
      <c r="T69" s="36">
        <f t="shared" si="153"/>
        <v>0.12755366820044389</v>
      </c>
      <c r="U69" s="36">
        <f t="shared" si="153"/>
        <v>0.33986069026012844</v>
      </c>
      <c r="V69" s="36">
        <f t="shared" si="153"/>
        <v>0.30047685143080582</v>
      </c>
      <c r="W69" s="36">
        <f t="shared" si="153"/>
        <v>0.26376104670125611</v>
      </c>
      <c r="X69" s="51">
        <f t="shared" si="153"/>
        <v>0.2282004050666564</v>
      </c>
      <c r="Z69" s="16" t="s">
        <v>28</v>
      </c>
      <c r="AA69" s="51">
        <f>+AA58/Z58-1</f>
        <v>10.062562358921978</v>
      </c>
      <c r="AB69" s="38">
        <f t="shared" ref="AB69:AF69" si="154">+AB58/AA58-1</f>
        <v>0.1774594672168146</v>
      </c>
      <c r="AC69" s="38">
        <f t="shared" si="154"/>
        <v>0.27702874065003913</v>
      </c>
      <c r="AD69" s="38">
        <f t="shared" si="154"/>
        <v>0.22708518079745699</v>
      </c>
      <c r="AE69" s="38">
        <f t="shared" si="154"/>
        <v>0.17714402387219841</v>
      </c>
      <c r="AF69" s="38">
        <f t="shared" si="154"/>
        <v>0.12720547258168069</v>
      </c>
    </row>
    <row r="70" spans="2:32" x14ac:dyDescent="0.25">
      <c r="B70" s="12"/>
      <c r="E70" s="14"/>
      <c r="F70" s="14"/>
      <c r="G70" s="14"/>
      <c r="H70" s="14"/>
      <c r="I70" s="36"/>
      <c r="J70" s="36"/>
      <c r="K70" s="36"/>
      <c r="L70" s="36"/>
      <c r="M70" s="36"/>
      <c r="N70" s="36"/>
      <c r="O70" s="36"/>
      <c r="P70" s="51"/>
      <c r="Q70" s="36"/>
      <c r="R70" s="36"/>
      <c r="S70" s="36"/>
      <c r="T70" s="36"/>
      <c r="U70" s="36"/>
      <c r="V70" s="36"/>
      <c r="W70" s="36"/>
      <c r="X70" s="51"/>
      <c r="AA70" s="51"/>
      <c r="AB70" s="38"/>
      <c r="AC70" s="38"/>
      <c r="AD70" s="38"/>
      <c r="AE70" s="38"/>
      <c r="AF70" s="38"/>
    </row>
    <row r="71" spans="2:32" x14ac:dyDescent="0.25">
      <c r="B71" s="12" t="s">
        <v>63</v>
      </c>
      <c r="E71" s="36">
        <f>+E53/E48</f>
        <v>-0.94534840859953417</v>
      </c>
      <c r="F71" s="36">
        <f t="shared" ref="F71:Z71" si="155">+F53/F48</f>
        <v>-0.46331120587221997</v>
      </c>
      <c r="G71" s="36">
        <f t="shared" si="155"/>
        <v>-0.1480006954691801</v>
      </c>
      <c r="H71" s="36">
        <f t="shared" si="155"/>
        <v>0.12389832300977074</v>
      </c>
      <c r="I71" s="36">
        <f t="shared" si="155"/>
        <v>0.15631366275809278</v>
      </c>
      <c r="J71" s="36">
        <f t="shared" si="155"/>
        <v>0.107714439416601</v>
      </c>
      <c r="K71" s="36">
        <f t="shared" si="155"/>
        <v>0.13097930352463014</v>
      </c>
      <c r="L71" s="36">
        <f t="shared" si="155"/>
        <v>0.15679351185214757</v>
      </c>
      <c r="M71" s="36">
        <f t="shared" si="155"/>
        <v>0.29448827737307126</v>
      </c>
      <c r="N71" s="36">
        <f t="shared" si="155"/>
        <v>0.29837102134495103</v>
      </c>
      <c r="O71" s="36">
        <f t="shared" si="155"/>
        <v>0.29791107599591882</v>
      </c>
      <c r="P71" s="51">
        <f t="shared" si="155"/>
        <v>0.3142882944188462</v>
      </c>
      <c r="Q71" s="36">
        <f t="shared" si="155"/>
        <v>0.3832106700431796</v>
      </c>
      <c r="R71" s="36">
        <f t="shared" si="155"/>
        <v>0.38659099277601638</v>
      </c>
      <c r="S71" s="36">
        <f t="shared" si="155"/>
        <v>0.3762575739032662</v>
      </c>
      <c r="T71" s="36">
        <f t="shared" si="155"/>
        <v>0.3717767707887078</v>
      </c>
      <c r="U71" s="36">
        <f t="shared" si="155"/>
        <v>0.38462273500928829</v>
      </c>
      <c r="V71" s="36">
        <f t="shared" si="155"/>
        <v>0.38653554969077775</v>
      </c>
      <c r="W71" s="36">
        <f t="shared" si="155"/>
        <v>0.37485670787985281</v>
      </c>
      <c r="X71" s="51">
        <f t="shared" si="155"/>
        <v>0.36904530241174976</v>
      </c>
      <c r="Z71" s="36">
        <f t="shared" si="155"/>
        <v>0.13931256714964077</v>
      </c>
      <c r="AA71" s="51">
        <f t="shared" ref="AA71:AF71" si="156">+AA53/AA48</f>
        <v>0.30334601873676664</v>
      </c>
      <c r="AB71" s="36">
        <f t="shared" si="156"/>
        <v>0.37854964677956349</v>
      </c>
      <c r="AC71" s="36">
        <f t="shared" si="156"/>
        <v>0.37777560237184715</v>
      </c>
      <c r="AD71" s="36">
        <f t="shared" si="156"/>
        <v>0.37697371932108764</v>
      </c>
      <c r="AE71" s="36">
        <f t="shared" si="156"/>
        <v>0.37614184882466339</v>
      </c>
      <c r="AF71" s="36">
        <f t="shared" si="156"/>
        <v>0.37527757680776774</v>
      </c>
    </row>
    <row r="72" spans="2:32" x14ac:dyDescent="0.25">
      <c r="B72" s="12" t="s">
        <v>64</v>
      </c>
      <c r="E72" s="36">
        <f>+E58/E48</f>
        <v>-1.0128314571757753</v>
      </c>
      <c r="F72" s="36">
        <f t="shared" ref="F72:Z72" si="157">+F58/F48</f>
        <v>-0.51565446482737387</v>
      </c>
      <c r="G72" s="36">
        <f t="shared" si="157"/>
        <v>-0.21887402987261778</v>
      </c>
      <c r="H72" s="36">
        <f t="shared" si="157"/>
        <v>1.6571920216096814E-2</v>
      </c>
      <c r="I72" s="36">
        <f t="shared" si="157"/>
        <v>4.9736814334872106E-2</v>
      </c>
      <c r="J72" s="36">
        <f t="shared" si="157"/>
        <v>3.2623187611421682E-2</v>
      </c>
      <c r="K72" s="36">
        <f t="shared" si="157"/>
        <v>3.1691157332224516E-2</v>
      </c>
      <c r="L72" s="36">
        <f t="shared" si="157"/>
        <v>6.0106530528987075E-2</v>
      </c>
      <c r="M72" s="36">
        <f t="shared" si="157"/>
        <v>0.17043928948636516</v>
      </c>
      <c r="N72" s="36">
        <f t="shared" si="157"/>
        <v>0.53068919743344933</v>
      </c>
      <c r="O72" s="36">
        <f t="shared" si="157"/>
        <v>0.22079403678431883</v>
      </c>
      <c r="P72" s="51">
        <f t="shared" si="157"/>
        <v>0.25826098270609771</v>
      </c>
      <c r="Q72" s="36">
        <f t="shared" si="157"/>
        <v>0.24860409393078642</v>
      </c>
      <c r="R72" s="36">
        <f t="shared" si="157"/>
        <v>0.25192251240878055</v>
      </c>
      <c r="S72" s="36">
        <f t="shared" si="157"/>
        <v>0.24177833067279275</v>
      </c>
      <c r="T72" s="36">
        <f t="shared" si="157"/>
        <v>0.23737958504203877</v>
      </c>
      <c r="U72" s="36">
        <f t="shared" si="157"/>
        <v>0.24999029958214175</v>
      </c>
      <c r="V72" s="36">
        <f t="shared" si="157"/>
        <v>0.25186808465939858</v>
      </c>
      <c r="W72" s="36">
        <f t="shared" si="157"/>
        <v>0.24040311887655461</v>
      </c>
      <c r="X72" s="51">
        <f t="shared" si="157"/>
        <v>0.23469813837243411</v>
      </c>
      <c r="Z72" s="36">
        <f t="shared" si="157"/>
        <v>4.4541702940619259E-2</v>
      </c>
      <c r="AA72" s="51">
        <f t="shared" ref="AA72:AF72" si="158">+AA58/AA48</f>
        <v>0.28961355100723873</v>
      </c>
      <c r="AB72" s="36">
        <f t="shared" si="158"/>
        <v>0.24402842854413742</v>
      </c>
      <c r="AC72" s="36">
        <f t="shared" si="158"/>
        <v>0.24326855930431535</v>
      </c>
      <c r="AD72" s="36">
        <f t="shared" si="158"/>
        <v>0.24248136123385253</v>
      </c>
      <c r="AE72" s="36">
        <f t="shared" si="158"/>
        <v>0.24166472488140708</v>
      </c>
      <c r="AF72" s="36">
        <f t="shared" si="158"/>
        <v>0.2408162803814132</v>
      </c>
    </row>
    <row r="73" spans="2:32" x14ac:dyDescent="0.25">
      <c r="P73" s="21"/>
      <c r="X73" s="21"/>
      <c r="AA73" s="21"/>
    </row>
    <row r="74" spans="2:32" x14ac:dyDescent="0.25">
      <c r="B74" s="12" t="s">
        <v>68</v>
      </c>
      <c r="E74" s="40">
        <v>0.25</v>
      </c>
      <c r="P74" s="21"/>
      <c r="X74" s="21"/>
      <c r="AA74" s="21"/>
    </row>
    <row r="75" spans="2:32" x14ac:dyDescent="0.25">
      <c r="P75" s="21"/>
      <c r="X75" s="21"/>
      <c r="AA75" s="21"/>
    </row>
    <row r="76" spans="2:32" x14ac:dyDescent="0.25">
      <c r="P76" s="21"/>
      <c r="X76" s="21"/>
      <c r="AA76" s="21"/>
    </row>
    <row r="77" spans="2:32" x14ac:dyDescent="0.25">
      <c r="B77" s="1" t="s">
        <v>81</v>
      </c>
      <c r="P77" s="21"/>
      <c r="X77" s="21"/>
      <c r="AA77" s="21"/>
    </row>
    <row r="78" spans="2:32" x14ac:dyDescent="0.25">
      <c r="B78" s="3" t="s">
        <v>82</v>
      </c>
      <c r="C78" s="3"/>
      <c r="D78" s="29"/>
      <c r="E78" s="20" t="s">
        <v>24</v>
      </c>
      <c r="F78" s="30" t="s">
        <v>15</v>
      </c>
      <c r="G78" s="30" t="s">
        <v>16</v>
      </c>
      <c r="H78" s="30" t="s">
        <v>17</v>
      </c>
      <c r="I78" s="30" t="s">
        <v>18</v>
      </c>
      <c r="J78" s="30" t="s">
        <v>19</v>
      </c>
      <c r="K78" s="30" t="s">
        <v>20</v>
      </c>
      <c r="L78" s="30" t="s">
        <v>21</v>
      </c>
      <c r="M78" s="30" t="s">
        <v>22</v>
      </c>
      <c r="N78" s="30" t="s">
        <v>23</v>
      </c>
      <c r="O78" s="30" t="s">
        <v>25</v>
      </c>
      <c r="P78" s="30" t="s">
        <v>26</v>
      </c>
      <c r="Q78" s="31" t="s">
        <v>33</v>
      </c>
      <c r="R78" s="32" t="s">
        <v>34</v>
      </c>
      <c r="S78" s="32" t="s">
        <v>35</v>
      </c>
      <c r="T78" s="32" t="s">
        <v>36</v>
      </c>
      <c r="U78" s="32" t="s">
        <v>37</v>
      </c>
      <c r="V78" s="32" t="s">
        <v>38</v>
      </c>
      <c r="W78" s="32" t="s">
        <v>39</v>
      </c>
      <c r="X78" s="32" t="s">
        <v>40</v>
      </c>
      <c r="Z78" s="5" t="s">
        <v>7</v>
      </c>
      <c r="AA78" s="20" t="s">
        <v>8</v>
      </c>
      <c r="AB78" s="6" t="s">
        <v>9</v>
      </c>
      <c r="AC78" s="6" t="s">
        <v>10</v>
      </c>
      <c r="AD78" s="6" t="s">
        <v>11</v>
      </c>
      <c r="AE78" s="6" t="s">
        <v>12</v>
      </c>
      <c r="AF78" s="6" t="s">
        <v>13</v>
      </c>
    </row>
    <row r="79" spans="2:32" x14ac:dyDescent="0.25">
      <c r="B79" s="7" t="s">
        <v>14</v>
      </c>
      <c r="C79" s="7"/>
      <c r="D79" s="7"/>
      <c r="E79" s="10">
        <v>44651</v>
      </c>
      <c r="F79" s="10">
        <v>44742</v>
      </c>
      <c r="G79" s="10">
        <v>44834</v>
      </c>
      <c r="H79" s="10">
        <v>44926</v>
      </c>
      <c r="I79" s="10">
        <v>45016</v>
      </c>
      <c r="J79" s="10">
        <v>45107</v>
      </c>
      <c r="K79" s="10">
        <v>45199</v>
      </c>
      <c r="L79" s="10">
        <v>45291</v>
      </c>
      <c r="M79" s="10">
        <v>45382</v>
      </c>
      <c r="N79" s="10">
        <v>45473</v>
      </c>
      <c r="O79" s="10">
        <v>45565</v>
      </c>
      <c r="P79" s="27">
        <v>45657</v>
      </c>
      <c r="Q79" s="28">
        <f>+M79+365</f>
        <v>45747</v>
      </c>
      <c r="R79" s="28">
        <f t="shared" ref="R79" si="159">+N79+365</f>
        <v>45838</v>
      </c>
      <c r="S79" s="28">
        <f t="shared" ref="S79" si="160">+O79+365</f>
        <v>45930</v>
      </c>
      <c r="T79" s="28">
        <f t="shared" ref="T79" si="161">+P79+365</f>
        <v>46022</v>
      </c>
      <c r="U79" s="28">
        <f t="shared" ref="U79" si="162">+Q79+365</f>
        <v>46112</v>
      </c>
      <c r="V79" s="28">
        <f t="shared" ref="V79" si="163">+R79+365</f>
        <v>46203</v>
      </c>
      <c r="W79" s="28">
        <f t="shared" ref="W79" si="164">+S79+365</f>
        <v>46295</v>
      </c>
      <c r="X79" s="140">
        <f t="shared" ref="X79" si="165">+T79+365</f>
        <v>46387</v>
      </c>
      <c r="Z79" s="9">
        <v>45291</v>
      </c>
      <c r="AA79" s="34">
        <v>45657</v>
      </c>
      <c r="AB79" s="25">
        <f>+AA79+365</f>
        <v>46022</v>
      </c>
      <c r="AC79" s="25">
        <f t="shared" ref="AC79:AF79" si="166">+AB79+365</f>
        <v>46387</v>
      </c>
      <c r="AD79" s="25">
        <f t="shared" si="166"/>
        <v>46752</v>
      </c>
      <c r="AE79" s="25">
        <f t="shared" si="166"/>
        <v>47117</v>
      </c>
      <c r="AF79" s="25">
        <f t="shared" si="166"/>
        <v>47482</v>
      </c>
    </row>
    <row r="80" spans="2:32" x14ac:dyDescent="0.25">
      <c r="P80" s="21"/>
      <c r="X80" s="21"/>
      <c r="AA80" s="50"/>
    </row>
    <row r="81" spans="2:32" x14ac:dyDescent="0.25">
      <c r="B81" s="2" t="s">
        <v>69</v>
      </c>
      <c r="E81" s="63">
        <f>+E53</f>
        <v>-26123.722000000002</v>
      </c>
      <c r="F81" s="63">
        <f t="shared" ref="F81:P81" si="167">+F53</f>
        <v>-13552.797000000002</v>
      </c>
      <c r="G81" s="63">
        <f t="shared" si="167"/>
        <v>-4500.442</v>
      </c>
      <c r="H81" s="63">
        <f t="shared" si="167"/>
        <v>4742.3560000000034</v>
      </c>
      <c r="I81" s="63">
        <f t="shared" si="167"/>
        <v>5419.9309999999987</v>
      </c>
      <c r="J81" s="63">
        <f t="shared" si="167"/>
        <v>3763.2910000000011</v>
      </c>
      <c r="K81" s="63">
        <f t="shared" si="167"/>
        <v>5349.7450000000017</v>
      </c>
      <c r="L81" s="63">
        <f t="shared" si="167"/>
        <v>7667.4339999999975</v>
      </c>
      <c r="M81" s="63">
        <f t="shared" si="167"/>
        <v>13834.656999999996</v>
      </c>
      <c r="N81" s="63">
        <f t="shared" si="167"/>
        <v>16699.379999999997</v>
      </c>
      <c r="O81" s="63">
        <f t="shared" si="167"/>
        <v>20841.171000000009</v>
      </c>
      <c r="P81" s="73">
        <f t="shared" si="167"/>
        <v>30870.357999999997</v>
      </c>
      <c r="Q81" s="63">
        <f t="shared" ref="Q81:X81" si="168">+Q53</f>
        <v>29679.670565802382</v>
      </c>
      <c r="R81" s="63">
        <f t="shared" si="168"/>
        <v>32541.008344058842</v>
      </c>
      <c r="S81" s="63">
        <f t="shared" si="168"/>
        <v>36406.257303349033</v>
      </c>
      <c r="T81" s="63">
        <f t="shared" si="168"/>
        <v>44796.941716732814</v>
      </c>
      <c r="U81" s="63">
        <f t="shared" si="168"/>
        <v>39691.837051577182</v>
      </c>
      <c r="V81" s="63">
        <f t="shared" si="168"/>
        <v>42321.902532488974</v>
      </c>
      <c r="W81" s="63">
        <f t="shared" si="168"/>
        <v>46099.722583531729</v>
      </c>
      <c r="X81" s="73">
        <f t="shared" si="168"/>
        <v>55239.374760083556</v>
      </c>
      <c r="Z81" s="67">
        <f>SUM(I81:L81)</f>
        <v>22200.400999999998</v>
      </c>
      <c r="AA81" s="71">
        <f>+SUM(M81:P81)</f>
        <v>82245.565999999992</v>
      </c>
      <c r="AB81" s="67">
        <f>+SUM(Q81:T81)</f>
        <v>143423.87792994306</v>
      </c>
      <c r="AC81" s="67">
        <f>+SUM(U81:X81)</f>
        <v>183352.83692768143</v>
      </c>
      <c r="AD81" s="67">
        <f>AD53</f>
        <v>225240.83814534411</v>
      </c>
      <c r="AE81" s="67">
        <f t="shared" ref="AE81:AF81" si="169">AE53</f>
        <v>265449.80850595236</v>
      </c>
      <c r="AF81" s="67">
        <f t="shared" si="169"/>
        <v>299580.73642798269</v>
      </c>
    </row>
    <row r="82" spans="2:32" x14ac:dyDescent="0.25">
      <c r="B82" s="54" t="s">
        <v>70</v>
      </c>
      <c r="C82" s="54"/>
      <c r="D82" s="54"/>
      <c r="E82" s="72">
        <f>+E57</f>
        <v>-21.146000000000001</v>
      </c>
      <c r="F82" s="72">
        <f t="shared" ref="F82:P82" si="170">+F57</f>
        <v>-16.652999999999999</v>
      </c>
      <c r="G82" s="72">
        <f t="shared" si="170"/>
        <v>-10.827</v>
      </c>
      <c r="H82" s="72">
        <f t="shared" si="170"/>
        <v>-20.821000000000002</v>
      </c>
      <c r="I82" s="72">
        <f t="shared" si="170"/>
        <v>-11.624000000000001</v>
      </c>
      <c r="J82" s="72">
        <f t="shared" si="170"/>
        <v>-20.526</v>
      </c>
      <c r="K82" s="72">
        <f t="shared" si="170"/>
        <v>-15.874000000000001</v>
      </c>
      <c r="L82" s="72">
        <f t="shared" si="170"/>
        <v>-563.46299999999997</v>
      </c>
      <c r="M82" s="72">
        <f t="shared" si="170"/>
        <v>-393.09399999999999</v>
      </c>
      <c r="N82" s="72">
        <f t="shared" si="170"/>
        <v>16123.213</v>
      </c>
      <c r="O82" s="72">
        <f t="shared" si="170"/>
        <v>-2162.989</v>
      </c>
      <c r="P82" s="74">
        <f t="shared" si="170"/>
        <v>-2361.9650000000001</v>
      </c>
      <c r="Q82" s="72">
        <f t="shared" ref="Q82:X82" si="171">+Q57</f>
        <v>-6418.1299269356077</v>
      </c>
      <c r="R82" s="72">
        <f t="shared" si="171"/>
        <v>-7068.4631661004196</v>
      </c>
      <c r="S82" s="72">
        <f t="shared" si="171"/>
        <v>-7798.0659414897773</v>
      </c>
      <c r="T82" s="72">
        <f t="shared" si="171"/>
        <v>-9534.2871237052022</v>
      </c>
      <c r="U82" s="72">
        <f t="shared" si="171"/>
        <v>-8599.3999940831309</v>
      </c>
      <c r="V82" s="72">
        <f t="shared" si="171"/>
        <v>-9192.3727227048985</v>
      </c>
      <c r="W82" s="72">
        <f t="shared" si="171"/>
        <v>-9854.8919764625371</v>
      </c>
      <c r="X82" s="74">
        <f t="shared" si="171"/>
        <v>-11710.015307356534</v>
      </c>
      <c r="Z82" s="72">
        <f t="shared" ref="Z82" si="172">SUM(I82:L82)</f>
        <v>-611.48699999999997</v>
      </c>
      <c r="AA82" s="72">
        <f>+SUM(M82:P82)</f>
        <v>11205.165000000001</v>
      </c>
      <c r="AB82" s="72">
        <f t="shared" ref="AB82" si="173">+SUM(Q82:T82)</f>
        <v>-30818.946158231007</v>
      </c>
      <c r="AC82" s="72">
        <f t="shared" ref="AC82" si="174">+SUM(U82:X82)</f>
        <v>-39356.680000607099</v>
      </c>
      <c r="AD82" s="72">
        <f>AD57</f>
        <v>-48293.998794132633</v>
      </c>
      <c r="AE82" s="72">
        <f t="shared" ref="AE82:AF82" si="175">AE57</f>
        <v>-56848.992069404383</v>
      </c>
      <c r="AF82" s="72">
        <f t="shared" si="175"/>
        <v>-64080.494971385175</v>
      </c>
    </row>
    <row r="83" spans="2:32" x14ac:dyDescent="0.25">
      <c r="B83" s="1" t="s">
        <v>71</v>
      </c>
      <c r="E83" s="67">
        <f>+SUM(E81:E82)</f>
        <v>-26144.868000000002</v>
      </c>
      <c r="F83" s="67">
        <f t="shared" ref="F83:X83" si="176">+SUM(F81:F82)</f>
        <v>-13569.450000000003</v>
      </c>
      <c r="G83" s="67">
        <f t="shared" si="176"/>
        <v>-4511.2690000000002</v>
      </c>
      <c r="H83" s="67">
        <f t="shared" si="176"/>
        <v>4721.5350000000035</v>
      </c>
      <c r="I83" s="67">
        <f t="shared" si="176"/>
        <v>5408.3069999999989</v>
      </c>
      <c r="J83" s="67">
        <f t="shared" si="176"/>
        <v>3742.7650000000012</v>
      </c>
      <c r="K83" s="67">
        <f t="shared" si="176"/>
        <v>5333.8710000000019</v>
      </c>
      <c r="L83" s="67">
        <f t="shared" si="176"/>
        <v>7103.9709999999977</v>
      </c>
      <c r="M83" s="67">
        <f t="shared" si="176"/>
        <v>13441.562999999996</v>
      </c>
      <c r="N83" s="67">
        <f t="shared" si="176"/>
        <v>32822.592999999993</v>
      </c>
      <c r="O83" s="67">
        <f t="shared" si="176"/>
        <v>18678.182000000008</v>
      </c>
      <c r="P83" s="71">
        <f t="shared" si="176"/>
        <v>28508.392999999996</v>
      </c>
      <c r="Q83" s="67">
        <f t="shared" si="176"/>
        <v>23261.540638866776</v>
      </c>
      <c r="R83" s="67">
        <f t="shared" si="176"/>
        <v>25472.545177958422</v>
      </c>
      <c r="S83" s="67">
        <f t="shared" si="176"/>
        <v>28608.191361859255</v>
      </c>
      <c r="T83" s="67">
        <f t="shared" si="176"/>
        <v>35262.654593027612</v>
      </c>
      <c r="U83" s="67">
        <f t="shared" si="176"/>
        <v>31092.437057494051</v>
      </c>
      <c r="V83" s="67">
        <f t="shared" si="176"/>
        <v>33129.529809784071</v>
      </c>
      <c r="W83" s="67">
        <f t="shared" si="176"/>
        <v>36244.830607069191</v>
      </c>
      <c r="X83" s="71">
        <f t="shared" si="176"/>
        <v>43529.359452727018</v>
      </c>
      <c r="Z83" s="67">
        <f>SUM(Z81:Z82)</f>
        <v>21588.913999999997</v>
      </c>
      <c r="AA83" s="67">
        <f>SUM(AA81:AA82)</f>
        <v>93450.731</v>
      </c>
      <c r="AB83" s="67">
        <f>SUM(AB81:AB82)</f>
        <v>112604.93177171206</v>
      </c>
      <c r="AC83" s="67">
        <f>SUM(AC81:AC82)</f>
        <v>143996.15692707433</v>
      </c>
      <c r="AD83" s="67">
        <f t="shared" ref="AD83:AF83" si="177">SUM(AD81:AD82)</f>
        <v>176946.83935121147</v>
      </c>
      <c r="AE83" s="67">
        <f t="shared" si="177"/>
        <v>208600.81643654796</v>
      </c>
      <c r="AF83" s="67">
        <f t="shared" si="177"/>
        <v>235500.24145659752</v>
      </c>
    </row>
    <row r="84" spans="2:32" x14ac:dyDescent="0.25">
      <c r="P84" s="21"/>
      <c r="X84" s="21"/>
      <c r="Z84" s="63"/>
      <c r="AA84" s="73"/>
      <c r="AB84" s="63"/>
      <c r="AC84" s="63"/>
      <c r="AD84" s="63"/>
      <c r="AE84" s="63"/>
      <c r="AF84" s="63"/>
    </row>
    <row r="85" spans="2:32" x14ac:dyDescent="0.25">
      <c r="B85" s="1" t="s">
        <v>72</v>
      </c>
      <c r="E85" s="79">
        <v>223.96700000000001</v>
      </c>
      <c r="F85" s="79">
        <v>218.64500000000001</v>
      </c>
      <c r="G85" s="79">
        <v>206.73099999999994</v>
      </c>
      <c r="H85" s="79">
        <v>197.78300000000002</v>
      </c>
      <c r="I85" s="79">
        <v>200.768</v>
      </c>
      <c r="J85" s="79">
        <v>206.11100000000002</v>
      </c>
      <c r="K85" s="79">
        <v>217.72899999999993</v>
      </c>
      <c r="L85" s="79">
        <v>231.19500000000005</v>
      </c>
      <c r="M85" s="79">
        <v>226.816</v>
      </c>
      <c r="N85" s="79">
        <v>247.38300000000001</v>
      </c>
      <c r="O85" s="79">
        <v>233.25100000000003</v>
      </c>
      <c r="P85" s="89">
        <v>257.95399999999995</v>
      </c>
      <c r="Q85" s="67">
        <f>AVERAGE($M$86:$P$86)*Q48</f>
        <v>294.47433373004708</v>
      </c>
      <c r="R85" s="67">
        <f t="shared" ref="R85:X85" si="178">AVERAGE($M$86:$P$86)*R48</f>
        <v>320.04072075656387</v>
      </c>
      <c r="S85" s="67">
        <f t="shared" si="178"/>
        <v>367.88895386555021</v>
      </c>
      <c r="T85" s="67">
        <f t="shared" si="178"/>
        <v>458.13353147999055</v>
      </c>
      <c r="U85" s="67">
        <f t="shared" si="178"/>
        <v>392.36676398761369</v>
      </c>
      <c r="V85" s="67">
        <f t="shared" si="178"/>
        <v>416.29548931878901</v>
      </c>
      <c r="W85" s="67">
        <f t="shared" si="178"/>
        <v>467.58329805157177</v>
      </c>
      <c r="X85" s="71">
        <f t="shared" si="178"/>
        <v>569.10845452796138</v>
      </c>
      <c r="Z85" s="67">
        <f t="shared" ref="Z85" si="179">SUM(I85:L85)</f>
        <v>855.803</v>
      </c>
      <c r="AA85" s="71">
        <f>+SUM(M85:P85)</f>
        <v>965.404</v>
      </c>
      <c r="AB85" s="67">
        <f t="shared" ref="AB85" si="180">+SUM(Q85:T85)</f>
        <v>1440.5375398321517</v>
      </c>
      <c r="AC85" s="67">
        <f t="shared" ref="AC85" si="181">+SUM(U85:X85)</f>
        <v>1845.3540058859357</v>
      </c>
      <c r="AD85" s="67">
        <f>AD48*$X$86</f>
        <v>2271.7577848257283</v>
      </c>
      <c r="AE85" s="67">
        <f t="shared" ref="AE85:AF85" si="182">AE48*$X$86</f>
        <v>2683.2227420089903</v>
      </c>
      <c r="AF85" s="67">
        <f t="shared" si="182"/>
        <v>3035.1994374069227</v>
      </c>
    </row>
    <row r="86" spans="2:32" x14ac:dyDescent="0.25">
      <c r="B86" s="35" t="s">
        <v>73</v>
      </c>
      <c r="E86" s="13">
        <f>+E85/E48</f>
        <v>8.1047733944195188E-3</v>
      </c>
      <c r="F86" s="13">
        <f t="shared" ref="F86:P86" si="183">+F85/F48</f>
        <v>7.4745219461290185E-3</v>
      </c>
      <c r="G86" s="13">
        <f t="shared" si="183"/>
        <v>6.7985170734428E-3</v>
      </c>
      <c r="H86" s="13">
        <f t="shared" si="183"/>
        <v>5.1672590627615204E-3</v>
      </c>
      <c r="I86" s="13">
        <f t="shared" si="183"/>
        <v>5.7902547919183433E-3</v>
      </c>
      <c r="J86" s="13">
        <f t="shared" si="183"/>
        <v>5.8993925323858939E-3</v>
      </c>
      <c r="K86" s="13">
        <f t="shared" si="183"/>
        <v>5.3307200206952248E-3</v>
      </c>
      <c r="L86" s="13">
        <f t="shared" si="183"/>
        <v>4.7277715038247835E-3</v>
      </c>
      <c r="M86" s="13">
        <f t="shared" si="183"/>
        <v>4.8280671592111427E-3</v>
      </c>
      <c r="N86" s="13">
        <f t="shared" si="183"/>
        <v>4.4200394489722393E-3</v>
      </c>
      <c r="O86" s="13">
        <f t="shared" si="183"/>
        <v>3.3341723642651387E-3</v>
      </c>
      <c r="P86" s="23">
        <f t="shared" si="183"/>
        <v>2.6262061067940661E-3</v>
      </c>
      <c r="Q86" s="13">
        <f>+Q85/Q48</f>
        <v>3.8021212698106464E-3</v>
      </c>
      <c r="R86" s="13">
        <f t="shared" ref="R86:X86" si="184">+R85/R48</f>
        <v>3.8021212698106468E-3</v>
      </c>
      <c r="S86" s="13">
        <f t="shared" si="184"/>
        <v>3.8021212698106464E-3</v>
      </c>
      <c r="T86" s="13">
        <f t="shared" si="184"/>
        <v>3.8021212698106464E-3</v>
      </c>
      <c r="U86" s="13">
        <f t="shared" si="184"/>
        <v>3.8021212698106464E-3</v>
      </c>
      <c r="V86" s="13">
        <f t="shared" si="184"/>
        <v>3.8021212698106468E-3</v>
      </c>
      <c r="W86" s="60">
        <f t="shared" si="184"/>
        <v>3.8021212698106464E-3</v>
      </c>
      <c r="X86" s="23">
        <f t="shared" si="184"/>
        <v>3.8021212698106459E-3</v>
      </c>
      <c r="Z86" s="63"/>
      <c r="AA86" s="73"/>
      <c r="AB86" s="63"/>
      <c r="AC86" s="63"/>
      <c r="AD86" s="63"/>
      <c r="AE86" s="63"/>
      <c r="AF86" s="63"/>
    </row>
    <row r="87" spans="2:32" x14ac:dyDescent="0.25">
      <c r="P87" s="21"/>
      <c r="X87" s="21"/>
      <c r="Z87" s="63"/>
      <c r="AA87" s="73"/>
      <c r="AB87" s="63"/>
      <c r="AC87" s="63"/>
      <c r="AD87" s="63"/>
      <c r="AE87" s="63"/>
      <c r="AF87" s="63"/>
    </row>
    <row r="88" spans="2:32" x14ac:dyDescent="0.25">
      <c r="B88" s="62" t="s">
        <v>74</v>
      </c>
      <c r="E88" s="64">
        <v>116122.85699999999</v>
      </c>
      <c r="F88" s="64">
        <v>94742.958000000013</v>
      </c>
      <c r="G88" s="64">
        <v>98145.179000000004</v>
      </c>
      <c r="H88" s="64">
        <v>100628.802</v>
      </c>
      <c r="I88" s="64">
        <v>90413.751000000004</v>
      </c>
      <c r="J88" s="64">
        <v>89315.64</v>
      </c>
      <c r="K88" s="64">
        <v>109472.29</v>
      </c>
      <c r="L88" s="64">
        <v>138427.64300000001</v>
      </c>
      <c r="M88" s="64">
        <v>110080.879</v>
      </c>
      <c r="N88" s="64">
        <v>127059.76999999999</v>
      </c>
      <c r="O88" s="64">
        <v>145191.53400000001</v>
      </c>
      <c r="P88" s="69">
        <v>179583.80900000001</v>
      </c>
      <c r="Q88" s="63">
        <f>+P88*(1+Q89)</f>
        <v>237824.81624541015</v>
      </c>
      <c r="R88" s="63">
        <f t="shared" ref="R88:X88" si="185">+Q88*(1+R89)</f>
        <v>297751.61816951353</v>
      </c>
      <c r="S88" s="63">
        <f t="shared" si="185"/>
        <v>354786.76329872524</v>
      </c>
      <c r="T88" s="63">
        <f t="shared" si="185"/>
        <v>395009.00310752197</v>
      </c>
      <c r="U88" s="63">
        <f t="shared" si="185"/>
        <v>460665.64421102544</v>
      </c>
      <c r="V88" s="63">
        <f t="shared" si="185"/>
        <v>529940.05539107707</v>
      </c>
      <c r="W88" s="63">
        <f t="shared" si="185"/>
        <v>601744.36716096173</v>
      </c>
      <c r="X88" s="73">
        <f t="shared" si="185"/>
        <v>674625.44904173014</v>
      </c>
      <c r="Z88" s="72">
        <f>L88</f>
        <v>138427.64300000001</v>
      </c>
      <c r="AA88" s="73">
        <f>P88</f>
        <v>179583.80900000001</v>
      </c>
      <c r="AB88" s="63">
        <f>+T88</f>
        <v>395009.00310752197</v>
      </c>
      <c r="AC88" s="63">
        <f>+X88</f>
        <v>674625.44904173014</v>
      </c>
      <c r="AD88" s="63">
        <f>+AC88*((1+(AD41/2)))</f>
        <v>752567.90342252096</v>
      </c>
      <c r="AE88" s="63">
        <f t="shared" ref="AE88:AF88" si="186">+AD88*((1+(AE41/2)))</f>
        <v>820721.14630510204</v>
      </c>
      <c r="AF88" s="63">
        <f t="shared" si="186"/>
        <v>874550.95185888675</v>
      </c>
    </row>
    <row r="89" spans="2:32" x14ac:dyDescent="0.25">
      <c r="B89" s="80" t="s">
        <v>107</v>
      </c>
      <c r="I89" s="38">
        <f>+I88/E88-1</f>
        <v>-0.22139574123636996</v>
      </c>
      <c r="J89" s="38">
        <f t="shared" ref="J89:P89" si="187">+J88/F88-1</f>
        <v>-5.7284658560059043E-2</v>
      </c>
      <c r="K89" s="38">
        <f t="shared" si="187"/>
        <v>0.11541179215741182</v>
      </c>
      <c r="L89" s="38">
        <f t="shared" si="187"/>
        <v>0.37562646328632643</v>
      </c>
      <c r="M89" s="38">
        <f t="shared" si="187"/>
        <v>0.21752363752721626</v>
      </c>
      <c r="N89" s="38">
        <f t="shared" si="187"/>
        <v>0.42259261647792012</v>
      </c>
      <c r="O89" s="38">
        <f t="shared" si="187"/>
        <v>0.32628571120600491</v>
      </c>
      <c r="P89" s="38">
        <f t="shared" si="187"/>
        <v>0.29731175875038196</v>
      </c>
      <c r="Q89" s="38">
        <f>+Q41/2</f>
        <v>0.32431101428197318</v>
      </c>
      <c r="R89" s="38">
        <f t="shared" ref="R89:X89" si="188">+R41/2</f>
        <v>0.25197875844152962</v>
      </c>
      <c r="S89" s="38">
        <f t="shared" si="188"/>
        <v>0.19155276293659262</v>
      </c>
      <c r="T89" s="38">
        <f t="shared" si="188"/>
        <v>0.11337018166861579</v>
      </c>
      <c r="U89" s="38">
        <f t="shared" si="188"/>
        <v>0.16621555606830474</v>
      </c>
      <c r="V89" s="38">
        <f t="shared" si="188"/>
        <v>0.15037893980285166</v>
      </c>
      <c r="W89" s="36">
        <f t="shared" si="188"/>
        <v>0.13549515844182713</v>
      </c>
      <c r="X89" s="51">
        <f t="shared" si="188"/>
        <v>0.12111635082621952</v>
      </c>
      <c r="Z89" s="46">
        <f>+Z41/2</f>
        <v>0.13453138625196037</v>
      </c>
      <c r="AA89" s="46">
        <f t="shared" ref="AA89:AF89" si="189">+AA41/2</f>
        <v>0.35069459740311515</v>
      </c>
      <c r="AB89" s="46">
        <f t="shared" si="189"/>
        <v>0.19870592435109447</v>
      </c>
      <c r="AC89" s="46">
        <f t="shared" si="189"/>
        <v>0.14050882217930694</v>
      </c>
      <c r="AD89" s="46">
        <f t="shared" si="189"/>
        <v>0.11553441171171941</v>
      </c>
      <c r="AE89" s="46">
        <f t="shared" si="189"/>
        <v>9.0560921576158693E-2</v>
      </c>
      <c r="AF89" s="46">
        <f t="shared" si="189"/>
        <v>6.5588422810996305E-2</v>
      </c>
    </row>
    <row r="90" spans="2:32" x14ac:dyDescent="0.25">
      <c r="B90" s="62" t="s">
        <v>75</v>
      </c>
      <c r="E90" s="64">
        <v>113967.69300000001</v>
      </c>
      <c r="F90" s="64">
        <v>102649.395</v>
      </c>
      <c r="G90" s="64">
        <v>99277.788000000015</v>
      </c>
      <c r="H90" s="64">
        <v>99194.522000000012</v>
      </c>
      <c r="I90" s="64">
        <v>77420.665999999997</v>
      </c>
      <c r="J90" s="64">
        <v>78675.160999999993</v>
      </c>
      <c r="K90" s="64">
        <v>83438.236999999994</v>
      </c>
      <c r="L90" s="64">
        <v>92887.780999999988</v>
      </c>
      <c r="M90" s="64">
        <v>92941.540999999983</v>
      </c>
      <c r="N90" s="64">
        <v>91946.694999999992</v>
      </c>
      <c r="O90" s="64">
        <v>96879.343999999997</v>
      </c>
      <c r="P90" s="64">
        <v>105677.243</v>
      </c>
      <c r="Q90" s="63">
        <f>+Q91*Q88</f>
        <v>167884.09881459293</v>
      </c>
      <c r="R90" s="63">
        <f t="shared" ref="R90:X90" si="190">+R91*R88</f>
        <v>210187.32559596916</v>
      </c>
      <c r="S90" s="63">
        <f t="shared" si="190"/>
        <v>250449.28854813025</v>
      </c>
      <c r="T90" s="63">
        <f t="shared" si="190"/>
        <v>278842.76988960739</v>
      </c>
      <c r="U90" s="63">
        <f t="shared" si="190"/>
        <v>325190.77594243485</v>
      </c>
      <c r="V90" s="63">
        <f t="shared" si="190"/>
        <v>374092.62006232486</v>
      </c>
      <c r="W90" s="63">
        <f t="shared" si="190"/>
        <v>424780.35888958781</v>
      </c>
      <c r="X90" s="73">
        <f t="shared" si="190"/>
        <v>476228.2058609465</v>
      </c>
      <c r="Z90" s="63">
        <f>L90</f>
        <v>92887.780999999988</v>
      </c>
      <c r="AA90" s="73">
        <f>P90</f>
        <v>105677.243</v>
      </c>
      <c r="AB90" s="63">
        <f>+T90</f>
        <v>278842.76988960739</v>
      </c>
      <c r="AC90" s="63">
        <f>+X90</f>
        <v>476228.2058609465</v>
      </c>
      <c r="AD90" s="63">
        <f>AD91*AD88</f>
        <v>531248.95146561856</v>
      </c>
      <c r="AE90" s="63">
        <f t="shared" ref="AE90:AF90" si="191">AE91*AE88</f>
        <v>579359.34609671298</v>
      </c>
      <c r="AF90" s="63">
        <f t="shared" si="191"/>
        <v>617358.61184800661</v>
      </c>
    </row>
    <row r="91" spans="2:32" x14ac:dyDescent="0.25">
      <c r="B91" s="80" t="s">
        <v>76</v>
      </c>
      <c r="E91" s="38">
        <f>+E90/E88</f>
        <v>0.98144065642477285</v>
      </c>
      <c r="F91" s="38">
        <f t="shared" ref="F91:O91" si="192">+F90/F88</f>
        <v>1.0834514476527108</v>
      </c>
      <c r="G91" s="38">
        <f t="shared" si="192"/>
        <v>1.0115401389201197</v>
      </c>
      <c r="H91" s="38">
        <f t="shared" si="192"/>
        <v>0.98574682425415361</v>
      </c>
      <c r="I91" s="38">
        <f t="shared" si="192"/>
        <v>0.85629304330045986</v>
      </c>
      <c r="J91" s="38">
        <f t="shared" si="192"/>
        <v>0.88086656491517046</v>
      </c>
      <c r="K91" s="38">
        <f t="shared" si="192"/>
        <v>0.76218591024267424</v>
      </c>
      <c r="L91" s="38">
        <f t="shared" si="192"/>
        <v>0.67102046229306944</v>
      </c>
      <c r="M91" s="38">
        <f t="shared" si="192"/>
        <v>0.8443023152095287</v>
      </c>
      <c r="N91" s="38">
        <f t="shared" si="192"/>
        <v>0.72364915346533365</v>
      </c>
      <c r="O91" s="38">
        <f t="shared" si="192"/>
        <v>0.66725201760042008</v>
      </c>
      <c r="P91" s="38">
        <f>+P90/P88</f>
        <v>0.58845640700270474</v>
      </c>
      <c r="Q91" s="38">
        <f>AVERAGE(M91:P91)</f>
        <v>0.70591497331949682</v>
      </c>
      <c r="R91" s="38">
        <f>+Q91</f>
        <v>0.70591497331949682</v>
      </c>
      <c r="S91" s="38">
        <f t="shared" ref="S91:X91" si="193">+R91</f>
        <v>0.70591497331949682</v>
      </c>
      <c r="T91" s="38">
        <f t="shared" si="193"/>
        <v>0.70591497331949682</v>
      </c>
      <c r="U91" s="38">
        <f t="shared" si="193"/>
        <v>0.70591497331949682</v>
      </c>
      <c r="V91" s="38">
        <f t="shared" si="193"/>
        <v>0.70591497331949682</v>
      </c>
      <c r="W91" s="36">
        <f t="shared" si="193"/>
        <v>0.70591497331949682</v>
      </c>
      <c r="X91" s="51">
        <f t="shared" si="193"/>
        <v>0.70591497331949682</v>
      </c>
      <c r="Z91" s="46">
        <f>Z90/Z88</f>
        <v>0.67102046229306944</v>
      </c>
      <c r="AA91" s="46">
        <f>AA90/AA88</f>
        <v>0.58845640700270474</v>
      </c>
      <c r="AB91" s="46">
        <f>AB90/AB88</f>
        <v>0.70591497331949671</v>
      </c>
      <c r="AC91" s="46">
        <f>AC90/AC88</f>
        <v>0.70591497331949682</v>
      </c>
      <c r="AD91" s="46">
        <f>+AC91</f>
        <v>0.70591497331949682</v>
      </c>
      <c r="AE91" s="46">
        <f t="shared" ref="AE91:AF91" si="194">+AD91</f>
        <v>0.70591497331949682</v>
      </c>
      <c r="AF91" s="46">
        <f t="shared" si="194"/>
        <v>0.70591497331949682</v>
      </c>
    </row>
    <row r="92" spans="2:32" x14ac:dyDescent="0.25">
      <c r="B92" s="54" t="s">
        <v>77</v>
      </c>
      <c r="C92" s="54"/>
      <c r="D92" s="54"/>
      <c r="E92" s="72">
        <f>+E88-E90</f>
        <v>2155.1639999999752</v>
      </c>
      <c r="F92" s="72">
        <f t="shared" ref="F92:AF92" si="195">+F88-F90</f>
        <v>-7906.4369999999908</v>
      </c>
      <c r="G92" s="72">
        <f t="shared" si="195"/>
        <v>-1132.6090000000113</v>
      </c>
      <c r="H92" s="72">
        <f t="shared" si="195"/>
        <v>1434.2799999999843</v>
      </c>
      <c r="I92" s="72">
        <f t="shared" si="195"/>
        <v>12993.085000000006</v>
      </c>
      <c r="J92" s="72">
        <f t="shared" si="195"/>
        <v>10640.479000000007</v>
      </c>
      <c r="K92" s="72">
        <f t="shared" si="195"/>
        <v>26034.053</v>
      </c>
      <c r="L92" s="72">
        <f t="shared" si="195"/>
        <v>45539.862000000023</v>
      </c>
      <c r="M92" s="72">
        <f t="shared" si="195"/>
        <v>17139.338000000018</v>
      </c>
      <c r="N92" s="72">
        <f t="shared" si="195"/>
        <v>35113.074999999997</v>
      </c>
      <c r="O92" s="72">
        <f t="shared" si="195"/>
        <v>48312.190000000017</v>
      </c>
      <c r="P92" s="72">
        <f t="shared" si="195"/>
        <v>73906.566000000006</v>
      </c>
      <c r="Q92" s="72">
        <f t="shared" si="195"/>
        <v>69940.717430817225</v>
      </c>
      <c r="R92" s="72">
        <f t="shared" si="195"/>
        <v>87564.292573544371</v>
      </c>
      <c r="S92" s="72">
        <f t="shared" si="195"/>
        <v>104337.47475059499</v>
      </c>
      <c r="T92" s="72">
        <f t="shared" si="195"/>
        <v>116166.23321791459</v>
      </c>
      <c r="U92" s="72">
        <f t="shared" si="195"/>
        <v>135474.8682685906</v>
      </c>
      <c r="V92" s="72">
        <f t="shared" si="195"/>
        <v>155847.43532875221</v>
      </c>
      <c r="W92" s="72">
        <f t="shared" si="195"/>
        <v>176964.00827137392</v>
      </c>
      <c r="X92" s="74">
        <f t="shared" si="195"/>
        <v>198397.24318078364</v>
      </c>
      <c r="Z92" s="72">
        <f t="shared" si="195"/>
        <v>45539.862000000023</v>
      </c>
      <c r="AA92" s="72">
        <f t="shared" si="195"/>
        <v>73906.566000000006</v>
      </c>
      <c r="AB92" s="72">
        <f t="shared" si="195"/>
        <v>116166.23321791459</v>
      </c>
      <c r="AC92" s="72">
        <f t="shared" si="195"/>
        <v>198397.24318078364</v>
      </c>
      <c r="AD92" s="72">
        <f t="shared" si="195"/>
        <v>221318.9519569024</v>
      </c>
      <c r="AE92" s="72">
        <f t="shared" si="195"/>
        <v>241361.80020838906</v>
      </c>
      <c r="AF92" s="72">
        <f t="shared" si="195"/>
        <v>257192.34001088014</v>
      </c>
    </row>
    <row r="93" spans="2:32" x14ac:dyDescent="0.25">
      <c r="B93" s="1" t="s">
        <v>78</v>
      </c>
      <c r="E93" s="1"/>
      <c r="F93" s="67">
        <f>+F92-E92</f>
        <v>-10061.600999999966</v>
      </c>
      <c r="G93" s="67">
        <f t="shared" ref="G93:Q93" si="196">+G92-F92</f>
        <v>6773.8279999999795</v>
      </c>
      <c r="H93" s="67">
        <f t="shared" si="196"/>
        <v>2566.8889999999956</v>
      </c>
      <c r="I93" s="67">
        <f t="shared" si="196"/>
        <v>11558.805000000022</v>
      </c>
      <c r="J93" s="67">
        <f t="shared" si="196"/>
        <v>-2352.6059999999998</v>
      </c>
      <c r="K93" s="67">
        <f t="shared" si="196"/>
        <v>15393.573999999993</v>
      </c>
      <c r="L93" s="67">
        <f t="shared" si="196"/>
        <v>19505.809000000023</v>
      </c>
      <c r="M93" s="67">
        <f t="shared" si="196"/>
        <v>-28400.524000000005</v>
      </c>
      <c r="N93" s="67">
        <f t="shared" si="196"/>
        <v>17973.736999999979</v>
      </c>
      <c r="O93" s="67">
        <f t="shared" si="196"/>
        <v>13199.11500000002</v>
      </c>
      <c r="P93" s="67">
        <f t="shared" si="196"/>
        <v>25594.375999999989</v>
      </c>
      <c r="Q93" s="67">
        <f t="shared" si="196"/>
        <v>-3965.8485691827809</v>
      </c>
      <c r="R93" s="67">
        <f t="shared" ref="R93" si="197">+R92-Q92</f>
        <v>17623.575142727146</v>
      </c>
      <c r="S93" s="67">
        <f t="shared" ref="S93" si="198">+S92-R92</f>
        <v>16773.182177050621</v>
      </c>
      <c r="T93" s="67">
        <f t="shared" ref="T93" si="199">+T92-S92</f>
        <v>11828.758467319596</v>
      </c>
      <c r="U93" s="67">
        <f t="shared" ref="U93" si="200">+U92-T92</f>
        <v>19308.635050676006</v>
      </c>
      <c r="V93" s="67">
        <f t="shared" ref="V93" si="201">+V92-U92</f>
        <v>20372.567060161615</v>
      </c>
      <c r="W93" s="67">
        <f t="shared" ref="W93" si="202">+W92-V92</f>
        <v>21116.572942621715</v>
      </c>
      <c r="X93" s="71">
        <f t="shared" ref="X93" si="203">+X92-W92</f>
        <v>21433.234909409715</v>
      </c>
      <c r="Z93" s="63"/>
      <c r="AA93" s="67">
        <f t="shared" ref="AA93" si="204">+AA92-Z92</f>
        <v>28366.703999999983</v>
      </c>
      <c r="AB93" s="67">
        <f>+AB92-AA92</f>
        <v>42259.667217914583</v>
      </c>
      <c r="AC93" s="67">
        <f>+AC92-AB92</f>
        <v>82231.009962869051</v>
      </c>
      <c r="AD93" s="67">
        <f t="shared" ref="AD93:AF93" si="205">+AD92-AC92</f>
        <v>22921.708776118758</v>
      </c>
      <c r="AE93" s="67">
        <f t="shared" si="205"/>
        <v>20042.848251486663</v>
      </c>
      <c r="AF93" s="67">
        <f t="shared" si="205"/>
        <v>15830.539802491083</v>
      </c>
    </row>
    <row r="94" spans="2:32" x14ac:dyDescent="0.25">
      <c r="B94" s="1"/>
      <c r="P94" s="21"/>
      <c r="X94" s="21"/>
      <c r="Z94" s="63"/>
      <c r="AA94" s="73"/>
      <c r="AB94" s="63"/>
      <c r="AC94" s="63"/>
      <c r="AD94" s="63"/>
      <c r="AE94" s="63"/>
      <c r="AF94" s="63"/>
    </row>
    <row r="95" spans="2:32" x14ac:dyDescent="0.25">
      <c r="B95" s="1" t="s">
        <v>79</v>
      </c>
      <c r="E95" s="79">
        <v>-374.16899999999998</v>
      </c>
      <c r="F95" s="79">
        <v>-194.48300000000006</v>
      </c>
      <c r="G95" s="79">
        <v>-217.89099999999996</v>
      </c>
      <c r="H95" s="79">
        <v>-221.53399999999999</v>
      </c>
      <c r="I95" s="79">
        <v>-321.25299999999999</v>
      </c>
      <c r="J95" s="79">
        <v>-418.30500000000001</v>
      </c>
      <c r="K95" s="79">
        <v>-298.15100000000007</v>
      </c>
      <c r="L95" s="79">
        <v>-327.88300000000004</v>
      </c>
      <c r="M95" s="79">
        <v>-340.07600000000002</v>
      </c>
      <c r="N95" s="79">
        <v>-434.06600000000003</v>
      </c>
      <c r="O95" s="79">
        <v>-284.00800000000004</v>
      </c>
      <c r="P95" s="89">
        <v>-405.81299999999987</v>
      </c>
      <c r="Q95" s="67">
        <f>AVERAGE($M$96:$P$96)*Q48</f>
        <v>-448.934083726155</v>
      </c>
      <c r="R95" s="67">
        <f t="shared" ref="R95:X95" si="206">AVERAGE($M$96:$P$96)*R48</f>
        <v>-487.9107320083765</v>
      </c>
      <c r="S95" s="67">
        <f t="shared" si="206"/>
        <v>-560.85665709667376</v>
      </c>
      <c r="T95" s="67">
        <f t="shared" si="206"/>
        <v>-698.43695568980297</v>
      </c>
      <c r="U95" s="67">
        <f t="shared" si="206"/>
        <v>-598.17374045527049</v>
      </c>
      <c r="V95" s="67">
        <f t="shared" si="206"/>
        <v>-634.65372920408242</v>
      </c>
      <c r="W95" s="67">
        <f t="shared" si="206"/>
        <v>-712.84338032960852</v>
      </c>
      <c r="X95" s="71">
        <f t="shared" si="206"/>
        <v>-867.6212264004489</v>
      </c>
      <c r="Z95" s="67">
        <f t="shared" ref="Z95" si="207">SUM(I95:L95)</f>
        <v>-1365.5920000000001</v>
      </c>
      <c r="AA95" s="71">
        <f>+SUM(M95:P95)</f>
        <v>-1463.963</v>
      </c>
      <c r="AB95" s="67">
        <f t="shared" ref="AB95" si="208">+SUM(Q95:T95)</f>
        <v>-2196.1384285210079</v>
      </c>
      <c r="AC95" s="67">
        <f t="shared" ref="AC95" si="209">+SUM(U95:X95)</f>
        <v>-2813.2920763894103</v>
      </c>
      <c r="AD95" s="67">
        <f>+AD48*$X$96</f>
        <v>-3463.3561664271942</v>
      </c>
      <c r="AE95" s="67">
        <f t="shared" ref="AE95:AF95" si="210">+AE48*$X$96</f>
        <v>-4090.6456187834319</v>
      </c>
      <c r="AF95" s="67">
        <f t="shared" si="210"/>
        <v>-4627.2436076128661</v>
      </c>
    </row>
    <row r="96" spans="2:32" x14ac:dyDescent="0.25">
      <c r="B96" s="35" t="s">
        <v>73</v>
      </c>
      <c r="E96" s="13">
        <f>E95/E48</f>
        <v>-1.3540186528446409E-2</v>
      </c>
      <c r="F96" s="13">
        <f t="shared" ref="F96:Z96" si="211">F95/F48</f>
        <v>-6.6485282153674235E-3</v>
      </c>
      <c r="G96" s="13">
        <f t="shared" si="211"/>
        <v>-7.1655227500932381E-3</v>
      </c>
      <c r="H96" s="13">
        <f t="shared" si="211"/>
        <v>-5.7877753356446737E-3</v>
      </c>
      <c r="I96" s="13">
        <f t="shared" si="211"/>
        <v>-9.2651056078067381E-3</v>
      </c>
      <c r="J96" s="13">
        <f t="shared" si="211"/>
        <v>-1.1972895154842202E-2</v>
      </c>
      <c r="K96" s="13">
        <f t="shared" si="211"/>
        <v>-7.2997143462299593E-3</v>
      </c>
      <c r="L96" s="13">
        <f t="shared" si="211"/>
        <v>-6.7049715780556733E-3</v>
      </c>
      <c r="M96" s="13">
        <f t="shared" si="211"/>
        <v>-7.2389503705024725E-3</v>
      </c>
      <c r="N96" s="13">
        <f t="shared" si="211"/>
        <v>-7.7555403704279765E-3</v>
      </c>
      <c r="O96" s="13">
        <f t="shared" si="211"/>
        <v>-4.0597108901149984E-3</v>
      </c>
      <c r="P96" s="23">
        <f t="shared" si="211"/>
        <v>-4.1315450770928932E-3</v>
      </c>
      <c r="Q96" s="13">
        <f t="shared" si="211"/>
        <v>-5.7964366770345849E-3</v>
      </c>
      <c r="R96" s="13">
        <f t="shared" si="211"/>
        <v>-5.7964366770345849E-3</v>
      </c>
      <c r="S96" s="13">
        <f t="shared" si="211"/>
        <v>-5.7964366770345849E-3</v>
      </c>
      <c r="T96" s="13">
        <f t="shared" si="211"/>
        <v>-5.7964366770345849E-3</v>
      </c>
      <c r="U96" s="13">
        <f t="shared" si="211"/>
        <v>-5.7964366770345858E-3</v>
      </c>
      <c r="V96" s="13">
        <f t="shared" si="211"/>
        <v>-5.7964366770345858E-3</v>
      </c>
      <c r="W96" s="60">
        <f t="shared" si="211"/>
        <v>-5.7964366770345849E-3</v>
      </c>
      <c r="X96" s="23">
        <f t="shared" si="211"/>
        <v>-5.7964366770345849E-3</v>
      </c>
      <c r="Z96" s="13">
        <f t="shared" si="211"/>
        <v>-8.5694004896133321E-3</v>
      </c>
      <c r="AA96" s="13">
        <f t="shared" ref="AA96" si="212">AA95/AA48</f>
        <v>-5.3995293512592892E-3</v>
      </c>
      <c r="AB96" s="13">
        <f t="shared" ref="AB96" si="213">AB95/AB48</f>
        <v>-5.7964366770345841E-3</v>
      </c>
      <c r="AC96" s="13">
        <f t="shared" ref="AC96" si="214">AC95/AC48</f>
        <v>-5.7964366770345849E-3</v>
      </c>
      <c r="AD96" s="13">
        <f t="shared" ref="AD96" si="215">AD95/AD48</f>
        <v>-5.7964366770345849E-3</v>
      </c>
      <c r="AE96" s="13">
        <f t="shared" ref="AE96" si="216">AE95/AE48</f>
        <v>-5.7964366770345849E-3</v>
      </c>
      <c r="AF96" s="13">
        <f t="shared" ref="AF96" si="217">AF95/AF48</f>
        <v>-5.7964366770345849E-3</v>
      </c>
    </row>
    <row r="97" spans="2:32" x14ac:dyDescent="0.25">
      <c r="B97" s="35"/>
      <c r="P97" s="21"/>
      <c r="X97" s="21"/>
      <c r="Z97" s="63"/>
      <c r="AA97" s="73"/>
      <c r="AB97" s="63"/>
      <c r="AC97" s="63"/>
      <c r="AD97" s="63"/>
      <c r="AE97" s="63"/>
      <c r="AF97" s="63"/>
    </row>
    <row r="98" spans="2:32" x14ac:dyDescent="0.25">
      <c r="B98" s="35"/>
      <c r="P98" s="21"/>
      <c r="X98" s="21"/>
      <c r="Z98" s="63"/>
      <c r="AA98" s="73"/>
      <c r="AB98" s="63"/>
      <c r="AC98" s="63"/>
      <c r="AD98" s="63"/>
      <c r="AE98" s="63"/>
      <c r="AF98" s="63"/>
    </row>
    <row r="99" spans="2:32" x14ac:dyDescent="0.25">
      <c r="B99" s="1" t="s">
        <v>108</v>
      </c>
      <c r="E99" s="79">
        <v>2718.0949999999998</v>
      </c>
      <c r="F99" s="79">
        <v>5591.1260000000002</v>
      </c>
      <c r="G99" s="79">
        <v>8204.8940000000002</v>
      </c>
      <c r="H99" s="79">
        <v>10309.535</v>
      </c>
      <c r="I99" s="79">
        <v>2390.1080000000002</v>
      </c>
      <c r="J99" s="79">
        <v>4826.0379999999996</v>
      </c>
      <c r="K99" s="79">
        <v>5912.0150000000003</v>
      </c>
      <c r="L99" s="79">
        <v>6933.7179999999998</v>
      </c>
      <c r="M99" s="79">
        <v>905.24400000000003</v>
      </c>
      <c r="N99" s="79">
        <v>2367.2530000000002</v>
      </c>
      <c r="O99" s="79">
        <v>3823.5120000000002</v>
      </c>
      <c r="P99" s="79">
        <v>5192.6030000000001</v>
      </c>
      <c r="Q99" s="67">
        <f>+Q48*Q100</f>
        <v>3273.9181432576347</v>
      </c>
      <c r="R99" s="67">
        <f t="shared" ref="R99:X99" si="218">+R48*R100</f>
        <v>3558.1611103217597</v>
      </c>
      <c r="S99" s="67">
        <f t="shared" si="218"/>
        <v>4090.1300480354885</v>
      </c>
      <c r="T99" s="67">
        <f t="shared" si="218"/>
        <v>5093.4547053667056</v>
      </c>
      <c r="U99" s="67">
        <f t="shared" si="218"/>
        <v>4362.2703926649938</v>
      </c>
      <c r="V99" s="67">
        <f t="shared" si="218"/>
        <v>4628.3061011576074</v>
      </c>
      <c r="W99" s="67">
        <f t="shared" si="218"/>
        <v>5198.5156858479822</v>
      </c>
      <c r="X99" s="71">
        <f t="shared" si="218"/>
        <v>6327.2559993920113</v>
      </c>
      <c r="Z99" s="67">
        <f t="shared" ref="Z99" si="219">SUM(I99:L99)</f>
        <v>20061.879000000001</v>
      </c>
      <c r="AA99" s="71">
        <f>+SUM(M99:P99)</f>
        <v>12288.612000000001</v>
      </c>
      <c r="AB99" s="67">
        <f t="shared" ref="AB99" si="220">+SUM(Q99:T99)</f>
        <v>16015.664006981588</v>
      </c>
      <c r="AC99" s="67">
        <f t="shared" ref="AC99" si="221">+SUM(U99:X99)</f>
        <v>20516.348179062596</v>
      </c>
      <c r="AD99" s="67">
        <f>+AD100*AD48</f>
        <v>25257.0366137442</v>
      </c>
      <c r="AE99" s="67">
        <f t="shared" ref="AE99:AF99" si="222">+AE100*AE48</f>
        <v>29831.637637791115</v>
      </c>
      <c r="AF99" s="67">
        <f t="shared" si="222"/>
        <v>33744.857762854866</v>
      </c>
    </row>
    <row r="100" spans="2:32" x14ac:dyDescent="0.25">
      <c r="B100" s="35"/>
      <c r="E100" s="36">
        <f>E99/E48</f>
        <v>9.8360669382117544E-2</v>
      </c>
      <c r="F100" s="36">
        <f t="shared" ref="F100:P100" si="223">F99/F48</f>
        <v>0.19113628937580349</v>
      </c>
      <c r="G100" s="36">
        <f t="shared" si="223"/>
        <v>0.26982461239382777</v>
      </c>
      <c r="H100" s="36">
        <f t="shared" si="223"/>
        <v>0.26934588999867071</v>
      </c>
      <c r="I100" s="36">
        <f t="shared" si="223"/>
        <v>6.8931972725744972E-2</v>
      </c>
      <c r="J100" s="36">
        <f t="shared" si="223"/>
        <v>0.13813281454270054</v>
      </c>
      <c r="K100" s="36">
        <f t="shared" si="223"/>
        <v>0.14474551724001164</v>
      </c>
      <c r="L100" s="36">
        <f t="shared" si="223"/>
        <v>0.14178954724780796</v>
      </c>
      <c r="M100" s="36">
        <f t="shared" si="223"/>
        <v>1.926927036660964E-2</v>
      </c>
      <c r="N100" s="36">
        <f t="shared" si="223"/>
        <v>4.2296162815140412E-2</v>
      </c>
      <c r="O100" s="36">
        <f t="shared" si="223"/>
        <v>5.4654634041595221E-2</v>
      </c>
      <c r="P100" s="36">
        <f t="shared" si="223"/>
        <v>5.2865416736151367E-2</v>
      </c>
      <c r="Q100" s="88">
        <f>AVERAGE(M100:P100)</f>
        <v>4.2271370989874157E-2</v>
      </c>
      <c r="R100" s="88">
        <f>+Q100</f>
        <v>4.2271370989874157E-2</v>
      </c>
      <c r="S100" s="88">
        <f t="shared" ref="S100:X100" si="224">+R100</f>
        <v>4.2271370989874157E-2</v>
      </c>
      <c r="T100" s="88">
        <f t="shared" si="224"/>
        <v>4.2271370989874157E-2</v>
      </c>
      <c r="U100" s="88">
        <f t="shared" si="224"/>
        <v>4.2271370989874157E-2</v>
      </c>
      <c r="V100" s="88">
        <f t="shared" si="224"/>
        <v>4.2271370989874157E-2</v>
      </c>
      <c r="W100" s="88">
        <f t="shared" si="224"/>
        <v>4.2271370989874157E-2</v>
      </c>
      <c r="X100" s="143">
        <f t="shared" si="224"/>
        <v>4.2271370989874157E-2</v>
      </c>
      <c r="Z100" s="88">
        <f>+Z99/Z48</f>
        <v>0.12589285505858516</v>
      </c>
      <c r="AA100" s="88">
        <f>+AA99/AA48</f>
        <v>4.5324042465716086E-2</v>
      </c>
      <c r="AB100" s="88">
        <f>+AB99/AB48</f>
        <v>4.227137098987415E-2</v>
      </c>
      <c r="AC100" s="88">
        <f>+AC99/AC48</f>
        <v>4.2271370989874157E-2</v>
      </c>
      <c r="AD100" s="88">
        <f>+AC100</f>
        <v>4.2271370989874157E-2</v>
      </c>
      <c r="AE100" s="88">
        <f t="shared" ref="AE100:AF100" si="225">+AD100</f>
        <v>4.2271370989874157E-2</v>
      </c>
      <c r="AF100" s="88">
        <f t="shared" si="225"/>
        <v>4.2271370989874157E-2</v>
      </c>
    </row>
    <row r="101" spans="2:32" x14ac:dyDescent="0.25">
      <c r="B101" s="81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83"/>
      <c r="Q101" s="54"/>
      <c r="R101" s="54"/>
      <c r="S101" s="54"/>
      <c r="T101" s="54"/>
      <c r="U101" s="54"/>
      <c r="V101" s="54"/>
      <c r="W101" s="54"/>
      <c r="X101" s="83"/>
      <c r="Z101" s="72"/>
      <c r="AA101" s="74"/>
      <c r="AB101" s="72"/>
      <c r="AC101" s="72"/>
      <c r="AD101" s="72"/>
      <c r="AE101" s="72"/>
      <c r="AF101" s="72"/>
    </row>
    <row r="102" spans="2:32" x14ac:dyDescent="0.25">
      <c r="B102" s="1" t="s">
        <v>80</v>
      </c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71"/>
      <c r="Q102" s="67">
        <f>+Q83+Q85+Q95-Q93+Q99</f>
        <v>30346.847601311081</v>
      </c>
      <c r="R102" s="67">
        <f t="shared" ref="R102:X102" si="226">+R83+R85+R95-R93+R99</f>
        <v>11239.261134301223</v>
      </c>
      <c r="S102" s="67">
        <f t="shared" si="226"/>
        <v>15732.171529612999</v>
      </c>
      <c r="T102" s="67">
        <f t="shared" si="226"/>
        <v>28287.047406864905</v>
      </c>
      <c r="U102" s="67">
        <f t="shared" si="226"/>
        <v>15940.265423015384</v>
      </c>
      <c r="V102" s="67">
        <f t="shared" si="226"/>
        <v>17166.910610894774</v>
      </c>
      <c r="W102" s="67">
        <f t="shared" si="226"/>
        <v>20081.513268017421</v>
      </c>
      <c r="X102" s="71">
        <f t="shared" si="226"/>
        <v>28124.867770836823</v>
      </c>
      <c r="Z102" s="67"/>
      <c r="AA102" s="67">
        <f>+AA83+AA85+AA95-AA93+AA99</f>
        <v>76874.080000000016</v>
      </c>
      <c r="AB102" s="67">
        <f>+AB83+AB85+AB95-AB93+AB99</f>
        <v>85605.327672090207</v>
      </c>
      <c r="AC102" s="67">
        <f t="shared" ref="AC102:AE102" si="227">+AC83+AC85+AC95-AC93+AC99</f>
        <v>81313.557072764379</v>
      </c>
      <c r="AD102" s="67">
        <f t="shared" si="227"/>
        <v>178090.56880723542</v>
      </c>
      <c r="AE102" s="67">
        <f t="shared" si="227"/>
        <v>216982.18294607796</v>
      </c>
      <c r="AF102" s="67">
        <f>+AF83+AF85+AF95-AF93</f>
        <v>218077.65748390049</v>
      </c>
    </row>
    <row r="103" spans="2:32" x14ac:dyDescent="0.25">
      <c r="P103" s="21"/>
      <c r="X103" s="21"/>
    </row>
    <row r="104" spans="2:32" x14ac:dyDescent="0.25">
      <c r="B104" s="1" t="s">
        <v>110</v>
      </c>
      <c r="Q104" s="63">
        <f>Q81+Q85+Q99</f>
        <v>33248.063042790061</v>
      </c>
      <c r="R104" s="63">
        <f t="shared" ref="R104:X104" si="228">R81+R85+R99</f>
        <v>36419.210175137167</v>
      </c>
      <c r="S104" s="63">
        <f t="shared" si="228"/>
        <v>40864.276305250074</v>
      </c>
      <c r="T104" s="63">
        <f t="shared" si="228"/>
        <v>50348.529953579506</v>
      </c>
      <c r="U104" s="63">
        <f t="shared" si="228"/>
        <v>44446.474208229789</v>
      </c>
      <c r="V104" s="63">
        <f t="shared" si="228"/>
        <v>47366.504122965373</v>
      </c>
      <c r="W104" s="63">
        <f t="shared" si="228"/>
        <v>51765.821567431281</v>
      </c>
      <c r="X104" s="73">
        <f t="shared" si="228"/>
        <v>62135.739214003523</v>
      </c>
      <c r="AA104" s="63">
        <f t="shared" ref="AA104:AE104" si="229">AA81+AA85+AA99</f>
        <v>95499.581999999995</v>
      </c>
      <c r="AB104" s="63">
        <f t="shared" si="229"/>
        <v>160880.0794767568</v>
      </c>
      <c r="AC104" s="63">
        <f t="shared" si="229"/>
        <v>205714.53911262995</v>
      </c>
      <c r="AD104" s="63">
        <f t="shared" si="229"/>
        <v>252769.63254391402</v>
      </c>
      <c r="AE104" s="63">
        <f t="shared" si="229"/>
        <v>297964.66888575244</v>
      </c>
      <c r="AF104" s="63">
        <f>AF81+AF85</f>
        <v>302615.93586538959</v>
      </c>
    </row>
    <row r="106" spans="2:32" x14ac:dyDescent="0.25"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</row>
    <row r="108" spans="2:32" x14ac:dyDescent="0.25">
      <c r="M108" s="63"/>
    </row>
  </sheetData>
  <dataValidations count="1">
    <dataValidation type="list" allowBlank="1" showInputMessage="1" showErrorMessage="1" sqref="C7:C8" xr:uid="{26AB45EF-0164-4278-9357-D621D7801F4D}">
      <formula1>$B$20:$B$22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99AC-74A1-4AFE-A0E4-38EF05DBDB68}">
  <dimension ref="B2:M79"/>
  <sheetViews>
    <sheetView showGridLines="0" zoomScale="90" zoomScaleNormal="90" workbookViewId="0">
      <selection activeCell="E35" sqref="E35"/>
    </sheetView>
  </sheetViews>
  <sheetFormatPr defaultRowHeight="13.15" x14ac:dyDescent="0.25"/>
  <cols>
    <col min="1" max="1" width="8.88671875" style="2"/>
    <col min="2" max="4" width="9.77734375" style="2" customWidth="1"/>
    <col min="5" max="5" width="9.6640625" style="2" bestFit="1" customWidth="1"/>
    <col min="6" max="10" width="9.77734375" style="2" customWidth="1"/>
    <col min="11" max="11" width="11.44140625" style="2" bestFit="1" customWidth="1"/>
    <col min="12" max="12" width="18.77734375" style="2" bestFit="1" customWidth="1"/>
    <col min="13" max="16384" width="8.88671875" style="2"/>
  </cols>
  <sheetData>
    <row r="2" spans="2:13" x14ac:dyDescent="0.25">
      <c r="B2" s="1" t="s">
        <v>88</v>
      </c>
      <c r="C2" s="1"/>
      <c r="E2" s="21"/>
    </row>
    <row r="3" spans="2:13" x14ac:dyDescent="0.25">
      <c r="B3" s="3" t="s">
        <v>6</v>
      </c>
      <c r="C3" s="3"/>
      <c r="D3" s="4" t="s">
        <v>7</v>
      </c>
      <c r="E3" s="20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L3" s="18" t="s">
        <v>89</v>
      </c>
      <c r="M3" s="131">
        <f>+E58</f>
        <v>0.15128684336886372</v>
      </c>
    </row>
    <row r="4" spans="2:13" x14ac:dyDescent="0.25">
      <c r="B4" s="7" t="s">
        <v>14</v>
      </c>
      <c r="C4" s="7"/>
      <c r="D4" s="8">
        <v>45291</v>
      </c>
      <c r="E4" s="34">
        <v>45657</v>
      </c>
      <c r="F4" s="84">
        <v>46022</v>
      </c>
      <c r="G4" s="84">
        <v>46387</v>
      </c>
      <c r="H4" s="84">
        <v>46752</v>
      </c>
      <c r="I4" s="84">
        <v>47118</v>
      </c>
      <c r="J4" s="84">
        <v>47483</v>
      </c>
      <c r="L4" s="18" t="s">
        <v>90</v>
      </c>
      <c r="M4" s="131">
        <v>2.5000000000000001E-2</v>
      </c>
    </row>
    <row r="5" spans="2:13" x14ac:dyDescent="0.25">
      <c r="B5" s="2" t="s">
        <v>83</v>
      </c>
      <c r="D5" s="45"/>
      <c r="E5" s="112">
        <v>45740</v>
      </c>
      <c r="F5" s="45">
        <f t="shared" ref="F5:J5" si="0">+F4</f>
        <v>46022</v>
      </c>
      <c r="G5" s="45">
        <f>+G4</f>
        <v>46387</v>
      </c>
      <c r="H5" s="45">
        <f t="shared" si="0"/>
        <v>46752</v>
      </c>
      <c r="I5" s="45">
        <f t="shared" si="0"/>
        <v>47118</v>
      </c>
      <c r="J5" s="45">
        <f t="shared" si="0"/>
        <v>47483</v>
      </c>
      <c r="L5" s="18" t="s">
        <v>109</v>
      </c>
      <c r="M5" s="132">
        <v>8</v>
      </c>
    </row>
    <row r="6" spans="2:13" x14ac:dyDescent="0.25">
      <c r="B6" s="2" t="s">
        <v>84</v>
      </c>
      <c r="D6" s="45"/>
      <c r="E6" s="112">
        <f>+E5</f>
        <v>45740</v>
      </c>
      <c r="F6" s="45">
        <f>AVERAGE(E5:F5)</f>
        <v>45881</v>
      </c>
      <c r="G6" s="45">
        <f>AVERAGE(F5:G5)</f>
        <v>46204.5</v>
      </c>
      <c r="H6" s="45">
        <f t="shared" ref="F6:J6" si="1">AVERAGE(G5:H5)</f>
        <v>46569.5</v>
      </c>
      <c r="I6" s="45">
        <f t="shared" si="1"/>
        <v>46935</v>
      </c>
      <c r="J6" s="45">
        <f t="shared" si="1"/>
        <v>47300.5</v>
      </c>
      <c r="L6" s="18" t="s">
        <v>160</v>
      </c>
      <c r="M6" s="133">
        <f>+Model!C4</f>
        <v>235.93</v>
      </c>
    </row>
    <row r="7" spans="2:13" x14ac:dyDescent="0.25">
      <c r="B7" s="2" t="s">
        <v>85</v>
      </c>
      <c r="E7" s="21"/>
      <c r="F7" s="85">
        <f>YEARFRAC(E5,F5)</f>
        <v>0.76944444444444449</v>
      </c>
      <c r="G7" s="85">
        <f t="shared" ref="G7:J7" si="2">YEARFRAC(F5,G5)</f>
        <v>1</v>
      </c>
      <c r="H7" s="85">
        <f t="shared" si="2"/>
        <v>1</v>
      </c>
      <c r="I7" s="85">
        <f t="shared" si="2"/>
        <v>1</v>
      </c>
      <c r="J7" s="85">
        <f t="shared" si="2"/>
        <v>1</v>
      </c>
    </row>
    <row r="8" spans="2:13" x14ac:dyDescent="0.25">
      <c r="E8" s="21"/>
    </row>
    <row r="9" spans="2:13" x14ac:dyDescent="0.25">
      <c r="B9" s="2" t="s">
        <v>80</v>
      </c>
      <c r="E9" s="21">
        <v>0</v>
      </c>
      <c r="F9" s="63">
        <f>Model!AB102*F7</f>
        <v>65868.543792136086</v>
      </c>
      <c r="G9" s="63">
        <f>Model!AC102*G7</f>
        <v>81313.557072764379</v>
      </c>
      <c r="H9" s="63">
        <f>Model!AD102*H7</f>
        <v>178090.56880723542</v>
      </c>
      <c r="I9" s="63">
        <f>Model!AE102*I7</f>
        <v>216982.18294607796</v>
      </c>
      <c r="J9" s="63">
        <f>Model!AF102*J7</f>
        <v>218077.65748390049</v>
      </c>
    </row>
    <row r="10" spans="2:13" x14ac:dyDescent="0.25">
      <c r="B10" s="2" t="s">
        <v>86</v>
      </c>
      <c r="E10" s="21">
        <v>0</v>
      </c>
      <c r="F10" s="2">
        <v>0</v>
      </c>
      <c r="G10" s="2">
        <v>0</v>
      </c>
      <c r="H10" s="2">
        <v>0</v>
      </c>
      <c r="I10" s="2">
        <v>0</v>
      </c>
      <c r="J10" s="63">
        <f>(J9*(1+M4))/(M3-M4)</f>
        <v>1770014.9355076023</v>
      </c>
    </row>
    <row r="11" spans="2:13" x14ac:dyDescent="0.25">
      <c r="E11" s="21"/>
    </row>
    <row r="12" spans="2:13" x14ac:dyDescent="0.25">
      <c r="B12" s="2" t="s">
        <v>87</v>
      </c>
      <c r="E12" s="21">
        <v>0</v>
      </c>
      <c r="F12" s="2">
        <v>0</v>
      </c>
      <c r="G12" s="2">
        <v>0</v>
      </c>
      <c r="H12" s="2">
        <v>0</v>
      </c>
      <c r="I12" s="2">
        <v>0</v>
      </c>
      <c r="J12" s="63">
        <f>+M5*(Model!AF104)</f>
        <v>2420927.4869231167</v>
      </c>
    </row>
    <row r="13" spans="2:13" x14ac:dyDescent="0.25">
      <c r="B13" s="54"/>
      <c r="C13" s="54"/>
      <c r="D13" s="54"/>
      <c r="E13" s="83"/>
      <c r="F13" s="54"/>
      <c r="G13" s="54"/>
      <c r="H13" s="54"/>
      <c r="I13" s="54"/>
      <c r="J13" s="54"/>
    </row>
    <row r="15" spans="2:13" x14ac:dyDescent="0.25">
      <c r="B15" s="57" t="s">
        <v>80</v>
      </c>
      <c r="C15" s="54"/>
      <c r="D15" s="54"/>
      <c r="F15" s="57" t="s">
        <v>106</v>
      </c>
      <c r="G15" s="54"/>
      <c r="H15" s="54"/>
      <c r="I15" s="54"/>
    </row>
    <row r="16" spans="2:13" x14ac:dyDescent="0.25">
      <c r="B16" s="2" t="s">
        <v>91</v>
      </c>
      <c r="D16" s="63">
        <f>XNPV($M$3,$E$9:$J$9,$E$6:$J$6)</f>
        <v>515922.11252677906</v>
      </c>
      <c r="F16" s="2" t="s">
        <v>91</v>
      </c>
      <c r="I16" s="63">
        <f>XNPV($M$3,$E$9:$J$9,$E$6:$J$6)</f>
        <v>515922.11252677906</v>
      </c>
      <c r="J16" s="63"/>
      <c r="K16" s="63"/>
    </row>
    <row r="17" spans="2:11" x14ac:dyDescent="0.25">
      <c r="B17" s="54" t="s">
        <v>92</v>
      </c>
      <c r="C17" s="54"/>
      <c r="D17" s="72">
        <f>XNPV($M$3,E10:J10,E6:J6)</f>
        <v>969348.96318458393</v>
      </c>
      <c r="F17" s="54" t="s">
        <v>92</v>
      </c>
      <c r="G17" s="54"/>
      <c r="H17" s="54"/>
      <c r="I17" s="72">
        <f>XNPV($M$3,E12:J12,E6:J6)</f>
        <v>1325821.3263160933</v>
      </c>
      <c r="J17" s="63"/>
      <c r="K17" s="63"/>
    </row>
    <row r="18" spans="2:11" x14ac:dyDescent="0.25">
      <c r="B18" s="1" t="s">
        <v>93</v>
      </c>
      <c r="D18" s="67">
        <f>SUM(D16:D17)</f>
        <v>1485271.075711363</v>
      </c>
      <c r="F18" s="1" t="s">
        <v>93</v>
      </c>
      <c r="I18" s="67">
        <f>SUM(I16:I17)</f>
        <v>1841743.4388428724</v>
      </c>
      <c r="J18" s="63"/>
      <c r="K18" s="63"/>
    </row>
    <row r="19" spans="2:11" x14ac:dyDescent="0.25">
      <c r="B19" s="2" t="s">
        <v>97</v>
      </c>
      <c r="D19" s="63">
        <v>73185.251999999993</v>
      </c>
      <c r="F19" s="2" t="s">
        <v>97</v>
      </c>
      <c r="I19" s="63">
        <v>73185.251999999993</v>
      </c>
      <c r="J19" s="63"/>
      <c r="K19" s="63"/>
    </row>
    <row r="20" spans="2:11" x14ac:dyDescent="0.25">
      <c r="B20" s="2" t="s">
        <v>98</v>
      </c>
      <c r="D20" s="113" t="s">
        <v>28</v>
      </c>
      <c r="F20" s="2" t="s">
        <v>98</v>
      </c>
      <c r="I20" s="113" t="s">
        <v>28</v>
      </c>
      <c r="J20" s="63"/>
      <c r="K20" s="63"/>
    </row>
    <row r="21" spans="2:11" x14ac:dyDescent="0.25">
      <c r="B21" s="2" t="s">
        <v>99</v>
      </c>
      <c r="D21" s="113" t="s">
        <v>28</v>
      </c>
      <c r="F21" s="2" t="s">
        <v>99</v>
      </c>
      <c r="I21" s="113" t="s">
        <v>28</v>
      </c>
      <c r="J21" s="63"/>
      <c r="K21" s="63"/>
    </row>
    <row r="22" spans="2:11" x14ac:dyDescent="0.25">
      <c r="B22" s="2" t="s">
        <v>100</v>
      </c>
      <c r="D22" s="63">
        <v>7927</v>
      </c>
      <c r="F22" s="2" t="s">
        <v>100</v>
      </c>
      <c r="I22" s="63">
        <v>7927</v>
      </c>
      <c r="J22" s="63"/>
      <c r="K22" s="63"/>
    </row>
    <row r="23" spans="2:11" x14ac:dyDescent="0.25">
      <c r="B23" s="2" t="s">
        <v>101</v>
      </c>
      <c r="D23" s="63">
        <f>-103992</f>
        <v>-103992</v>
      </c>
      <c r="F23" s="2" t="s">
        <v>101</v>
      </c>
      <c r="I23" s="63">
        <v>-103992</v>
      </c>
      <c r="J23" s="63"/>
      <c r="K23" s="63"/>
    </row>
    <row r="24" spans="2:11" x14ac:dyDescent="0.25">
      <c r="B24" s="2" t="s">
        <v>102</v>
      </c>
      <c r="D24" s="113" t="s">
        <v>28</v>
      </c>
      <c r="F24" s="2" t="s">
        <v>102</v>
      </c>
      <c r="I24" s="113" t="s">
        <v>28</v>
      </c>
      <c r="J24" s="63"/>
      <c r="K24" s="63"/>
    </row>
    <row r="25" spans="2:11" x14ac:dyDescent="0.25">
      <c r="B25" s="2" t="s">
        <v>103</v>
      </c>
      <c r="D25" s="113" t="s">
        <v>28</v>
      </c>
      <c r="F25" s="2" t="s">
        <v>103</v>
      </c>
      <c r="I25" s="113" t="s">
        <v>28</v>
      </c>
      <c r="J25" s="63"/>
      <c r="K25" s="63"/>
    </row>
    <row r="26" spans="2:11" x14ac:dyDescent="0.25">
      <c r="B26" s="2" t="s">
        <v>104</v>
      </c>
      <c r="D26" s="113" t="s">
        <v>28</v>
      </c>
      <c r="F26" s="2" t="s">
        <v>104</v>
      </c>
      <c r="I26" s="113" t="s">
        <v>28</v>
      </c>
      <c r="J26" s="63"/>
      <c r="K26" s="63"/>
    </row>
    <row r="27" spans="2:11" x14ac:dyDescent="0.25">
      <c r="B27" s="54" t="s">
        <v>105</v>
      </c>
      <c r="C27" s="54"/>
      <c r="D27" s="114" t="s">
        <v>28</v>
      </c>
      <c r="F27" s="54" t="s">
        <v>105</v>
      </c>
      <c r="G27" s="54"/>
      <c r="H27" s="54"/>
      <c r="I27" s="114" t="s">
        <v>28</v>
      </c>
      <c r="J27" s="63"/>
      <c r="K27" s="63"/>
    </row>
    <row r="28" spans="2:11" x14ac:dyDescent="0.25">
      <c r="B28" s="1" t="s">
        <v>94</v>
      </c>
      <c r="D28" s="67">
        <f>SUM(D18:D27)</f>
        <v>1462391.3277113631</v>
      </c>
      <c r="F28" s="1" t="s">
        <v>94</v>
      </c>
      <c r="I28" s="67">
        <f>SUM(I18:I27)</f>
        <v>1818863.6908428725</v>
      </c>
      <c r="J28" s="63"/>
      <c r="K28" s="63"/>
    </row>
    <row r="29" spans="2:11" ht="13.8" thickBot="1" x14ac:dyDescent="0.3">
      <c r="B29" s="54" t="s">
        <v>95</v>
      </c>
      <c r="C29" s="54"/>
      <c r="D29" s="63">
        <f>Model!X59+F79</f>
        <v>5956.372064934515</v>
      </c>
      <c r="F29" s="54" t="s">
        <v>95</v>
      </c>
      <c r="G29" s="54"/>
      <c r="H29" s="54"/>
      <c r="I29" s="63">
        <f>+D29</f>
        <v>5956.372064934515</v>
      </c>
    </row>
    <row r="30" spans="2:11" ht="13.8" thickBot="1" x14ac:dyDescent="0.3">
      <c r="B30" s="1" t="s">
        <v>96</v>
      </c>
      <c r="D30" s="121">
        <f>D28/D29</f>
        <v>245.51712212884416</v>
      </c>
      <c r="F30" s="1" t="s">
        <v>96</v>
      </c>
      <c r="I30" s="121">
        <f>I28/I29</f>
        <v>305.36435115439173</v>
      </c>
    </row>
    <row r="33" spans="2:11" x14ac:dyDescent="0.25">
      <c r="B33" s="97" t="s">
        <v>111</v>
      </c>
      <c r="C33" s="97"/>
      <c r="D33" s="97"/>
      <c r="E33" s="97"/>
      <c r="F33" s="97"/>
      <c r="G33" s="97"/>
      <c r="H33" s="97"/>
      <c r="I33" s="97"/>
      <c r="J33" s="97"/>
      <c r="K33" s="98"/>
    </row>
    <row r="34" spans="2:11" x14ac:dyDescent="0.25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 x14ac:dyDescent="0.25">
      <c r="B35" s="2" t="s">
        <v>112</v>
      </c>
      <c r="E35" s="125">
        <v>103992</v>
      </c>
    </row>
    <row r="36" spans="2:11" x14ac:dyDescent="0.25">
      <c r="B36" s="2" t="s">
        <v>113</v>
      </c>
      <c r="E36" s="125">
        <v>1331180</v>
      </c>
    </row>
    <row r="37" spans="2:11" x14ac:dyDescent="0.25">
      <c r="B37" s="2" t="s">
        <v>114</v>
      </c>
      <c r="E37" s="122">
        <f>+E35/(E35+E36)</f>
        <v>7.2459607628911377E-2</v>
      </c>
    </row>
    <row r="38" spans="2:11" x14ac:dyDescent="0.25">
      <c r="B38" s="2" t="s">
        <v>115</v>
      </c>
      <c r="E38" s="122">
        <f>+E36/(E36+E35)</f>
        <v>0.92754039237108865</v>
      </c>
    </row>
    <row r="39" spans="2:11" x14ac:dyDescent="0.25">
      <c r="B39" s="2" t="s">
        <v>147</v>
      </c>
      <c r="E39" s="122">
        <f>G66</f>
        <v>0.10894171324323261</v>
      </c>
    </row>
    <row r="40" spans="2:11" x14ac:dyDescent="0.25">
      <c r="B40" s="2" t="s">
        <v>148</v>
      </c>
      <c r="E40" s="122">
        <f>F66</f>
        <v>0.89105828675676735</v>
      </c>
    </row>
    <row r="41" spans="2:11" x14ac:dyDescent="0.25">
      <c r="B41" s="2" t="s">
        <v>116</v>
      </c>
      <c r="E41" s="19">
        <v>3.58</v>
      </c>
    </row>
    <row r="42" spans="2:11" x14ac:dyDescent="0.25">
      <c r="B42" s="2" t="s">
        <v>145</v>
      </c>
      <c r="E42" s="123">
        <f>+J66</f>
        <v>2.4845697134750684</v>
      </c>
    </row>
    <row r="43" spans="2:11" x14ac:dyDescent="0.25">
      <c r="E43" s="63"/>
    </row>
    <row r="44" spans="2:11" x14ac:dyDescent="0.25">
      <c r="B44" s="57" t="s">
        <v>149</v>
      </c>
      <c r="C44" s="54"/>
      <c r="D44" s="54"/>
      <c r="E44" s="72"/>
      <c r="F44" s="54"/>
      <c r="G44" s="54"/>
      <c r="H44" s="54"/>
      <c r="I44" s="54"/>
      <c r="J44" s="54"/>
      <c r="K44" s="54"/>
    </row>
    <row r="45" spans="2:11" x14ac:dyDescent="0.25">
      <c r="E45" s="63"/>
    </row>
    <row r="46" spans="2:11" x14ac:dyDescent="0.25">
      <c r="B46" s="86" t="s">
        <v>150</v>
      </c>
      <c r="C46" s="78"/>
      <c r="D46" s="78"/>
      <c r="E46" s="78"/>
      <c r="G46" s="86" t="s">
        <v>151</v>
      </c>
      <c r="H46" s="78"/>
      <c r="I46" s="78"/>
      <c r="J46" s="78"/>
    </row>
    <row r="47" spans="2:11" x14ac:dyDescent="0.25">
      <c r="B47" s="2" t="s">
        <v>116</v>
      </c>
      <c r="E47" s="87">
        <f>+J47</f>
        <v>2.630140958710705</v>
      </c>
      <c r="G47" s="2" t="s">
        <v>146</v>
      </c>
      <c r="J47" s="87">
        <f>J66*(1+(1-E53)*(E35/E36))</f>
        <v>2.630140958710705</v>
      </c>
    </row>
    <row r="48" spans="2:11" x14ac:dyDescent="0.25">
      <c r="B48" s="62" t="s">
        <v>117</v>
      </c>
      <c r="E48" s="93">
        <v>4.2900000000000001E-2</v>
      </c>
      <c r="G48" s="62" t="s">
        <v>117</v>
      </c>
      <c r="J48" s="93">
        <v>4.2900000000000001E-2</v>
      </c>
    </row>
    <row r="49" spans="2:10" x14ac:dyDescent="0.25">
      <c r="B49" s="90" t="s">
        <v>118</v>
      </c>
      <c r="C49" s="91"/>
      <c r="D49" s="91"/>
      <c r="E49" s="94">
        <v>4.2999999999999997E-2</v>
      </c>
      <c r="G49" s="90" t="s">
        <v>118</v>
      </c>
      <c r="H49" s="91"/>
      <c r="I49" s="91"/>
      <c r="J49" s="94">
        <v>4.2999999999999997E-2</v>
      </c>
    </row>
    <row r="50" spans="2:10" x14ac:dyDescent="0.25">
      <c r="B50" s="62"/>
      <c r="E50" s="96">
        <f>+E48+(E47*(E49))</f>
        <v>0.15599606122456031</v>
      </c>
      <c r="G50" s="62"/>
      <c r="J50" s="96">
        <f>+J48+(J47*(J49))</f>
        <v>0.15599606122456031</v>
      </c>
    </row>
    <row r="51" spans="2:10" x14ac:dyDescent="0.25">
      <c r="B51" s="86" t="s">
        <v>119</v>
      </c>
      <c r="C51" s="78"/>
      <c r="D51" s="78"/>
      <c r="E51" s="78"/>
    </row>
    <row r="52" spans="2:10" x14ac:dyDescent="0.25">
      <c r="B52" s="2" t="s">
        <v>120</v>
      </c>
      <c r="E52" s="119">
        <v>0.13876749999999999</v>
      </c>
    </row>
    <row r="53" spans="2:10" x14ac:dyDescent="0.25">
      <c r="B53" s="92" t="s">
        <v>68</v>
      </c>
      <c r="C53" s="78"/>
      <c r="D53" s="78"/>
      <c r="E53" s="95">
        <f>+Model!E74</f>
        <v>0.25</v>
      </c>
    </row>
    <row r="54" spans="2:10" x14ac:dyDescent="0.25">
      <c r="E54" s="96">
        <f>+E52*(1-E53)</f>
        <v>0.10407562499999999</v>
      </c>
    </row>
    <row r="56" spans="2:10" x14ac:dyDescent="0.25">
      <c r="B56" s="2" t="s">
        <v>152</v>
      </c>
      <c r="E56" s="119">
        <f>(E54*E39)+(E50*E40)</f>
        <v>0.15033975994992069</v>
      </c>
    </row>
    <row r="57" spans="2:10" ht="13.8" thickBot="1" x14ac:dyDescent="0.3">
      <c r="B57" s="54" t="s">
        <v>153</v>
      </c>
      <c r="C57" s="54"/>
      <c r="D57" s="54"/>
      <c r="E57" s="119">
        <f>(E54*E37)+(J50*E38)</f>
        <v>0.15223392678780676</v>
      </c>
    </row>
    <row r="58" spans="2:10" ht="13.8" thickBot="1" x14ac:dyDescent="0.3">
      <c r="B58" s="1" t="s">
        <v>154</v>
      </c>
      <c r="C58" s="1"/>
      <c r="D58" s="1"/>
      <c r="E58" s="120">
        <f>AVERAGE(E56:E57)</f>
        <v>0.15128684336886372</v>
      </c>
    </row>
    <row r="59" spans="2:10" x14ac:dyDescent="0.25">
      <c r="B59" s="1" t="s">
        <v>121</v>
      </c>
    </row>
    <row r="60" spans="2:10" x14ac:dyDescent="0.25">
      <c r="D60" s="115" t="s">
        <v>122</v>
      </c>
      <c r="E60" s="115" t="s">
        <v>123</v>
      </c>
      <c r="F60" s="115" t="s">
        <v>124</v>
      </c>
      <c r="G60" s="115" t="s">
        <v>125</v>
      </c>
      <c r="H60" s="115" t="s">
        <v>126</v>
      </c>
      <c r="I60" s="115" t="s">
        <v>127</v>
      </c>
      <c r="J60" s="115" t="s">
        <v>128</v>
      </c>
    </row>
    <row r="61" spans="2:10" x14ac:dyDescent="0.25">
      <c r="B61" s="57" t="s">
        <v>129</v>
      </c>
      <c r="C61" s="57" t="s">
        <v>130</v>
      </c>
      <c r="D61" s="116" t="s">
        <v>131</v>
      </c>
      <c r="E61" s="116" t="s">
        <v>132</v>
      </c>
      <c r="F61" s="116" t="s">
        <v>133</v>
      </c>
      <c r="G61" s="116" t="s">
        <v>133</v>
      </c>
      <c r="H61" s="116" t="s">
        <v>134</v>
      </c>
      <c r="I61" s="116" t="s">
        <v>135</v>
      </c>
      <c r="J61" s="116" t="s">
        <v>116</v>
      </c>
    </row>
    <row r="62" spans="2:10" x14ac:dyDescent="0.25">
      <c r="B62" s="2" t="s">
        <v>138</v>
      </c>
      <c r="C62" s="2" t="s">
        <v>139</v>
      </c>
      <c r="D62" s="64">
        <v>1239.76</v>
      </c>
      <c r="E62" s="64">
        <v>15972.82</v>
      </c>
      <c r="F62" s="100">
        <f>+E62/(D62+E62)</f>
        <v>0.92797360999919831</v>
      </c>
      <c r="G62" s="100">
        <f>+D62/(D62+E62)</f>
        <v>7.2026390000801743E-2</v>
      </c>
      <c r="H62" s="101">
        <v>0.21</v>
      </c>
      <c r="I62" s="99">
        <v>3.64</v>
      </c>
      <c r="J62" s="117">
        <f>I62/(1+(1-H62)*(D62/E62))</f>
        <v>3.4297000116279688</v>
      </c>
    </row>
    <row r="63" spans="2:10" x14ac:dyDescent="0.25">
      <c r="B63" s="102" t="s">
        <v>140</v>
      </c>
      <c r="C63" s="102" t="s">
        <v>141</v>
      </c>
      <c r="D63" s="64">
        <v>11857</v>
      </c>
      <c r="E63" s="64">
        <v>69434.929999999993</v>
      </c>
      <c r="F63" s="100">
        <f t="shared" ref="F63:F65" si="3">+E63/(D63+E63)</f>
        <v>0.8541429635143365</v>
      </c>
      <c r="G63" s="100">
        <f t="shared" ref="G63:G65" si="4">+D63/(D63+E63)</f>
        <v>0.14585703648566348</v>
      </c>
      <c r="H63" s="101">
        <v>0.26500000000000001</v>
      </c>
      <c r="I63" s="99">
        <v>1.53</v>
      </c>
      <c r="J63" s="117">
        <f t="shared" ref="J63:J65" si="5">I63/(1+(1-H63)*(D63/E63))</f>
        <v>1.3593817119871989</v>
      </c>
    </row>
    <row r="64" spans="2:10" x14ac:dyDescent="0.25">
      <c r="B64" s="102" t="s">
        <v>143</v>
      </c>
      <c r="C64" s="102" t="s">
        <v>142</v>
      </c>
      <c r="D64" s="64">
        <v>7918.61</v>
      </c>
      <c r="E64" s="64">
        <v>37902.29</v>
      </c>
      <c r="F64" s="103">
        <f t="shared" si="3"/>
        <v>0.82718344685503775</v>
      </c>
      <c r="G64" s="103">
        <f t="shared" si="4"/>
        <v>0.17281655314496222</v>
      </c>
      <c r="H64" s="104">
        <v>0.21</v>
      </c>
      <c r="I64" s="99">
        <v>2.78</v>
      </c>
      <c r="J64" s="117">
        <f t="shared" si="5"/>
        <v>2.3861675240716731</v>
      </c>
    </row>
    <row r="65" spans="2:10" x14ac:dyDescent="0.25">
      <c r="B65" s="107" t="s">
        <v>144</v>
      </c>
      <c r="C65" s="107" t="s">
        <v>136</v>
      </c>
      <c r="D65" s="66">
        <v>1126</v>
      </c>
      <c r="E65" s="66">
        <v>134933.26999999999</v>
      </c>
      <c r="F65" s="109">
        <f t="shared" si="3"/>
        <v>0.99172419490417674</v>
      </c>
      <c r="G65" s="109">
        <f t="shared" si="4"/>
        <v>8.2758050958233135E-3</v>
      </c>
      <c r="H65" s="110">
        <v>0.21</v>
      </c>
      <c r="I65" s="108">
        <v>2.6</v>
      </c>
      <c r="J65" s="118">
        <f t="shared" si="5"/>
        <v>2.5829719028784637</v>
      </c>
    </row>
    <row r="66" spans="2:10" x14ac:dyDescent="0.25">
      <c r="B66" s="1" t="s">
        <v>137</v>
      </c>
      <c r="D66" s="63">
        <f t="shared" ref="D66:J66" si="6">MEDIAN(D62:D65)</f>
        <v>4579.1849999999995</v>
      </c>
      <c r="E66" s="63">
        <f t="shared" si="6"/>
        <v>53668.61</v>
      </c>
      <c r="F66" s="100">
        <f t="shared" si="6"/>
        <v>0.89105828675676735</v>
      </c>
      <c r="G66" s="100">
        <f t="shared" si="6"/>
        <v>0.10894171324323261</v>
      </c>
      <c r="H66" s="100">
        <f t="shared" si="6"/>
        <v>0.21</v>
      </c>
      <c r="I66" s="105">
        <f t="shared" si="6"/>
        <v>2.69</v>
      </c>
      <c r="J66" s="106">
        <f t="shared" si="6"/>
        <v>2.4845697134750684</v>
      </c>
    </row>
    <row r="68" spans="2:10" x14ac:dyDescent="0.25">
      <c r="B68" s="97" t="s">
        <v>161</v>
      </c>
      <c r="C68" s="97"/>
      <c r="D68" s="97"/>
      <c r="E68" s="97"/>
      <c r="F68" s="97"/>
      <c r="G68" s="97"/>
      <c r="H68" s="97"/>
      <c r="I68" s="97"/>
      <c r="J68" s="97"/>
    </row>
    <row r="70" spans="2:10" x14ac:dyDescent="0.25">
      <c r="B70" s="124" t="s">
        <v>166</v>
      </c>
      <c r="C70" s="124" t="s">
        <v>165</v>
      </c>
      <c r="D70" s="124" t="s">
        <v>164</v>
      </c>
      <c r="E70" s="124" t="s">
        <v>163</v>
      </c>
      <c r="F70" s="124" t="s">
        <v>162</v>
      </c>
    </row>
    <row r="71" spans="2:10" x14ac:dyDescent="0.25">
      <c r="B71" s="2" t="s">
        <v>155</v>
      </c>
      <c r="C71" s="162">
        <v>182.34800000000001</v>
      </c>
      <c r="D71" s="2">
        <v>62.57</v>
      </c>
      <c r="E71" s="126">
        <f>IF(D71&lt;M$6,C71-((C71*D71)/M$6),0)</f>
        <v>133.98825617767983</v>
      </c>
      <c r="F71" s="63">
        <f>+D71*C71</f>
        <v>11409.514360000001</v>
      </c>
    </row>
    <row r="72" spans="2:10" x14ac:dyDescent="0.25">
      <c r="B72" s="2" t="s">
        <v>156</v>
      </c>
      <c r="C72" s="162"/>
      <c r="E72" s="127">
        <f>IF(D72&lt;M$6,C72-((C72*D72)/M$6),0)</f>
        <v>0</v>
      </c>
      <c r="F72" s="63"/>
    </row>
    <row r="73" spans="2:10" x14ac:dyDescent="0.25">
      <c r="B73" s="2" t="s">
        <v>157</v>
      </c>
      <c r="C73" s="162">
        <v>315.36500000000001</v>
      </c>
      <c r="D73" s="2">
        <v>47.22</v>
      </c>
      <c r="E73" s="126">
        <f>+C73</f>
        <v>315.36500000000001</v>
      </c>
      <c r="F73" s="63">
        <f>+D73*C73</f>
        <v>14891.5353</v>
      </c>
    </row>
    <row r="74" spans="2:10" x14ac:dyDescent="0.25">
      <c r="B74" s="54" t="s">
        <v>158</v>
      </c>
      <c r="C74" s="111"/>
      <c r="D74" s="54"/>
      <c r="E74" s="128">
        <f t="shared" ref="E74" si="7">+C74</f>
        <v>0</v>
      </c>
      <c r="F74" s="72"/>
    </row>
    <row r="75" spans="2:10" x14ac:dyDescent="0.25">
      <c r="B75" s="1" t="s">
        <v>159</v>
      </c>
      <c r="C75" s="1"/>
      <c r="D75" s="1"/>
      <c r="E75" s="129">
        <f>SUM(E71:E74)</f>
        <v>449.35325617767984</v>
      </c>
      <c r="F75" s="129">
        <f>SUM(F71:F74)</f>
        <v>26301.049660000001</v>
      </c>
    </row>
    <row r="77" spans="2:10" x14ac:dyDescent="0.25">
      <c r="B77" s="2" t="s">
        <v>167</v>
      </c>
      <c r="F77" s="130">
        <f>E75</f>
        <v>449.35325617767984</v>
      </c>
    </row>
    <row r="78" spans="2:10" x14ac:dyDescent="0.25">
      <c r="B78" s="54" t="s">
        <v>168</v>
      </c>
      <c r="C78" s="54"/>
      <c r="D78" s="54"/>
      <c r="E78" s="54"/>
      <c r="F78" s="72">
        <f>+-F75/M6</f>
        <v>-111.47819124316534</v>
      </c>
    </row>
    <row r="79" spans="2:10" x14ac:dyDescent="0.25">
      <c r="B79" s="1" t="s">
        <v>169</v>
      </c>
      <c r="C79" s="1"/>
      <c r="D79" s="1"/>
      <c r="E79" s="1"/>
      <c r="F79" s="67">
        <f>SUM(F77:F78)</f>
        <v>337.87506493451451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Model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2025-03-21T18:50:41Z</dcterms:created>
  <dcterms:modified xsi:type="dcterms:W3CDTF">2025-03-26T02:12:18Z</dcterms:modified>
</cp:coreProperties>
</file>