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ink/ink1.xml" ContentType="application/inkml+xml"/>
  <Override PartName="/xl/drawings/drawing3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"/>
    </mc:Choice>
  </mc:AlternateContent>
  <xr:revisionPtr revIDLastSave="0" documentId="13_ncr:1_{7F7B6FD1-F963-4163-8AA7-D4AAF88B7BFD}" xr6:coauthVersionLast="47" xr6:coauthVersionMax="47" xr10:uidLastSave="{00000000-0000-0000-0000-000000000000}"/>
  <bookViews>
    <workbookView xWindow="-113" yWindow="-113" windowWidth="24267" windowHeight="13023" firstSheet="1" activeTab="6" xr2:uid="{179B4F3C-E5EF-45F2-9E16-1CF10F3D7D22}"/>
  </bookViews>
  <sheets>
    <sheet name="CAVA-IncomeStatement-quarterly-" sheetId="5" r:id="rId1"/>
    <sheet name="CAVA-BalanceSheet-quarter (2)" sheetId="10" r:id="rId2"/>
    <sheet name="CAVA-CashFlow-quarterly-a (2)" sheetId="11" r:id="rId3"/>
    <sheet name="Cover" sheetId="12" r:id="rId4"/>
    <sheet name="Summary" sheetId="13" r:id="rId5"/>
    <sheet name="Model" sheetId="6" r:id="rId6"/>
    <sheet name="DCF" sheetId="14" r:id="rId7"/>
    <sheet name="Scenarios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7" l="1"/>
  <c r="I10" i="7"/>
  <c r="C135" i="14"/>
  <c r="D135" i="14"/>
  <c r="I123" i="14"/>
  <c r="I122" i="14"/>
  <c r="I124" i="14" s="1"/>
  <c r="I121" i="14"/>
  <c r="C122" i="14"/>
  <c r="C121" i="14"/>
  <c r="C128" i="14"/>
  <c r="C133" i="14" s="1"/>
  <c r="D133" i="14" s="1"/>
  <c r="D47" i="14"/>
  <c r="E47" i="14"/>
  <c r="F47" i="14"/>
  <c r="G47" i="14"/>
  <c r="H47" i="14"/>
  <c r="I47" i="14"/>
  <c r="J47" i="14"/>
  <c r="K47" i="14"/>
  <c r="C47" i="14"/>
  <c r="M98" i="14"/>
  <c r="Q98" i="14"/>
  <c r="U98" i="14"/>
  <c r="M96" i="14"/>
  <c r="N96" i="14" s="1"/>
  <c r="O96" i="14" s="1"/>
  <c r="P96" i="14" s="1"/>
  <c r="Q96" i="14" s="1"/>
  <c r="R96" i="14" s="1"/>
  <c r="S96" i="14" s="1"/>
  <c r="T96" i="14" s="1"/>
  <c r="U96" i="14" s="1"/>
  <c r="V96" i="14" s="1"/>
  <c r="W96" i="14" s="1"/>
  <c r="W98" i="14" s="1"/>
  <c r="L98" i="14"/>
  <c r="L96" i="14"/>
  <c r="B94" i="14"/>
  <c r="V79" i="14"/>
  <c r="W79" i="14" s="1"/>
  <c r="Q9" i="7"/>
  <c r="R9" i="7" s="1"/>
  <c r="Q11" i="7"/>
  <c r="R11" i="7"/>
  <c r="Q13" i="7"/>
  <c r="V64" i="14" s="1"/>
  <c r="R13" i="7"/>
  <c r="W64" i="14" s="1"/>
  <c r="Q22" i="7"/>
  <c r="R22" i="7"/>
  <c r="V34" i="14"/>
  <c r="W34" i="14"/>
  <c r="F4" i="14"/>
  <c r="I84" i="14"/>
  <c r="J84" i="14"/>
  <c r="K84" i="14"/>
  <c r="H84" i="14"/>
  <c r="H43" i="10"/>
  <c r="I43" i="10"/>
  <c r="J43" i="10"/>
  <c r="K43" i="10"/>
  <c r="H42" i="10"/>
  <c r="I42" i="10"/>
  <c r="J42" i="10"/>
  <c r="K42" i="10"/>
  <c r="H41" i="10"/>
  <c r="I41" i="10"/>
  <c r="J41" i="10"/>
  <c r="K41" i="10"/>
  <c r="G43" i="10"/>
  <c r="G42" i="10"/>
  <c r="G41" i="10"/>
  <c r="G88" i="14"/>
  <c r="H88" i="14"/>
  <c r="I88" i="14"/>
  <c r="J88" i="14"/>
  <c r="F88" i="14"/>
  <c r="J80" i="11"/>
  <c r="L80" i="11" s="1"/>
  <c r="K80" i="11"/>
  <c r="M80" i="11" s="1"/>
  <c r="I80" i="11"/>
  <c r="D83" i="14"/>
  <c r="E83" i="14"/>
  <c r="F83" i="14"/>
  <c r="G83" i="14"/>
  <c r="H83" i="14"/>
  <c r="I83" i="14"/>
  <c r="J83" i="14"/>
  <c r="K83" i="14"/>
  <c r="C83" i="14"/>
  <c r="D78" i="14"/>
  <c r="E78" i="14"/>
  <c r="F78" i="14"/>
  <c r="G78" i="14"/>
  <c r="H78" i="14"/>
  <c r="I78" i="14"/>
  <c r="J78" i="14"/>
  <c r="K78" i="14"/>
  <c r="C78" i="14"/>
  <c r="L29" i="14"/>
  <c r="M29" i="14" s="1"/>
  <c r="N29" i="14" s="1"/>
  <c r="L28" i="14"/>
  <c r="L26" i="14"/>
  <c r="M26" i="14" s="1"/>
  <c r="N26" i="14" s="1"/>
  <c r="O26" i="14" s="1"/>
  <c r="P26" i="14" s="1"/>
  <c r="M34" i="14"/>
  <c r="N34" i="14"/>
  <c r="O34" i="14"/>
  <c r="P34" i="14"/>
  <c r="Q34" i="14"/>
  <c r="R34" i="14"/>
  <c r="S34" i="14"/>
  <c r="T34" i="14"/>
  <c r="U34" i="14"/>
  <c r="L34" i="14"/>
  <c r="D16" i="14"/>
  <c r="D21" i="14" s="1"/>
  <c r="D43" i="14" s="1"/>
  <c r="E16" i="14"/>
  <c r="E21" i="14" s="1"/>
  <c r="E27" i="14" s="1"/>
  <c r="F16" i="14"/>
  <c r="G16" i="14"/>
  <c r="G50" i="14" s="1"/>
  <c r="H16" i="14"/>
  <c r="H86" i="14" s="1"/>
  <c r="I16" i="14"/>
  <c r="I57" i="14" s="1"/>
  <c r="J16" i="14"/>
  <c r="J86" i="14" s="1"/>
  <c r="K16" i="14"/>
  <c r="K54" i="14" s="1"/>
  <c r="C16" i="14"/>
  <c r="C52" i="14" s="1"/>
  <c r="M64" i="14"/>
  <c r="N64" i="14"/>
  <c r="O64" i="14"/>
  <c r="P64" i="14"/>
  <c r="Q64" i="14"/>
  <c r="R64" i="14"/>
  <c r="S64" i="14"/>
  <c r="T64" i="14"/>
  <c r="U64" i="14"/>
  <c r="L64" i="14"/>
  <c r="L65" i="14" s="1"/>
  <c r="K71" i="14"/>
  <c r="J71" i="14"/>
  <c r="I71" i="14"/>
  <c r="H71" i="14"/>
  <c r="G71" i="14"/>
  <c r="K67" i="14"/>
  <c r="J67" i="14"/>
  <c r="I67" i="14"/>
  <c r="H67" i="14"/>
  <c r="G67" i="14"/>
  <c r="F67" i="14"/>
  <c r="E67" i="14"/>
  <c r="D67" i="14"/>
  <c r="K64" i="14"/>
  <c r="E64" i="14"/>
  <c r="D64" i="14"/>
  <c r="B2" i="14"/>
  <c r="T98" i="14" l="1"/>
  <c r="S98" i="14"/>
  <c r="D55" i="14"/>
  <c r="R98" i="14"/>
  <c r="P98" i="14"/>
  <c r="O98" i="14"/>
  <c r="V98" i="14"/>
  <c r="N98" i="14"/>
  <c r="K86" i="14"/>
  <c r="L86" i="14" s="1"/>
  <c r="I86" i="14"/>
  <c r="M86" i="14"/>
  <c r="N86" i="14" s="1"/>
  <c r="O86" i="14" s="1"/>
  <c r="P86" i="14" s="1"/>
  <c r="Q86" i="14" s="1"/>
  <c r="R86" i="14" s="1"/>
  <c r="S86" i="14" s="1"/>
  <c r="T86" i="14" s="1"/>
  <c r="U86" i="14" s="1"/>
  <c r="V86" i="14" s="1"/>
  <c r="W86" i="14" s="1"/>
  <c r="E53" i="14"/>
  <c r="G86" i="14"/>
  <c r="K97" i="14"/>
  <c r="K98" i="14" s="1"/>
  <c r="E52" i="14"/>
  <c r="M65" i="14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E50" i="14"/>
  <c r="D27" i="14"/>
  <c r="D30" i="14" s="1"/>
  <c r="D77" i="14" s="1"/>
  <c r="D81" i="14" s="1"/>
  <c r="D92" i="14" s="1"/>
  <c r="E57" i="14"/>
  <c r="D57" i="14"/>
  <c r="D50" i="14"/>
  <c r="D53" i="14"/>
  <c r="E56" i="14"/>
  <c r="E43" i="14"/>
  <c r="D56" i="14"/>
  <c r="I21" i="14"/>
  <c r="I27" i="14" s="1"/>
  <c r="I39" i="14" s="1"/>
  <c r="D52" i="14"/>
  <c r="G55" i="14"/>
  <c r="G21" i="14"/>
  <c r="G27" i="14" s="1"/>
  <c r="D51" i="14"/>
  <c r="E55" i="14"/>
  <c r="K21" i="14"/>
  <c r="K27" i="14" s="1"/>
  <c r="K53" i="14"/>
  <c r="O53" i="14" s="1"/>
  <c r="S53" i="14" s="1"/>
  <c r="W53" i="14" s="1"/>
  <c r="K50" i="14"/>
  <c r="O50" i="14" s="1"/>
  <c r="S50" i="14" s="1"/>
  <c r="W50" i="14" s="1"/>
  <c r="K52" i="14"/>
  <c r="O52" i="14" s="1"/>
  <c r="S52" i="14" s="1"/>
  <c r="W52" i="14" s="1"/>
  <c r="G54" i="14"/>
  <c r="K88" i="14"/>
  <c r="K89" i="14" s="1"/>
  <c r="W87" i="14" s="1"/>
  <c r="G37" i="14"/>
  <c r="K51" i="14"/>
  <c r="O51" i="14" s="1"/>
  <c r="S51" i="14" s="1"/>
  <c r="W51" i="14" s="1"/>
  <c r="E54" i="14"/>
  <c r="K37" i="14"/>
  <c r="E51" i="14"/>
  <c r="G56" i="14"/>
  <c r="D54" i="14"/>
  <c r="G57" i="14"/>
  <c r="E44" i="14"/>
  <c r="E30" i="14"/>
  <c r="I52" i="14"/>
  <c r="M52" i="14" s="1"/>
  <c r="Q52" i="14" s="1"/>
  <c r="U52" i="14" s="1"/>
  <c r="H50" i="14"/>
  <c r="L50" i="14" s="1"/>
  <c r="P50" i="14" s="1"/>
  <c r="T50" i="14" s="1"/>
  <c r="H52" i="14"/>
  <c r="L52" i="14" s="1"/>
  <c r="P52" i="14" s="1"/>
  <c r="T52" i="14" s="1"/>
  <c r="H51" i="14"/>
  <c r="L51" i="14" s="1"/>
  <c r="P51" i="14" s="1"/>
  <c r="T51" i="14" s="1"/>
  <c r="H53" i="14"/>
  <c r="L53" i="14" s="1"/>
  <c r="P53" i="14" s="1"/>
  <c r="T53" i="14" s="1"/>
  <c r="H21" i="14"/>
  <c r="H55" i="14"/>
  <c r="F50" i="14"/>
  <c r="F51" i="14"/>
  <c r="F52" i="14"/>
  <c r="F53" i="14"/>
  <c r="F21" i="14"/>
  <c r="F54" i="14"/>
  <c r="F55" i="14"/>
  <c r="F56" i="14"/>
  <c r="F57" i="14"/>
  <c r="I56" i="14"/>
  <c r="I55" i="14"/>
  <c r="C53" i="14"/>
  <c r="C21" i="14"/>
  <c r="C50" i="14"/>
  <c r="C55" i="14"/>
  <c r="C57" i="14"/>
  <c r="C54" i="14"/>
  <c r="H37" i="14"/>
  <c r="I50" i="14"/>
  <c r="M50" i="14" s="1"/>
  <c r="Q50" i="14" s="1"/>
  <c r="U50" i="14" s="1"/>
  <c r="C51" i="14"/>
  <c r="H56" i="14"/>
  <c r="M28" i="14"/>
  <c r="N28" i="14" s="1"/>
  <c r="I37" i="14"/>
  <c r="C56" i="14"/>
  <c r="I54" i="14"/>
  <c r="I53" i="14"/>
  <c r="M53" i="14" s="1"/>
  <c r="Q53" i="14" s="1"/>
  <c r="U53" i="14" s="1"/>
  <c r="I51" i="14"/>
  <c r="H54" i="14"/>
  <c r="D79" i="14"/>
  <c r="J54" i="14"/>
  <c r="J55" i="14"/>
  <c r="J56" i="14"/>
  <c r="J57" i="14"/>
  <c r="J50" i="14"/>
  <c r="N50" i="14" s="1"/>
  <c r="R50" i="14" s="1"/>
  <c r="V50" i="14" s="1"/>
  <c r="J51" i="14"/>
  <c r="N51" i="14" s="1"/>
  <c r="R51" i="14" s="1"/>
  <c r="V51" i="14" s="1"/>
  <c r="J52" i="14"/>
  <c r="N52" i="14" s="1"/>
  <c r="R52" i="14" s="1"/>
  <c r="V52" i="14" s="1"/>
  <c r="J53" i="14"/>
  <c r="N53" i="14" s="1"/>
  <c r="R53" i="14" s="1"/>
  <c r="V53" i="14" s="1"/>
  <c r="J37" i="14"/>
  <c r="J21" i="14"/>
  <c r="H57" i="14"/>
  <c r="G53" i="14"/>
  <c r="G52" i="14"/>
  <c r="G51" i="14"/>
  <c r="K57" i="14"/>
  <c r="K56" i="14"/>
  <c r="K55" i="14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N80" i="11"/>
  <c r="O80" i="11" s="1"/>
  <c r="O29" i="14"/>
  <c r="P29" i="14" s="1"/>
  <c r="Q26" i="14"/>
  <c r="R26" i="14" s="1"/>
  <c r="S26" i="14" s="1"/>
  <c r="T26" i="14" s="1"/>
  <c r="U26" i="14" s="1"/>
  <c r="V26" i="14" s="1"/>
  <c r="W26" i="14" s="1"/>
  <c r="K99" i="14" l="1"/>
  <c r="V87" i="14"/>
  <c r="K43" i="14"/>
  <c r="D45" i="14"/>
  <c r="D44" i="14"/>
  <c r="D32" i="14"/>
  <c r="D33" i="14" s="1"/>
  <c r="K38" i="14"/>
  <c r="G43" i="14"/>
  <c r="I44" i="14"/>
  <c r="I38" i="14"/>
  <c r="I43" i="14"/>
  <c r="I30" i="14"/>
  <c r="I45" i="14" s="1"/>
  <c r="O28" i="14"/>
  <c r="P28" i="14" s="1"/>
  <c r="Q28" i="14" s="1"/>
  <c r="M87" i="14"/>
  <c r="N87" i="14"/>
  <c r="O87" i="14"/>
  <c r="R87" i="14"/>
  <c r="S87" i="14"/>
  <c r="T87" i="14"/>
  <c r="U87" i="14"/>
  <c r="L87" i="14"/>
  <c r="P87" i="14"/>
  <c r="Q87" i="14"/>
  <c r="L56" i="14"/>
  <c r="C43" i="14"/>
  <c r="C27" i="14"/>
  <c r="G39" i="14" s="1"/>
  <c r="J43" i="14"/>
  <c r="J27" i="14"/>
  <c r="J38" i="14"/>
  <c r="K44" i="14"/>
  <c r="K39" i="14"/>
  <c r="K30" i="14"/>
  <c r="F43" i="14"/>
  <c r="F27" i="14"/>
  <c r="H43" i="14"/>
  <c r="H27" i="14"/>
  <c r="H38" i="14"/>
  <c r="L54" i="14"/>
  <c r="M54" i="14" s="1"/>
  <c r="N54" i="14" s="1"/>
  <c r="G38" i="14"/>
  <c r="E77" i="14"/>
  <c r="E32" i="14"/>
  <c r="E45" i="14"/>
  <c r="G44" i="14"/>
  <c r="G30" i="14"/>
  <c r="L57" i="14"/>
  <c r="M57" i="14" s="1"/>
  <c r="M51" i="14"/>
  <c r="Q51" i="14" s="1"/>
  <c r="U51" i="14" s="1"/>
  <c r="Q29" i="14"/>
  <c r="R29" i="14" s="1"/>
  <c r="I77" i="14" l="1"/>
  <c r="D46" i="14"/>
  <c r="I32" i="14"/>
  <c r="I46" i="14" s="1"/>
  <c r="R28" i="14"/>
  <c r="O54" i="14"/>
  <c r="P54" i="14" s="1"/>
  <c r="H30" i="14"/>
  <c r="H39" i="14"/>
  <c r="H44" i="14"/>
  <c r="N57" i="14"/>
  <c r="F44" i="14"/>
  <c r="F30" i="14"/>
  <c r="J39" i="14"/>
  <c r="J30" i="14"/>
  <c r="J44" i="14"/>
  <c r="E33" i="14"/>
  <c r="E46" i="14"/>
  <c r="I81" i="14"/>
  <c r="I92" i="14" s="1"/>
  <c r="I79" i="14"/>
  <c r="E81" i="14"/>
  <c r="E92" i="14" s="1"/>
  <c r="E79" i="14"/>
  <c r="K77" i="14"/>
  <c r="K32" i="14"/>
  <c r="K45" i="14"/>
  <c r="C44" i="14"/>
  <c r="C30" i="14"/>
  <c r="M56" i="14"/>
  <c r="S29" i="14"/>
  <c r="G45" i="14"/>
  <c r="G77" i="14"/>
  <c r="G32" i="14"/>
  <c r="I33" i="14" l="1"/>
  <c r="I40" i="14"/>
  <c r="S28" i="14"/>
  <c r="O57" i="14"/>
  <c r="P57" i="14" s="1"/>
  <c r="N56" i="14"/>
  <c r="C45" i="14"/>
  <c r="C77" i="14"/>
  <c r="C32" i="14"/>
  <c r="G40" i="14" s="1"/>
  <c r="T29" i="14"/>
  <c r="U29" i="14" s="1"/>
  <c r="H45" i="14"/>
  <c r="H77" i="14"/>
  <c r="H32" i="14"/>
  <c r="G46" i="14"/>
  <c r="G33" i="14"/>
  <c r="G81" i="14"/>
  <c r="G92" i="14" s="1"/>
  <c r="G79" i="14"/>
  <c r="K40" i="14"/>
  <c r="K46" i="14"/>
  <c r="K33" i="14"/>
  <c r="J77" i="14"/>
  <c r="J32" i="14"/>
  <c r="J45" i="14"/>
  <c r="Q54" i="14"/>
  <c r="K81" i="14"/>
  <c r="K92" i="14" s="1"/>
  <c r="K79" i="14"/>
  <c r="F45" i="14"/>
  <c r="F77" i="14"/>
  <c r="F32" i="14"/>
  <c r="Q57" i="14"/>
  <c r="V29" i="14" l="1"/>
  <c r="W29" i="14" s="1"/>
  <c r="T28" i="14"/>
  <c r="F46" i="14"/>
  <c r="F33" i="14"/>
  <c r="J81" i="14"/>
  <c r="J92" i="14" s="1"/>
  <c r="J79" i="14"/>
  <c r="H46" i="14"/>
  <c r="H33" i="14"/>
  <c r="H40" i="14"/>
  <c r="R54" i="14"/>
  <c r="F81" i="14"/>
  <c r="F92" i="14" s="1"/>
  <c r="F79" i="14"/>
  <c r="H81" i="14"/>
  <c r="H92" i="14" s="1"/>
  <c r="H79" i="14"/>
  <c r="C81" i="14"/>
  <c r="C92" i="14" s="1"/>
  <c r="C79" i="14"/>
  <c r="C33" i="14"/>
  <c r="C46" i="14"/>
  <c r="J46" i="14"/>
  <c r="J40" i="14"/>
  <c r="J33" i="14"/>
  <c r="O56" i="14"/>
  <c r="P56" i="14" s="1"/>
  <c r="R57" i="14"/>
  <c r="U28" i="14" l="1"/>
  <c r="V28" i="14" s="1"/>
  <c r="S54" i="14"/>
  <c r="Q56" i="14"/>
  <c r="R56" i="14" s="1"/>
  <c r="S57" i="14"/>
  <c r="W28" i="14" l="1"/>
  <c r="S56" i="14"/>
  <c r="T56" i="14" s="1"/>
  <c r="T57" i="14"/>
  <c r="T54" i="14"/>
  <c r="U57" i="14" l="1"/>
  <c r="U54" i="14"/>
  <c r="U56" i="14"/>
  <c r="V54" i="14" l="1"/>
  <c r="V56" i="14"/>
  <c r="V57" i="14"/>
  <c r="W56" i="14"/>
  <c r="W54" i="14" l="1"/>
  <c r="W57" i="14"/>
  <c r="L75" i="6" l="1"/>
  <c r="M111" i="6" l="1"/>
  <c r="M117" i="6" s="1"/>
  <c r="N111" i="6"/>
  <c r="N117" i="6" s="1"/>
  <c r="O111" i="6"/>
  <c r="O117" i="6" s="1"/>
  <c r="L111" i="6"/>
  <c r="K147" i="6"/>
  <c r="H145" i="6"/>
  <c r="I145" i="6"/>
  <c r="J145" i="6"/>
  <c r="K145" i="6"/>
  <c r="G145" i="6"/>
  <c r="G147" i="6" s="1"/>
  <c r="H144" i="6"/>
  <c r="I144" i="6"/>
  <c r="J144" i="6"/>
  <c r="K144" i="6"/>
  <c r="G144" i="6"/>
  <c r="U117" i="6"/>
  <c r="L117" i="6"/>
  <c r="H121" i="6"/>
  <c r="H127" i="6" s="1"/>
  <c r="H147" i="6" s="1"/>
  <c r="I121" i="6"/>
  <c r="I127" i="6" s="1"/>
  <c r="I147" i="6" s="1"/>
  <c r="J121" i="6"/>
  <c r="J127" i="6" s="1"/>
  <c r="J147" i="6" s="1"/>
  <c r="K121" i="6"/>
  <c r="K127" i="6" s="1"/>
  <c r="G121" i="6"/>
  <c r="G127" i="6" s="1"/>
  <c r="N17" i="10"/>
  <c r="O17" i="10"/>
  <c r="P17" i="10"/>
  <c r="Q17" i="10"/>
  <c r="M13" i="10"/>
  <c r="M12" i="10"/>
  <c r="M11" i="10"/>
  <c r="M15" i="10"/>
  <c r="N15" i="10"/>
  <c r="O15" i="10"/>
  <c r="P15" i="10"/>
  <c r="Q15" i="10"/>
  <c r="R15" i="10"/>
  <c r="N13" i="10"/>
  <c r="O13" i="10"/>
  <c r="P13" i="10"/>
  <c r="Q13" i="10"/>
  <c r="R13" i="10"/>
  <c r="N11" i="10"/>
  <c r="O11" i="10"/>
  <c r="P11" i="10"/>
  <c r="Q11" i="10"/>
  <c r="R11" i="10"/>
  <c r="K70" i="11"/>
  <c r="L70" i="11"/>
  <c r="M70" i="11"/>
  <c r="N70" i="11"/>
  <c r="J70" i="11"/>
  <c r="N12" i="10"/>
  <c r="O12" i="10"/>
  <c r="P12" i="10"/>
  <c r="Q12" i="10"/>
  <c r="R12" i="10"/>
  <c r="L140" i="6"/>
  <c r="M140" i="6" s="1"/>
  <c r="N140" i="6" s="1"/>
  <c r="O140" i="6" s="1"/>
  <c r="P140" i="6" s="1"/>
  <c r="Q140" i="6" s="1"/>
  <c r="R140" i="6" s="1"/>
  <c r="S140" i="6" s="1"/>
  <c r="T140" i="6" s="1"/>
  <c r="U140" i="6" s="1"/>
  <c r="M193" i="6"/>
  <c r="N193" i="6"/>
  <c r="O193" i="6"/>
  <c r="P193" i="6"/>
  <c r="Q193" i="6"/>
  <c r="R193" i="6"/>
  <c r="S193" i="6"/>
  <c r="T193" i="6"/>
  <c r="U193" i="6"/>
  <c r="L193" i="6"/>
  <c r="H194" i="6"/>
  <c r="I194" i="6"/>
  <c r="J192" i="6" s="1"/>
  <c r="J194" i="6"/>
  <c r="K194" i="6"/>
  <c r="L192" i="6" s="1"/>
  <c r="G194" i="6"/>
  <c r="H192" i="6" s="1"/>
  <c r="L136" i="6"/>
  <c r="M136" i="6" s="1"/>
  <c r="N136" i="6" s="1"/>
  <c r="O136" i="6" s="1"/>
  <c r="P136" i="6" s="1"/>
  <c r="Q136" i="6" s="1"/>
  <c r="R136" i="6" s="1"/>
  <c r="S136" i="6" s="1"/>
  <c r="T136" i="6" s="1"/>
  <c r="U136" i="6" s="1"/>
  <c r="L134" i="6"/>
  <c r="M134" i="6" s="1"/>
  <c r="N134" i="6" s="1"/>
  <c r="O134" i="6" s="1"/>
  <c r="P134" i="6" s="1"/>
  <c r="Q134" i="6" s="1"/>
  <c r="R134" i="6" s="1"/>
  <c r="S134" i="6" s="1"/>
  <c r="T134" i="6" s="1"/>
  <c r="U134" i="6" s="1"/>
  <c r="L135" i="6"/>
  <c r="M135" i="6" s="1"/>
  <c r="N135" i="6" s="1"/>
  <c r="O135" i="6" s="1"/>
  <c r="P135" i="6" s="1"/>
  <c r="Q135" i="6" s="1"/>
  <c r="R135" i="6" s="1"/>
  <c r="S135" i="6" s="1"/>
  <c r="T135" i="6" s="1"/>
  <c r="U135" i="6" s="1"/>
  <c r="H182" i="6"/>
  <c r="I182" i="6"/>
  <c r="J182" i="6"/>
  <c r="K182" i="6"/>
  <c r="G182" i="6"/>
  <c r="L132" i="6"/>
  <c r="L123" i="6"/>
  <c r="L122" i="6"/>
  <c r="L126" i="6"/>
  <c r="M126" i="6" s="1"/>
  <c r="N126" i="6" s="1"/>
  <c r="O126" i="6" s="1"/>
  <c r="P126" i="6" s="1"/>
  <c r="Q126" i="6" s="1"/>
  <c r="R126" i="6" s="1"/>
  <c r="S126" i="6" s="1"/>
  <c r="T126" i="6" s="1"/>
  <c r="U126" i="6" s="1"/>
  <c r="L125" i="6"/>
  <c r="M125" i="6" s="1"/>
  <c r="N125" i="6" s="1"/>
  <c r="O125" i="6" s="1"/>
  <c r="P125" i="6" s="1"/>
  <c r="Q125" i="6" s="1"/>
  <c r="R125" i="6" s="1"/>
  <c r="S125" i="6" s="1"/>
  <c r="T125" i="6" s="1"/>
  <c r="U125" i="6" s="1"/>
  <c r="L124" i="6"/>
  <c r="M124" i="6" s="1"/>
  <c r="N124" i="6" s="1"/>
  <c r="O124" i="6" s="1"/>
  <c r="P124" i="6" s="1"/>
  <c r="Q124" i="6" s="1"/>
  <c r="R124" i="6" s="1"/>
  <c r="S124" i="6" s="1"/>
  <c r="T124" i="6" s="1"/>
  <c r="U124" i="6" s="1"/>
  <c r="H181" i="6"/>
  <c r="I181" i="6"/>
  <c r="J181" i="6"/>
  <c r="K181" i="6"/>
  <c r="G181" i="6"/>
  <c r="H179" i="6"/>
  <c r="I179" i="6"/>
  <c r="J179" i="6"/>
  <c r="K179" i="6"/>
  <c r="G179" i="6"/>
  <c r="H180" i="6"/>
  <c r="I180" i="6"/>
  <c r="J180" i="6"/>
  <c r="K180" i="6"/>
  <c r="G180" i="6"/>
  <c r="H178" i="6"/>
  <c r="I178" i="6"/>
  <c r="J178" i="6"/>
  <c r="K178" i="6"/>
  <c r="G178" i="6"/>
  <c r="H168" i="6"/>
  <c r="I168" i="6"/>
  <c r="J168" i="6"/>
  <c r="K168" i="6"/>
  <c r="G168" i="6"/>
  <c r="H167" i="6"/>
  <c r="I167" i="6"/>
  <c r="J167" i="6"/>
  <c r="K167" i="6"/>
  <c r="G167" i="6"/>
  <c r="B164" i="6"/>
  <c r="M132" i="6" l="1"/>
  <c r="M123" i="6"/>
  <c r="L72" i="6"/>
  <c r="M72" i="6"/>
  <c r="R17" i="10"/>
  <c r="I175" i="6"/>
  <c r="J193" i="6"/>
  <c r="H193" i="6"/>
  <c r="L197" i="6"/>
  <c r="L30" i="6" s="1"/>
  <c r="L194" i="6"/>
  <c r="M192" i="6" s="1"/>
  <c r="H184" i="6"/>
  <c r="K192" i="6"/>
  <c r="K193" i="6" s="1"/>
  <c r="I192" i="6"/>
  <c r="I193" i="6" s="1"/>
  <c r="K184" i="6"/>
  <c r="J184" i="6"/>
  <c r="G174" i="6"/>
  <c r="J175" i="6"/>
  <c r="G173" i="6"/>
  <c r="I184" i="6"/>
  <c r="G184" i="6"/>
  <c r="G175" i="6"/>
  <c r="K175" i="6"/>
  <c r="I172" i="6"/>
  <c r="H175" i="6"/>
  <c r="G171" i="6"/>
  <c r="J174" i="6"/>
  <c r="K174" i="6"/>
  <c r="H171" i="6"/>
  <c r="J172" i="6"/>
  <c r="H173" i="6"/>
  <c r="K171" i="6"/>
  <c r="J171" i="6"/>
  <c r="G172" i="6"/>
  <c r="I174" i="6"/>
  <c r="I171" i="6"/>
  <c r="K172" i="6"/>
  <c r="H174" i="6"/>
  <c r="K173" i="6"/>
  <c r="L127" i="6"/>
  <c r="L147" i="6" s="1"/>
  <c r="H172" i="6"/>
  <c r="J173" i="6"/>
  <c r="I173" i="6"/>
  <c r="M122" i="6"/>
  <c r="N122" i="6" s="1"/>
  <c r="O122" i="6" s="1"/>
  <c r="N123" i="6" l="1"/>
  <c r="N72" i="6"/>
  <c r="N132" i="6"/>
  <c r="M75" i="6"/>
  <c r="K186" i="6"/>
  <c r="H186" i="6"/>
  <c r="L171" i="6"/>
  <c r="M171" i="6" s="1"/>
  <c r="N171" i="6" s="1"/>
  <c r="O171" i="6" s="1"/>
  <c r="P171" i="6" s="1"/>
  <c r="Q171" i="6" s="1"/>
  <c r="I186" i="6"/>
  <c r="M194" i="6"/>
  <c r="N192" i="6" s="1"/>
  <c r="M197" i="6"/>
  <c r="M30" i="6" s="1"/>
  <c r="L174" i="6"/>
  <c r="M174" i="6" s="1"/>
  <c r="J186" i="6"/>
  <c r="L173" i="6"/>
  <c r="M173" i="6" s="1"/>
  <c r="N173" i="6" s="1"/>
  <c r="L175" i="6"/>
  <c r="M175" i="6" s="1"/>
  <c r="N175" i="6" s="1"/>
  <c r="L172" i="6"/>
  <c r="M172" i="6" s="1"/>
  <c r="M127" i="6"/>
  <c r="M147" i="6" s="1"/>
  <c r="N127" i="6"/>
  <c r="N147" i="6" s="1"/>
  <c r="P122" i="6"/>
  <c r="O132" i="6" l="1"/>
  <c r="N75" i="6"/>
  <c r="O123" i="6"/>
  <c r="O72" i="6" s="1"/>
  <c r="N174" i="6"/>
  <c r="O174" i="6" s="1"/>
  <c r="P174" i="6" s="1"/>
  <c r="N194" i="6"/>
  <c r="O192" i="6" s="1"/>
  <c r="N197" i="6"/>
  <c r="N30" i="6" s="1"/>
  <c r="O175" i="6"/>
  <c r="P175" i="6" s="1"/>
  <c r="O173" i="6"/>
  <c r="P173" i="6" s="1"/>
  <c r="N172" i="6"/>
  <c r="O172" i="6" s="1"/>
  <c r="Q122" i="6"/>
  <c r="R171" i="6"/>
  <c r="S171" i="6" s="1"/>
  <c r="P123" i="6" l="1"/>
  <c r="P72" i="6"/>
  <c r="O127" i="6"/>
  <c r="O147" i="6" s="1"/>
  <c r="P132" i="6"/>
  <c r="O75" i="6"/>
  <c r="O194" i="6"/>
  <c r="P192" i="6" s="1"/>
  <c r="O197" i="6"/>
  <c r="O30" i="6" s="1"/>
  <c r="Q175" i="6"/>
  <c r="R175" i="6" s="1"/>
  <c r="S175" i="6" s="1"/>
  <c r="T175" i="6" s="1"/>
  <c r="P172" i="6"/>
  <c r="Q173" i="6"/>
  <c r="R173" i="6" s="1"/>
  <c r="Q174" i="6"/>
  <c r="R174" i="6" s="1"/>
  <c r="S174" i="6" s="1"/>
  <c r="R122" i="6"/>
  <c r="T171" i="6"/>
  <c r="U171" i="6" s="1"/>
  <c r="Q132" i="6" l="1"/>
  <c r="P75" i="6"/>
  <c r="Q123" i="6"/>
  <c r="Q72" i="6"/>
  <c r="P127" i="6"/>
  <c r="P147" i="6" s="1"/>
  <c r="U175" i="6"/>
  <c r="P194" i="6"/>
  <c r="Q192" i="6" s="1"/>
  <c r="P197" i="6"/>
  <c r="P30" i="6" s="1"/>
  <c r="S173" i="6"/>
  <c r="T173" i="6" s="1"/>
  <c r="Q172" i="6"/>
  <c r="T174" i="6"/>
  <c r="U174" i="6" s="1"/>
  <c r="S122" i="6"/>
  <c r="R123" i="6" l="1"/>
  <c r="R72" i="6"/>
  <c r="Q127" i="6"/>
  <c r="Q147" i="6" s="1"/>
  <c r="R132" i="6"/>
  <c r="Q75" i="6"/>
  <c r="Q194" i="6"/>
  <c r="R192" i="6" s="1"/>
  <c r="Q197" i="6"/>
  <c r="Q30" i="6" s="1"/>
  <c r="R172" i="6"/>
  <c r="U173" i="6"/>
  <c r="T122" i="6"/>
  <c r="S132" i="6" l="1"/>
  <c r="R75" i="6"/>
  <c r="S123" i="6"/>
  <c r="S72" i="6"/>
  <c r="R127" i="6"/>
  <c r="R147" i="6" s="1"/>
  <c r="R194" i="6"/>
  <c r="S192" i="6" s="1"/>
  <c r="R197" i="6"/>
  <c r="R30" i="6" s="1"/>
  <c r="S172" i="6"/>
  <c r="U122" i="6"/>
  <c r="T123" i="6" l="1"/>
  <c r="T72" i="6"/>
  <c r="S127" i="6"/>
  <c r="S147" i="6" s="1"/>
  <c r="T132" i="6"/>
  <c r="S75" i="6"/>
  <c r="S194" i="6"/>
  <c r="T192" i="6" s="1"/>
  <c r="S197" i="6"/>
  <c r="S30" i="6" s="1"/>
  <c r="T172" i="6"/>
  <c r="U172" i="6" s="1"/>
  <c r="U132" i="6" l="1"/>
  <c r="U75" i="6" s="1"/>
  <c r="T75" i="6"/>
  <c r="U123" i="6"/>
  <c r="U127" i="6" s="1"/>
  <c r="U147" i="6" s="1"/>
  <c r="U72" i="6"/>
  <c r="T127" i="6"/>
  <c r="T147" i="6" s="1"/>
  <c r="T194" i="6"/>
  <c r="U192" i="6" s="1"/>
  <c r="T197" i="6"/>
  <c r="T30" i="6" s="1"/>
  <c r="U194" i="6" l="1"/>
  <c r="U197" i="6"/>
  <c r="U30" i="6" s="1"/>
  <c r="H158" i="6" l="1"/>
  <c r="I158" i="6"/>
  <c r="J158" i="6"/>
  <c r="G158" i="6"/>
  <c r="C150" i="6"/>
  <c r="D150" i="6"/>
  <c r="E150" i="6"/>
  <c r="F150" i="6"/>
  <c r="G150" i="6"/>
  <c r="H150" i="6"/>
  <c r="I150" i="6"/>
  <c r="J150" i="6"/>
  <c r="K150" i="6"/>
  <c r="K51" i="6"/>
  <c r="O51" i="6" s="1"/>
  <c r="S51" i="6" s="1"/>
  <c r="H22" i="7"/>
  <c r="I22" i="7"/>
  <c r="J22" i="7"/>
  <c r="K22" i="7"/>
  <c r="L22" i="7"/>
  <c r="M22" i="7"/>
  <c r="N22" i="7"/>
  <c r="O22" i="7"/>
  <c r="P22" i="7"/>
  <c r="G22" i="7"/>
  <c r="A1" i="7"/>
  <c r="A1" i="6"/>
  <c r="B151" i="6" l="1"/>
  <c r="K10" i="11" l="1"/>
  <c r="K11" i="11"/>
  <c r="K12" i="11"/>
  <c r="K13" i="11"/>
  <c r="K14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1" i="11"/>
  <c r="K32" i="11"/>
  <c r="K34" i="11"/>
  <c r="K38" i="11"/>
  <c r="K39" i="11"/>
  <c r="K40" i="11"/>
  <c r="K43" i="11"/>
  <c r="K44" i="11"/>
  <c r="K45" i="11"/>
  <c r="K46" i="11"/>
  <c r="K47" i="11"/>
  <c r="K48" i="11"/>
  <c r="K50" i="11"/>
  <c r="K51" i="11"/>
  <c r="K52" i="11"/>
  <c r="K53" i="11"/>
  <c r="K9" i="11"/>
  <c r="I10" i="11"/>
  <c r="I11" i="11"/>
  <c r="I12" i="11"/>
  <c r="I13" i="11"/>
  <c r="I14" i="11"/>
  <c r="I16" i="11"/>
  <c r="I17" i="11"/>
  <c r="I18" i="11"/>
  <c r="I19" i="11"/>
  <c r="I20" i="11"/>
  <c r="I21" i="11"/>
  <c r="I22" i="11"/>
  <c r="I23" i="11"/>
  <c r="I24" i="11"/>
  <c r="I25" i="11"/>
  <c r="I27" i="11"/>
  <c r="I28" i="11"/>
  <c r="I29" i="11"/>
  <c r="I31" i="11"/>
  <c r="I32" i="11"/>
  <c r="I38" i="11"/>
  <c r="I39" i="11"/>
  <c r="I40" i="11"/>
  <c r="I42" i="11"/>
  <c r="I43" i="11"/>
  <c r="I44" i="11"/>
  <c r="I45" i="11"/>
  <c r="I46" i="11"/>
  <c r="I47" i="11"/>
  <c r="I48" i="11"/>
  <c r="I51" i="11"/>
  <c r="I52" i="11"/>
  <c r="I53" i="11"/>
  <c r="I9" i="11"/>
  <c r="N10" i="11"/>
  <c r="N11" i="11"/>
  <c r="N12" i="11"/>
  <c r="N13" i="11"/>
  <c r="N14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5" i="11"/>
  <c r="N39" i="11"/>
  <c r="N40" i="11"/>
  <c r="N42" i="11"/>
  <c r="N43" i="11"/>
  <c r="N44" i="11"/>
  <c r="N45" i="11"/>
  <c r="N46" i="11"/>
  <c r="N47" i="11"/>
  <c r="N48" i="11"/>
  <c r="N51" i="11"/>
  <c r="N52" i="11"/>
  <c r="N9" i="11"/>
  <c r="G11" i="11"/>
  <c r="G12" i="11"/>
  <c r="G13" i="11"/>
  <c r="G14" i="11"/>
  <c r="G16" i="11"/>
  <c r="G17" i="11"/>
  <c r="G18" i="11"/>
  <c r="G19" i="11"/>
  <c r="G20" i="11"/>
  <c r="G21" i="11"/>
  <c r="G22" i="11"/>
  <c r="G23" i="11"/>
  <c r="G24" i="11"/>
  <c r="G25" i="11"/>
  <c r="G27" i="11"/>
  <c r="G28" i="11"/>
  <c r="G35" i="11"/>
  <c r="G39" i="11"/>
  <c r="G40" i="11"/>
  <c r="G42" i="11"/>
  <c r="G43" i="11"/>
  <c r="G44" i="11"/>
  <c r="G45" i="11"/>
  <c r="G46" i="11"/>
  <c r="G47" i="11"/>
  <c r="G48" i="11"/>
  <c r="G51" i="11"/>
  <c r="G52" i="11"/>
  <c r="G9" i="11"/>
  <c r="H42" i="6"/>
  <c r="I42" i="6"/>
  <c r="J42" i="6"/>
  <c r="K42" i="6"/>
  <c r="G42" i="6"/>
  <c r="H41" i="6"/>
  <c r="I41" i="6"/>
  <c r="J41" i="6"/>
  <c r="G41" i="6"/>
  <c r="H39" i="6"/>
  <c r="I39" i="6"/>
  <c r="J39" i="6"/>
  <c r="K39" i="6"/>
  <c r="G39" i="6"/>
  <c r="L36" i="6"/>
  <c r="M36" i="6" s="1"/>
  <c r="N36" i="6" s="1"/>
  <c r="O36" i="6" s="1"/>
  <c r="P36" i="6" s="1"/>
  <c r="Q36" i="6" s="1"/>
  <c r="R36" i="6" s="1"/>
  <c r="S36" i="6" s="1"/>
  <c r="T36" i="6" s="1"/>
  <c r="U36" i="6" s="1"/>
  <c r="D48" i="6"/>
  <c r="E48" i="6"/>
  <c r="F48" i="6"/>
  <c r="G48" i="6"/>
  <c r="H48" i="6"/>
  <c r="I48" i="6"/>
  <c r="J48" i="6"/>
  <c r="K48" i="6"/>
  <c r="C48" i="6"/>
  <c r="D47" i="6"/>
  <c r="E47" i="6"/>
  <c r="F47" i="6"/>
  <c r="G47" i="6"/>
  <c r="H47" i="6"/>
  <c r="I47" i="6"/>
  <c r="J47" i="6"/>
  <c r="C47" i="6"/>
  <c r="D46" i="6"/>
  <c r="E46" i="6"/>
  <c r="F46" i="6"/>
  <c r="G46" i="6"/>
  <c r="H46" i="6"/>
  <c r="I46" i="6"/>
  <c r="J46" i="6"/>
  <c r="C46" i="6"/>
  <c r="C56" i="6"/>
  <c r="D56" i="6"/>
  <c r="E56" i="6"/>
  <c r="F56" i="6"/>
  <c r="G56" i="6"/>
  <c r="H56" i="6"/>
  <c r="I56" i="6"/>
  <c r="J56" i="6"/>
  <c r="K56" i="6"/>
  <c r="L56" i="6" s="1"/>
  <c r="C57" i="6"/>
  <c r="D57" i="6"/>
  <c r="E57" i="6"/>
  <c r="F57" i="6"/>
  <c r="G57" i="6"/>
  <c r="H57" i="6"/>
  <c r="I57" i="6"/>
  <c r="J57" i="6"/>
  <c r="K57" i="6"/>
  <c r="C58" i="6"/>
  <c r="D58" i="6"/>
  <c r="E58" i="6"/>
  <c r="F58" i="6"/>
  <c r="G58" i="6"/>
  <c r="H58" i="6"/>
  <c r="I58" i="6"/>
  <c r="J58" i="6"/>
  <c r="K58" i="6"/>
  <c r="D55" i="6"/>
  <c r="E55" i="6"/>
  <c r="F55" i="6"/>
  <c r="G55" i="6"/>
  <c r="H55" i="6"/>
  <c r="I55" i="6"/>
  <c r="J55" i="6"/>
  <c r="K55" i="6"/>
  <c r="C55" i="6"/>
  <c r="C52" i="6"/>
  <c r="D52" i="6"/>
  <c r="E52" i="6"/>
  <c r="F52" i="6"/>
  <c r="G52" i="6"/>
  <c r="H52" i="6"/>
  <c r="L52" i="6" s="1"/>
  <c r="P52" i="6" s="1"/>
  <c r="T52" i="6" s="1"/>
  <c r="I52" i="6"/>
  <c r="M52" i="6" s="1"/>
  <c r="Q52" i="6" s="1"/>
  <c r="U52" i="6" s="1"/>
  <c r="J52" i="6"/>
  <c r="N52" i="6" s="1"/>
  <c r="R52" i="6" s="1"/>
  <c r="K52" i="6"/>
  <c r="O52" i="6" s="1"/>
  <c r="S52" i="6" s="1"/>
  <c r="C53" i="6"/>
  <c r="D53" i="6"/>
  <c r="E53" i="6"/>
  <c r="F53" i="6"/>
  <c r="G53" i="6"/>
  <c r="H53" i="6"/>
  <c r="L53" i="6" s="1"/>
  <c r="P53" i="6" s="1"/>
  <c r="T53" i="6" s="1"/>
  <c r="I53" i="6"/>
  <c r="M53" i="6" s="1"/>
  <c r="Q53" i="6" s="1"/>
  <c r="U53" i="6" s="1"/>
  <c r="J53" i="6"/>
  <c r="N53" i="6" s="1"/>
  <c r="R53" i="6" s="1"/>
  <c r="K53" i="6"/>
  <c r="O53" i="6" s="1"/>
  <c r="S53" i="6" s="1"/>
  <c r="C54" i="6"/>
  <c r="D54" i="6"/>
  <c r="E54" i="6"/>
  <c r="F54" i="6"/>
  <c r="G54" i="6"/>
  <c r="H54" i="6"/>
  <c r="L54" i="6" s="1"/>
  <c r="P54" i="6" s="1"/>
  <c r="T54" i="6" s="1"/>
  <c r="I54" i="6"/>
  <c r="M54" i="6" s="1"/>
  <c r="Q54" i="6" s="1"/>
  <c r="U54" i="6" s="1"/>
  <c r="J54" i="6"/>
  <c r="N54" i="6" s="1"/>
  <c r="R54" i="6" s="1"/>
  <c r="K54" i="6"/>
  <c r="O54" i="6" s="1"/>
  <c r="S54" i="6" s="1"/>
  <c r="D51" i="6"/>
  <c r="E51" i="6"/>
  <c r="F51" i="6"/>
  <c r="G51" i="6"/>
  <c r="H51" i="6"/>
  <c r="L51" i="6" s="1"/>
  <c r="I51" i="6"/>
  <c r="M51" i="6" s="1"/>
  <c r="Q51" i="6" s="1"/>
  <c r="U51" i="6" s="1"/>
  <c r="J51" i="6"/>
  <c r="N51" i="6" s="1"/>
  <c r="R51" i="6" s="1"/>
  <c r="C51" i="6"/>
  <c r="I35" i="6"/>
  <c r="K23" i="6"/>
  <c r="K29" i="6" s="1"/>
  <c r="K32" i="6" s="1"/>
  <c r="J23" i="6"/>
  <c r="J45" i="6" s="1"/>
  <c r="I23" i="6"/>
  <c r="I45" i="6" s="1"/>
  <c r="H23" i="6"/>
  <c r="H45" i="6" s="1"/>
  <c r="G23" i="6"/>
  <c r="G45" i="6" s="1"/>
  <c r="F23" i="6"/>
  <c r="F45" i="6" s="1"/>
  <c r="E23" i="6"/>
  <c r="E45" i="6" s="1"/>
  <c r="D23" i="6"/>
  <c r="D45" i="6" s="1"/>
  <c r="C23" i="6"/>
  <c r="C45" i="6" s="1"/>
  <c r="B1" i="6"/>
  <c r="H13" i="7"/>
  <c r="M8" i="6" s="1"/>
  <c r="N13" i="7"/>
  <c r="S8" i="6" s="1"/>
  <c r="O13" i="7"/>
  <c r="T8" i="6" s="1"/>
  <c r="P13" i="7"/>
  <c r="U8" i="6" s="1"/>
  <c r="G13" i="7"/>
  <c r="L8" i="6" s="1"/>
  <c r="L9" i="6" s="1"/>
  <c r="L154" i="6" s="1"/>
  <c r="H7" i="7"/>
  <c r="I7" i="7"/>
  <c r="G7" i="7"/>
  <c r="L15" i="7"/>
  <c r="M15" i="7" s="1"/>
  <c r="O15" i="7" s="1"/>
  <c r="J11" i="7"/>
  <c r="K11" i="7" s="1"/>
  <c r="L11" i="7" s="1"/>
  <c r="M11" i="7" s="1"/>
  <c r="N11" i="7" s="1"/>
  <c r="O11" i="7" s="1"/>
  <c r="P11" i="7" s="1"/>
  <c r="J10" i="7"/>
  <c r="K10" i="7" s="1"/>
  <c r="L10" i="7" s="1"/>
  <c r="M10" i="7" s="1"/>
  <c r="N10" i="7" s="1"/>
  <c r="O10" i="7" s="1"/>
  <c r="P10" i="7" s="1"/>
  <c r="Q10" i="7" s="1"/>
  <c r="J9" i="7"/>
  <c r="K9" i="7" s="1"/>
  <c r="L9" i="7" s="1"/>
  <c r="M9" i="7" s="1"/>
  <c r="N9" i="7" s="1"/>
  <c r="O9" i="7" s="1"/>
  <c r="P9" i="7" s="1"/>
  <c r="D11" i="6"/>
  <c r="E11" i="6"/>
  <c r="F11" i="6"/>
  <c r="E8" i="6"/>
  <c r="D8" i="6"/>
  <c r="H11" i="6"/>
  <c r="I11" i="6"/>
  <c r="J11" i="6"/>
  <c r="K11" i="6"/>
  <c r="G11" i="6"/>
  <c r="K14" i="6"/>
  <c r="G14" i="6"/>
  <c r="J14" i="6"/>
  <c r="I14" i="6"/>
  <c r="H14" i="6"/>
  <c r="K8" i="6"/>
  <c r="R10" i="7" l="1"/>
  <c r="R7" i="7" s="1"/>
  <c r="W63" i="14" s="1"/>
  <c r="Q7" i="7"/>
  <c r="V63" i="14" s="1"/>
  <c r="N7" i="6"/>
  <c r="N63" i="14"/>
  <c r="N67" i="14" s="1"/>
  <c r="M7" i="6"/>
  <c r="M63" i="14"/>
  <c r="M67" i="14" s="1"/>
  <c r="L7" i="6"/>
  <c r="L63" i="14"/>
  <c r="L67" i="14" s="1"/>
  <c r="J7" i="7"/>
  <c r="K47" i="6"/>
  <c r="K158" i="6"/>
  <c r="L158" i="6" s="1"/>
  <c r="L66" i="6"/>
  <c r="L25" i="6"/>
  <c r="P51" i="6"/>
  <c r="T51" i="6" s="1"/>
  <c r="K41" i="6"/>
  <c r="I40" i="6"/>
  <c r="G40" i="6"/>
  <c r="K40" i="6"/>
  <c r="H40" i="6"/>
  <c r="J40" i="6"/>
  <c r="L55" i="6"/>
  <c r="M55" i="6" s="1"/>
  <c r="M56" i="6"/>
  <c r="L58" i="6"/>
  <c r="K45" i="6"/>
  <c r="K46" i="6"/>
  <c r="L57" i="6"/>
  <c r="M57" i="6" s="1"/>
  <c r="P7" i="7"/>
  <c r="K7" i="7"/>
  <c r="M13" i="7"/>
  <c r="R8" i="6" s="1"/>
  <c r="J13" i="7"/>
  <c r="O8" i="6" s="1"/>
  <c r="L13" i="7"/>
  <c r="Q8" i="6" s="1"/>
  <c r="K13" i="7"/>
  <c r="P8" i="6" s="1"/>
  <c r="I13" i="7"/>
  <c r="N8" i="6" s="1"/>
  <c r="N11" i="6"/>
  <c r="L11" i="6"/>
  <c r="L13" i="6" s="1"/>
  <c r="M11" i="6"/>
  <c r="M13" i="6" s="1"/>
  <c r="M9" i="6"/>
  <c r="M154" i="6" s="1"/>
  <c r="O7" i="7"/>
  <c r="N7" i="7"/>
  <c r="M7" i="7"/>
  <c r="L7" i="7"/>
  <c r="R7" i="6" l="1"/>
  <c r="R11" i="6" s="1"/>
  <c r="R63" i="14"/>
  <c r="O7" i="6"/>
  <c r="O11" i="6" s="1"/>
  <c r="O63" i="14"/>
  <c r="O67" i="14" s="1"/>
  <c r="S7" i="6"/>
  <c r="S11" i="6" s="1"/>
  <c r="S63" i="14"/>
  <c r="T7" i="6"/>
  <c r="T63" i="14"/>
  <c r="P7" i="6"/>
  <c r="P63" i="14"/>
  <c r="Q67" i="14"/>
  <c r="M70" i="14"/>
  <c r="R67" i="14"/>
  <c r="N70" i="14"/>
  <c r="U7" i="6"/>
  <c r="U63" i="14"/>
  <c r="Q7" i="6"/>
  <c r="Q63" i="14"/>
  <c r="L70" i="14"/>
  <c r="P67" i="14"/>
  <c r="M158" i="6"/>
  <c r="M66" i="6"/>
  <c r="M25" i="6"/>
  <c r="N57" i="6"/>
  <c r="M58" i="6"/>
  <c r="N58" i="6" s="1"/>
  <c r="N55" i="6"/>
  <c r="N56" i="6"/>
  <c r="L14" i="6"/>
  <c r="L18" i="6"/>
  <c r="M14" i="6"/>
  <c r="M18" i="6"/>
  <c r="M167" i="6" s="1"/>
  <c r="M178" i="6" s="1"/>
  <c r="N9" i="6"/>
  <c r="P11" i="6"/>
  <c r="T11" i="6" s="1"/>
  <c r="N13" i="6"/>
  <c r="Q11" i="6"/>
  <c r="N71" i="14" l="1"/>
  <c r="N16" i="14"/>
  <c r="S67" i="14"/>
  <c r="O70" i="14"/>
  <c r="V67" i="14"/>
  <c r="V70" i="14" s="1"/>
  <c r="R70" i="14"/>
  <c r="M71" i="14"/>
  <c r="M16" i="14"/>
  <c r="U67" i="14"/>
  <c r="U70" i="14" s="1"/>
  <c r="Q70" i="14"/>
  <c r="T67" i="14"/>
  <c r="T70" i="14" s="1"/>
  <c r="T16" i="14" s="1"/>
  <c r="P70" i="14"/>
  <c r="L16" i="14"/>
  <c r="L71" i="14"/>
  <c r="M118" i="6"/>
  <c r="L19" i="6"/>
  <c r="L167" i="6"/>
  <c r="L178" i="6" s="1"/>
  <c r="N158" i="6"/>
  <c r="O9" i="6"/>
  <c r="N154" i="6"/>
  <c r="L26" i="6"/>
  <c r="L39" i="6"/>
  <c r="M24" i="6"/>
  <c r="M39" i="6"/>
  <c r="O57" i="6"/>
  <c r="P57" i="6" s="1"/>
  <c r="Q57" i="6" s="1"/>
  <c r="O55" i="6"/>
  <c r="P55" i="6" s="1"/>
  <c r="O58" i="6"/>
  <c r="P58" i="6" s="1"/>
  <c r="Q58" i="6" s="1"/>
  <c r="M27" i="6"/>
  <c r="M28" i="6"/>
  <c r="M19" i="6"/>
  <c r="M21" i="6"/>
  <c r="M20" i="6"/>
  <c r="M22" i="6"/>
  <c r="O56" i="6"/>
  <c r="L21" i="6"/>
  <c r="L28" i="6"/>
  <c r="L20" i="6"/>
  <c r="L24" i="6"/>
  <c r="L22" i="6"/>
  <c r="L27" i="6"/>
  <c r="M26" i="6"/>
  <c r="N14" i="6"/>
  <c r="N18" i="6"/>
  <c r="O13" i="6"/>
  <c r="P13" i="6"/>
  <c r="U11" i="6"/>
  <c r="M85" i="14" l="1"/>
  <c r="M23" i="14"/>
  <c r="M83" i="14" s="1"/>
  <c r="M25" i="14"/>
  <c r="M20" i="14"/>
  <c r="M18" i="14"/>
  <c r="M19" i="14"/>
  <c r="M17" i="14"/>
  <c r="M21" i="14" s="1"/>
  <c r="M37" i="14"/>
  <c r="M22" i="14"/>
  <c r="M24" i="14"/>
  <c r="U16" i="14"/>
  <c r="U71" i="14"/>
  <c r="R16" i="14"/>
  <c r="R71" i="14"/>
  <c r="V16" i="14"/>
  <c r="V71" i="14"/>
  <c r="W67" i="14"/>
  <c r="W70" i="14" s="1"/>
  <c r="S70" i="14"/>
  <c r="O16" i="14"/>
  <c r="O71" i="14"/>
  <c r="Q71" i="14"/>
  <c r="Q16" i="14"/>
  <c r="N85" i="14"/>
  <c r="N19" i="14"/>
  <c r="N37" i="14"/>
  <c r="N22" i="14"/>
  <c r="N17" i="14"/>
  <c r="N23" i="14"/>
  <c r="N83" i="14" s="1"/>
  <c r="N18" i="14"/>
  <c r="N20" i="14"/>
  <c r="N25" i="14"/>
  <c r="N21" i="14"/>
  <c r="N24" i="14"/>
  <c r="L85" i="14"/>
  <c r="L18" i="14"/>
  <c r="L24" i="14"/>
  <c r="L23" i="14"/>
  <c r="L83" i="14" s="1"/>
  <c r="L25" i="14"/>
  <c r="L22" i="14"/>
  <c r="L17" i="14"/>
  <c r="L21" i="14" s="1"/>
  <c r="L19" i="14"/>
  <c r="L37" i="14"/>
  <c r="L20" i="14"/>
  <c r="T71" i="14"/>
  <c r="P71" i="14"/>
  <c r="P16" i="14"/>
  <c r="T37" i="14" s="1"/>
  <c r="T19" i="14"/>
  <c r="T20" i="14"/>
  <c r="T18" i="14"/>
  <c r="T17" i="14"/>
  <c r="T23" i="14"/>
  <c r="T83" i="14" s="1"/>
  <c r="T85" i="14"/>
  <c r="T22" i="14"/>
  <c r="T24" i="14"/>
  <c r="T25" i="14"/>
  <c r="L118" i="6"/>
  <c r="L69" i="6" s="1"/>
  <c r="L168" i="6"/>
  <c r="L182" i="6" s="1"/>
  <c r="L131" i="6" s="1"/>
  <c r="L74" i="6" s="1"/>
  <c r="M168" i="6"/>
  <c r="M182" i="6" s="1"/>
  <c r="M131" i="6" s="1"/>
  <c r="N39" i="6"/>
  <c r="N167" i="6"/>
  <c r="N178" i="6" s="1"/>
  <c r="O158" i="6"/>
  <c r="N66" i="6"/>
  <c r="N25" i="6"/>
  <c r="P9" i="6"/>
  <c r="O154" i="6"/>
  <c r="M23" i="6"/>
  <c r="L23" i="6"/>
  <c r="R57" i="6"/>
  <c r="S57" i="6" s="1"/>
  <c r="N28" i="6"/>
  <c r="N22" i="6"/>
  <c r="N21" i="6"/>
  <c r="N19" i="6"/>
  <c r="R58" i="6"/>
  <c r="P56" i="6"/>
  <c r="N26" i="6"/>
  <c r="Q55" i="6"/>
  <c r="R55" i="6" s="1"/>
  <c r="N27" i="6"/>
  <c r="N20" i="6"/>
  <c r="N24" i="6"/>
  <c r="P14" i="6"/>
  <c r="P18" i="6"/>
  <c r="P167" i="6" s="1"/>
  <c r="P178" i="6" s="1"/>
  <c r="O14" i="6"/>
  <c r="O18" i="6"/>
  <c r="O167" i="6" s="1"/>
  <c r="O178" i="6" s="1"/>
  <c r="M43" i="14" l="1"/>
  <c r="M38" i="14"/>
  <c r="M27" i="14"/>
  <c r="N43" i="14"/>
  <c r="N27" i="14"/>
  <c r="N38" i="14"/>
  <c r="T21" i="14"/>
  <c r="N84" i="14"/>
  <c r="V17" i="14"/>
  <c r="V20" i="14"/>
  <c r="V19" i="14"/>
  <c r="V23" i="14"/>
  <c r="V83" i="14" s="1"/>
  <c r="V85" i="14"/>
  <c r="V84" i="14" s="1"/>
  <c r="V37" i="14"/>
  <c r="V18" i="14"/>
  <c r="V25" i="14"/>
  <c r="V24" i="14"/>
  <c r="V22" i="14"/>
  <c r="U37" i="14"/>
  <c r="Q17" i="14"/>
  <c r="Q23" i="14"/>
  <c r="Q83" i="14" s="1"/>
  <c r="Q85" i="14"/>
  <c r="Q18" i="14"/>
  <c r="Q37" i="14"/>
  <c r="Q19" i="14"/>
  <c r="Q20" i="14"/>
  <c r="Q25" i="14"/>
  <c r="Q22" i="14"/>
  <c r="Q21" i="14"/>
  <c r="Q24" i="14"/>
  <c r="R19" i="14"/>
  <c r="R18" i="14"/>
  <c r="R23" i="14"/>
  <c r="R83" i="14" s="1"/>
  <c r="R37" i="14"/>
  <c r="R17" i="14"/>
  <c r="R21" i="14" s="1"/>
  <c r="R20" i="14"/>
  <c r="R85" i="14"/>
  <c r="R84" i="14" s="1"/>
  <c r="R25" i="14"/>
  <c r="R22" i="14"/>
  <c r="R24" i="14"/>
  <c r="U23" i="14"/>
  <c r="U83" i="14" s="1"/>
  <c r="U18" i="14"/>
  <c r="U17" i="14"/>
  <c r="U21" i="14" s="1"/>
  <c r="U19" i="14"/>
  <c r="U20" i="14"/>
  <c r="U85" i="14"/>
  <c r="U22" i="14"/>
  <c r="U24" i="14"/>
  <c r="U25" i="14"/>
  <c r="S16" i="14"/>
  <c r="S71" i="14"/>
  <c r="O85" i="14"/>
  <c r="O84" i="14" s="1"/>
  <c r="O23" i="14"/>
  <c r="O83" i="14" s="1"/>
  <c r="O37" i="14"/>
  <c r="O19" i="14"/>
  <c r="O20" i="14"/>
  <c r="O17" i="14"/>
  <c r="O18" i="14"/>
  <c r="O21" i="14" s="1"/>
  <c r="O22" i="14"/>
  <c r="O25" i="14"/>
  <c r="O24" i="14"/>
  <c r="W16" i="14"/>
  <c r="W71" i="14"/>
  <c r="L27" i="14"/>
  <c r="L43" i="14"/>
  <c r="L38" i="14"/>
  <c r="T43" i="14"/>
  <c r="T27" i="14"/>
  <c r="U84" i="14"/>
  <c r="M74" i="6"/>
  <c r="P18" i="14"/>
  <c r="P22" i="14"/>
  <c r="P20" i="14"/>
  <c r="P23" i="14"/>
  <c r="P83" i="14" s="1"/>
  <c r="P19" i="14"/>
  <c r="P37" i="14"/>
  <c r="P17" i="14"/>
  <c r="P25" i="14"/>
  <c r="P85" i="14"/>
  <c r="P24" i="14"/>
  <c r="L84" i="14"/>
  <c r="M84" i="14"/>
  <c r="M69" i="6"/>
  <c r="O118" i="6"/>
  <c r="N118" i="6"/>
  <c r="N69" i="6" s="1"/>
  <c r="P118" i="6"/>
  <c r="M179" i="6"/>
  <c r="M180" i="6"/>
  <c r="M120" i="6" s="1"/>
  <c r="M181" i="6"/>
  <c r="M130" i="6" s="1"/>
  <c r="L179" i="6"/>
  <c r="L180" i="6"/>
  <c r="L120" i="6" s="1"/>
  <c r="L71" i="6" s="1"/>
  <c r="L181" i="6"/>
  <c r="L130" i="6" s="1"/>
  <c r="N168" i="6"/>
  <c r="P158" i="6"/>
  <c r="O25" i="6"/>
  <c r="O66" i="6"/>
  <c r="Q9" i="6"/>
  <c r="P154" i="6"/>
  <c r="Q13" i="6"/>
  <c r="L45" i="6"/>
  <c r="L40" i="6"/>
  <c r="M45" i="6"/>
  <c r="M40" i="6"/>
  <c r="O39" i="6"/>
  <c r="P20" i="6"/>
  <c r="P39" i="6"/>
  <c r="M29" i="6"/>
  <c r="M41" i="6" s="1"/>
  <c r="P19" i="6"/>
  <c r="P27" i="6"/>
  <c r="L29" i="6"/>
  <c r="N23" i="6"/>
  <c r="P24" i="6"/>
  <c r="S55" i="6"/>
  <c r="O24" i="6"/>
  <c r="Q56" i="6"/>
  <c r="O28" i="6"/>
  <c r="O22" i="6"/>
  <c r="O21" i="6"/>
  <c r="O20" i="6"/>
  <c r="O26" i="6"/>
  <c r="O19" i="6"/>
  <c r="O27" i="6"/>
  <c r="P28" i="6"/>
  <c r="P22" i="6"/>
  <c r="P21" i="6"/>
  <c r="P26" i="6"/>
  <c r="T57" i="6"/>
  <c r="S58" i="6"/>
  <c r="U43" i="14" l="1"/>
  <c r="U38" i="14"/>
  <c r="O43" i="14"/>
  <c r="O38" i="14"/>
  <c r="R43" i="14"/>
  <c r="R38" i="14"/>
  <c r="O27" i="14"/>
  <c r="N44" i="14"/>
  <c r="N47" i="14"/>
  <c r="N39" i="14"/>
  <c r="N30" i="14"/>
  <c r="Q27" i="14"/>
  <c r="Q43" i="14"/>
  <c r="Q38" i="14"/>
  <c r="U27" i="14"/>
  <c r="V21" i="14"/>
  <c r="M47" i="14"/>
  <c r="M39" i="14"/>
  <c r="M44" i="14"/>
  <c r="M30" i="14"/>
  <c r="S17" i="14"/>
  <c r="S19" i="14"/>
  <c r="S21" i="14" s="1"/>
  <c r="S18" i="14"/>
  <c r="S37" i="14"/>
  <c r="S23" i="14"/>
  <c r="S83" i="14" s="1"/>
  <c r="S20" i="14"/>
  <c r="S85" i="14"/>
  <c r="S25" i="14"/>
  <c r="S22" i="14"/>
  <c r="S24" i="14"/>
  <c r="P69" i="6"/>
  <c r="V27" i="14"/>
  <c r="P21" i="14"/>
  <c r="P27" i="14" s="1"/>
  <c r="T39" i="14" s="1"/>
  <c r="W37" i="14"/>
  <c r="W19" i="14"/>
  <c r="W23" i="14"/>
  <c r="W83" i="14" s="1"/>
  <c r="W20" i="14"/>
  <c r="W18" i="14"/>
  <c r="W17" i="14"/>
  <c r="W85" i="14"/>
  <c r="W84" i="14" s="1"/>
  <c r="W21" i="14"/>
  <c r="W24" i="14"/>
  <c r="W25" i="14"/>
  <c r="W22" i="14"/>
  <c r="R27" i="14"/>
  <c r="P38" i="14"/>
  <c r="T47" i="14"/>
  <c r="T44" i="14"/>
  <c r="T30" i="14"/>
  <c r="M71" i="6"/>
  <c r="P84" i="14"/>
  <c r="Q84" i="14"/>
  <c r="L47" i="14"/>
  <c r="L30" i="14"/>
  <c r="L44" i="14"/>
  <c r="L39" i="14"/>
  <c r="L73" i="6"/>
  <c r="P111" i="6"/>
  <c r="P117" i="6" s="1"/>
  <c r="M73" i="6"/>
  <c r="Q111" i="6"/>
  <c r="Q117" i="6" s="1"/>
  <c r="O69" i="6"/>
  <c r="N182" i="6"/>
  <c r="N131" i="6" s="1"/>
  <c r="N74" i="6" s="1"/>
  <c r="M119" i="6"/>
  <c r="M184" i="6"/>
  <c r="L119" i="6"/>
  <c r="L184" i="6"/>
  <c r="L186" i="6" s="1"/>
  <c r="M133" i="6"/>
  <c r="M137" i="6" s="1"/>
  <c r="L133" i="6"/>
  <c r="L137" i="6" s="1"/>
  <c r="N179" i="6"/>
  <c r="N180" i="6"/>
  <c r="N120" i="6" s="1"/>
  <c r="N71" i="6" s="1"/>
  <c r="N181" i="6"/>
  <c r="N130" i="6" s="1"/>
  <c r="P168" i="6"/>
  <c r="P182" i="6" s="1"/>
  <c r="P131" i="6" s="1"/>
  <c r="O168" i="6"/>
  <c r="O182" i="6" s="1"/>
  <c r="O131" i="6" s="1"/>
  <c r="Q158" i="6"/>
  <c r="P25" i="6"/>
  <c r="P66" i="6"/>
  <c r="Q14" i="6"/>
  <c r="Q18" i="6"/>
  <c r="Q167" i="6" s="1"/>
  <c r="Q178" i="6" s="1"/>
  <c r="R9" i="6"/>
  <c r="Q154" i="6"/>
  <c r="R13" i="6"/>
  <c r="L32" i="6"/>
  <c r="L41" i="6"/>
  <c r="N29" i="6"/>
  <c r="N41" i="6" s="1"/>
  <c r="N40" i="6"/>
  <c r="M32" i="6"/>
  <c r="M46" i="6"/>
  <c r="L46" i="6"/>
  <c r="N45" i="6"/>
  <c r="P23" i="6"/>
  <c r="P40" i="6" s="1"/>
  <c r="O23" i="6"/>
  <c r="O40" i="6" s="1"/>
  <c r="T55" i="6"/>
  <c r="R56" i="6"/>
  <c r="T58" i="6"/>
  <c r="U57" i="6"/>
  <c r="S43" i="14" l="1"/>
  <c r="S38" i="14"/>
  <c r="O47" i="14"/>
  <c r="O30" i="14"/>
  <c r="O39" i="14"/>
  <c r="O44" i="14"/>
  <c r="S84" i="14"/>
  <c r="T84" i="14"/>
  <c r="M45" i="14"/>
  <c r="M77" i="14"/>
  <c r="M78" i="14" s="1"/>
  <c r="M81" i="14" s="1"/>
  <c r="M92" i="14" s="1"/>
  <c r="M99" i="14" s="1"/>
  <c r="M100" i="14" s="1"/>
  <c r="M32" i="14"/>
  <c r="Q47" i="14"/>
  <c r="Q30" i="14"/>
  <c r="Q44" i="14"/>
  <c r="Q39" i="14"/>
  <c r="N32" i="14"/>
  <c r="N45" i="14"/>
  <c r="N77" i="14"/>
  <c r="N78" i="14" s="1"/>
  <c r="N81" i="14" s="1"/>
  <c r="N92" i="14" s="1"/>
  <c r="N99" i="14" s="1"/>
  <c r="N100" i="14" s="1"/>
  <c r="W43" i="14"/>
  <c r="W38" i="14"/>
  <c r="W27" i="14"/>
  <c r="P43" i="14"/>
  <c r="V47" i="14"/>
  <c r="V39" i="14"/>
  <c r="V44" i="14"/>
  <c r="V30" i="14"/>
  <c r="T38" i="14"/>
  <c r="V43" i="14"/>
  <c r="V38" i="14"/>
  <c r="R30" i="14"/>
  <c r="R47" i="14"/>
  <c r="R39" i="14"/>
  <c r="R44" i="14"/>
  <c r="S27" i="14"/>
  <c r="U47" i="14"/>
  <c r="U39" i="14"/>
  <c r="U44" i="14"/>
  <c r="U30" i="14"/>
  <c r="T45" i="14"/>
  <c r="T77" i="14"/>
  <c r="T78" i="14" s="1"/>
  <c r="T81" i="14" s="1"/>
  <c r="T32" i="14"/>
  <c r="L32" i="14"/>
  <c r="L45" i="14"/>
  <c r="L77" i="14"/>
  <c r="L78" i="14" s="1"/>
  <c r="L81" i="14" s="1"/>
  <c r="L92" i="14" s="1"/>
  <c r="L99" i="14" s="1"/>
  <c r="L100" i="14" s="1"/>
  <c r="P47" i="14"/>
  <c r="P39" i="14"/>
  <c r="P30" i="14"/>
  <c r="P44" i="14"/>
  <c r="O74" i="6"/>
  <c r="P74" i="6"/>
  <c r="N73" i="6"/>
  <c r="R111" i="6"/>
  <c r="R117" i="6" s="1"/>
  <c r="L121" i="6"/>
  <c r="L70" i="6"/>
  <c r="M121" i="6"/>
  <c r="M70" i="6"/>
  <c r="Q118" i="6"/>
  <c r="Q69" i="6" s="1"/>
  <c r="M186" i="6"/>
  <c r="N119" i="6"/>
  <c r="N70" i="6" s="1"/>
  <c r="N184" i="6"/>
  <c r="N186" i="6" s="1"/>
  <c r="N133" i="6"/>
  <c r="N137" i="6" s="1"/>
  <c r="P181" i="6"/>
  <c r="P130" i="6" s="1"/>
  <c r="P180" i="6"/>
  <c r="P120" i="6" s="1"/>
  <c r="P179" i="6"/>
  <c r="O180" i="6"/>
  <c r="O120" i="6" s="1"/>
  <c r="O71" i="6" s="1"/>
  <c r="O179" i="6"/>
  <c r="O181" i="6"/>
  <c r="O130" i="6" s="1"/>
  <c r="N121" i="6"/>
  <c r="M160" i="6"/>
  <c r="M33" i="6" s="1"/>
  <c r="M34" i="6" s="1"/>
  <c r="L47" i="6"/>
  <c r="L160" i="6"/>
  <c r="L33" i="6" s="1"/>
  <c r="L34" i="6" s="1"/>
  <c r="R158" i="6"/>
  <c r="Q66" i="6"/>
  <c r="Q25" i="6"/>
  <c r="R18" i="6"/>
  <c r="R167" i="6" s="1"/>
  <c r="R178" i="6" s="1"/>
  <c r="R14" i="6"/>
  <c r="S9" i="6"/>
  <c r="R154" i="6"/>
  <c r="S13" i="6"/>
  <c r="Q39" i="6"/>
  <c r="Q24" i="6"/>
  <c r="Q26" i="6"/>
  <c r="Q21" i="6"/>
  <c r="Q28" i="6"/>
  <c r="Q27" i="6"/>
  <c r="Q19" i="6"/>
  <c r="Q20" i="6"/>
  <c r="Q22" i="6"/>
  <c r="M47" i="6"/>
  <c r="P29" i="6"/>
  <c r="P32" i="6" s="1"/>
  <c r="N46" i="6"/>
  <c r="P45" i="6"/>
  <c r="N32" i="6"/>
  <c r="U55" i="6"/>
  <c r="O29" i="6"/>
  <c r="O41" i="6" s="1"/>
  <c r="O45" i="6"/>
  <c r="U58" i="6"/>
  <c r="S56" i="6"/>
  <c r="W47" i="14" l="1"/>
  <c r="I104" i="14" s="1"/>
  <c r="I106" i="14" s="1"/>
  <c r="W39" i="14"/>
  <c r="W44" i="14"/>
  <c r="W30" i="14"/>
  <c r="R77" i="14"/>
  <c r="R78" i="14" s="1"/>
  <c r="R81" i="14" s="1"/>
  <c r="R92" i="14" s="1"/>
  <c r="R99" i="14" s="1"/>
  <c r="R100" i="14" s="1"/>
  <c r="R32" i="14"/>
  <c r="R45" i="14"/>
  <c r="S47" i="14"/>
  <c r="S44" i="14"/>
  <c r="S39" i="14"/>
  <c r="S30" i="14"/>
  <c r="V77" i="14"/>
  <c r="V78" i="14" s="1"/>
  <c r="V81" i="14" s="1"/>
  <c r="V92" i="14" s="1"/>
  <c r="V99" i="14" s="1"/>
  <c r="V100" i="14" s="1"/>
  <c r="V32" i="14"/>
  <c r="V45" i="14"/>
  <c r="O77" i="14"/>
  <c r="O78" i="14" s="1"/>
  <c r="O81" i="14" s="1"/>
  <c r="O92" i="14" s="1"/>
  <c r="O99" i="14" s="1"/>
  <c r="O100" i="14" s="1"/>
  <c r="O45" i="14"/>
  <c r="O32" i="14"/>
  <c r="U32" i="14"/>
  <c r="U77" i="14"/>
  <c r="U78" i="14" s="1"/>
  <c r="U81" i="14" s="1"/>
  <c r="U92" i="14" s="1"/>
  <c r="U99" i="14" s="1"/>
  <c r="U100" i="14" s="1"/>
  <c r="U45" i="14"/>
  <c r="Q77" i="14"/>
  <c r="Q45" i="14"/>
  <c r="Q32" i="14"/>
  <c r="M46" i="14"/>
  <c r="M33" i="14"/>
  <c r="M40" i="14"/>
  <c r="N33" i="14"/>
  <c r="N46" i="14"/>
  <c r="N40" i="14"/>
  <c r="T92" i="14"/>
  <c r="T99" i="14" s="1"/>
  <c r="T100" i="14" s="1"/>
  <c r="L33" i="14"/>
  <c r="L46" i="14"/>
  <c r="L40" i="14"/>
  <c r="P77" i="14"/>
  <c r="P78" i="14" s="1"/>
  <c r="P81" i="14" s="1"/>
  <c r="P92" i="14" s="1"/>
  <c r="P99" i="14" s="1"/>
  <c r="P100" i="14" s="1"/>
  <c r="P32" i="14"/>
  <c r="T40" i="14" s="1"/>
  <c r="P45" i="14"/>
  <c r="T46" i="14"/>
  <c r="T33" i="14"/>
  <c r="P133" i="6"/>
  <c r="P137" i="6" s="1"/>
  <c r="P73" i="6"/>
  <c r="T111" i="6"/>
  <c r="T117" i="6" s="1"/>
  <c r="O73" i="6"/>
  <c r="S111" i="6"/>
  <c r="S117" i="6" s="1"/>
  <c r="P71" i="6"/>
  <c r="R118" i="6"/>
  <c r="R69" i="6" s="1"/>
  <c r="O119" i="6"/>
  <c r="O184" i="6"/>
  <c r="O186" i="6" s="1"/>
  <c r="P119" i="6"/>
  <c r="P184" i="6"/>
  <c r="O133" i="6"/>
  <c r="O137" i="6" s="1"/>
  <c r="Q168" i="6"/>
  <c r="Q182" i="6" s="1"/>
  <c r="Q131" i="6" s="1"/>
  <c r="Q74" i="6" s="1"/>
  <c r="M64" i="6"/>
  <c r="M76" i="6" s="1"/>
  <c r="M48" i="6"/>
  <c r="M35" i="6"/>
  <c r="M42" i="6"/>
  <c r="S158" i="6"/>
  <c r="P47" i="6"/>
  <c r="P160" i="6"/>
  <c r="P33" i="6" s="1"/>
  <c r="P34" i="6" s="1"/>
  <c r="P64" i="6" s="1"/>
  <c r="N160" i="6"/>
  <c r="N33" i="6" s="1"/>
  <c r="N34" i="6" s="1"/>
  <c r="R66" i="6"/>
  <c r="R25" i="6"/>
  <c r="Q23" i="6"/>
  <c r="S18" i="6"/>
  <c r="S167" i="6" s="1"/>
  <c r="S178" i="6" s="1"/>
  <c r="S14" i="6"/>
  <c r="T9" i="6"/>
  <c r="S154" i="6"/>
  <c r="T13" i="6"/>
  <c r="R26" i="6"/>
  <c r="R21" i="6"/>
  <c r="R22" i="6"/>
  <c r="R24" i="6"/>
  <c r="R28" i="6"/>
  <c r="R39" i="6"/>
  <c r="R20" i="6"/>
  <c r="R27" i="6"/>
  <c r="R19" i="6"/>
  <c r="L42" i="6"/>
  <c r="L64" i="6"/>
  <c r="L76" i="6" s="1"/>
  <c r="N47" i="6"/>
  <c r="P41" i="6"/>
  <c r="L48" i="6"/>
  <c r="L35" i="6"/>
  <c r="P46" i="6"/>
  <c r="T56" i="6"/>
  <c r="O46" i="6"/>
  <c r="O32" i="6"/>
  <c r="V46" i="14" l="1"/>
  <c r="V33" i="14"/>
  <c r="V40" i="14"/>
  <c r="O46" i="14"/>
  <c r="O33" i="14"/>
  <c r="O40" i="14"/>
  <c r="C105" i="14"/>
  <c r="C106" i="14" s="1"/>
  <c r="Q46" i="14"/>
  <c r="Q33" i="14"/>
  <c r="Q40" i="14"/>
  <c r="I107" i="14"/>
  <c r="I111" i="14" s="1"/>
  <c r="I113" i="14"/>
  <c r="P186" i="6"/>
  <c r="R40" i="14"/>
  <c r="R33" i="14"/>
  <c r="R46" i="14"/>
  <c r="Q78" i="14"/>
  <c r="Q81" i="14" s="1"/>
  <c r="Q92" i="14" s="1"/>
  <c r="Q99" i="14" s="1"/>
  <c r="Q100" i="14" s="1"/>
  <c r="C108" i="14" s="1"/>
  <c r="W45" i="14"/>
  <c r="W32" i="14"/>
  <c r="W77" i="14"/>
  <c r="W78" i="14" s="1"/>
  <c r="W81" i="14" s="1"/>
  <c r="W92" i="14" s="1"/>
  <c r="W99" i="14" s="1"/>
  <c r="W100" i="14" s="1"/>
  <c r="S32" i="14"/>
  <c r="S45" i="14"/>
  <c r="S77" i="14"/>
  <c r="S78" i="14" s="1"/>
  <c r="S81" i="14" s="1"/>
  <c r="S92" i="14" s="1"/>
  <c r="S99" i="14" s="1"/>
  <c r="S100" i="14" s="1"/>
  <c r="U40" i="14"/>
  <c r="U46" i="14"/>
  <c r="U33" i="14"/>
  <c r="P76" i="6"/>
  <c r="P33" i="14"/>
  <c r="P40" i="14"/>
  <c r="P46" i="14"/>
  <c r="P121" i="6"/>
  <c r="P70" i="6"/>
  <c r="O121" i="6"/>
  <c r="O70" i="6"/>
  <c r="S118" i="6"/>
  <c r="S69" i="6" s="1"/>
  <c r="Q180" i="6"/>
  <c r="Q120" i="6" s="1"/>
  <c r="Q71" i="6" s="1"/>
  <c r="Q181" i="6"/>
  <c r="Q130" i="6" s="1"/>
  <c r="Q73" i="6" s="1"/>
  <c r="Q179" i="6"/>
  <c r="R168" i="6"/>
  <c r="R182" i="6" s="1"/>
  <c r="R131" i="6" s="1"/>
  <c r="R74" i="6" s="1"/>
  <c r="N35" i="6"/>
  <c r="N64" i="6"/>
  <c r="N76" i="6" s="1"/>
  <c r="N48" i="6"/>
  <c r="N42" i="6"/>
  <c r="T158" i="6"/>
  <c r="O160" i="6"/>
  <c r="O33" i="6" s="1"/>
  <c r="O34" i="6" s="1"/>
  <c r="S66" i="6"/>
  <c r="S25" i="6"/>
  <c r="T18" i="6"/>
  <c r="T167" i="6" s="1"/>
  <c r="T178" i="6" s="1"/>
  <c r="T14" i="6"/>
  <c r="U9" i="6"/>
  <c r="U154" i="6" s="1"/>
  <c r="T154" i="6"/>
  <c r="U13" i="6"/>
  <c r="R23" i="6"/>
  <c r="S22" i="6"/>
  <c r="S28" i="6"/>
  <c r="S21" i="6"/>
  <c r="S26" i="6"/>
  <c r="S39" i="6"/>
  <c r="S20" i="6"/>
  <c r="S27" i="6"/>
  <c r="S24" i="6"/>
  <c r="S19" i="6"/>
  <c r="Q40" i="6"/>
  <c r="Q29" i="6"/>
  <c r="Q45" i="6"/>
  <c r="P48" i="6"/>
  <c r="P42" i="6"/>
  <c r="P35" i="6"/>
  <c r="U56" i="6"/>
  <c r="O47" i="6"/>
  <c r="I108" i="14" l="1"/>
  <c r="S40" i="14"/>
  <c r="S33" i="14"/>
  <c r="S46" i="14"/>
  <c r="C113" i="14"/>
  <c r="C107" i="14"/>
  <c r="W40" i="14"/>
  <c r="W46" i="14"/>
  <c r="W33" i="14"/>
  <c r="I112" i="14"/>
  <c r="I109" i="14"/>
  <c r="D132" i="14" s="1"/>
  <c r="T118" i="6"/>
  <c r="T69" i="6" s="1"/>
  <c r="Q119" i="6"/>
  <c r="Q184" i="6"/>
  <c r="Q186" i="6" s="1"/>
  <c r="Q133" i="6"/>
  <c r="Q137" i="6" s="1"/>
  <c r="R179" i="6"/>
  <c r="R180" i="6"/>
  <c r="R120" i="6" s="1"/>
  <c r="R71" i="6" s="1"/>
  <c r="R181" i="6"/>
  <c r="R130" i="6" s="1"/>
  <c r="R73" i="6" s="1"/>
  <c r="S168" i="6"/>
  <c r="S182" i="6" s="1"/>
  <c r="S131" i="6" s="1"/>
  <c r="S74" i="6" s="1"/>
  <c r="U158" i="6"/>
  <c r="T66" i="6"/>
  <c r="T25" i="6"/>
  <c r="U66" i="6"/>
  <c r="U25" i="6"/>
  <c r="S23" i="6"/>
  <c r="S40" i="6" s="1"/>
  <c r="R40" i="6"/>
  <c r="R45" i="6"/>
  <c r="R29" i="6"/>
  <c r="U18" i="6"/>
  <c r="U167" i="6" s="1"/>
  <c r="U178" i="6" s="1"/>
  <c r="U14" i="6"/>
  <c r="Q41" i="6"/>
  <c r="Q32" i="6"/>
  <c r="Q46" i="6"/>
  <c r="T28" i="6"/>
  <c r="T39" i="6"/>
  <c r="T22" i="6"/>
  <c r="T26" i="6"/>
  <c r="T27" i="6"/>
  <c r="T21" i="6"/>
  <c r="T24" i="6"/>
  <c r="T20" i="6"/>
  <c r="T19" i="6"/>
  <c r="O42" i="6"/>
  <c r="O64" i="6"/>
  <c r="O76" i="6" s="1"/>
  <c r="O48" i="6"/>
  <c r="O35" i="6"/>
  <c r="C109" i="14" l="1"/>
  <c r="C111" i="14"/>
  <c r="D141" i="14"/>
  <c r="D140" i="14"/>
  <c r="D139" i="14"/>
  <c r="D134" i="14"/>
  <c r="D136" i="14" s="1"/>
  <c r="Q121" i="6"/>
  <c r="Q70" i="6"/>
  <c r="R119" i="6"/>
  <c r="R70" i="6" s="1"/>
  <c r="R184" i="6"/>
  <c r="R186" i="6" s="1"/>
  <c r="U118" i="6"/>
  <c r="U69" i="6" s="1"/>
  <c r="R133" i="6"/>
  <c r="R137" i="6" s="1"/>
  <c r="S179" i="6"/>
  <c r="S180" i="6"/>
  <c r="S120" i="6" s="1"/>
  <c r="S71" i="6" s="1"/>
  <c r="S181" i="6"/>
  <c r="S130" i="6" s="1"/>
  <c r="T168" i="6"/>
  <c r="T182" i="6" s="1"/>
  <c r="T131" i="6" s="1"/>
  <c r="T74" i="6" s="1"/>
  <c r="R121" i="6"/>
  <c r="S29" i="6"/>
  <c r="S41" i="6" s="1"/>
  <c r="Q160" i="6"/>
  <c r="Q33" i="6" s="1"/>
  <c r="Q34" i="6" s="1"/>
  <c r="S45" i="6"/>
  <c r="U28" i="6"/>
  <c r="U22" i="6"/>
  <c r="U39" i="6"/>
  <c r="U21" i="6"/>
  <c r="U20" i="6"/>
  <c r="U26" i="6"/>
  <c r="U24" i="6"/>
  <c r="U19" i="6"/>
  <c r="U27" i="6"/>
  <c r="R41" i="6"/>
  <c r="R46" i="6"/>
  <c r="R32" i="6"/>
  <c r="Q47" i="6"/>
  <c r="T23" i="6"/>
  <c r="C132" i="14" l="1"/>
  <c r="C112" i="14"/>
  <c r="S133" i="6"/>
  <c r="S73" i="6"/>
  <c r="S119" i="6"/>
  <c r="S184" i="6"/>
  <c r="S186" i="6" s="1"/>
  <c r="S137" i="6"/>
  <c r="T180" i="6"/>
  <c r="T120" i="6" s="1"/>
  <c r="T71" i="6" s="1"/>
  <c r="T179" i="6"/>
  <c r="T181" i="6"/>
  <c r="T130" i="6" s="1"/>
  <c r="S46" i="6"/>
  <c r="U168" i="6"/>
  <c r="U182" i="6" s="1"/>
  <c r="U131" i="6" s="1"/>
  <c r="U74" i="6" s="1"/>
  <c r="S32" i="6"/>
  <c r="S160" i="6" s="1"/>
  <c r="S33" i="6" s="1"/>
  <c r="S34" i="6" s="1"/>
  <c r="R160" i="6"/>
  <c r="R33" i="6" s="1"/>
  <c r="R34" i="6" s="1"/>
  <c r="U23" i="6"/>
  <c r="U40" i="6" s="1"/>
  <c r="T40" i="6"/>
  <c r="T45" i="6"/>
  <c r="T29" i="6"/>
  <c r="Q35" i="6"/>
  <c r="Q48" i="6"/>
  <c r="Q42" i="6"/>
  <c r="Q64" i="6"/>
  <c r="Q76" i="6" s="1"/>
  <c r="R47" i="6"/>
  <c r="C141" i="14" l="1"/>
  <c r="C139" i="14"/>
  <c r="C134" i="14"/>
  <c r="C136" i="14" s="1"/>
  <c r="C140" i="14"/>
  <c r="T133" i="6"/>
  <c r="T137" i="6" s="1"/>
  <c r="T73" i="6"/>
  <c r="S121" i="6"/>
  <c r="S70" i="6"/>
  <c r="T119" i="6"/>
  <c r="T184" i="6"/>
  <c r="T186" i="6" s="1"/>
  <c r="U179" i="6"/>
  <c r="U180" i="6"/>
  <c r="U120" i="6" s="1"/>
  <c r="U71" i="6" s="1"/>
  <c r="U181" i="6"/>
  <c r="U130" i="6" s="1"/>
  <c r="U73" i="6" s="1"/>
  <c r="S47" i="6"/>
  <c r="U29" i="6"/>
  <c r="U41" i="6" s="1"/>
  <c r="U45" i="6"/>
  <c r="R48" i="6"/>
  <c r="R35" i="6"/>
  <c r="R64" i="6"/>
  <c r="R76" i="6" s="1"/>
  <c r="R42" i="6"/>
  <c r="T41" i="6"/>
  <c r="T32" i="6"/>
  <c r="T46" i="6"/>
  <c r="S35" i="6"/>
  <c r="S42" i="6"/>
  <c r="S64" i="6"/>
  <c r="S76" i="6" s="1"/>
  <c r="S48" i="6"/>
  <c r="T121" i="6" l="1"/>
  <c r="T70" i="6"/>
  <c r="U119" i="6"/>
  <c r="U184" i="6"/>
  <c r="U186" i="6" s="1"/>
  <c r="U133" i="6"/>
  <c r="U137" i="6" s="1"/>
  <c r="U32" i="6"/>
  <c r="U47" i="6" s="1"/>
  <c r="U46" i="6"/>
  <c r="T160" i="6"/>
  <c r="T33" i="6" s="1"/>
  <c r="T34" i="6" s="1"/>
  <c r="T47" i="6"/>
  <c r="U121" i="6" l="1"/>
  <c r="U70" i="6"/>
  <c r="U160" i="6"/>
  <c r="U33" i="6" s="1"/>
  <c r="U34" i="6" s="1"/>
  <c r="U42" i="6" s="1"/>
  <c r="T48" i="6"/>
  <c r="T35" i="6"/>
  <c r="T42" i="6"/>
  <c r="T64" i="6"/>
  <c r="T76" i="6" s="1"/>
  <c r="U76" i="6" l="1"/>
  <c r="U48" i="6"/>
  <c r="U35" i="6"/>
  <c r="U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tc={79EA81C0-863F-4BD7-B2D4-32F7DA37CF0A}</author>
  </authors>
  <commentList>
    <comment ref="A11" authorId="0" shapeId="0" xr:uid="{79EA81C0-863F-4BD7-B2D4-32F7DA37CF0A}">
      <text>
        <t>[Threaded comment]
Your version of Excel allows you to read this threaded comment; however, any edits to it will get removed if the file is opened in a newer version of Excel. Learn more: https://go.microsoft.com/fwlink/?linkid=870924
Comment:
    By stores open in previous period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Feldman</author>
    <author>tc={0C945C15-B5EC-4BED-8CA4-46F6BBA10839}</author>
    <author>Wall Street Prep</author>
  </authors>
  <commentList>
    <comment ref="C10" authorId="0" shapeId="0" xr:uid="{95EAAB69-5F21-4BF3-BF88-651BA04EDDD4}">
      <text>
        <r>
          <rPr>
            <sz val="9"/>
            <color indexed="81"/>
            <rFont val="Tahoma"/>
            <family val="2"/>
          </rPr>
          <t>Front cover of Apple 2019 10K
As of October 18, 2019</t>
        </r>
      </text>
    </comment>
    <comment ref="B67" authorId="1" shapeId="0" xr:uid="{0C945C15-B5EC-4BED-8CA4-46F6BBA108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stores open in previous period</t>
      </text>
    </comment>
    <comment ref="I113" authorId="2" shapeId="0" xr:uid="{6E77E04F-E16C-465B-9130-F9B77C0754E5}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Implied g = [r -FCF(t)/TV]/(1+FCF(t)/TV)
</t>
        </r>
      </text>
    </comment>
    <comment ref="B120" authorId="0" shapeId="0" xr:uid="{8912273E-3497-4EAD-B31B-B5A4C7C9FAA6}">
      <text>
        <r>
          <rPr>
            <b/>
            <sz val="9"/>
            <color indexed="81"/>
            <rFont val="Tahoma"/>
            <family val="2"/>
          </rPr>
          <t>Matan Feldman:</t>
        </r>
        <r>
          <rPr>
            <sz val="9"/>
            <color indexed="81"/>
            <rFont val="Tahoma"/>
            <family val="2"/>
          </rPr>
          <t xml:space="preserve">
Include all debt tranches</t>
        </r>
      </text>
    </comment>
    <comment ref="I120" authorId="0" shapeId="0" xr:uid="{F53E13E0-920A-4C22-8586-40B39E2A18A5}">
      <text>
        <r>
          <rPr>
            <b/>
            <sz val="9"/>
            <color indexed="81"/>
            <rFont val="Tahoma"/>
            <family val="2"/>
          </rPr>
          <t>Matan Feldman:</t>
        </r>
        <r>
          <rPr>
            <sz val="9"/>
            <color indexed="81"/>
            <rFont val="Tahoma"/>
            <family val="2"/>
          </rPr>
          <t xml:space="preserve">
Source: Q1 2020 10Q p.19 </t>
        </r>
      </text>
    </comment>
    <comment ref="C121" authorId="0" shapeId="0" xr:uid="{75487D0C-342F-4C07-8A89-C43E327C9E0C}">
      <text>
        <r>
          <rPr>
            <b/>
            <sz val="9"/>
            <color indexed="81"/>
            <rFont val="Tahoma"/>
            <family val="2"/>
          </rPr>
          <t>Matan Feldman:</t>
        </r>
        <r>
          <rPr>
            <sz val="9"/>
            <color indexed="81"/>
            <rFont val="Tahoma"/>
            <family val="2"/>
          </rPr>
          <t xml:space="preserve">
If we assume conversion using if-converted method, do not include convertible debt in the net debt calculation</t>
        </r>
      </text>
    </comment>
    <comment ref="C122" authorId="0" shapeId="0" xr:uid="{4705F289-EB79-43AF-ACCB-949652E6A821}">
      <text>
        <r>
          <rPr>
            <b/>
            <sz val="9"/>
            <color indexed="81"/>
            <rFont val="Tahoma"/>
            <family val="2"/>
          </rPr>
          <t>Matan Feldman:</t>
        </r>
        <r>
          <rPr>
            <sz val="9"/>
            <color indexed="81"/>
            <rFont val="Tahoma"/>
            <family val="2"/>
          </rPr>
          <t xml:space="preserve">
If we assume conversion using if-converted method, do not include convertible debt in the net debt calculation</t>
        </r>
      </text>
    </comment>
    <comment ref="B125" authorId="0" shapeId="0" xr:uid="{170B2CFD-D34C-4472-ACD8-BEF0F0AC79F4}">
      <text>
        <r>
          <rPr>
            <b/>
            <sz val="9"/>
            <color indexed="81"/>
            <rFont val="Tahoma"/>
            <family val="2"/>
          </rPr>
          <t>Matan Feldman:</t>
        </r>
        <r>
          <rPr>
            <sz val="9"/>
            <color indexed="81"/>
            <rFont val="Tahoma"/>
            <family val="2"/>
          </rPr>
          <t xml:space="preserve">
Include cash &amp; equivalents, short term and long term marketable securites and investments</t>
        </r>
      </text>
    </comment>
  </commentList>
</comments>
</file>

<file path=xl/sharedStrings.xml><?xml version="1.0" encoding="utf-8"?>
<sst xmlns="http://schemas.openxmlformats.org/spreadsheetml/2006/main" count="982" uniqueCount="426">
  <si>
    <t>Cava Group, Inc. (CAVA)</t>
  </si>
  <si>
    <t>UNAUDITED CONDENSED CONSOLIDATED STATEMENTS OF OPERATIONS</t>
  </si>
  <si>
    <t>Fiscal Period</t>
  </si>
  <si>
    <t>Period Start</t>
  </si>
  <si>
    <t>Period End</t>
  </si>
  <si>
    <t>1Q 2024</t>
  </si>
  <si>
    <t>10-Q</t>
  </si>
  <si>
    <t>4Q 2023</t>
  </si>
  <si>
    <t>10-K</t>
  </si>
  <si>
    <t>3Q 2023</t>
  </si>
  <si>
    <t>2Q 2023</t>
  </si>
  <si>
    <t>1Q 2023</t>
  </si>
  <si>
    <t>4Q 2022</t>
  </si>
  <si>
    <t>3Q 2022</t>
  </si>
  <si>
    <t>2Q 2022</t>
  </si>
  <si>
    <t>Total revenue</t>
  </si>
  <si>
    <t>Operating expenses:</t>
  </si>
  <si>
    <t xml:space="preserve"> </t>
  </si>
  <si>
    <t>Restaurant operating expenses (excluding depreciation and amortization)</t>
  </si>
  <si>
    <t>Food, beverage, and packaging</t>
  </si>
  <si>
    <t>Labor</t>
  </si>
  <si>
    <t>Occupancy</t>
  </si>
  <si>
    <t>Other operating expenses</t>
  </si>
  <si>
    <t>Total restaurant operating expenses</t>
  </si>
  <si>
    <t>General and administrative expenses</t>
  </si>
  <si>
    <t>Depreciation and amortization</t>
  </si>
  <si>
    <t>Restructuring and other costs</t>
  </si>
  <si>
    <t>Pre-opening costs</t>
  </si>
  <si>
    <t>Impairment and asset disposal costs</t>
  </si>
  <si>
    <t>Total operating expenses</t>
  </si>
  <si>
    <t>Other income (expense):</t>
  </si>
  <si>
    <t>Interest (income) expense, net</t>
  </si>
  <si>
    <t>Other income, net</t>
  </si>
  <si>
    <t>Provision for income taxes</t>
  </si>
  <si>
    <t>Net income (loss)</t>
  </si>
  <si>
    <t>Basic (in usd per share)</t>
  </si>
  <si>
    <t>Diluted (in usd per share)</t>
  </si>
  <si>
    <t>Weighted-average common shares outstanding:</t>
  </si>
  <si>
    <t>Basic (in shares)</t>
  </si>
  <si>
    <t>Diluted (in shares)</t>
  </si>
  <si>
    <t>Period Ending:</t>
  </si>
  <si>
    <t xml:space="preserve">LTM 
  (Last Twelve Months) </t>
  </si>
  <si>
    <t>Report Filing:</t>
  </si>
  <si>
    <t/>
  </si>
  <si>
    <t>Income Statement</t>
  </si>
  <si>
    <t>2Q 2024</t>
  </si>
  <si>
    <t>3Q 2024</t>
  </si>
  <si>
    <t>4Q 2024</t>
  </si>
  <si>
    <t>1Q 2025</t>
  </si>
  <si>
    <t>2Q 2025</t>
  </si>
  <si>
    <t>3Q 2025</t>
  </si>
  <si>
    <t>QoQ Growth</t>
  </si>
  <si>
    <t>Gross Profit</t>
  </si>
  <si>
    <t>Operating Margin</t>
  </si>
  <si>
    <t>EBT</t>
  </si>
  <si>
    <t>Gross Profit Margin</t>
  </si>
  <si>
    <t>EPS</t>
  </si>
  <si>
    <t>Shares Outstanding</t>
  </si>
  <si>
    <t>4Q 2025</t>
  </si>
  <si>
    <t>New Restuarants</t>
  </si>
  <si>
    <t>1Q 2026</t>
  </si>
  <si>
    <t>Total Restaurants</t>
  </si>
  <si>
    <t>Same Store Sales Growth</t>
  </si>
  <si>
    <t>2Q 2026</t>
  </si>
  <si>
    <t>Exported from Calcbench: 9/2/2024 9:18:53 AM</t>
  </si>
  <si>
    <t>Right click numbers and select Trace This Metric to see source document</t>
  </si>
  <si>
    <t>Highlighted Items Are Revisions</t>
  </si>
  <si>
    <t>RevenuefromContractwithCustomerExcludingAssessedTax</t>
  </si>
  <si>
    <t>OperatingExpensesAbstract</t>
  </si>
  <si>
    <t>CostOfGoodsAndServiceExcludingDepreciationDepletionAndAmortizationAbstract</t>
  </si>
  <si>
    <t>CostDirectMaterial</t>
  </si>
  <si>
    <t>CostDirectLabor</t>
  </si>
  <si>
    <t>OccupancyNet</t>
  </si>
  <si>
    <t>OtherCostOfOperatingRevenue</t>
  </si>
  <si>
    <t>CostOfGoodsAndServiceExcludingDepreciationDepletionAndAmortization</t>
  </si>
  <si>
    <t>GeneralAndAdministrativeExpense</t>
  </si>
  <si>
    <t>DepreciationDepletionAndAmortization</t>
  </si>
  <si>
    <t>RestructuringCosts</t>
  </si>
  <si>
    <t>PreOpeningCosts</t>
  </si>
  <si>
    <t>GainLossOnSalesOfAssetsAndAssetImpairmentCharges</t>
  </si>
  <si>
    <t>CostsAndExpenses</t>
  </si>
  <si>
    <t>Income from operations</t>
  </si>
  <si>
    <t>OperatingIncomeLoss</t>
  </si>
  <si>
    <t>OtherNonoperatingIncomeExpenseAbstract</t>
  </si>
  <si>
    <t>Interest income, net</t>
  </si>
  <si>
    <t>InterestIncomeExpenseNonoperatingNet</t>
  </si>
  <si>
    <t>NonoperatingIncomeExpense</t>
  </si>
  <si>
    <t>Income before income taxes</t>
  </si>
  <si>
    <t>IncomeLossFromContinuingOperationsBeforeIncomeTaxesExtraordinaryItemsNoncontrollingInterest</t>
  </si>
  <si>
    <t>IncomeTaxExpenseBenefit</t>
  </si>
  <si>
    <t>Net income</t>
  </si>
  <si>
    <t>NetIncomeLoss</t>
  </si>
  <si>
    <t>Earnings per share:</t>
  </si>
  <si>
    <t>EarningsPerShareAbstract</t>
  </si>
  <si>
    <t>EarningsPerShareBasic</t>
  </si>
  <si>
    <t>EarningsPerShareDiluted</t>
  </si>
  <si>
    <t>WeightedAverageNumberOfSharesOutstandingDilutedDisclosureItemsAbstract</t>
  </si>
  <si>
    <t>WeightedAverageNumberOfSharesOutstandingBasic</t>
  </si>
  <si>
    <t>WeightedAverageNumberOfDilutedSharesOutstanding</t>
  </si>
  <si>
    <t>3Q 2026</t>
  </si>
  <si>
    <t>4Q 2026</t>
  </si>
  <si>
    <t>Revenue Schedule</t>
  </si>
  <si>
    <t>Rev/Store</t>
  </si>
  <si>
    <t>Amount in USD, except %</t>
  </si>
  <si>
    <t>$CAVA</t>
  </si>
  <si>
    <t>Revenue Scenarios</t>
  </si>
  <si>
    <t>Base Case</t>
  </si>
  <si>
    <t>Bull Case</t>
  </si>
  <si>
    <t>Bear Case</t>
  </si>
  <si>
    <t>Scenario Switch:</t>
  </si>
  <si>
    <t># of New Stores</t>
  </si>
  <si>
    <t>Operating Costs Scenarios</t>
  </si>
  <si>
    <t>% of Revenue</t>
  </si>
  <si>
    <t>Margins</t>
  </si>
  <si>
    <t>EBT Margin</t>
  </si>
  <si>
    <t>Net Profit Margin</t>
  </si>
  <si>
    <t>Growth Metrics</t>
  </si>
  <si>
    <t>Total Revenue QoQ</t>
  </si>
  <si>
    <t>Gross Profit QoQ</t>
  </si>
  <si>
    <t>Operating Profit QoQ</t>
  </si>
  <si>
    <t>Net Income QoQ</t>
  </si>
  <si>
    <t>Cash Flow Statement</t>
  </si>
  <si>
    <t xml:space="preserve">Balance Sheet </t>
  </si>
  <si>
    <t>UNAUDITED CONDENSED CONSOLIDATED BALANCE SHEETS</t>
  </si>
  <si>
    <t>Y 2023</t>
  </si>
  <si>
    <t>Y 2022</t>
  </si>
  <si>
    <t>ASSETS</t>
  </si>
  <si>
    <t>AssetsAbstract</t>
  </si>
  <si>
    <t>Current assets:</t>
  </si>
  <si>
    <t>AssetsCurrentAbstract</t>
  </si>
  <si>
    <t>Cash and cash equivalents</t>
  </si>
  <si>
    <t>CashAndCashEquivalentsAtCarryingValue</t>
  </si>
  <si>
    <t>Trade accounts receivable, net</t>
  </si>
  <si>
    <t>AccountsReceivableNetCurrent</t>
  </si>
  <si>
    <t>Other accounts receivable</t>
  </si>
  <si>
    <t>OtherReceivablesNetCurrent</t>
  </si>
  <si>
    <t>Inventories</t>
  </si>
  <si>
    <t>InventoryNet</t>
  </si>
  <si>
    <t>Prepaid expenses and other</t>
  </si>
  <si>
    <t>PrepaidExpenseAndOtherAssetsCurrent</t>
  </si>
  <si>
    <t>Total current assets</t>
  </si>
  <si>
    <t>AssetsCurrent</t>
  </si>
  <si>
    <t>Property and equipment, net</t>
  </si>
  <si>
    <t>PropertyPlantAndEquipmentNet</t>
  </si>
  <si>
    <t>Operating lease assets</t>
  </si>
  <si>
    <t>OperatingLeaseRightOfUseAsset</t>
  </si>
  <si>
    <t>Goodwill</t>
  </si>
  <si>
    <t>Intangible assets</t>
  </si>
  <si>
    <t>IntangibleAssetsNetExcludingGoodwill</t>
  </si>
  <si>
    <t>Other long-term assets</t>
  </si>
  <si>
    <t>OtherAssetsNoncurrent</t>
  </si>
  <si>
    <t>Total assets</t>
  </si>
  <si>
    <t>Assets</t>
  </si>
  <si>
    <t>LIABILITIES AND STOCKHOLDERS’ EQUITY</t>
  </si>
  <si>
    <t>LiabilitiesAndStockholdersEquityAbstract</t>
  </si>
  <si>
    <t>Current liabilities:</t>
  </si>
  <si>
    <t>LiabilitiesCurrentAbstract</t>
  </si>
  <si>
    <t>Accounts payable</t>
  </si>
  <si>
    <t>AccountsPayableCurrent</t>
  </si>
  <si>
    <t>Accrued expenses and other</t>
  </si>
  <si>
    <t>AccruedLiabilitiesCurrent</t>
  </si>
  <si>
    <t>Operating lease liabilities, current</t>
  </si>
  <si>
    <t>OperatingLeaseLiabilityCurrent</t>
  </si>
  <si>
    <t>Total current liabilities</t>
  </si>
  <si>
    <t>LiabilitiesCurrent</t>
  </si>
  <si>
    <t>Deferred income taxes</t>
  </si>
  <si>
    <t>DeferredIncomeTaxLiabilitiesNet</t>
  </si>
  <si>
    <t>Operating lease liabilities</t>
  </si>
  <si>
    <t>OperatingLeaseLiabilityNoncurrent</t>
  </si>
  <si>
    <t>Other long-term liabilities</t>
  </si>
  <si>
    <t>OtherLiabilitiesNoncurrent</t>
  </si>
  <si>
    <t>Total liabilities</t>
  </si>
  <si>
    <t>Liabilities</t>
  </si>
  <si>
    <t>Redeemable preferred stock, par value $0.0001 per share; 250,000 and 111,874 shares authorized; zero and 95,204 shares issued and outstanding, respectively</t>
  </si>
  <si>
    <t>TemporaryEquityCarryingAmountAttributableToParent</t>
  </si>
  <si>
    <t>Stockholders' equity:</t>
  </si>
  <si>
    <t>StockholdersEquityAbstract</t>
  </si>
  <si>
    <t>Common stock, par value $0.0001 per share; 2,500,000 shares authorized; 114,306 and 113,708 issued and outstanding, respectively</t>
  </si>
  <si>
    <t>CommonStockValueOutstanding</t>
  </si>
  <si>
    <t>Treasury stock, at cost; 1,378 shares and 1,086 shares, respectively</t>
  </si>
  <si>
    <t>TreasuryStockCommonValue</t>
  </si>
  <si>
    <t>Additional paid-in capital</t>
  </si>
  <si>
    <t>AdditionalPaidInCapital</t>
  </si>
  <si>
    <t>Accumulated deficit</t>
  </si>
  <si>
    <t>RetainedEarningsAccumulatedDeficit</t>
  </si>
  <si>
    <t>Total stockholders’ equity</t>
  </si>
  <si>
    <t>StockholdersEquity</t>
  </si>
  <si>
    <t>Total liabilities and stockholders' equity</t>
  </si>
  <si>
    <t>LiabilitiesAndStockholdersEquity</t>
  </si>
  <si>
    <t>UNAUDITED CONDENSED CONSOLIDATED STATEMENTS OF CASH FLOWS</t>
  </si>
  <si>
    <t>1H 2024</t>
  </si>
  <si>
    <t>3QCUM 2023</t>
  </si>
  <si>
    <t>1H 2023</t>
  </si>
  <si>
    <t>3QCUM 2022</t>
  </si>
  <si>
    <t>1H 2022</t>
  </si>
  <si>
    <t>Cash flows from operating activities:</t>
  </si>
  <si>
    <t>NetCashProvidedByUsedInOperatingActivitiesContinuingOperationsAbstract</t>
  </si>
  <si>
    <t>Adjustments to reconcile net income to net cash provided by operating activities:</t>
  </si>
  <si>
    <t>AdjustmentsToReconcileNetIncomeLossToCashProvidedByUsedInOperatingActivitiesAbstract</t>
  </si>
  <si>
    <t>Depreciation</t>
  </si>
  <si>
    <t>Amortization of intangible assets</t>
  </si>
  <si>
    <t>AmortizationOfIntangibleAssets</t>
  </si>
  <si>
    <t>Equity-based compensation</t>
  </si>
  <si>
    <t>ShareBasedCompensation</t>
  </si>
  <si>
    <t>Gain on extinguishment of debt</t>
  </si>
  <si>
    <t>GainsLossesOnExtinguishmentOfDebt</t>
  </si>
  <si>
    <t>Changes in operating assets and liabilities:</t>
  </si>
  <si>
    <t>IncreaseDecreaseInOperatingCapitalAbstract</t>
  </si>
  <si>
    <t>Trade accounts receivable</t>
  </si>
  <si>
    <t>IncreaseDecreaseInAccountsReceivable</t>
  </si>
  <si>
    <t>IncreaseDecreaseInOtherReceivables</t>
  </si>
  <si>
    <t>IncreaseDecreaseInInventories</t>
  </si>
  <si>
    <t>IncreaseDecreaseInPrepaidDeferredExpenseAndOtherAssets</t>
  </si>
  <si>
    <t>IncreaseDecreaseInOperatingLeaseAssets</t>
  </si>
  <si>
    <t>IncreaseDecreaseInAccountsPayable</t>
  </si>
  <si>
    <t>IncreaseDecreaseInAccruedLiabilities</t>
  </si>
  <si>
    <t>IncreaseDecreaseInOperatingLeaseLiability</t>
  </si>
  <si>
    <t>Net cash provided by operating activities</t>
  </si>
  <si>
    <t>NetCashProvidedByUsedInOperatingActivities</t>
  </si>
  <si>
    <t>Cash flows from investing activities:</t>
  </si>
  <si>
    <t>NetCashProvidedByUsedInInvestingActivitiesContinuingOperationsAbstract</t>
  </si>
  <si>
    <t>Purchases of property and equipment</t>
  </si>
  <si>
    <t>PaymentsToAcquirePropertyPlantAndEquipment</t>
  </si>
  <si>
    <t>Net cash used in investing activities</t>
  </si>
  <si>
    <t>NetCashProvidedByUsedInInvestingActivities</t>
  </si>
  <si>
    <t>Cash flows from financing activities:</t>
  </si>
  <si>
    <t>NetCashProvidedByUsedInFinancingActivitiesContinuingOperationsAbstract</t>
  </si>
  <si>
    <t>Proceeds from Series F convertible Preferred Stock, net of issuance costs $7.9 million</t>
  </si>
  <si>
    <t>ProceedsFromIssuanceOfConvertiblePreferredStock</t>
  </si>
  <si>
    <t>Proceeds from long-term debt</t>
  </si>
  <si>
    <t>ProceedsFromIssuanceOfLongTermDebt</t>
  </si>
  <si>
    <t>Payments on long-term debt</t>
  </si>
  <si>
    <t>RepaymentsOfDebt</t>
  </si>
  <si>
    <t>Payments on 2020 Credit Facility</t>
  </si>
  <si>
    <t>RepaymentsOfLinesOfCredit</t>
  </si>
  <si>
    <t>Purchase of treasury stock</t>
  </si>
  <si>
    <t>PaymentsForRepurchaseOfCommonStock</t>
  </si>
  <si>
    <t>Tax withholding on stock-based compensation awards</t>
  </si>
  <si>
    <t>PaymentsRelatedToTaxWithholdingForShareBasedCompensation</t>
  </si>
  <si>
    <t>Stock options exercised</t>
  </si>
  <si>
    <t>ProceedsFromStockOptionsExercised</t>
  </si>
  <si>
    <t>Shares purchased under equity plans</t>
  </si>
  <si>
    <t>ProceedsFromSharesPurchasedUnderEquityPlan</t>
  </si>
  <si>
    <t>Proceeds from initial public offering, net of underwriting fees of $22.8 million</t>
  </si>
  <si>
    <t>ProceedsFromIssuanceInitialPublicOffering</t>
  </si>
  <si>
    <t>Offering costs paid</t>
  </si>
  <si>
    <t>PaymentsOfStockIssuanceCosts</t>
  </si>
  <si>
    <t>Payment of loan acquisition fees</t>
  </si>
  <si>
    <t>PaymentsOfDebtExtinguishmentCosts</t>
  </si>
  <si>
    <t>Proceeds from deemed landlord financing, net of financing lease payments</t>
  </si>
  <si>
    <t>ProceedsFromPaymentsForLandlordFinancingNet</t>
  </si>
  <si>
    <t>Payments on finance lease obligations</t>
  </si>
  <si>
    <t>FinanceLeasePrincipalPayments</t>
  </si>
  <si>
    <t>Net cash (used in) provided by financing activities</t>
  </si>
  <si>
    <t>NetCashProvidedByUsedInFinancingActivities</t>
  </si>
  <si>
    <t>Net change in cash and cash equivalents</t>
  </si>
  <si>
    <t>CashCashEquivalentsRestrictedCashAndRestrictedCashEquivalentsPeriodIncreaseDecreaseIncludingExchangeRateEffect</t>
  </si>
  <si>
    <t>Cash and cash equivalents - beginning of year</t>
  </si>
  <si>
    <t>CashCashEquivalentsRestrictedCashandRestrictedCashEquivalents</t>
  </si>
  <si>
    <t>Cash and cash equivalents - end of period</t>
  </si>
  <si>
    <t>Supplemental Disclosure of Cash Flow Information:</t>
  </si>
  <si>
    <t>SupplementalCashFlowInformationAbstract</t>
  </si>
  <si>
    <t>Offering costs not yet paid</t>
  </si>
  <si>
    <t>DeferredOfferingCostsAccruedNotYetPaid</t>
  </si>
  <si>
    <t>Cash paid for interest related to deemed landlord financing</t>
  </si>
  <si>
    <t>InterestPaidLandlordFinancing</t>
  </si>
  <si>
    <t>Cash paid for fees and interest related to long-term debt</t>
  </si>
  <si>
    <t>InterestPaidNet</t>
  </si>
  <si>
    <t>Cash paid for income taxes</t>
  </si>
  <si>
    <t>IncomeTaxesPaidNet</t>
  </si>
  <si>
    <t>Change in accrued purchases of property and equipment</t>
  </si>
  <si>
    <t>IncreaseDecreaseInCapitalExpendituresIncurredButNotYetPaid</t>
  </si>
  <si>
    <t>Conversion of redeemable preferred stock into common stock in connection with initial public offering</t>
  </si>
  <si>
    <t>ConversionOfStockAmountConverted1</t>
  </si>
  <si>
    <t>Exported from Calcbench: 9/4/2024 2:48:59 PM</t>
  </si>
  <si>
    <t>Exported from Calcbench: 9/4/2024 2:49:09 PM</t>
  </si>
  <si>
    <t>Ticker:</t>
  </si>
  <si>
    <t>Date:</t>
  </si>
  <si>
    <t>Model Structure</t>
  </si>
  <si>
    <t>Tab</t>
  </si>
  <si>
    <t>Summary</t>
  </si>
  <si>
    <t>Model</t>
  </si>
  <si>
    <t>Scenarios</t>
  </si>
  <si>
    <t>Description</t>
  </si>
  <si>
    <t>Cost Inflation</t>
  </si>
  <si>
    <t>Depreciation Schedule</t>
  </si>
  <si>
    <t xml:space="preserve">Depreciation per # of Restaurants </t>
  </si>
  <si>
    <t>Average Depreciation per Restaurant</t>
  </si>
  <si>
    <t>Total Depreciation</t>
  </si>
  <si>
    <t>Tax Schedule</t>
  </si>
  <si>
    <t>Tax Rate:</t>
  </si>
  <si>
    <t>Taxes</t>
  </si>
  <si>
    <t>Working Capital Schedule</t>
  </si>
  <si>
    <t>Receivables</t>
  </si>
  <si>
    <t>Days per Quarter</t>
  </si>
  <si>
    <t>Income Statement Items</t>
  </si>
  <si>
    <t>Net Revenue</t>
  </si>
  <si>
    <t>Cost of Sales</t>
  </si>
  <si>
    <t>Days In</t>
  </si>
  <si>
    <t>Accounts Receivable</t>
  </si>
  <si>
    <t>Prepaid Expenses</t>
  </si>
  <si>
    <t>Accounts Payable</t>
  </si>
  <si>
    <t>Other Liabilities</t>
  </si>
  <si>
    <t>Account Balances</t>
  </si>
  <si>
    <t>Net Working Capital</t>
  </si>
  <si>
    <t>(days)</t>
  </si>
  <si>
    <t>Change in NWC</t>
  </si>
  <si>
    <t>Debt and Interest Schedule</t>
  </si>
  <si>
    <t>Financing Component</t>
  </si>
  <si>
    <t>Cash</t>
  </si>
  <si>
    <t>Amount Outstanding - Beginning</t>
  </si>
  <si>
    <t>Change in Cash</t>
  </si>
  <si>
    <t>Amount Outstanding - Ending</t>
  </si>
  <si>
    <t>Interest Rate</t>
  </si>
  <si>
    <t>Annual Interest Income</t>
  </si>
  <si>
    <t>Equity Schedule</t>
  </si>
  <si>
    <t>Change in the cash position</t>
  </si>
  <si>
    <t>Beginning Cash</t>
  </si>
  <si>
    <t>Ending Cash</t>
  </si>
  <si>
    <t>Common Shares</t>
  </si>
  <si>
    <t>New Issuance / (Buy-Back)</t>
  </si>
  <si>
    <t>Net Income</t>
  </si>
  <si>
    <t>Common Dividend</t>
  </si>
  <si>
    <t>Retained Earnings</t>
  </si>
  <si>
    <t>Checker</t>
  </si>
  <si>
    <t>Company name</t>
  </si>
  <si>
    <t>Ticker</t>
  </si>
  <si>
    <t>Circ break 1=off, 0=on</t>
  </si>
  <si>
    <t>Latest closing share price</t>
  </si>
  <si>
    <t>Latest closing share price date</t>
  </si>
  <si>
    <t xml:space="preserve">CAVA </t>
  </si>
  <si>
    <t>Latest fiscal quarter end date</t>
  </si>
  <si>
    <t>INCOME STATEMENT</t>
  </si>
  <si>
    <t xml:space="preserve">Fiscal year  </t>
  </si>
  <si>
    <t>2Q 2022A</t>
  </si>
  <si>
    <t>3Q 2022A</t>
  </si>
  <si>
    <t>4Q 2022A</t>
  </si>
  <si>
    <t>1Q 2023A</t>
  </si>
  <si>
    <t>2Q 2023A</t>
  </si>
  <si>
    <t>3Q 2023A</t>
  </si>
  <si>
    <t>4Q 2023A</t>
  </si>
  <si>
    <t>1Q 2024A</t>
  </si>
  <si>
    <t>2Q 2024A</t>
  </si>
  <si>
    <t>Projected</t>
  </si>
  <si>
    <t>3Q 2024P</t>
  </si>
  <si>
    <t>4Q 2024P</t>
  </si>
  <si>
    <t>1Q 2025P</t>
  </si>
  <si>
    <t>2Q 2025P</t>
  </si>
  <si>
    <t>3Q 2025P</t>
  </si>
  <si>
    <t>4Q 2025P</t>
  </si>
  <si>
    <t>1Q 2026P</t>
  </si>
  <si>
    <t>2Q 2026P</t>
  </si>
  <si>
    <t>3Q 2026P</t>
  </si>
  <si>
    <t>4Q 2026P</t>
  </si>
  <si>
    <t>Shares outstanding</t>
  </si>
  <si>
    <t>Unlevered Free Cash Flows</t>
  </si>
  <si>
    <t>Operating Margin (EBIT)</t>
  </si>
  <si>
    <t>EBIT</t>
  </si>
  <si>
    <t>Tax Rate on EBIT</t>
  </si>
  <si>
    <t>Tax on EBIT</t>
  </si>
  <si>
    <t>NOPAT</t>
  </si>
  <si>
    <t>Depreciation &amp; Amortization</t>
  </si>
  <si>
    <t>Changes in NWC</t>
  </si>
  <si>
    <t>CAPEX</t>
  </si>
  <si>
    <t>CAPEX per new store</t>
  </si>
  <si>
    <t>Avg CAPEX per new store</t>
  </si>
  <si>
    <t>WC assets</t>
  </si>
  <si>
    <t>WC liabilties</t>
  </si>
  <si>
    <t>NWC</t>
  </si>
  <si>
    <t>% of revenue</t>
  </si>
  <si>
    <t xml:space="preserve">Valuation date </t>
  </si>
  <si>
    <t>Discount rate (WACC)</t>
  </si>
  <si>
    <t>Unlevered free cash flows (UFCF) stub adjusted</t>
  </si>
  <si>
    <t>Present value of of unlevered free cash flows</t>
  </si>
  <si>
    <t>Valuation Date</t>
  </si>
  <si>
    <t>1Q 2027</t>
  </si>
  <si>
    <t>2Q 2027</t>
  </si>
  <si>
    <t>Fiscal quarter end date</t>
  </si>
  <si>
    <t>Date for discounting cash flows</t>
  </si>
  <si>
    <t>Terminal value - growth in perpetuity approach</t>
  </si>
  <si>
    <t>Terminal value - EBITDA multiple approach</t>
  </si>
  <si>
    <t>Long term growth rate</t>
  </si>
  <si>
    <t>Terminal year EBITDA</t>
  </si>
  <si>
    <t>EBITDA multiple</t>
  </si>
  <si>
    <t>Present value of terminal value</t>
  </si>
  <si>
    <t>Present value of stage 1 cash flows</t>
  </si>
  <si>
    <t>Total enterprise value (TEV)</t>
  </si>
  <si>
    <t>Enterprise value (stage 1 + 2)</t>
  </si>
  <si>
    <t>Terminal value as % of TEV</t>
  </si>
  <si>
    <t>Stage 1 cash flows as % of TEV</t>
  </si>
  <si>
    <t>Implied TV exit EBITDA multiple</t>
  </si>
  <si>
    <t>Implied terminal growth rate</t>
  </si>
  <si>
    <t>1Q 2027P</t>
  </si>
  <si>
    <t>2Q 2027P</t>
  </si>
  <si>
    <t>2026/2027 FCF x (1+g)</t>
  </si>
  <si>
    <t>Terminal Value in year 26/27</t>
  </si>
  <si>
    <t>EBITDA</t>
  </si>
  <si>
    <t>Net debt</t>
  </si>
  <si>
    <t>Source doc</t>
  </si>
  <si>
    <t>Q1 2020 10Q</t>
  </si>
  <si>
    <t>Source date</t>
  </si>
  <si>
    <t>Gross debt and equivalents</t>
  </si>
  <si>
    <t>Debt</t>
  </si>
  <si>
    <t>Convertible debt</t>
  </si>
  <si>
    <t>Preferred stock</t>
  </si>
  <si>
    <t>Noncontrolling (minority) interests</t>
  </si>
  <si>
    <t>Nonoperating assets</t>
  </si>
  <si>
    <t xml:space="preserve">Cash </t>
  </si>
  <si>
    <t xml:space="preserve">Equity investments </t>
  </si>
  <si>
    <t>Date</t>
  </si>
  <si>
    <t>Shares</t>
  </si>
  <si>
    <t>Basic shares</t>
  </si>
  <si>
    <t>Restricted stock / RSUs</t>
  </si>
  <si>
    <t>Options / warrants</t>
  </si>
  <si>
    <t>Convertible preferred stock</t>
  </si>
  <si>
    <t>Net diluted shares outstanding</t>
  </si>
  <si>
    <t>Q2 2024 10Q</t>
  </si>
  <si>
    <t>Valuation</t>
  </si>
  <si>
    <t>Perpetuity</t>
  </si>
  <si>
    <t>Enterprise value</t>
  </si>
  <si>
    <t xml:space="preserve">Equity value </t>
  </si>
  <si>
    <t>Equity value per share</t>
  </si>
  <si>
    <t>Year 1 Multiples</t>
  </si>
  <si>
    <t>EV / Revenue</t>
  </si>
  <si>
    <t xml:space="preserve">EV / EBITDA </t>
  </si>
  <si>
    <t>EV /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</si>
</sst>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_);[Red]\([$$-409]#,##0\)"/>
    <numFmt numFmtId="165" formatCode="[$$-409]#,##0.00_);[Red]\([$$-409]#,##0.00\)"/>
    <numFmt numFmtId="166" formatCode="0&quot;A&quot;"/>
    <numFmt numFmtId="167" formatCode="0.0%"/>
    <numFmt numFmtId="168" formatCode="_(* #,##0_);_(* \(#,##0\);_(* &quot;-&quot;??_);_(@_)"/>
    <numFmt numFmtId="169" formatCode="_(&quot;$&quot;* #,##0_);_(&quot;$&quot;* \(#,##0\);_(&quot;$&quot;* &quot;-&quot;??_);_(@_)"/>
    <numFmt numFmtId="170" formatCode="&quot;$&quot;#,##0.00"/>
    <numFmt numFmtId="171" formatCode="&quot;$&quot;#,##0"/>
    <numFmt numFmtId="172" formatCode="[$-409]mmmm\ d\,\ yyyy;@"/>
    <numFmt numFmtId="173" formatCode="_(#,##0_)_%;\(#,##0\)_%;_(&quot;–&quot;_)_%;_(@_)_%"/>
    <numFmt numFmtId="174" formatCode="m/d/yy;@"/>
    <numFmt numFmtId="175" formatCode="#,##0.000_);\(#,##0.000\)"/>
    <numFmt numFmtId="176" formatCode="0\A;[Red]0\A"/>
    <numFmt numFmtId="177" formatCode="0\P_);\(0\P\)"/>
    <numFmt numFmtId="178" formatCode="#,##0_);\(#,##0\);@_)"/>
    <numFmt numFmtId="179" formatCode="_(#,##0.0%_);\(#,##0.0%\);_(&quot;–&quot;_)_%;_(@_)_%"/>
    <numFmt numFmtId="180" formatCode="0000\P"/>
    <numFmt numFmtId="181" formatCode="0.0\x_);\(0.0\x\);@_)"/>
    <numFmt numFmtId="182" formatCode="0.000%_);\(0.000%\);@_)"/>
    <numFmt numFmtId="183" formatCode="0.0%_);\(0.0%\);@_)"/>
    <numFmt numFmtId="184" formatCode="#,##0.000_);\(#,##0.000\);@_)"/>
    <numFmt numFmtId="185" formatCode="#,##0.000"/>
    <numFmt numFmtId="186" formatCode="&quot;$&quot;#,##0.00_);\(&quot;$&quot;#,##0.00\);@_)"/>
    <numFmt numFmtId="187" formatCode="_(0.0\x_)_';_(\(0.0\x\)_';_(&quot;–&quot;_)_%;_(@_)_%"/>
    <numFmt numFmtId="188" formatCode="_(0.0_)_'_x;_(\(0.0\)_';_(&quot;–&quot;_)_%;_(@_)_%"/>
  </numFmts>
  <fonts count="41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0"/>
      <name val="Arial Nova"/>
      <family val="2"/>
    </font>
    <font>
      <b/>
      <sz val="10"/>
      <color theme="1"/>
      <name val="Arial Nova"/>
      <family val="2"/>
    </font>
    <font>
      <sz val="10"/>
      <color theme="0"/>
      <name val="Arial Nova"/>
      <family val="2"/>
    </font>
    <font>
      <i/>
      <sz val="8"/>
      <color theme="1"/>
      <name val="Arial Nova"/>
      <family val="2"/>
    </font>
    <font>
      <u/>
      <sz val="10"/>
      <color theme="10"/>
      <name val="Arial Nova"/>
      <family val="2"/>
    </font>
    <font>
      <u/>
      <sz val="10"/>
      <color theme="1"/>
      <name val="Arial Nova"/>
      <family val="2"/>
    </font>
    <font>
      <sz val="11"/>
      <color theme="1"/>
      <name val="Aptos Narrow"/>
      <family val="2"/>
      <scheme val="minor"/>
    </font>
    <font>
      <sz val="11"/>
      <color theme="1"/>
      <name val="Arial Nova Cond"/>
      <family val="2"/>
    </font>
    <font>
      <sz val="8"/>
      <name val="Arial Nova"/>
      <family val="2"/>
    </font>
    <font>
      <b/>
      <sz val="10"/>
      <color theme="0"/>
      <name val="Arial Nova Cond"/>
      <family val="2"/>
    </font>
    <font>
      <sz val="10"/>
      <name val="Arial Nova"/>
      <family val="2"/>
    </font>
    <font>
      <i/>
      <sz val="10"/>
      <color theme="1"/>
      <name val="Arial Nova"/>
      <family val="2"/>
    </font>
    <font>
      <b/>
      <sz val="10"/>
      <name val="Arial Nova"/>
      <family val="2"/>
    </font>
    <font>
      <i/>
      <sz val="10"/>
      <name val="Arial Nova"/>
      <family val="2"/>
    </font>
    <font>
      <b/>
      <sz val="10"/>
      <color rgb="FF002060"/>
      <name val="Arial Nova"/>
      <family val="2"/>
    </font>
    <font>
      <sz val="10"/>
      <color rgb="FF002060"/>
      <name val="Arial Nova"/>
      <family val="2"/>
    </font>
    <font>
      <sz val="8"/>
      <color theme="1"/>
      <name val="Arial Nova"/>
      <family val="2"/>
    </font>
    <font>
      <b/>
      <sz val="12"/>
      <color theme="1"/>
      <name val="Arial Nova"/>
      <family val="2"/>
    </font>
    <font>
      <b/>
      <sz val="14"/>
      <color theme="1"/>
      <name val="Arial Nova"/>
      <family val="2"/>
    </font>
    <font>
      <sz val="10"/>
      <color rgb="FF0070C0"/>
      <name val="Arial Nova"/>
      <family val="2"/>
    </font>
    <font>
      <i/>
      <sz val="9"/>
      <color theme="1"/>
      <name val="Arial Nova"/>
      <family val="2"/>
    </font>
    <font>
      <sz val="9"/>
      <color theme="1"/>
      <name val="Arial Nova"/>
      <family val="2"/>
    </font>
    <font>
      <sz val="10"/>
      <color theme="4"/>
      <name val="Arial Nova"/>
      <family val="2"/>
    </font>
    <font>
      <b/>
      <u/>
      <sz val="10"/>
      <color theme="1"/>
      <name val="Arial Nova"/>
      <family val="2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i/>
      <sz val="9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9"/>
      <color indexed="81"/>
      <name val="Tahoma"/>
      <family val="2"/>
    </font>
    <font>
      <i/>
      <sz val="11"/>
      <color theme="1"/>
      <name val="Aptos Narrow"/>
      <family val="2"/>
      <scheme val="minor"/>
    </font>
    <font>
      <b/>
      <i/>
      <sz val="10"/>
      <name val="Arial"/>
      <family val="2"/>
    </font>
    <font>
      <sz val="10"/>
      <color rgb="FF0000FF"/>
      <name val="Arial Nova"/>
      <family val="2"/>
    </font>
    <font>
      <b/>
      <sz val="10"/>
      <color rgb="FF0000FF"/>
      <name val="Arial Nova"/>
      <family val="2"/>
    </font>
    <font>
      <b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  <font>
      <sz val="11"/>
      <color rgb="FF008000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DAA52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5CD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 tint="-0.249977111117893"/>
      </right>
      <top style="thin">
        <color rgb="FF000000"/>
      </top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rgb="FF000000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/>
      <top/>
      <bottom style="hair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8">
    <xf numFmtId="0" fontId="0" fillId="0" borderId="0" xfId="0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right"/>
    </xf>
    <xf numFmtId="0" fontId="6" fillId="0" borderId="0" xfId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7" fillId="0" borderId="0" xfId="0" applyFont="1" applyAlignment="1">
      <alignment horizontal="left" indent="3"/>
    </xf>
    <xf numFmtId="164" fontId="0" fillId="0" borderId="1" xfId="0" applyNumberFormat="1" applyBorder="1"/>
    <xf numFmtId="0" fontId="0" fillId="0" borderId="0" xfId="0" applyAlignment="1">
      <alignment horizontal="left" indent="2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38" fontId="0" fillId="0" borderId="0" xfId="0" applyNumberFormat="1"/>
    <xf numFmtId="0" fontId="4" fillId="2" borderId="0" xfId="2" quotePrefix="1" applyFont="1" applyFill="1" applyAlignment="1">
      <alignment vertical="top"/>
    </xf>
    <xf numFmtId="0" fontId="4" fillId="2" borderId="0" xfId="2" applyFont="1" applyFill="1"/>
    <xf numFmtId="0" fontId="2" fillId="2" borderId="0" xfId="2" applyFont="1" applyFill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3" borderId="0" xfId="2" applyFont="1" applyFill="1" applyAlignment="1">
      <alignment horizontal="center" vertical="center" wrapText="1"/>
    </xf>
    <xf numFmtId="0" fontId="9" fillId="0" borderId="0" xfId="2" applyFont="1"/>
    <xf numFmtId="0" fontId="8" fillId="0" borderId="0" xfId="2"/>
    <xf numFmtId="0" fontId="10" fillId="0" borderId="0" xfId="2" applyFont="1"/>
    <xf numFmtId="14" fontId="10" fillId="0" borderId="0" xfId="2" applyNumberFormat="1" applyFont="1" applyAlignment="1">
      <alignment horizontal="center"/>
    </xf>
    <xf numFmtId="14" fontId="10" fillId="0" borderId="3" xfId="2" applyNumberFormat="1" applyFont="1" applyBorder="1" applyAlignment="1">
      <alignment horizontal="center"/>
    </xf>
    <xf numFmtId="0" fontId="1" fillId="0" borderId="0" xfId="2" applyFont="1"/>
    <xf numFmtId="37" fontId="2" fillId="4" borderId="0" xfId="2" applyNumberFormat="1" applyFont="1" applyFill="1" applyAlignment="1">
      <alignment vertical="center"/>
    </xf>
    <xf numFmtId="166" fontId="2" fillId="4" borderId="0" xfId="2" applyNumberFormat="1" applyFont="1" applyFill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166" fontId="2" fillId="4" borderId="3" xfId="2" applyNumberFormat="1" applyFont="1" applyFill="1" applyBorder="1" applyAlignment="1">
      <alignment horizontal="right"/>
    </xf>
    <xf numFmtId="166" fontId="2" fillId="5" borderId="0" xfId="2" applyNumberFormat="1" applyFont="1" applyFill="1" applyAlignment="1">
      <alignment horizontal="right"/>
    </xf>
    <xf numFmtId="166" fontId="11" fillId="5" borderId="0" xfId="2" applyNumberFormat="1" applyFont="1" applyFill="1" applyAlignment="1">
      <alignment horizontal="right"/>
    </xf>
    <xf numFmtId="0" fontId="12" fillId="0" borderId="0" xfId="2" applyFont="1"/>
    <xf numFmtId="0" fontId="0" fillId="0" borderId="0" xfId="2" applyFont="1"/>
    <xf numFmtId="0" fontId="13" fillId="0" borderId="0" xfId="0" applyFont="1" applyAlignment="1">
      <alignment horizontal="left" indent="3"/>
    </xf>
    <xf numFmtId="0" fontId="3" fillId="0" borderId="0" xfId="2" applyFont="1"/>
    <xf numFmtId="0" fontId="14" fillId="0" borderId="0" xfId="2" applyFont="1"/>
    <xf numFmtId="167" fontId="15" fillId="0" borderId="0" xfId="5" applyNumberFormat="1" applyFont="1"/>
    <xf numFmtId="167" fontId="15" fillId="0" borderId="3" xfId="5" applyNumberFormat="1" applyFont="1" applyBorder="1"/>
    <xf numFmtId="7" fontId="16" fillId="0" borderId="0" xfId="0" applyNumberFormat="1" applyFont="1"/>
    <xf numFmtId="7" fontId="16" fillId="0" borderId="3" xfId="0" applyNumberFormat="1" applyFont="1" applyBorder="1"/>
    <xf numFmtId="168" fontId="17" fillId="0" borderId="0" xfId="4" applyNumberFormat="1" applyFont="1"/>
    <xf numFmtId="168" fontId="17" fillId="0" borderId="3" xfId="4" applyNumberFormat="1" applyFont="1" applyBorder="1"/>
    <xf numFmtId="5" fontId="16" fillId="0" borderId="0" xfId="0" applyNumberFormat="1" applyFont="1"/>
    <xf numFmtId="5" fontId="16" fillId="0" borderId="3" xfId="0" applyNumberFormat="1" applyFont="1" applyBorder="1"/>
    <xf numFmtId="5" fontId="17" fillId="0" borderId="0" xfId="0" applyNumberFormat="1" applyFont="1"/>
    <xf numFmtId="5" fontId="17" fillId="0" borderId="3" xfId="0" applyNumberFormat="1" applyFont="1" applyBorder="1"/>
    <xf numFmtId="5" fontId="17" fillId="0" borderId="5" xfId="0" applyNumberFormat="1" applyFont="1" applyBorder="1"/>
    <xf numFmtId="5" fontId="17" fillId="0" borderId="4" xfId="0" applyNumberFormat="1" applyFont="1" applyBorder="1"/>
    <xf numFmtId="37" fontId="12" fillId="0" borderId="0" xfId="2" applyNumberFormat="1" applyFont="1" applyAlignment="1">
      <alignment vertical="center"/>
    </xf>
    <xf numFmtId="167" fontId="15" fillId="0" borderId="0" xfId="5" applyNumberFormat="1" applyFont="1" applyBorder="1"/>
    <xf numFmtId="168" fontId="17" fillId="0" borderId="0" xfId="4" applyNumberFormat="1" applyFont="1" applyBorder="1"/>
    <xf numFmtId="168" fontId="12" fillId="0" borderId="0" xfId="4" applyNumberFormat="1" applyFont="1" applyFill="1" applyAlignment="1">
      <alignment vertical="center"/>
    </xf>
    <xf numFmtId="168" fontId="12" fillId="0" borderId="0" xfId="4" applyNumberFormat="1" applyFont="1" applyFill="1" applyAlignment="1">
      <alignment horizontal="right"/>
    </xf>
    <xf numFmtId="168" fontId="17" fillId="0" borderId="0" xfId="4" applyNumberFormat="1" applyFont="1" applyFill="1" applyAlignment="1">
      <alignment vertical="center"/>
    </xf>
    <xf numFmtId="168" fontId="17" fillId="0" borderId="0" xfId="4" applyNumberFormat="1" applyFont="1" applyFill="1" applyBorder="1" applyAlignment="1">
      <alignment horizontal="right"/>
    </xf>
    <xf numFmtId="168" fontId="17" fillId="0" borderId="0" xfId="4" applyNumberFormat="1" applyFont="1" applyFill="1" applyAlignment="1">
      <alignment horizontal="right"/>
    </xf>
    <xf numFmtId="167" fontId="17" fillId="0" borderId="0" xfId="5" applyNumberFormat="1" applyFont="1" applyFill="1" applyAlignment="1">
      <alignment vertical="center"/>
    </xf>
    <xf numFmtId="0" fontId="0" fillId="6" borderId="0" xfId="0" applyFill="1"/>
    <xf numFmtId="0" fontId="18" fillId="0" borderId="0" xfId="0" applyFont="1"/>
    <xf numFmtId="167" fontId="17" fillId="0" borderId="3" xfId="5" applyNumberFormat="1" applyFont="1" applyFill="1" applyBorder="1" applyAlignment="1">
      <alignment vertical="center"/>
    </xf>
    <xf numFmtId="168" fontId="17" fillId="0" borderId="3" xfId="4" applyNumberFormat="1" applyFont="1" applyFill="1" applyBorder="1" applyAlignment="1">
      <alignment horizontal="right"/>
    </xf>
    <xf numFmtId="37" fontId="12" fillId="0" borderId="0" xfId="2" applyNumberFormat="1" applyFont="1" applyAlignment="1">
      <alignment horizontal="left" vertical="center" indent="1"/>
    </xf>
    <xf numFmtId="5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3" xfId="0" applyBorder="1"/>
    <xf numFmtId="0" fontId="0" fillId="0" borderId="10" xfId="0" applyBorder="1"/>
    <xf numFmtId="0" fontId="0" fillId="0" borderId="5" xfId="0" applyBorder="1"/>
    <xf numFmtId="0" fontId="2" fillId="0" borderId="0" xfId="2" applyFont="1" applyAlignment="1">
      <alignment horizontal="center" vertical="center" wrapText="1"/>
    </xf>
    <xf numFmtId="168" fontId="0" fillId="0" borderId="0" xfId="0" applyNumberFormat="1"/>
    <xf numFmtId="167" fontId="21" fillId="0" borderId="6" xfId="5" applyNumberFormat="1" applyFont="1" applyBorder="1"/>
    <xf numFmtId="167" fontId="21" fillId="0" borderId="7" xfId="5" applyNumberFormat="1" applyFont="1" applyBorder="1"/>
    <xf numFmtId="167" fontId="21" fillId="0" borderId="8" xfId="5" applyNumberFormat="1" applyFont="1" applyBorder="1"/>
    <xf numFmtId="167" fontId="21" fillId="0" borderId="9" xfId="5" applyNumberFormat="1" applyFont="1" applyBorder="1"/>
    <xf numFmtId="167" fontId="21" fillId="0" borderId="0" xfId="5" applyNumberFormat="1" applyFont="1" applyBorder="1"/>
    <xf numFmtId="167" fontId="21" fillId="0" borderId="3" xfId="5" applyNumberFormat="1" applyFont="1" applyBorder="1"/>
    <xf numFmtId="167" fontId="21" fillId="0" borderId="10" xfId="5" applyNumberFormat="1" applyFont="1" applyBorder="1"/>
    <xf numFmtId="167" fontId="21" fillId="0" borderId="5" xfId="5" applyNumberFormat="1" applyFont="1" applyBorder="1"/>
    <xf numFmtId="167" fontId="21" fillId="0" borderId="4" xfId="5" applyNumberFormat="1" applyFont="1" applyBorder="1"/>
    <xf numFmtId="0" fontId="21" fillId="0" borderId="6" xfId="0" applyFont="1" applyBorder="1"/>
    <xf numFmtId="0" fontId="21" fillId="0" borderId="7" xfId="0" applyFont="1" applyBorder="1"/>
    <xf numFmtId="0" fontId="21" fillId="0" borderId="9" xfId="0" applyFont="1" applyBorder="1"/>
    <xf numFmtId="0" fontId="21" fillId="0" borderId="0" xfId="0" applyFont="1"/>
    <xf numFmtId="0" fontId="21" fillId="0" borderId="3" xfId="0" applyFont="1" applyBorder="1"/>
    <xf numFmtId="0" fontId="21" fillId="0" borderId="10" xfId="0" applyFont="1" applyBorder="1"/>
    <xf numFmtId="0" fontId="21" fillId="0" borderId="5" xfId="0" applyFont="1" applyBorder="1"/>
    <xf numFmtId="0" fontId="21" fillId="0" borderId="4" xfId="0" applyFont="1" applyBorder="1"/>
    <xf numFmtId="0" fontId="19" fillId="0" borderId="0" xfId="0" applyFont="1" applyAlignment="1">
      <alignment horizontal="center"/>
    </xf>
    <xf numFmtId="167" fontId="3" fillId="0" borderId="12" xfId="5" applyNumberFormat="1" applyFont="1" applyBorder="1"/>
    <xf numFmtId="167" fontId="3" fillId="0" borderId="13" xfId="5" applyNumberFormat="1" applyFont="1" applyBorder="1"/>
    <xf numFmtId="167" fontId="3" fillId="0" borderId="11" xfId="5" applyNumberFormat="1" applyFont="1" applyBorder="1"/>
    <xf numFmtId="37" fontId="14" fillId="0" borderId="0" xfId="2" applyNumberFormat="1" applyFont="1" applyAlignment="1">
      <alignment horizontal="left" vertical="center"/>
    </xf>
    <xf numFmtId="168" fontId="3" fillId="0" borderId="12" xfId="4" applyNumberFormat="1" applyFont="1" applyBorder="1"/>
    <xf numFmtId="168" fontId="3" fillId="0" borderId="13" xfId="4" applyNumberFormat="1" applyFont="1" applyBorder="1"/>
    <xf numFmtId="168" fontId="3" fillId="0" borderId="11" xfId="4" applyNumberFormat="1" applyFont="1" applyBorder="1"/>
    <xf numFmtId="167" fontId="0" fillId="0" borderId="0" xfId="5" applyNumberFormat="1" applyFont="1"/>
    <xf numFmtId="169" fontId="0" fillId="0" borderId="0" xfId="0" applyNumberFormat="1"/>
    <xf numFmtId="169" fontId="3" fillId="0" borderId="0" xfId="6" applyNumberFormat="1" applyFont="1"/>
    <xf numFmtId="0" fontId="3" fillId="7" borderId="14" xfId="0" applyFont="1" applyFill="1" applyBorder="1" applyAlignment="1">
      <alignment vertical="center"/>
    </xf>
    <xf numFmtId="0" fontId="0" fillId="7" borderId="15" xfId="0" applyFill="1" applyBorder="1"/>
    <xf numFmtId="0" fontId="0" fillId="7" borderId="16" xfId="0" applyFill="1" applyBorder="1"/>
    <xf numFmtId="0" fontId="0" fillId="0" borderId="17" xfId="0" applyBorder="1"/>
    <xf numFmtId="0" fontId="21" fillId="0" borderId="8" xfId="0" applyFont="1" applyBorder="1"/>
    <xf numFmtId="167" fontId="22" fillId="0" borderId="0" xfId="5" applyNumberFormat="1" applyFont="1"/>
    <xf numFmtId="0" fontId="22" fillId="0" borderId="0" xfId="0" applyFont="1" applyAlignment="1">
      <alignment horizontal="left" indent="2"/>
    </xf>
    <xf numFmtId="0" fontId="3" fillId="0" borderId="5" xfId="0" applyFont="1" applyBorder="1" applyAlignment="1">
      <alignment horizontal="left" indent="1"/>
    </xf>
    <xf numFmtId="0" fontId="12" fillId="0" borderId="5" xfId="2" applyFont="1" applyBorder="1"/>
    <xf numFmtId="168" fontId="17" fillId="0" borderId="5" xfId="4" applyNumberFormat="1" applyFont="1" applyBorder="1"/>
    <xf numFmtId="168" fontId="17" fillId="0" borderId="4" xfId="4" applyNumberFormat="1" applyFont="1" applyBorder="1"/>
    <xf numFmtId="167" fontId="22" fillId="0" borderId="3" xfId="5" applyNumberFormat="1" applyFont="1" applyBorder="1"/>
    <xf numFmtId="0" fontId="23" fillId="0" borderId="0" xfId="0" applyFont="1" applyAlignment="1">
      <alignment horizontal="left" indent="2"/>
    </xf>
    <xf numFmtId="167" fontId="22" fillId="0" borderId="0" xfId="0" applyNumberFormat="1" applyFont="1"/>
    <xf numFmtId="167" fontId="22" fillId="0" borderId="8" xfId="5" applyNumberFormat="1" applyFont="1" applyBorder="1"/>
    <xf numFmtId="168" fontId="0" fillId="0" borderId="0" xfId="4" applyNumberFormat="1" applyFont="1"/>
    <xf numFmtId="170" fontId="3" fillId="0" borderId="0" xfId="0" applyNumberFormat="1" applyFont="1"/>
    <xf numFmtId="171" fontId="3" fillId="0" borderId="0" xfId="0" applyNumberFormat="1" applyFont="1"/>
    <xf numFmtId="171" fontId="0" fillId="0" borderId="0" xfId="0" applyNumberFormat="1"/>
    <xf numFmtId="171" fontId="0" fillId="0" borderId="10" xfId="0" applyNumberFormat="1" applyBorder="1"/>
    <xf numFmtId="171" fontId="0" fillId="0" borderId="5" xfId="0" applyNumberFormat="1" applyBorder="1"/>
    <xf numFmtId="168" fontId="0" fillId="0" borderId="5" xfId="4" applyNumberFormat="1" applyFont="1" applyBorder="1"/>
    <xf numFmtId="0" fontId="13" fillId="0" borderId="0" xfId="0" applyFont="1" applyAlignment="1">
      <alignment horizontal="left" indent="2"/>
    </xf>
    <xf numFmtId="167" fontId="22" fillId="0" borderId="0" xfId="5" applyNumberFormat="1" applyFont="1" applyBorder="1"/>
    <xf numFmtId="0" fontId="0" fillId="0" borderId="1" xfId="0" applyBorder="1"/>
    <xf numFmtId="0" fontId="7" fillId="0" borderId="0" xfId="0" applyFont="1" applyAlignment="1">
      <alignment horizontal="left" indent="4"/>
    </xf>
    <xf numFmtId="5" fontId="17" fillId="0" borderId="0" xfId="4" applyNumberFormat="1" applyFont="1"/>
    <xf numFmtId="5" fontId="17" fillId="0" borderId="0" xfId="4" applyNumberFormat="1" applyFont="1" applyBorder="1"/>
    <xf numFmtId="5" fontId="17" fillId="0" borderId="3" xfId="4" applyNumberFormat="1" applyFont="1" applyBorder="1"/>
    <xf numFmtId="164" fontId="0" fillId="8" borderId="0" xfId="0" applyNumberFormat="1" applyFill="1"/>
    <xf numFmtId="0" fontId="3" fillId="8" borderId="0" xfId="0" applyFont="1" applyFill="1" applyAlignment="1">
      <alignment horizontal="center"/>
    </xf>
    <xf numFmtId="14" fontId="3" fillId="8" borderId="0" xfId="0" applyNumberFormat="1" applyFont="1" applyFill="1" applyAlignment="1">
      <alignment horizontal="right"/>
    </xf>
    <xf numFmtId="0" fontId="24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4" xfId="0" applyBorder="1"/>
    <xf numFmtId="172" fontId="3" fillId="0" borderId="0" xfId="0" applyNumberFormat="1" applyFont="1"/>
    <xf numFmtId="0" fontId="0" fillId="7" borderId="18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43" fontId="3" fillId="0" borderId="0" xfId="4" applyFont="1"/>
    <xf numFmtId="170" fontId="0" fillId="0" borderId="0" xfId="0" applyNumberFormat="1"/>
    <xf numFmtId="171" fontId="0" fillId="0" borderId="0" xfId="6" applyNumberFormat="1" applyFont="1"/>
    <xf numFmtId="171" fontId="17" fillId="0" borderId="0" xfId="0" applyNumberFormat="1" applyFont="1"/>
    <xf numFmtId="171" fontId="17" fillId="0" borderId="3" xfId="0" applyNumberFormat="1" applyFont="1" applyBorder="1"/>
    <xf numFmtId="171" fontId="0" fillId="0" borderId="3" xfId="6" applyNumberFormat="1" applyFont="1" applyBorder="1"/>
    <xf numFmtId="171" fontId="0" fillId="0" borderId="18" xfId="6" applyNumberFormat="1" applyFont="1" applyBorder="1"/>
    <xf numFmtId="9" fontId="0" fillId="0" borderId="0" xfId="5" applyFont="1"/>
    <xf numFmtId="171" fontId="3" fillId="0" borderId="0" xfId="6" applyNumberFormat="1" applyFont="1" applyFill="1" applyBorder="1"/>
    <xf numFmtId="9" fontId="0" fillId="0" borderId="0" xfId="0" applyNumberFormat="1"/>
    <xf numFmtId="167" fontId="0" fillId="0" borderId="0" xfId="0" applyNumberFormat="1"/>
    <xf numFmtId="0" fontId="25" fillId="0" borderId="0" xfId="0" applyFont="1" applyAlignment="1">
      <alignment horizontal="left" indent="3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0" fillId="0" borderId="19" xfId="0" applyBorder="1"/>
    <xf numFmtId="0" fontId="26" fillId="0" borderId="0" xfId="0" applyFont="1"/>
    <xf numFmtId="4" fontId="0" fillId="0" borderId="0" xfId="4" applyNumberFormat="1" applyFont="1" applyFill="1" applyBorder="1" applyProtection="1"/>
    <xf numFmtId="4" fontId="0" fillId="0" borderId="0" xfId="4" applyNumberFormat="1" applyFont="1" applyFill="1" applyBorder="1" applyAlignment="1" applyProtection="1">
      <alignment horizontal="left"/>
    </xf>
    <xf numFmtId="4" fontId="26" fillId="0" borderId="0" xfId="4" applyNumberFormat="1" applyFont="1" applyFill="1" applyBorder="1" applyProtection="1"/>
    <xf numFmtId="4" fontId="0" fillId="0" borderId="0" xfId="4" applyNumberFormat="1" applyFont="1" applyFill="1" applyBorder="1" applyAlignment="1" applyProtection="1">
      <alignment horizontal="left" indent="1"/>
    </xf>
    <xf numFmtId="4" fontId="3" fillId="0" borderId="0" xfId="4" applyNumberFormat="1" applyFont="1" applyFill="1" applyBorder="1" applyProtection="1"/>
    <xf numFmtId="4" fontId="22" fillId="0" borderId="0" xfId="4" applyNumberFormat="1" applyFont="1" applyFill="1" applyBorder="1" applyProtection="1"/>
    <xf numFmtId="2" fontId="0" fillId="0" borderId="0" xfId="0" applyNumberFormat="1"/>
    <xf numFmtId="7" fontId="0" fillId="0" borderId="0" xfId="0" applyNumberFormat="1"/>
    <xf numFmtId="5" fontId="0" fillId="0" borderId="9" xfId="0" applyNumberFormat="1" applyBorder="1"/>
    <xf numFmtId="5" fontId="3" fillId="0" borderId="0" xfId="0" applyNumberFormat="1" applyFont="1"/>
    <xf numFmtId="5" fontId="0" fillId="0" borderId="10" xfId="0" applyNumberFormat="1" applyBorder="1"/>
    <xf numFmtId="5" fontId="0" fillId="0" borderId="5" xfId="0" applyNumberFormat="1" applyBorder="1"/>
    <xf numFmtId="4" fontId="3" fillId="0" borderId="0" xfId="4" applyNumberFormat="1" applyFont="1" applyFill="1" applyBorder="1" applyAlignment="1" applyProtection="1">
      <alignment horizontal="left"/>
    </xf>
    <xf numFmtId="0" fontId="26" fillId="0" borderId="0" xfId="0" applyFont="1" applyAlignment="1">
      <alignment horizontal="left" indent="1"/>
    </xf>
    <xf numFmtId="0" fontId="26" fillId="0" borderId="0" xfId="0" applyFont="1" applyAlignment="1">
      <alignment horizontal="left" indent="2"/>
    </xf>
    <xf numFmtId="5" fontId="12" fillId="0" borderId="0" xfId="0" applyNumberFormat="1" applyFont="1"/>
    <xf numFmtId="5" fontId="24" fillId="0" borderId="3" xfId="0" applyNumberFormat="1" applyFont="1" applyBorder="1"/>
    <xf numFmtId="0" fontId="24" fillId="0" borderId="3" xfId="0" applyFont="1" applyBorder="1"/>
    <xf numFmtId="9" fontId="0" fillId="0" borderId="3" xfId="5" applyFont="1" applyBorder="1"/>
    <xf numFmtId="5" fontId="0" fillId="0" borderId="3" xfId="0" applyNumberFormat="1" applyBorder="1"/>
    <xf numFmtId="2" fontId="0" fillId="0" borderId="3" xfId="0" applyNumberFormat="1" applyBorder="1"/>
    <xf numFmtId="0" fontId="0" fillId="0" borderId="21" xfId="0" applyBorder="1"/>
    <xf numFmtId="0" fontId="28" fillId="0" borderId="22" xfId="0" applyFont="1" applyBorder="1"/>
    <xf numFmtId="0" fontId="0" fillId="0" borderId="22" xfId="0" applyBorder="1"/>
    <xf numFmtId="0" fontId="29" fillId="0" borderId="0" xfId="0" applyFont="1"/>
    <xf numFmtId="0" fontId="30" fillId="0" borderId="0" xfId="0" applyFont="1" applyAlignment="1">
      <alignment horizontal="center"/>
    </xf>
    <xf numFmtId="173" fontId="30" fillId="10" borderId="23" xfId="0" applyNumberFormat="1" applyFont="1" applyFill="1" applyBorder="1" applyAlignment="1">
      <alignment horizontal="center"/>
    </xf>
    <xf numFmtId="8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/>
    </xf>
    <xf numFmtId="174" fontId="30" fillId="0" borderId="0" xfId="0" applyNumberFormat="1" applyFont="1" applyAlignment="1">
      <alignment horizontal="center"/>
    </xf>
    <xf numFmtId="0" fontId="27" fillId="0" borderId="24" xfId="0" applyFont="1" applyBorder="1"/>
    <xf numFmtId="0" fontId="0" fillId="0" borderId="24" xfId="0" applyBorder="1"/>
    <xf numFmtId="0" fontId="32" fillId="0" borderId="24" xfId="0" applyFont="1" applyBorder="1"/>
    <xf numFmtId="0" fontId="33" fillId="0" borderId="20" xfId="0" applyFont="1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7" xfId="0" applyBorder="1"/>
    <xf numFmtId="37" fontId="0" fillId="0" borderId="0" xfId="0" applyNumberFormat="1"/>
    <xf numFmtId="0" fontId="0" fillId="0" borderId="28" xfId="0" applyBorder="1"/>
    <xf numFmtId="176" fontId="27" fillId="0" borderId="0" xfId="0" applyNumberFormat="1" applyFont="1" applyAlignment="1">
      <alignment horizontal="right"/>
    </xf>
    <xf numFmtId="177" fontId="27" fillId="0" borderId="0" xfId="0" applyNumberFormat="1" applyFont="1" applyAlignment="1">
      <alignment horizontal="right"/>
    </xf>
    <xf numFmtId="177" fontId="27" fillId="0" borderId="25" xfId="0" applyNumberFormat="1" applyFont="1" applyBorder="1" applyAlignment="1">
      <alignment horizontal="right"/>
    </xf>
    <xf numFmtId="174" fontId="32" fillId="0" borderId="20" xfId="0" applyNumberFormat="1" applyFont="1" applyBorder="1" applyAlignment="1">
      <alignment horizontal="right"/>
    </xf>
    <xf numFmtId="174" fontId="32" fillId="0" borderId="26" xfId="0" applyNumberFormat="1" applyFont="1" applyBorder="1" applyAlignment="1">
      <alignment horizontal="right"/>
    </xf>
    <xf numFmtId="167" fontId="34" fillId="0" borderId="0" xfId="5" applyNumberFormat="1" applyFont="1" applyFill="1" applyAlignment="1">
      <alignment vertical="center"/>
    </xf>
    <xf numFmtId="167" fontId="34" fillId="0" borderId="3" xfId="5" applyNumberFormat="1" applyFont="1" applyFill="1" applyBorder="1" applyAlignment="1">
      <alignment vertical="center"/>
    </xf>
    <xf numFmtId="168" fontId="34" fillId="0" borderId="0" xfId="4" applyNumberFormat="1" applyFont="1" applyFill="1" applyAlignment="1">
      <alignment vertical="center"/>
    </xf>
    <xf numFmtId="168" fontId="34" fillId="0" borderId="0" xfId="4" applyNumberFormat="1" applyFont="1" applyFill="1" applyBorder="1" applyAlignment="1">
      <alignment horizontal="right"/>
    </xf>
    <xf numFmtId="168" fontId="34" fillId="0" borderId="3" xfId="4" applyNumberFormat="1" applyFont="1" applyFill="1" applyBorder="1" applyAlignment="1">
      <alignment horizontal="right"/>
    </xf>
    <xf numFmtId="168" fontId="34" fillId="0" borderId="0" xfId="4" applyNumberFormat="1" applyFont="1" applyFill="1" applyAlignment="1">
      <alignment horizontal="right"/>
    </xf>
    <xf numFmtId="5" fontId="34" fillId="0" borderId="0" xfId="0" applyNumberFormat="1" applyFont="1"/>
    <xf numFmtId="5" fontId="34" fillId="0" borderId="3" xfId="0" applyNumberFormat="1" applyFont="1" applyBorder="1"/>
    <xf numFmtId="5" fontId="35" fillId="0" borderId="0" xfId="0" applyNumberFormat="1" applyFont="1"/>
    <xf numFmtId="5" fontId="35" fillId="0" borderId="3" xfId="0" applyNumberFormat="1" applyFont="1" applyBorder="1"/>
    <xf numFmtId="5" fontId="34" fillId="0" borderId="5" xfId="0" applyNumberFormat="1" applyFont="1" applyBorder="1"/>
    <xf numFmtId="5" fontId="34" fillId="0" borderId="4" xfId="0" applyNumberFormat="1" applyFont="1" applyBorder="1"/>
    <xf numFmtId="5" fontId="3" fillId="0" borderId="8" xfId="0" applyNumberFormat="1" applyFont="1" applyBorder="1"/>
    <xf numFmtId="168" fontId="34" fillId="0" borderId="0" xfId="4" applyNumberFormat="1" applyFont="1"/>
    <xf numFmtId="168" fontId="34" fillId="0" borderId="0" xfId="4" applyNumberFormat="1" applyFont="1" applyBorder="1"/>
    <xf numFmtId="168" fontId="34" fillId="0" borderId="3" xfId="4" applyNumberFormat="1" applyFont="1" applyBorder="1"/>
    <xf numFmtId="5" fontId="3" fillId="0" borderId="3" xfId="0" applyNumberFormat="1" applyFont="1" applyBorder="1"/>
    <xf numFmtId="170" fontId="3" fillId="0" borderId="0" xfId="6" applyNumberFormat="1" applyFont="1" applyAlignment="1">
      <alignment horizontal="right" vertical="center" indent="1"/>
    </xf>
    <xf numFmtId="170" fontId="3" fillId="0" borderId="3" xfId="6" applyNumberFormat="1" applyFont="1" applyBorder="1" applyAlignment="1">
      <alignment horizontal="right" vertical="center" indent="1"/>
    </xf>
    <xf numFmtId="170" fontId="3" fillId="0" borderId="0" xfId="6" applyNumberFormat="1" applyFont="1" applyBorder="1" applyAlignment="1">
      <alignment horizontal="right" vertical="center" indent="1"/>
    </xf>
    <xf numFmtId="7" fontId="0" fillId="0" borderId="5" xfId="0" applyNumberFormat="1" applyBorder="1"/>
    <xf numFmtId="0" fontId="27" fillId="0" borderId="0" xfId="0" applyFont="1"/>
    <xf numFmtId="169" fontId="0" fillId="0" borderId="0" xfId="6" applyNumberFormat="1" applyFont="1"/>
    <xf numFmtId="167" fontId="0" fillId="0" borderId="3" xfId="5" applyNumberFormat="1" applyFont="1" applyBorder="1"/>
    <xf numFmtId="0" fontId="36" fillId="0" borderId="21" xfId="0" applyFont="1" applyBorder="1"/>
    <xf numFmtId="0" fontId="27" fillId="0" borderId="29" xfId="0" applyFont="1" applyBorder="1"/>
    <xf numFmtId="14" fontId="0" fillId="0" borderId="0" xfId="0" applyNumberFormat="1"/>
    <xf numFmtId="0" fontId="27" fillId="0" borderId="5" xfId="0" applyFont="1" applyBorder="1"/>
    <xf numFmtId="14" fontId="0" fillId="0" borderId="0" xfId="6" applyNumberFormat="1" applyFont="1"/>
    <xf numFmtId="174" fontId="0" fillId="0" borderId="0" xfId="0" applyNumberFormat="1"/>
    <xf numFmtId="169" fontId="0" fillId="0" borderId="5" xfId="0" applyNumberFormat="1" applyBorder="1"/>
    <xf numFmtId="167" fontId="0" fillId="0" borderId="5" xfId="5" applyNumberFormat="1" applyFont="1" applyBorder="1"/>
    <xf numFmtId="5" fontId="3" fillId="0" borderId="7" xfId="0" applyNumberFormat="1" applyFont="1" applyBorder="1"/>
    <xf numFmtId="0" fontId="0" fillId="0" borderId="29" xfId="0" applyBorder="1"/>
    <xf numFmtId="179" fontId="30" fillId="0" borderId="0" xfId="0" applyNumberFormat="1" applyFont="1"/>
    <xf numFmtId="178" fontId="0" fillId="0" borderId="0" xfId="0" applyNumberFormat="1"/>
    <xf numFmtId="180" fontId="0" fillId="0" borderId="0" xfId="0" applyNumberFormat="1"/>
    <xf numFmtId="181" fontId="30" fillId="0" borderId="0" xfId="0" applyNumberFormat="1" applyFont="1"/>
    <xf numFmtId="178" fontId="29" fillId="0" borderId="0" xfId="0" applyNumberFormat="1" applyFont="1"/>
    <xf numFmtId="178" fontId="27" fillId="0" borderId="0" xfId="0" applyNumberFormat="1" applyFont="1"/>
    <xf numFmtId="0" fontId="30" fillId="0" borderId="0" xfId="0" applyFont="1"/>
    <xf numFmtId="179" fontId="0" fillId="0" borderId="0" xfId="0" applyNumberFormat="1"/>
    <xf numFmtId="0" fontId="32" fillId="0" borderId="0" xfId="0" applyFont="1" applyAlignment="1">
      <alignment horizontal="left"/>
    </xf>
    <xf numFmtId="179" fontId="32" fillId="0" borderId="0" xfId="0" applyNumberFormat="1" applyFont="1"/>
    <xf numFmtId="182" fontId="32" fillId="0" borderId="0" xfId="0" applyNumberFormat="1" applyFont="1"/>
    <xf numFmtId="181" fontId="32" fillId="0" borderId="0" xfId="0" applyNumberFormat="1" applyFont="1"/>
    <xf numFmtId="183" fontId="0" fillId="0" borderId="0" xfId="0" quotePrefix="1" applyNumberFormat="1"/>
    <xf numFmtId="168" fontId="22" fillId="0" borderId="0" xfId="4" applyNumberFormat="1" applyFont="1"/>
    <xf numFmtId="14" fontId="3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30" fillId="0" borderId="0" xfId="0" applyNumberFormat="1" applyFont="1"/>
    <xf numFmtId="0" fontId="38" fillId="0" borderId="0" xfId="0" applyFont="1" applyAlignment="1">
      <alignment horizontal="left" vertical="center"/>
    </xf>
    <xf numFmtId="14" fontId="29" fillId="0" borderId="0" xfId="0" applyNumberFormat="1" applyFont="1"/>
    <xf numFmtId="37" fontId="29" fillId="0" borderId="0" xfId="0" applyNumberFormat="1" applyFont="1"/>
    <xf numFmtId="37" fontId="39" fillId="0" borderId="0" xfId="0" applyNumberFormat="1" applyFont="1"/>
    <xf numFmtId="0" fontId="29" fillId="0" borderId="0" xfId="0" applyFont="1" applyAlignment="1">
      <alignment horizontal="left" indent="1"/>
    </xf>
    <xf numFmtId="37" fontId="30" fillId="0" borderId="0" xfId="0" applyNumberFormat="1" applyFont="1"/>
    <xf numFmtId="0" fontId="0" fillId="0" borderId="0" xfId="0" applyAlignment="1">
      <alignment horizontal="left" vertical="center" indent="1"/>
    </xf>
    <xf numFmtId="0" fontId="27" fillId="0" borderId="0" xfId="0" applyFont="1" applyAlignment="1">
      <alignment vertical="center"/>
    </xf>
    <xf numFmtId="37" fontId="27" fillId="0" borderId="0" xfId="0" applyNumberFormat="1" applyFont="1"/>
    <xf numFmtId="0" fontId="38" fillId="0" borderId="0" xfId="0" applyFont="1"/>
    <xf numFmtId="0" fontId="38" fillId="0" borderId="0" xfId="0" applyFont="1" applyAlignment="1">
      <alignment horizontal="right"/>
    </xf>
    <xf numFmtId="184" fontId="30" fillId="0" borderId="0" xfId="0" applyNumberFormat="1" applyFont="1"/>
    <xf numFmtId="175" fontId="39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185" fontId="27" fillId="0" borderId="0" xfId="0" applyNumberFormat="1" applyFont="1"/>
    <xf numFmtId="0" fontId="40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37" fontId="32" fillId="0" borderId="29" xfId="0" applyNumberFormat="1" applyFont="1" applyBorder="1" applyAlignment="1">
      <alignment horizontal="right"/>
    </xf>
    <xf numFmtId="37" fontId="0" fillId="0" borderId="0" xfId="0" applyNumberFormat="1" applyAlignment="1">
      <alignment horizontal="right"/>
    </xf>
    <xf numFmtId="186" fontId="27" fillId="0" borderId="0" xfId="0" applyNumberFormat="1" applyFont="1" applyAlignment="1">
      <alignment horizontal="right"/>
    </xf>
    <xf numFmtId="187" fontId="0" fillId="0" borderId="0" xfId="0" applyNumberFormat="1" applyAlignment="1">
      <alignment horizontal="right"/>
    </xf>
    <xf numFmtId="188" fontId="0" fillId="0" borderId="0" xfId="0" applyNumberFormat="1" applyAlignment="1">
      <alignment horizontal="right"/>
    </xf>
    <xf numFmtId="37" fontId="30" fillId="0" borderId="0" xfId="0" applyNumberFormat="1" applyFont="1" applyAlignment="1">
      <alignment horizontal="center"/>
    </xf>
    <xf numFmtId="0" fontId="0" fillId="9" borderId="18" xfId="0" applyFill="1" applyBorder="1" applyAlignment="1">
      <alignment horizontal="center"/>
    </xf>
  </cellXfs>
  <cellStyles count="7">
    <cellStyle name="Comma" xfId="4" builtinId="3"/>
    <cellStyle name="Currency" xfId="6" builtinId="4"/>
    <cellStyle name="Hyperlink" xfId="1" builtinId="8"/>
    <cellStyle name="Normal" xfId="0" builtinId="0"/>
    <cellStyle name="Normal 2" xfId="2" xr:uid="{3CE1FBA1-9290-4F47-B4CB-B2A52125CEDD}"/>
    <cellStyle name="Percent" xfId="5" builtinId="5"/>
    <cellStyle name="Percent 2" xfId="3" xr:uid="{0614B3BB-4355-46E7-900E-CD48D2255A0C}"/>
  </cellStyles>
  <dxfs count="0"/>
  <tableStyles count="0" defaultTableStyle="TableStyleMedium2" defaultPivotStyle="PivotStyleLight16"/>
  <colors>
    <mruColors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5" fmlaLink="$D$3" fmlaRange="$B$9:$B$11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564544</xdr:colOff>
      <xdr:row>0</xdr:row>
      <xdr:rowOff>0</xdr:rowOff>
    </xdr:from>
    <xdr:to>
      <xdr:col>2</xdr:col>
      <xdr:colOff>659958</xdr:colOff>
      <xdr:row>6</xdr:row>
      <xdr:rowOff>29247</xdr:rowOff>
    </xdr:to>
    <xdr:pic>
      <xdr:nvPicPr>
        <xdr:cNvPr id="2" name="Picture 1" descr="CAVA | Friendly Center">
          <a:extLst>
            <a:ext uri="{FF2B5EF4-FFF2-40B4-BE49-F238E27FC236}">
              <a16:creationId xmlns:a16="http://schemas.microsoft.com/office/drawing/2014/main" id="{203F1A4F-9D0B-EA9D-368E-03C28E67C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44" y="0"/>
          <a:ext cx="1367623" cy="1031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158892</xdr:colOff>
      <xdr:row>115</xdr:row>
      <xdr:rowOff>24873</xdr:rowOff>
    </xdr:from>
    <xdr:to>
      <xdr:col>1</xdr:col>
      <xdr:colOff>161052</xdr:colOff>
      <xdr:row>115</xdr:row>
      <xdr:rowOff>39633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8DDF6BB-EE59-4CCB-9635-37EE03D69E16}"/>
                </a:ext>
              </a:extLst>
            </xdr14:cNvPr>
            <xdr14:cNvContentPartPr/>
          </xdr14:nvContentPartPr>
          <xdr14:nvPr macro=""/>
          <xdr14:xfrm>
            <a:off x="400680" y="10004142"/>
            <a:ext cx="2160" cy="147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B41F823-46A7-41E1-8EF3-D118193619F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1680" y="9995502"/>
              <a:ext cx="19800" cy="3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47708</xdr:colOff>
          <xdr:row>1</xdr:row>
          <xdr:rowOff>159026</xdr:rowOff>
        </xdr:from>
        <xdr:to>
          <xdr:col>4</xdr:col>
          <xdr:colOff>492981</xdr:colOff>
          <xdr:row>3</xdr:row>
          <xdr:rowOff>23854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4439\AppData\Local\Temp\031be4f8-2814-4d36-b51f-5d06cc428617_DCF-Modeling-Course-DL-Kit%20(2).zip.617\DCF%20Model.xlsx" TargetMode="External"/><Relationship Id="rId1" Type="http://schemas.openxmlformats.org/officeDocument/2006/relationships/externalLinkPath" Target="/Users/14439/AppData/Local/Temp/031be4f8-2814-4d36-b51f-5d06cc428617_DCF-Modeling-Course-DL-Kit%20(2).zip.617/DCF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als "/>
      <sheetName val="Simple DCF Empty"/>
      <sheetName val="Simple DCF Done"/>
      <sheetName val="WACC Empty"/>
      <sheetName val="WACC Done"/>
      <sheetName val="Shares Empty"/>
      <sheetName val="Shares"/>
      <sheetName val="DCF 1-Pager"/>
      <sheetName val="2019 FSM Update Complete"/>
      <sheetName val="Integrated DCF Empty"/>
      <sheetName val="Integrated 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16T20:17:12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41 4852,'1'-4'3528,"0"-13"-1279,-3 1-7071,-2 13 3607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Grayson  Harper" id="{EC8E8A91-020F-43D8-B94F-77E7201955F7}" userId="S::grayson.harper@sionic.com::e4feee4b-fc6f-4287-842d-41ecd4a313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4-09-04T15:06:30.19" personId="{EC8E8A91-020F-43D8-B94F-77E7201955F7}" id="{79EA81C0-863F-4BD7-B2D4-32F7DA37CF0A}">
    <text>By stores open in previous period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7" dT="2024-09-04T15:06:30.19" personId="{EC8E8A91-020F-43D8-B94F-77E7201955F7}" id="{0C945C15-B5EC-4BED-8CA4-46F6BBA10839}">
    <text>By stores open in previous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39438/000162828024007277/0001628280-24-007277-index.htm" TargetMode="External"/><Relationship Id="rId2" Type="http://schemas.openxmlformats.org/officeDocument/2006/relationships/hyperlink" Target="https://www.sec.gov/Archives/edgar/data/1639438/000162828023037474/0001628280-23-037474-index.htm" TargetMode="External"/><Relationship Id="rId1" Type="http://schemas.openxmlformats.org/officeDocument/2006/relationships/hyperlink" Target="https://www.sec.gov/Archives/edgar/data/1639438/000162828023029592/0001628280-23-029592-index.htm" TargetMode="External"/><Relationship Id="rId5" Type="http://schemas.openxmlformats.org/officeDocument/2006/relationships/hyperlink" Target="https://www.sec.gov/Archives/edgar/data/1639438/000162828024038276/0001628280-24-038276-index.htm" TargetMode="External"/><Relationship Id="rId4" Type="http://schemas.openxmlformats.org/officeDocument/2006/relationships/hyperlink" Target="https://www.sec.gov/Archives/edgar/data/1639438/000162828024025487/0001628280-24-025487-index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39438/000162828024007277/0001628280-24-007277-index.htm" TargetMode="External"/><Relationship Id="rId2" Type="http://schemas.openxmlformats.org/officeDocument/2006/relationships/hyperlink" Target="https://www.sec.gov/Archives/edgar/data/1639438/000162828023037474/0001628280-23-037474-index.htm" TargetMode="External"/><Relationship Id="rId1" Type="http://schemas.openxmlformats.org/officeDocument/2006/relationships/hyperlink" Target="https://www.sec.gov/Archives/edgar/data/1639438/000162828023029592/0001628280-23-029592-index.htm" TargetMode="External"/><Relationship Id="rId5" Type="http://schemas.openxmlformats.org/officeDocument/2006/relationships/hyperlink" Target="https://www.sec.gov/Archives/edgar/data/1639438/000162828024038276/0001628280-24-038276-index.htm" TargetMode="External"/><Relationship Id="rId4" Type="http://schemas.openxmlformats.org/officeDocument/2006/relationships/hyperlink" Target="https://www.sec.gov/Archives/edgar/data/1639438/000162828024025487/0001628280-24-025487-index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639438/000162828024007277/0001628280-24-007277-index.htm" TargetMode="External"/><Relationship Id="rId2" Type="http://schemas.openxmlformats.org/officeDocument/2006/relationships/hyperlink" Target="https://www.sec.gov/Archives/edgar/data/1639438/000162828023037474/0001628280-23-037474-index.htm" TargetMode="External"/><Relationship Id="rId1" Type="http://schemas.openxmlformats.org/officeDocument/2006/relationships/hyperlink" Target="https://www.sec.gov/Archives/edgar/data/1639438/000162828023029592/0001628280-23-029592-index.htm" TargetMode="External"/><Relationship Id="rId5" Type="http://schemas.openxmlformats.org/officeDocument/2006/relationships/hyperlink" Target="https://www.sec.gov/Archives/edgar/data/1639438/000162828024038276/0001628280-24-038276-index.htm" TargetMode="External"/><Relationship Id="rId4" Type="http://schemas.openxmlformats.org/officeDocument/2006/relationships/hyperlink" Target="https://www.sec.gov/Archives/edgar/data/1639438/000162828024025487/0001628280-24-025487-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2A0C-80A8-45AC-A9AF-0C98C2741C9C}">
  <dimension ref="A1:K34"/>
  <sheetViews>
    <sheetView workbookViewId="0">
      <pane xSplit="2" ySplit="7" topLeftCell="C8" activePane="bottomRight" state="frozenSplit"/>
      <selection pane="topRight" activeCell="C1" sqref="C1"/>
      <selection pane="bottomLeft" activeCell="A8" sqref="A8"/>
      <selection pane="bottomRight" activeCell="A96" sqref="A96"/>
    </sheetView>
  </sheetViews>
  <sheetFormatPr defaultRowHeight="13.15" x14ac:dyDescent="0.25"/>
  <cols>
    <col min="1" max="1" width="100.77734375" customWidth="1"/>
    <col min="2" max="2" width="10.77734375" customWidth="1"/>
    <col min="3" max="11" width="12.44140625" bestFit="1" customWidth="1"/>
  </cols>
  <sheetData>
    <row r="1" spans="1:11" x14ac:dyDescent="0.25">
      <c r="A1" t="s">
        <v>64</v>
      </c>
      <c r="B1" t="s">
        <v>65</v>
      </c>
    </row>
    <row r="2" spans="1:11" x14ac:dyDescent="0.25">
      <c r="A2" t="s">
        <v>0</v>
      </c>
    </row>
    <row r="3" spans="1:11" x14ac:dyDescent="0.25">
      <c r="A3" t="s">
        <v>1</v>
      </c>
      <c r="B3" s="63" t="s">
        <v>66</v>
      </c>
    </row>
    <row r="4" spans="1:11" x14ac:dyDescent="0.25">
      <c r="A4" s="1" t="s">
        <v>2</v>
      </c>
      <c r="C4" s="2" t="s">
        <v>14</v>
      </c>
      <c r="D4" s="2" t="s">
        <v>13</v>
      </c>
      <c r="E4" s="2" t="s">
        <v>12</v>
      </c>
      <c r="F4" s="2" t="s">
        <v>11</v>
      </c>
      <c r="G4" s="2" t="s">
        <v>10</v>
      </c>
      <c r="H4" s="2" t="s">
        <v>9</v>
      </c>
      <c r="I4" s="2" t="s">
        <v>7</v>
      </c>
      <c r="J4" s="2" t="s">
        <v>5</v>
      </c>
      <c r="K4" s="2" t="s">
        <v>45</v>
      </c>
    </row>
    <row r="5" spans="1:11" x14ac:dyDescent="0.25">
      <c r="A5" s="1" t="s">
        <v>3</v>
      </c>
      <c r="C5" s="3">
        <v>44669</v>
      </c>
      <c r="D5" s="3">
        <v>44753</v>
      </c>
      <c r="E5" s="5"/>
      <c r="F5" s="3">
        <v>44921</v>
      </c>
      <c r="G5" s="3">
        <v>45033</v>
      </c>
      <c r="H5" s="3">
        <v>45117</v>
      </c>
      <c r="I5" s="5"/>
      <c r="J5" s="3">
        <v>45292</v>
      </c>
      <c r="K5" s="3">
        <v>45404</v>
      </c>
    </row>
    <row r="6" spans="1:11" x14ac:dyDescent="0.25">
      <c r="A6" s="1" t="s">
        <v>4</v>
      </c>
      <c r="C6" s="3">
        <v>44752</v>
      </c>
      <c r="D6" s="3">
        <v>44836</v>
      </c>
      <c r="E6" s="3">
        <v>44920</v>
      </c>
      <c r="F6" s="3">
        <v>45032</v>
      </c>
      <c r="G6" s="3">
        <v>45116</v>
      </c>
      <c r="H6" s="3">
        <v>45200</v>
      </c>
      <c r="I6" s="3">
        <v>45291</v>
      </c>
      <c r="J6" s="3">
        <v>45403</v>
      </c>
      <c r="K6" s="3">
        <v>45487</v>
      </c>
    </row>
    <row r="7" spans="1:11" x14ac:dyDescent="0.25">
      <c r="G7" s="4" t="s">
        <v>6</v>
      </c>
      <c r="H7" s="4" t="s">
        <v>6</v>
      </c>
      <c r="I7" s="4" t="s">
        <v>8</v>
      </c>
      <c r="J7" s="4" t="s">
        <v>6</v>
      </c>
      <c r="K7" s="4" t="s">
        <v>6</v>
      </c>
    </row>
    <row r="8" spans="1:11" x14ac:dyDescent="0.25">
      <c r="A8" s="6" t="s">
        <v>15</v>
      </c>
      <c r="B8" s="64" t="s">
        <v>67</v>
      </c>
      <c r="C8" s="7">
        <v>135915000</v>
      </c>
      <c r="D8" s="7">
        <v>139258000</v>
      </c>
      <c r="E8" s="7">
        <v>129935000</v>
      </c>
      <c r="F8" s="7">
        <v>203083000</v>
      </c>
      <c r="G8" s="7">
        <v>172894000</v>
      </c>
      <c r="H8" s="7">
        <v>175553000</v>
      </c>
      <c r="I8" s="7">
        <v>177170000</v>
      </c>
      <c r="J8" s="7">
        <v>259006000</v>
      </c>
      <c r="K8" s="7">
        <v>233495000</v>
      </c>
    </row>
    <row r="9" spans="1:11" x14ac:dyDescent="0.25">
      <c r="A9" s="8" t="s">
        <v>16</v>
      </c>
      <c r="B9" s="64" t="s">
        <v>68</v>
      </c>
      <c r="C9" t="s">
        <v>17</v>
      </c>
    </row>
    <row r="10" spans="1:11" x14ac:dyDescent="0.25">
      <c r="A10" s="9" t="s">
        <v>18</v>
      </c>
      <c r="B10" s="64" t="s">
        <v>69</v>
      </c>
      <c r="C10" t="s">
        <v>17</v>
      </c>
    </row>
    <row r="11" spans="1:11" x14ac:dyDescent="0.25">
      <c r="A11" s="10" t="s">
        <v>19</v>
      </c>
      <c r="B11" s="64" t="s">
        <v>70</v>
      </c>
      <c r="C11" s="7">
        <v>43741000</v>
      </c>
      <c r="D11" s="7">
        <v>44617000</v>
      </c>
      <c r="E11" s="7">
        <v>40726000</v>
      </c>
      <c r="F11" s="7">
        <v>59118000</v>
      </c>
      <c r="G11" s="7">
        <v>51000000</v>
      </c>
      <c r="H11" s="7">
        <v>51818000</v>
      </c>
      <c r="I11" s="7">
        <v>51522000</v>
      </c>
      <c r="J11" s="7">
        <v>73947000</v>
      </c>
      <c r="K11" s="7">
        <v>68839000</v>
      </c>
    </row>
    <row r="12" spans="1:11" x14ac:dyDescent="0.25">
      <c r="A12" s="10" t="s">
        <v>20</v>
      </c>
      <c r="B12" s="64" t="s">
        <v>71</v>
      </c>
      <c r="C12" s="7">
        <v>37731000</v>
      </c>
      <c r="D12" s="7">
        <v>37193000</v>
      </c>
      <c r="E12" s="7">
        <v>35945000</v>
      </c>
      <c r="F12" s="7">
        <v>52154000</v>
      </c>
      <c r="G12" s="7">
        <v>42417000</v>
      </c>
      <c r="H12" s="7">
        <v>43913000</v>
      </c>
      <c r="I12" s="7">
        <v>48842000</v>
      </c>
      <c r="J12" s="7">
        <v>66513000</v>
      </c>
      <c r="K12" s="7">
        <v>58388000</v>
      </c>
    </row>
    <row r="13" spans="1:11" x14ac:dyDescent="0.25">
      <c r="A13" s="10" t="s">
        <v>21</v>
      </c>
      <c r="B13" s="64" t="s">
        <v>72</v>
      </c>
      <c r="C13" s="7">
        <v>12214000</v>
      </c>
      <c r="D13" s="7">
        <v>12302000</v>
      </c>
      <c r="E13" s="7">
        <v>12413000</v>
      </c>
      <c r="F13" s="7">
        <v>16599000</v>
      </c>
      <c r="G13" s="7">
        <v>13400000</v>
      </c>
      <c r="H13" s="7">
        <v>13782000</v>
      </c>
      <c r="I13" s="7">
        <v>14538000</v>
      </c>
      <c r="J13" s="7">
        <v>20422000</v>
      </c>
      <c r="K13" s="7">
        <v>15917000</v>
      </c>
    </row>
    <row r="14" spans="1:11" x14ac:dyDescent="0.25">
      <c r="A14" s="12" t="s">
        <v>22</v>
      </c>
      <c r="B14" s="64" t="s">
        <v>73</v>
      </c>
      <c r="C14" s="7">
        <v>16624000</v>
      </c>
      <c r="D14" s="7">
        <v>18738000</v>
      </c>
      <c r="E14" s="7">
        <v>17024000</v>
      </c>
      <c r="F14" s="7">
        <v>24648000</v>
      </c>
      <c r="G14" s="7">
        <v>20646000</v>
      </c>
      <c r="H14" s="7">
        <v>21553000</v>
      </c>
      <c r="I14" s="7">
        <v>22404000</v>
      </c>
      <c r="J14" s="7">
        <v>32758000</v>
      </c>
      <c r="K14" s="7">
        <v>27991000</v>
      </c>
    </row>
    <row r="15" spans="1:11" x14ac:dyDescent="0.25">
      <c r="A15" s="11" t="s">
        <v>23</v>
      </c>
      <c r="B15" s="64" t="s">
        <v>74</v>
      </c>
      <c r="C15" s="13">
        <v>110310000</v>
      </c>
      <c r="D15" s="13">
        <v>112850000</v>
      </c>
      <c r="E15" s="13">
        <v>106108000</v>
      </c>
      <c r="F15" s="13">
        <v>152519000</v>
      </c>
      <c r="G15" s="13">
        <v>127463000</v>
      </c>
      <c r="H15" s="13">
        <v>131066000</v>
      </c>
      <c r="I15" s="13">
        <v>137306000</v>
      </c>
      <c r="J15" s="13">
        <v>193640000</v>
      </c>
      <c r="K15" s="13">
        <v>171135000</v>
      </c>
    </row>
    <row r="16" spans="1:11" x14ac:dyDescent="0.25">
      <c r="A16" s="14" t="s">
        <v>24</v>
      </c>
      <c r="B16" s="64" t="s">
        <v>75</v>
      </c>
      <c r="C16" s="7">
        <v>16284000</v>
      </c>
      <c r="D16" s="7">
        <v>16547000</v>
      </c>
      <c r="E16" s="7">
        <v>16269000</v>
      </c>
      <c r="F16" s="7">
        <v>29024000</v>
      </c>
      <c r="G16" s="7">
        <v>23321000</v>
      </c>
      <c r="H16" s="7">
        <v>24472000</v>
      </c>
      <c r="I16" s="7">
        <v>24674000</v>
      </c>
      <c r="J16" s="7">
        <v>33840000</v>
      </c>
      <c r="K16" s="7">
        <v>28281000</v>
      </c>
    </row>
    <row r="17" spans="1:11" x14ac:dyDescent="0.25">
      <c r="A17" s="14" t="s">
        <v>25</v>
      </c>
      <c r="B17" s="64" t="s">
        <v>76</v>
      </c>
      <c r="C17" s="7">
        <v>8946000</v>
      </c>
      <c r="D17" s="7">
        <v>10018000</v>
      </c>
      <c r="E17" s="7">
        <v>10941000</v>
      </c>
      <c r="F17" s="7">
        <v>12859000</v>
      </c>
      <c r="G17" s="7">
        <v>10709000</v>
      </c>
      <c r="H17" s="7">
        <v>11528000</v>
      </c>
      <c r="I17" s="7">
        <v>12337000</v>
      </c>
      <c r="J17" s="7">
        <v>17322000</v>
      </c>
      <c r="K17" s="7">
        <v>13733000</v>
      </c>
    </row>
    <row r="18" spans="1:11" x14ac:dyDescent="0.25">
      <c r="A18" s="14" t="s">
        <v>26</v>
      </c>
      <c r="B18" s="64" t="s">
        <v>77</v>
      </c>
      <c r="C18" s="7">
        <v>1650000</v>
      </c>
      <c r="D18" s="7">
        <v>2055000</v>
      </c>
      <c r="E18" s="7">
        <v>934000</v>
      </c>
      <c r="F18" s="7">
        <v>2215000</v>
      </c>
      <c r="G18" s="7">
        <v>1853000</v>
      </c>
      <c r="H18" s="7">
        <v>1092000</v>
      </c>
      <c r="I18" s="7">
        <v>920000</v>
      </c>
      <c r="J18" s="7">
        <v>282000</v>
      </c>
      <c r="K18" s="7">
        <v>70000</v>
      </c>
    </row>
    <row r="19" spans="1:11" x14ac:dyDescent="0.25">
      <c r="A19" s="14" t="s">
        <v>27</v>
      </c>
      <c r="B19" s="64" t="s">
        <v>78</v>
      </c>
      <c r="C19" s="7">
        <v>4484000</v>
      </c>
      <c r="D19" s="7">
        <v>6175000</v>
      </c>
      <c r="E19" s="7">
        <v>5088000</v>
      </c>
      <c r="F19" s="7">
        <v>5999000</v>
      </c>
      <c r="G19" s="7">
        <v>3400000</v>
      </c>
      <c r="H19" s="7">
        <v>3410000</v>
      </c>
      <c r="I19" s="7">
        <v>2909000</v>
      </c>
      <c r="J19" s="7">
        <v>3379000</v>
      </c>
      <c r="K19" s="7">
        <v>3302000</v>
      </c>
    </row>
    <row r="20" spans="1:11" x14ac:dyDescent="0.25">
      <c r="A20" s="15" t="s">
        <v>28</v>
      </c>
      <c r="B20" s="64" t="s">
        <v>79</v>
      </c>
      <c r="C20" s="7">
        <v>2579000</v>
      </c>
      <c r="D20" s="7">
        <v>3838000</v>
      </c>
      <c r="E20" s="7">
        <v>9905000</v>
      </c>
      <c r="F20" s="7">
        <v>2719000</v>
      </c>
      <c r="G20" s="7">
        <v>386000</v>
      </c>
      <c r="H20" s="7">
        <v>1190000</v>
      </c>
      <c r="I20" s="7">
        <v>604000</v>
      </c>
      <c r="J20" s="7">
        <v>1290000</v>
      </c>
      <c r="K20" s="7">
        <v>830000</v>
      </c>
    </row>
    <row r="21" spans="1:11" x14ac:dyDescent="0.25">
      <c r="A21" s="12" t="s">
        <v>29</v>
      </c>
      <c r="B21" s="64" t="s">
        <v>80</v>
      </c>
      <c r="C21" s="13">
        <v>144253000</v>
      </c>
      <c r="D21" s="13">
        <v>151483000</v>
      </c>
      <c r="E21" s="13">
        <v>149245000</v>
      </c>
      <c r="F21" s="13">
        <v>205335000</v>
      </c>
      <c r="G21" s="13">
        <v>167132000</v>
      </c>
      <c r="H21" s="13">
        <v>172758000</v>
      </c>
      <c r="I21" s="13">
        <v>178750000</v>
      </c>
      <c r="J21" s="13">
        <v>249753000</v>
      </c>
      <c r="K21" s="13">
        <v>217351000</v>
      </c>
    </row>
    <row r="22" spans="1:11" x14ac:dyDescent="0.25">
      <c r="A22" s="6" t="s">
        <v>81</v>
      </c>
      <c r="B22" s="64" t="s">
        <v>82</v>
      </c>
      <c r="C22" s="13">
        <v>-8338000</v>
      </c>
      <c r="D22" s="13">
        <v>-12225000</v>
      </c>
      <c r="E22" s="13">
        <v>-19310000</v>
      </c>
      <c r="F22" s="13">
        <v>-2252000</v>
      </c>
      <c r="G22" s="13">
        <v>5762000</v>
      </c>
      <c r="H22" s="13">
        <v>2795000</v>
      </c>
      <c r="I22" s="13">
        <v>-1580000</v>
      </c>
      <c r="J22" s="13">
        <v>9253000</v>
      </c>
      <c r="K22" s="13">
        <v>16144000</v>
      </c>
    </row>
    <row r="23" spans="1:11" x14ac:dyDescent="0.25">
      <c r="A23" s="8" t="s">
        <v>30</v>
      </c>
      <c r="B23" s="64" t="s">
        <v>83</v>
      </c>
      <c r="C23" t="s">
        <v>17</v>
      </c>
    </row>
    <row r="24" spans="1:11" x14ac:dyDescent="0.25">
      <c r="A24" s="14" t="s">
        <v>84</v>
      </c>
      <c r="B24" s="64" t="s">
        <v>85</v>
      </c>
      <c r="C24" s="7">
        <v>34000</v>
      </c>
      <c r="D24" s="7">
        <v>-115000</v>
      </c>
      <c r="E24" s="7">
        <v>-215000</v>
      </c>
      <c r="F24" s="7">
        <v>25000</v>
      </c>
      <c r="G24" s="7">
        <v>-699000</v>
      </c>
      <c r="H24" s="7">
        <v>-3956000</v>
      </c>
      <c r="I24" s="7">
        <v>-4222000</v>
      </c>
      <c r="J24" s="7">
        <v>-4914000</v>
      </c>
      <c r="K24" s="7">
        <v>-3824000</v>
      </c>
    </row>
    <row r="25" spans="1:11" x14ac:dyDescent="0.25">
      <c r="A25" s="15" t="s">
        <v>32</v>
      </c>
      <c r="B25" s="64" t="s">
        <v>86</v>
      </c>
      <c r="C25" s="7">
        <v>198000</v>
      </c>
      <c r="D25" s="7">
        <v>188000</v>
      </c>
      <c r="E25" s="7">
        <v>275000</v>
      </c>
      <c r="F25" s="7">
        <v>174000</v>
      </c>
      <c r="G25" s="7">
        <v>118000</v>
      </c>
      <c r="H25" s="7">
        <v>120000</v>
      </c>
      <c r="I25" s="7">
        <v>59000</v>
      </c>
      <c r="J25" s="7">
        <v>78000</v>
      </c>
      <c r="K25" s="7">
        <v>60000</v>
      </c>
    </row>
    <row r="26" spans="1:11" x14ac:dyDescent="0.25">
      <c r="A26" s="6" t="s">
        <v>87</v>
      </c>
      <c r="B26" s="64" t="s">
        <v>88</v>
      </c>
      <c r="C26" s="13">
        <v>-8174000</v>
      </c>
      <c r="D26" s="13">
        <v>-11922000</v>
      </c>
      <c r="E26" s="13">
        <v>-18820000</v>
      </c>
      <c r="F26" s="13">
        <v>-2103000</v>
      </c>
      <c r="G26" s="13">
        <v>6579000</v>
      </c>
      <c r="H26" s="13">
        <v>6871000</v>
      </c>
      <c r="I26" s="13">
        <v>2701000</v>
      </c>
      <c r="J26" s="13">
        <v>14245000</v>
      </c>
      <c r="K26" s="13">
        <v>20028000</v>
      </c>
    </row>
    <row r="27" spans="1:11" x14ac:dyDescent="0.25">
      <c r="A27" s="16" t="s">
        <v>33</v>
      </c>
      <c r="B27" s="64" t="s">
        <v>89</v>
      </c>
      <c r="C27" s="7">
        <v>56000</v>
      </c>
      <c r="D27" s="7">
        <v>-29000</v>
      </c>
      <c r="E27" s="7">
        <v>26000</v>
      </c>
      <c r="F27" s="7">
        <v>38000</v>
      </c>
      <c r="G27" s="7">
        <v>40000</v>
      </c>
      <c r="H27" s="7">
        <v>38000</v>
      </c>
      <c r="I27" s="7">
        <v>652000</v>
      </c>
      <c r="J27" s="7">
        <v>252000</v>
      </c>
      <c r="K27" s="7">
        <v>287000</v>
      </c>
    </row>
    <row r="28" spans="1:11" x14ac:dyDescent="0.25">
      <c r="A28" s="14" t="s">
        <v>90</v>
      </c>
      <c r="B28" s="64" t="s">
        <v>91</v>
      </c>
      <c r="C28" s="13">
        <v>-8230000</v>
      </c>
      <c r="D28" s="13">
        <v>-11893000</v>
      </c>
      <c r="E28" s="13">
        <v>-18846000</v>
      </c>
      <c r="F28" s="13">
        <v>-2141000</v>
      </c>
      <c r="G28" s="13">
        <v>6539000</v>
      </c>
      <c r="H28" s="13">
        <v>6833000</v>
      </c>
      <c r="I28" s="13">
        <v>2049000</v>
      </c>
      <c r="J28" s="13">
        <v>13993000</v>
      </c>
      <c r="K28" s="13">
        <v>19741000</v>
      </c>
    </row>
    <row r="29" spans="1:11" x14ac:dyDescent="0.25">
      <c r="A29" s="8" t="s">
        <v>92</v>
      </c>
      <c r="B29" s="64" t="s">
        <v>93</v>
      </c>
      <c r="C29" t="s">
        <v>17</v>
      </c>
    </row>
    <row r="30" spans="1:11" x14ac:dyDescent="0.25">
      <c r="A30" s="14" t="s">
        <v>35</v>
      </c>
      <c r="B30" s="64" t="s">
        <v>94</v>
      </c>
      <c r="C30" s="17">
        <v>-6.23</v>
      </c>
      <c r="D30" s="17">
        <v>-8.9600000000000009</v>
      </c>
      <c r="E30" s="17">
        <v>-13.87</v>
      </c>
      <c r="F30" s="17">
        <v>-1.3</v>
      </c>
      <c r="G30" s="17">
        <v>0.23</v>
      </c>
      <c r="H30" s="17">
        <v>0.06</v>
      </c>
      <c r="I30" s="17">
        <v>-0.04</v>
      </c>
      <c r="J30" s="17">
        <v>0.12</v>
      </c>
      <c r="K30" s="17">
        <v>0.17</v>
      </c>
    </row>
    <row r="31" spans="1:11" x14ac:dyDescent="0.25">
      <c r="A31" s="14" t="s">
        <v>36</v>
      </c>
      <c r="B31" s="64" t="s">
        <v>95</v>
      </c>
      <c r="C31" s="17">
        <v>-6.23</v>
      </c>
      <c r="D31" s="17">
        <v>-8.9600000000000009</v>
      </c>
      <c r="E31" s="17">
        <v>-13.87</v>
      </c>
      <c r="F31" s="17">
        <v>-1.3</v>
      </c>
      <c r="G31" s="17">
        <v>0.21</v>
      </c>
      <c r="H31" s="17">
        <v>0.06</v>
      </c>
      <c r="I31" s="17">
        <v>-0.03</v>
      </c>
      <c r="J31" s="17">
        <v>0.12</v>
      </c>
      <c r="K31" s="17">
        <v>0.17</v>
      </c>
    </row>
    <row r="32" spans="1:11" x14ac:dyDescent="0.25">
      <c r="A32" s="8" t="s">
        <v>37</v>
      </c>
      <c r="B32" s="64" t="s">
        <v>96</v>
      </c>
      <c r="C32" t="s">
        <v>17</v>
      </c>
    </row>
    <row r="33" spans="1:11" x14ac:dyDescent="0.25">
      <c r="A33" s="14" t="s">
        <v>38</v>
      </c>
      <c r="B33" s="64" t="s">
        <v>97</v>
      </c>
      <c r="C33" s="18">
        <v>1322000</v>
      </c>
      <c r="D33" s="18">
        <v>1327000</v>
      </c>
      <c r="E33" s="18">
        <v>1328000</v>
      </c>
      <c r="F33" s="18">
        <v>1647000</v>
      </c>
      <c r="G33" s="18">
        <v>28366000</v>
      </c>
      <c r="H33" s="18">
        <v>113584000</v>
      </c>
      <c r="I33" s="18">
        <v>60512000</v>
      </c>
      <c r="J33" s="18">
        <v>113972000</v>
      </c>
      <c r="K33" s="18">
        <v>114130000</v>
      </c>
    </row>
    <row r="34" spans="1:11" x14ac:dyDescent="0.25">
      <c r="A34" s="14" t="s">
        <v>39</v>
      </c>
      <c r="B34" s="64" t="s">
        <v>98</v>
      </c>
      <c r="C34" s="18">
        <v>1322000</v>
      </c>
      <c r="D34" s="18">
        <v>1327000</v>
      </c>
      <c r="E34" s="18">
        <v>1328000</v>
      </c>
      <c r="F34" s="18">
        <v>1647000</v>
      </c>
      <c r="G34" s="18">
        <v>31279000</v>
      </c>
      <c r="H34" s="18">
        <v>117713000</v>
      </c>
      <c r="I34" s="18">
        <v>63448000</v>
      </c>
      <c r="J34" s="18">
        <v>117936000</v>
      </c>
      <c r="K34" s="18">
        <v>118291000</v>
      </c>
    </row>
  </sheetData>
  <hyperlinks>
    <hyperlink ref="G7" r:id="rId1" display="https://www.sec.gov/Archives/edgar/data/1639438/000162828023029592/0001628280-23-029592-index.htm" xr:uid="{FCA9D49B-1E95-48E2-8C57-B07E34589C4A}"/>
    <hyperlink ref="H7" r:id="rId2" display="https://www.sec.gov/Archives/edgar/data/1639438/000162828023037474/0001628280-23-037474-index.htm" xr:uid="{8BDC0894-D2F5-4A1C-AB05-92BFB1C0E0C2}"/>
    <hyperlink ref="I7" r:id="rId3" display="https://www.sec.gov/Archives/edgar/data/1639438/000162828024007277/0001628280-24-007277-index.htm" xr:uid="{C1DFE5C4-B949-409E-9157-AC65D96EC380}"/>
    <hyperlink ref="J7" r:id="rId4" display="https://www.sec.gov/Archives/edgar/data/1639438/000162828024025487/0001628280-24-025487-index.htm" xr:uid="{7FDB1469-6356-4CCE-9380-C1C3532C7BF2}"/>
    <hyperlink ref="K7" r:id="rId5" display="https://www.sec.gov/Archives/edgar/data/1639438/000162828024038276/0001628280-24-038276-index.htm" xr:uid="{1268B57E-6CF9-4BB2-BD2E-6D52327D06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C5A8-B66E-44FE-AE13-DE7A8DF557AE}">
  <dimension ref="A1:R43"/>
  <sheetViews>
    <sheetView workbookViewId="0">
      <pane xSplit="2" ySplit="7" topLeftCell="C8" activePane="bottomRight" state="frozenSplit"/>
      <selection pane="topRight" activeCell="C1" sqref="C1"/>
      <selection pane="bottomLeft" activeCell="A8" sqref="A8"/>
      <selection pane="bottomRight" activeCell="G43" sqref="G43:K43"/>
    </sheetView>
  </sheetViews>
  <sheetFormatPr defaultRowHeight="13.15" x14ac:dyDescent="0.25"/>
  <cols>
    <col min="1" max="1" width="100.77734375" customWidth="1"/>
    <col min="2" max="2" width="26.5546875" customWidth="1"/>
    <col min="3" max="6" width="13.109375" bestFit="1" customWidth="1"/>
    <col min="7" max="11" width="14" bestFit="1" customWidth="1"/>
    <col min="13" max="16" width="11.44140625" bestFit="1" customWidth="1"/>
    <col min="17" max="17" width="12" bestFit="1" customWidth="1"/>
    <col min="18" max="18" width="11.44140625" bestFit="1" customWidth="1"/>
  </cols>
  <sheetData>
    <row r="1" spans="1:18" x14ac:dyDescent="0.25">
      <c r="A1" t="s">
        <v>274</v>
      </c>
      <c r="B1" t="s">
        <v>65</v>
      </c>
    </row>
    <row r="2" spans="1:18" x14ac:dyDescent="0.25">
      <c r="A2" t="s">
        <v>0</v>
      </c>
    </row>
    <row r="3" spans="1:18" x14ac:dyDescent="0.25">
      <c r="A3" t="s">
        <v>123</v>
      </c>
      <c r="B3" s="63" t="s">
        <v>66</v>
      </c>
    </row>
    <row r="4" spans="1:18" x14ac:dyDescent="0.25">
      <c r="A4" s="1" t="s">
        <v>2</v>
      </c>
      <c r="C4" s="2" t="s">
        <v>14</v>
      </c>
      <c r="D4" s="2" t="s">
        <v>13</v>
      </c>
      <c r="E4" s="2" t="s">
        <v>125</v>
      </c>
      <c r="F4" s="2" t="s">
        <v>11</v>
      </c>
      <c r="G4" s="2" t="s">
        <v>10</v>
      </c>
      <c r="H4" s="2" t="s">
        <v>9</v>
      </c>
      <c r="I4" s="2" t="s">
        <v>124</v>
      </c>
      <c r="J4" s="2" t="s">
        <v>5</v>
      </c>
      <c r="K4" s="2" t="s">
        <v>45</v>
      </c>
    </row>
    <row r="5" spans="1:18" x14ac:dyDescent="0.25">
      <c r="A5" s="1" t="s">
        <v>3</v>
      </c>
      <c r="C5" s="3">
        <v>44669</v>
      </c>
      <c r="D5" s="3">
        <v>44753</v>
      </c>
      <c r="E5" s="3">
        <v>44557</v>
      </c>
      <c r="F5" s="3">
        <v>44921</v>
      </c>
      <c r="G5" s="3">
        <v>45033</v>
      </c>
      <c r="H5" s="3">
        <v>45117</v>
      </c>
      <c r="I5" s="3">
        <v>44921</v>
      </c>
      <c r="J5" s="3">
        <v>45292</v>
      </c>
      <c r="K5" s="3">
        <v>45404</v>
      </c>
    </row>
    <row r="6" spans="1:18" x14ac:dyDescent="0.25">
      <c r="A6" s="1" t="s">
        <v>4</v>
      </c>
      <c r="C6" s="3">
        <v>44752</v>
      </c>
      <c r="D6" s="3">
        <v>44836</v>
      </c>
      <c r="E6" s="3">
        <v>44920</v>
      </c>
      <c r="F6" s="3">
        <v>45032</v>
      </c>
      <c r="G6" s="3">
        <v>45116</v>
      </c>
      <c r="H6" s="3">
        <v>45200</v>
      </c>
      <c r="I6" s="3">
        <v>45291</v>
      </c>
      <c r="J6" s="3">
        <v>45403</v>
      </c>
      <c r="K6" s="3">
        <v>45487</v>
      </c>
    </row>
    <row r="7" spans="1:18" x14ac:dyDescent="0.25">
      <c r="G7" s="4" t="s">
        <v>6</v>
      </c>
      <c r="H7" s="4" t="s">
        <v>6</v>
      </c>
      <c r="I7" s="4" t="s">
        <v>8</v>
      </c>
      <c r="J7" s="4" t="s">
        <v>6</v>
      </c>
      <c r="K7" s="4" t="s">
        <v>6</v>
      </c>
    </row>
    <row r="8" spans="1:18" x14ac:dyDescent="0.25">
      <c r="A8" s="8" t="s">
        <v>126</v>
      </c>
      <c r="B8" s="64" t="s">
        <v>127</v>
      </c>
      <c r="C8" t="s">
        <v>17</v>
      </c>
    </row>
    <row r="9" spans="1:18" x14ac:dyDescent="0.25">
      <c r="A9" s="9" t="s">
        <v>128</v>
      </c>
      <c r="B9" s="64" t="s">
        <v>129</v>
      </c>
      <c r="C9" t="s">
        <v>17</v>
      </c>
    </row>
    <row r="10" spans="1:18" x14ac:dyDescent="0.25">
      <c r="A10" s="10" t="s">
        <v>130</v>
      </c>
      <c r="B10" s="64" t="s">
        <v>131</v>
      </c>
      <c r="C10" t="s">
        <v>17</v>
      </c>
      <c r="D10" t="s">
        <v>17</v>
      </c>
      <c r="E10" s="7">
        <v>39125000</v>
      </c>
      <c r="F10" t="s">
        <v>17</v>
      </c>
      <c r="G10" s="7">
        <v>352845000</v>
      </c>
      <c r="H10" s="7">
        <v>340399000</v>
      </c>
      <c r="I10" s="7">
        <v>332428000</v>
      </c>
      <c r="J10" s="7">
        <v>329117000</v>
      </c>
      <c r="K10" s="7">
        <v>343748000</v>
      </c>
    </row>
    <row r="11" spans="1:18" x14ac:dyDescent="0.25">
      <c r="A11" s="10" t="s">
        <v>132</v>
      </c>
      <c r="B11" s="64" t="s">
        <v>133</v>
      </c>
      <c r="C11" t="s">
        <v>17</v>
      </c>
      <c r="D11" t="s">
        <v>17</v>
      </c>
      <c r="E11" s="7">
        <v>2827000</v>
      </c>
      <c r="F11" t="s">
        <v>17</v>
      </c>
      <c r="G11" s="7">
        <v>4326000</v>
      </c>
      <c r="H11" s="7">
        <v>5192000</v>
      </c>
      <c r="I11" s="7">
        <v>3662000</v>
      </c>
      <c r="J11" s="7">
        <v>5511000</v>
      </c>
      <c r="K11" s="7">
        <v>5927000</v>
      </c>
      <c r="M11" s="7">
        <f>H11-G11</f>
        <v>866000</v>
      </c>
      <c r="N11" s="7">
        <f t="shared" ref="N11:R11" si="0">I11-H11</f>
        <v>-1530000</v>
      </c>
      <c r="O11" s="7">
        <f t="shared" si="0"/>
        <v>1849000</v>
      </c>
      <c r="P11" s="7">
        <f t="shared" si="0"/>
        <v>416000</v>
      </c>
      <c r="Q11" s="7">
        <f t="shared" si="0"/>
        <v>-5927000</v>
      </c>
      <c r="R11" s="7">
        <f t="shared" si="0"/>
        <v>866000</v>
      </c>
    </row>
    <row r="12" spans="1:18" x14ac:dyDescent="0.25">
      <c r="A12" s="10" t="s">
        <v>134</v>
      </c>
      <c r="B12" s="64" t="s">
        <v>135</v>
      </c>
      <c r="C12" t="s">
        <v>17</v>
      </c>
      <c r="D12" t="s">
        <v>17</v>
      </c>
      <c r="E12" s="7">
        <v>4908000</v>
      </c>
      <c r="F12" t="s">
        <v>17</v>
      </c>
      <c r="G12" s="7">
        <v>7552000</v>
      </c>
      <c r="H12" s="7">
        <v>7500000</v>
      </c>
      <c r="I12" s="7">
        <v>8223000</v>
      </c>
      <c r="J12" s="7">
        <v>6221000</v>
      </c>
      <c r="K12" s="7">
        <v>7962000</v>
      </c>
      <c r="M12" s="7">
        <f>G11+G12</f>
        <v>11878000</v>
      </c>
      <c r="N12" s="7">
        <f t="shared" ref="N12:R12" si="1">H11+H12</f>
        <v>12692000</v>
      </c>
      <c r="O12" s="7">
        <f t="shared" si="1"/>
        <v>11885000</v>
      </c>
      <c r="P12" s="7">
        <f t="shared" si="1"/>
        <v>11732000</v>
      </c>
      <c r="Q12" s="7">
        <f t="shared" si="1"/>
        <v>13889000</v>
      </c>
      <c r="R12" s="7">
        <f t="shared" si="1"/>
        <v>0</v>
      </c>
    </row>
    <row r="13" spans="1:18" x14ac:dyDescent="0.25">
      <c r="A13" s="10" t="s">
        <v>136</v>
      </c>
      <c r="B13" s="64" t="s">
        <v>137</v>
      </c>
      <c r="C13" t="s">
        <v>17</v>
      </c>
      <c r="D13" t="s">
        <v>17</v>
      </c>
      <c r="E13" s="7">
        <v>5139000</v>
      </c>
      <c r="F13" t="s">
        <v>17</v>
      </c>
      <c r="G13" s="7">
        <v>5357000</v>
      </c>
      <c r="H13" s="7">
        <v>5726000</v>
      </c>
      <c r="I13" s="7">
        <v>5637000</v>
      </c>
      <c r="J13" s="7">
        <v>6304000</v>
      </c>
      <c r="K13" s="7">
        <v>7195000</v>
      </c>
      <c r="M13" s="7">
        <f>H12-G12</f>
        <v>-52000</v>
      </c>
      <c r="N13" s="7">
        <f t="shared" ref="N13:R13" si="2">I12-H12</f>
        <v>723000</v>
      </c>
      <c r="O13" s="7">
        <f t="shared" si="2"/>
        <v>-2002000</v>
      </c>
      <c r="P13" s="7">
        <f t="shared" si="2"/>
        <v>1741000</v>
      </c>
      <c r="Q13" s="7">
        <f t="shared" si="2"/>
        <v>-7962000</v>
      </c>
      <c r="R13" s="7">
        <f t="shared" si="2"/>
        <v>11878000</v>
      </c>
    </row>
    <row r="14" spans="1:18" x14ac:dyDescent="0.25">
      <c r="A14" s="12" t="s">
        <v>138</v>
      </c>
      <c r="B14" s="64" t="s">
        <v>139</v>
      </c>
      <c r="C14" t="s">
        <v>17</v>
      </c>
      <c r="D14" t="s">
        <v>17</v>
      </c>
      <c r="E14" s="7">
        <v>6151000</v>
      </c>
      <c r="F14" t="s">
        <v>17</v>
      </c>
      <c r="G14" s="7">
        <v>4534000</v>
      </c>
      <c r="H14" s="7">
        <v>4832000</v>
      </c>
      <c r="I14" s="7">
        <v>4962000</v>
      </c>
      <c r="J14" s="7">
        <v>4861000</v>
      </c>
      <c r="K14" s="7">
        <v>4934000</v>
      </c>
    </row>
    <row r="15" spans="1:18" x14ac:dyDescent="0.25">
      <c r="A15" s="11" t="s">
        <v>140</v>
      </c>
      <c r="B15" s="64" t="s">
        <v>141</v>
      </c>
      <c r="C15" s="128" t="s">
        <v>17</v>
      </c>
      <c r="D15" s="128" t="s">
        <v>17</v>
      </c>
      <c r="E15" s="13">
        <v>58150000</v>
      </c>
      <c r="F15" s="128" t="s">
        <v>17</v>
      </c>
      <c r="G15" s="13">
        <v>374614000</v>
      </c>
      <c r="H15" s="13">
        <v>363649000</v>
      </c>
      <c r="I15" s="13">
        <v>354912000</v>
      </c>
      <c r="J15" s="13">
        <v>352014000</v>
      </c>
      <c r="K15" s="13">
        <v>369766000</v>
      </c>
      <c r="M15" s="7">
        <f>M11+M13</f>
        <v>814000</v>
      </c>
      <c r="N15" s="7">
        <f t="shared" ref="N15:R15" si="3">N11+N13</f>
        <v>-807000</v>
      </c>
      <c r="O15" s="7">
        <f t="shared" si="3"/>
        <v>-153000</v>
      </c>
      <c r="P15" s="7">
        <f t="shared" si="3"/>
        <v>2157000</v>
      </c>
      <c r="Q15" s="7">
        <f t="shared" si="3"/>
        <v>-13889000</v>
      </c>
      <c r="R15" s="7">
        <f t="shared" si="3"/>
        <v>12744000</v>
      </c>
    </row>
    <row r="16" spans="1:18" x14ac:dyDescent="0.25">
      <c r="A16" s="14" t="s">
        <v>142</v>
      </c>
      <c r="B16" s="64" t="s">
        <v>143</v>
      </c>
      <c r="C16" t="s">
        <v>17</v>
      </c>
      <c r="D16" t="s">
        <v>17</v>
      </c>
      <c r="E16" s="7">
        <v>242983000</v>
      </c>
      <c r="F16" t="s">
        <v>17</v>
      </c>
      <c r="G16" s="7">
        <v>298318000</v>
      </c>
      <c r="H16" s="7">
        <v>316086000</v>
      </c>
      <c r="I16" s="7">
        <v>330730000</v>
      </c>
      <c r="J16" s="7">
        <v>345695000</v>
      </c>
      <c r="K16" s="7">
        <v>355014000</v>
      </c>
    </row>
    <row r="17" spans="1:18" x14ac:dyDescent="0.25">
      <c r="A17" s="14" t="s">
        <v>144</v>
      </c>
      <c r="B17" s="64" t="s">
        <v>145</v>
      </c>
      <c r="C17" t="s">
        <v>17</v>
      </c>
      <c r="D17" t="s">
        <v>17</v>
      </c>
      <c r="E17" s="7">
        <v>273876000</v>
      </c>
      <c r="F17" t="s">
        <v>17</v>
      </c>
      <c r="G17" s="7">
        <v>289126000</v>
      </c>
      <c r="H17" s="7">
        <v>297031000</v>
      </c>
      <c r="I17" s="7">
        <v>289451000</v>
      </c>
      <c r="J17" s="7">
        <v>298798000</v>
      </c>
      <c r="K17" s="7">
        <v>304926000</v>
      </c>
      <c r="N17" s="7">
        <f t="shared" ref="N17:P17" si="4">-(H17-G17)</f>
        <v>-7905000</v>
      </c>
      <c r="O17" s="7">
        <f t="shared" si="4"/>
        <v>7580000</v>
      </c>
      <c r="P17" s="7">
        <f t="shared" si="4"/>
        <v>-9347000</v>
      </c>
      <c r="Q17" s="7">
        <f>-(K17-J17)</f>
        <v>-6128000</v>
      </c>
      <c r="R17" s="7">
        <f t="shared" ref="R17" si="5">O17-P17</f>
        <v>16927000</v>
      </c>
    </row>
    <row r="18" spans="1:18" x14ac:dyDescent="0.25">
      <c r="A18" s="14" t="s">
        <v>146</v>
      </c>
      <c r="B18" s="64" t="s">
        <v>146</v>
      </c>
      <c r="C18" s="7">
        <v>1900000</v>
      </c>
      <c r="D18" s="7">
        <v>1900000</v>
      </c>
      <c r="E18" s="7">
        <v>1944000</v>
      </c>
      <c r="F18" t="s">
        <v>17</v>
      </c>
      <c r="G18" s="7">
        <v>1944000</v>
      </c>
      <c r="H18" s="7">
        <v>1944000</v>
      </c>
      <c r="I18" s="7">
        <v>1944000</v>
      </c>
      <c r="J18" s="7">
        <v>1944000</v>
      </c>
      <c r="K18" s="7">
        <v>1944000</v>
      </c>
    </row>
    <row r="19" spans="1:18" x14ac:dyDescent="0.25">
      <c r="A19" s="14" t="s">
        <v>147</v>
      </c>
      <c r="B19" s="64" t="s">
        <v>148</v>
      </c>
      <c r="C19" t="s">
        <v>17</v>
      </c>
      <c r="D19" t="s">
        <v>17</v>
      </c>
      <c r="E19" s="7">
        <v>1382000</v>
      </c>
      <c r="F19" t="s">
        <v>17</v>
      </c>
      <c r="G19" s="7">
        <v>1355000</v>
      </c>
      <c r="H19" s="7">
        <v>1355000</v>
      </c>
      <c r="I19" s="7">
        <v>1355000</v>
      </c>
      <c r="J19" s="7">
        <v>1355000</v>
      </c>
      <c r="K19" s="7">
        <v>1355000</v>
      </c>
    </row>
    <row r="20" spans="1:18" x14ac:dyDescent="0.25">
      <c r="A20" s="15" t="s">
        <v>149</v>
      </c>
      <c r="B20" s="64" t="s">
        <v>150</v>
      </c>
      <c r="C20" t="s">
        <v>17</v>
      </c>
      <c r="D20" t="s">
        <v>17</v>
      </c>
      <c r="E20" s="7">
        <v>5548000</v>
      </c>
      <c r="F20" t="s">
        <v>17</v>
      </c>
      <c r="G20" s="7">
        <v>5018000</v>
      </c>
      <c r="H20" s="7">
        <v>4909000</v>
      </c>
      <c r="I20" s="7">
        <v>5365000</v>
      </c>
      <c r="J20" s="7">
        <v>5284000</v>
      </c>
      <c r="K20" s="7">
        <v>5537000</v>
      </c>
    </row>
    <row r="21" spans="1:18" x14ac:dyDescent="0.25">
      <c r="A21" s="10" t="s">
        <v>151</v>
      </c>
      <c r="B21" s="64" t="s">
        <v>152</v>
      </c>
      <c r="C21" s="128" t="s">
        <v>17</v>
      </c>
      <c r="D21" s="128" t="s">
        <v>17</v>
      </c>
      <c r="E21" s="13">
        <v>583883000</v>
      </c>
      <c r="F21" s="128" t="s">
        <v>17</v>
      </c>
      <c r="G21" s="13">
        <v>970375000</v>
      </c>
      <c r="H21" s="13">
        <v>984974000</v>
      </c>
      <c r="I21" s="13">
        <v>983757000</v>
      </c>
      <c r="J21" s="13">
        <v>1005090000</v>
      </c>
      <c r="K21" s="13">
        <v>1038542000</v>
      </c>
    </row>
    <row r="22" spans="1:18" x14ac:dyDescent="0.25">
      <c r="A22" s="8" t="s">
        <v>153</v>
      </c>
      <c r="B22" s="64" t="s">
        <v>154</v>
      </c>
      <c r="C22" t="s">
        <v>17</v>
      </c>
    </row>
    <row r="23" spans="1:18" x14ac:dyDescent="0.25">
      <c r="A23" s="9" t="s">
        <v>155</v>
      </c>
      <c r="B23" s="64" t="s">
        <v>156</v>
      </c>
      <c r="C23" t="s">
        <v>17</v>
      </c>
    </row>
    <row r="24" spans="1:18" x14ac:dyDescent="0.25">
      <c r="A24" s="10" t="s">
        <v>157</v>
      </c>
      <c r="B24" s="64" t="s">
        <v>158</v>
      </c>
      <c r="C24" t="s">
        <v>17</v>
      </c>
      <c r="D24" t="s">
        <v>17</v>
      </c>
      <c r="E24" s="7">
        <v>14311000</v>
      </c>
      <c r="F24" t="s">
        <v>17</v>
      </c>
      <c r="G24" s="7">
        <v>14204000</v>
      </c>
      <c r="H24" s="7">
        <v>13568000</v>
      </c>
      <c r="I24" s="7">
        <v>17234000</v>
      </c>
      <c r="J24" s="7">
        <v>19353000</v>
      </c>
      <c r="K24" s="7">
        <v>20348000</v>
      </c>
    </row>
    <row r="25" spans="1:18" x14ac:dyDescent="0.25">
      <c r="A25" s="10" t="s">
        <v>159</v>
      </c>
      <c r="B25" s="64" t="s">
        <v>160</v>
      </c>
      <c r="C25" t="s">
        <v>17</v>
      </c>
      <c r="D25" t="s">
        <v>17</v>
      </c>
      <c r="E25" s="7">
        <v>40468000</v>
      </c>
      <c r="F25" t="s">
        <v>17</v>
      </c>
      <c r="G25" s="7">
        <v>66388000</v>
      </c>
      <c r="H25" s="7">
        <v>62997000</v>
      </c>
      <c r="I25" s="7">
        <v>59219000</v>
      </c>
      <c r="J25" s="7">
        <v>53960000</v>
      </c>
      <c r="K25" s="7">
        <v>63542000</v>
      </c>
    </row>
    <row r="26" spans="1:18" x14ac:dyDescent="0.25">
      <c r="A26" s="12" t="s">
        <v>161</v>
      </c>
      <c r="B26" s="64" t="s">
        <v>162</v>
      </c>
      <c r="C26" t="s">
        <v>17</v>
      </c>
      <c r="D26" t="s">
        <v>17</v>
      </c>
      <c r="E26" s="7">
        <v>29539000</v>
      </c>
      <c r="F26" t="s">
        <v>17</v>
      </c>
      <c r="G26" s="7">
        <v>34106000</v>
      </c>
      <c r="H26" s="7">
        <v>36366000</v>
      </c>
      <c r="I26" s="7">
        <v>32583000</v>
      </c>
      <c r="J26" s="7">
        <v>37995000</v>
      </c>
      <c r="K26" s="7">
        <v>39711000</v>
      </c>
    </row>
    <row r="27" spans="1:18" x14ac:dyDescent="0.25">
      <c r="A27" s="11" t="s">
        <v>163</v>
      </c>
      <c r="B27" s="64" t="s">
        <v>164</v>
      </c>
      <c r="C27" s="128" t="s">
        <v>17</v>
      </c>
      <c r="D27" s="128" t="s">
        <v>17</v>
      </c>
      <c r="E27" s="13">
        <v>84318000</v>
      </c>
      <c r="F27" s="128" t="s">
        <v>17</v>
      </c>
      <c r="G27" s="13">
        <v>114698000</v>
      </c>
      <c r="H27" s="13">
        <v>112931000</v>
      </c>
      <c r="I27" s="13">
        <v>109036000</v>
      </c>
      <c r="J27" s="13">
        <v>111308000</v>
      </c>
      <c r="K27" s="13">
        <v>123601000</v>
      </c>
    </row>
    <row r="28" spans="1:18" x14ac:dyDescent="0.25">
      <c r="A28" s="14" t="s">
        <v>165</v>
      </c>
      <c r="B28" s="64" t="s">
        <v>166</v>
      </c>
      <c r="C28" t="s">
        <v>17</v>
      </c>
      <c r="D28" t="s">
        <v>17</v>
      </c>
      <c r="E28" s="7">
        <v>28000</v>
      </c>
      <c r="F28" t="s">
        <v>17</v>
      </c>
      <c r="G28" s="7">
        <v>28000</v>
      </c>
      <c r="H28" s="7">
        <v>28000</v>
      </c>
      <c r="I28" s="7">
        <v>79000</v>
      </c>
      <c r="J28" s="7">
        <v>79000</v>
      </c>
      <c r="K28" s="7">
        <v>79000</v>
      </c>
    </row>
    <row r="29" spans="1:18" x14ac:dyDescent="0.25">
      <c r="A29" s="14" t="s">
        <v>167</v>
      </c>
      <c r="B29" s="64" t="s">
        <v>168</v>
      </c>
      <c r="C29" t="s">
        <v>17</v>
      </c>
      <c r="D29" t="s">
        <v>17</v>
      </c>
      <c r="E29" s="7">
        <v>285194000</v>
      </c>
      <c r="F29" t="s">
        <v>17</v>
      </c>
      <c r="G29" s="7">
        <v>299473000</v>
      </c>
      <c r="H29" s="7">
        <v>305993000</v>
      </c>
      <c r="I29" s="7">
        <v>303615000</v>
      </c>
      <c r="J29" s="7">
        <v>312771000</v>
      </c>
      <c r="K29" s="7">
        <v>319425000</v>
      </c>
    </row>
    <row r="30" spans="1:18" x14ac:dyDescent="0.25">
      <c r="A30" s="15" t="s">
        <v>169</v>
      </c>
      <c r="B30" s="64" t="s">
        <v>170</v>
      </c>
      <c r="C30" t="s">
        <v>17</v>
      </c>
      <c r="D30" t="s">
        <v>17</v>
      </c>
      <c r="E30" s="7">
        <v>538000</v>
      </c>
      <c r="F30" t="s">
        <v>17</v>
      </c>
      <c r="G30" s="7">
        <v>367000</v>
      </c>
      <c r="H30" s="7">
        <v>299000</v>
      </c>
      <c r="I30" s="7">
        <v>225000</v>
      </c>
      <c r="J30" s="7">
        <v>122000</v>
      </c>
      <c r="K30" s="7">
        <v>0</v>
      </c>
    </row>
    <row r="31" spans="1:18" x14ac:dyDescent="0.25">
      <c r="A31" s="10" t="s">
        <v>171</v>
      </c>
      <c r="B31" s="64" t="s">
        <v>172</v>
      </c>
      <c r="C31" s="128" t="s">
        <v>17</v>
      </c>
      <c r="D31" s="128" t="s">
        <v>17</v>
      </c>
      <c r="E31" s="13">
        <v>370078000</v>
      </c>
      <c r="F31" s="128" t="s">
        <v>17</v>
      </c>
      <c r="G31" s="13">
        <v>414566000</v>
      </c>
      <c r="H31" s="13">
        <v>419251000</v>
      </c>
      <c r="I31" s="13">
        <v>412955000</v>
      </c>
      <c r="J31" s="13">
        <v>424280000</v>
      </c>
      <c r="K31" s="13">
        <v>443105000</v>
      </c>
    </row>
    <row r="32" spans="1:18" x14ac:dyDescent="0.25">
      <c r="A32" s="10" t="s">
        <v>173</v>
      </c>
      <c r="B32" s="64" t="s">
        <v>174</v>
      </c>
      <c r="C32" t="s">
        <v>17</v>
      </c>
      <c r="D32" t="s">
        <v>17</v>
      </c>
      <c r="E32" s="7">
        <v>662308000</v>
      </c>
      <c r="F32" t="s">
        <v>17</v>
      </c>
      <c r="G32" s="7">
        <v>0</v>
      </c>
      <c r="H32" s="7">
        <v>0</v>
      </c>
      <c r="I32" s="7">
        <v>0</v>
      </c>
      <c r="J32" t="s">
        <v>17</v>
      </c>
      <c r="K32" t="s">
        <v>17</v>
      </c>
    </row>
    <row r="33" spans="1:11" x14ac:dyDescent="0.25">
      <c r="A33" s="9" t="s">
        <v>175</v>
      </c>
      <c r="B33" s="64" t="s">
        <v>176</v>
      </c>
      <c r="C33" t="s">
        <v>17</v>
      </c>
    </row>
    <row r="34" spans="1:11" x14ac:dyDescent="0.25">
      <c r="A34" s="10" t="s">
        <v>177</v>
      </c>
      <c r="B34" s="64" t="s">
        <v>178</v>
      </c>
      <c r="C34" t="s">
        <v>17</v>
      </c>
      <c r="D34" t="s">
        <v>17</v>
      </c>
      <c r="E34" s="7">
        <v>0</v>
      </c>
      <c r="F34" t="s">
        <v>17</v>
      </c>
      <c r="G34" s="7">
        <v>11000</v>
      </c>
      <c r="H34" s="7">
        <v>11000</v>
      </c>
      <c r="I34" s="7">
        <v>11000</v>
      </c>
      <c r="J34" s="7">
        <v>11000</v>
      </c>
      <c r="K34" s="7">
        <v>11000</v>
      </c>
    </row>
    <row r="35" spans="1:11" x14ac:dyDescent="0.25">
      <c r="A35" s="10" t="s">
        <v>179</v>
      </c>
      <c r="B35" s="64" t="s">
        <v>180</v>
      </c>
      <c r="C35" t="s">
        <v>17</v>
      </c>
      <c r="D35" t="s">
        <v>17</v>
      </c>
      <c r="E35" s="7">
        <v>-6619000</v>
      </c>
      <c r="F35" t="s">
        <v>17</v>
      </c>
      <c r="G35" s="7">
        <v>-8085000</v>
      </c>
      <c r="H35" s="7">
        <v>-8190000</v>
      </c>
      <c r="I35" s="7">
        <v>-9727000</v>
      </c>
      <c r="J35" s="7">
        <v>-17766000</v>
      </c>
      <c r="K35" s="7">
        <v>-27066000</v>
      </c>
    </row>
    <row r="36" spans="1:11" x14ac:dyDescent="0.25">
      <c r="A36" s="10" t="s">
        <v>181</v>
      </c>
      <c r="B36" s="64" t="s">
        <v>182</v>
      </c>
      <c r="C36" t="s">
        <v>17</v>
      </c>
      <c r="D36" t="s">
        <v>17</v>
      </c>
      <c r="E36" s="7">
        <v>19059000</v>
      </c>
      <c r="F36" t="s">
        <v>17</v>
      </c>
      <c r="G36" s="7">
        <v>1020428000</v>
      </c>
      <c r="H36" s="7">
        <v>1023614000</v>
      </c>
      <c r="I36" s="7">
        <v>1028181000</v>
      </c>
      <c r="J36" s="7">
        <v>1032235000</v>
      </c>
      <c r="K36" s="7">
        <v>1036421000</v>
      </c>
    </row>
    <row r="37" spans="1:11" x14ac:dyDescent="0.25">
      <c r="A37" s="12" t="s">
        <v>183</v>
      </c>
      <c r="B37" s="64" t="s">
        <v>184</v>
      </c>
      <c r="C37" t="s">
        <v>17</v>
      </c>
      <c r="D37" t="s">
        <v>17</v>
      </c>
      <c r="E37" s="7">
        <v>-460943000</v>
      </c>
      <c r="F37" t="s">
        <v>17</v>
      </c>
      <c r="G37" s="7">
        <v>-456545000</v>
      </c>
      <c r="H37" s="7">
        <v>-449712000</v>
      </c>
      <c r="I37" s="7">
        <v>-447663000</v>
      </c>
      <c r="J37" s="7">
        <v>-433670000</v>
      </c>
      <c r="K37" s="7">
        <v>-413929000</v>
      </c>
    </row>
    <row r="38" spans="1:11" x14ac:dyDescent="0.25">
      <c r="A38" s="129" t="s">
        <v>185</v>
      </c>
      <c r="B38" s="64" t="s">
        <v>186</v>
      </c>
      <c r="C38" s="13">
        <v>-419567000</v>
      </c>
      <c r="D38" s="13">
        <v>-430377000</v>
      </c>
      <c r="E38" s="13">
        <v>-448503000</v>
      </c>
      <c r="F38" s="13">
        <v>-451041000</v>
      </c>
      <c r="G38" s="13">
        <v>555809000</v>
      </c>
      <c r="H38" s="13">
        <v>565723000</v>
      </c>
      <c r="I38" s="13">
        <v>570802000</v>
      </c>
      <c r="J38" s="13">
        <v>580810000</v>
      </c>
      <c r="K38" s="13">
        <v>595437000</v>
      </c>
    </row>
    <row r="39" spans="1:11" x14ac:dyDescent="0.25">
      <c r="A39" s="14" t="s">
        <v>187</v>
      </c>
      <c r="B39" s="64" t="s">
        <v>188</v>
      </c>
      <c r="C39" s="128" t="s">
        <v>17</v>
      </c>
      <c r="D39" s="128" t="s">
        <v>17</v>
      </c>
      <c r="E39" s="13">
        <v>583883000</v>
      </c>
      <c r="F39" s="128" t="s">
        <v>17</v>
      </c>
      <c r="G39" s="13">
        <v>970375000</v>
      </c>
      <c r="H39" s="13">
        <v>984974000</v>
      </c>
      <c r="I39" s="13">
        <v>983757000</v>
      </c>
      <c r="J39" s="13">
        <v>1005090000</v>
      </c>
      <c r="K39" s="13">
        <v>1038542000</v>
      </c>
    </row>
    <row r="41" spans="1:11" x14ac:dyDescent="0.25">
      <c r="F41" t="s">
        <v>366</v>
      </c>
      <c r="G41" s="7">
        <f>G11+G12+G13+G14</f>
        <v>21769000</v>
      </c>
      <c r="H41" s="7">
        <f t="shared" ref="H41:K41" si="6">H11+H12+H13+H14</f>
        <v>23250000</v>
      </c>
      <c r="I41" s="7">
        <f t="shared" si="6"/>
        <v>22484000</v>
      </c>
      <c r="J41" s="7">
        <f t="shared" si="6"/>
        <v>22897000</v>
      </c>
      <c r="K41" s="7">
        <f t="shared" si="6"/>
        <v>26018000</v>
      </c>
    </row>
    <row r="42" spans="1:11" x14ac:dyDescent="0.25">
      <c r="F42" t="s">
        <v>367</v>
      </c>
      <c r="G42" s="7">
        <f>G24+G25+G26</f>
        <v>114698000</v>
      </c>
      <c r="H42" s="7">
        <f t="shared" ref="H42:K42" si="7">H24+H25+H26</f>
        <v>112931000</v>
      </c>
      <c r="I42" s="7">
        <f t="shared" si="7"/>
        <v>109036000</v>
      </c>
      <c r="J42" s="7">
        <f t="shared" si="7"/>
        <v>111308000</v>
      </c>
      <c r="K42" s="7">
        <f t="shared" si="7"/>
        <v>123601000</v>
      </c>
    </row>
    <row r="43" spans="1:11" x14ac:dyDescent="0.25">
      <c r="F43" t="s">
        <v>368</v>
      </c>
      <c r="G43" s="7">
        <f>G41-G42</f>
        <v>-92929000</v>
      </c>
      <c r="H43" s="7">
        <f t="shared" ref="H43:K43" si="8">H41-H42</f>
        <v>-89681000</v>
      </c>
      <c r="I43" s="7">
        <f t="shared" si="8"/>
        <v>-86552000</v>
      </c>
      <c r="J43" s="7">
        <f t="shared" si="8"/>
        <v>-88411000</v>
      </c>
      <c r="K43" s="7">
        <f t="shared" si="8"/>
        <v>-97583000</v>
      </c>
    </row>
  </sheetData>
  <hyperlinks>
    <hyperlink ref="G7" r:id="rId1" display="https://www.sec.gov/Archives/edgar/data/1639438/000162828023029592/0001628280-23-029592-index.htm" xr:uid="{E87CD1CE-BFB8-4C17-A220-C363206B24BA}"/>
    <hyperlink ref="H7" r:id="rId2" display="https://www.sec.gov/Archives/edgar/data/1639438/000162828023037474/0001628280-23-037474-index.htm" xr:uid="{49C15571-1F51-4C4F-A4E6-EAD928647BD9}"/>
    <hyperlink ref="I7" r:id="rId3" display="https://www.sec.gov/Archives/edgar/data/1639438/000162828024007277/0001628280-24-007277-index.htm" xr:uid="{B6F26368-09E8-4DED-9C2D-3C7DD25FCB6A}"/>
    <hyperlink ref="J7" r:id="rId4" display="https://www.sec.gov/Archives/edgar/data/1639438/000162828024025487/0001628280-24-025487-index.htm" xr:uid="{7722C77B-F842-4A17-8747-E236DC940B91}"/>
    <hyperlink ref="K7" r:id="rId5" display="https://www.sec.gov/Archives/edgar/data/1639438/000162828024038276/0001628280-24-038276-index.htm" xr:uid="{63405F1B-52CE-4019-AC21-98C9CCA69F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ACB5-2FD8-48DD-9257-5EE8B6398D77}">
  <dimension ref="A1:O106"/>
  <sheetViews>
    <sheetView workbookViewId="0">
      <pane xSplit="2" ySplit="7" topLeftCell="C35" activePane="bottomRight" state="frozenSplit"/>
      <selection pane="topRight" activeCell="C1" sqref="C1"/>
      <selection pane="bottomLeft" activeCell="A8" sqref="A8"/>
      <selection pane="bottomRight" activeCell="C80" sqref="C80:H80"/>
    </sheetView>
  </sheetViews>
  <sheetFormatPr defaultRowHeight="13.15" x14ac:dyDescent="0.25"/>
  <cols>
    <col min="1" max="1" width="100.77734375" customWidth="1"/>
    <col min="2" max="3" width="43.33203125" customWidth="1"/>
    <col min="4" max="4" width="12.44140625" bestFit="1" customWidth="1"/>
    <col min="5" max="5" width="13.109375" bestFit="1" customWidth="1"/>
    <col min="6" max="6" width="12" bestFit="1" customWidth="1"/>
    <col min="7" max="8" width="12.44140625" bestFit="1" customWidth="1"/>
    <col min="9" max="9" width="12.44140625" customWidth="1"/>
    <col min="10" max="10" width="13.109375" bestFit="1" customWidth="1"/>
    <col min="11" max="11" width="13.109375" customWidth="1"/>
    <col min="12" max="12" width="13.109375" bestFit="1" customWidth="1"/>
    <col min="13" max="13" width="12.44140625" bestFit="1" customWidth="1"/>
    <col min="14" max="14" width="12.44140625" customWidth="1"/>
    <col min="15" max="15" width="12.44140625" bestFit="1" customWidth="1"/>
  </cols>
  <sheetData>
    <row r="1" spans="1:15" x14ac:dyDescent="0.25">
      <c r="A1" t="s">
        <v>275</v>
      </c>
      <c r="B1" t="s">
        <v>65</v>
      </c>
    </row>
    <row r="2" spans="1:15" x14ac:dyDescent="0.25">
      <c r="A2" t="s">
        <v>0</v>
      </c>
    </row>
    <row r="3" spans="1:15" x14ac:dyDescent="0.25">
      <c r="A3" t="s">
        <v>189</v>
      </c>
      <c r="B3" s="63" t="s">
        <v>66</v>
      </c>
    </row>
    <row r="4" spans="1:15" x14ac:dyDescent="0.25">
      <c r="A4" s="1" t="s">
        <v>2</v>
      </c>
      <c r="C4" s="2" t="s">
        <v>194</v>
      </c>
      <c r="D4" s="2" t="s">
        <v>193</v>
      </c>
      <c r="E4" s="2" t="s">
        <v>125</v>
      </c>
      <c r="F4" s="134" t="s">
        <v>11</v>
      </c>
      <c r="G4" s="134"/>
      <c r="H4" s="2" t="s">
        <v>192</v>
      </c>
      <c r="I4" s="134"/>
      <c r="J4" s="2" t="s">
        <v>191</v>
      </c>
      <c r="K4" s="134"/>
      <c r="L4" s="2" t="s">
        <v>124</v>
      </c>
      <c r="M4" s="134" t="s">
        <v>5</v>
      </c>
      <c r="N4" s="134"/>
      <c r="O4" s="2" t="s">
        <v>190</v>
      </c>
    </row>
    <row r="5" spans="1:15" x14ac:dyDescent="0.25">
      <c r="A5" s="1" t="s">
        <v>3</v>
      </c>
      <c r="C5" s="3">
        <v>44557</v>
      </c>
      <c r="D5" s="3">
        <v>44557</v>
      </c>
      <c r="E5" s="3">
        <v>44557</v>
      </c>
      <c r="F5" s="135">
        <v>44921</v>
      </c>
      <c r="G5" s="135">
        <v>45032</v>
      </c>
      <c r="H5" s="3">
        <v>44921</v>
      </c>
      <c r="I5" s="135">
        <v>45116</v>
      </c>
      <c r="J5" s="3">
        <v>44921</v>
      </c>
      <c r="K5" s="135">
        <v>45200</v>
      </c>
      <c r="L5" s="3">
        <v>44921</v>
      </c>
      <c r="M5" s="135">
        <v>45292</v>
      </c>
      <c r="N5" s="135">
        <v>45403</v>
      </c>
      <c r="O5" s="3">
        <v>45292</v>
      </c>
    </row>
    <row r="6" spans="1:15" x14ac:dyDescent="0.25">
      <c r="A6" s="1" t="s">
        <v>4</v>
      </c>
      <c r="C6" s="3">
        <v>44752</v>
      </c>
      <c r="D6" s="3">
        <v>44836</v>
      </c>
      <c r="E6" s="3">
        <v>44920</v>
      </c>
      <c r="F6" s="135">
        <v>45032</v>
      </c>
      <c r="G6" s="135">
        <v>45116</v>
      </c>
      <c r="H6" s="3">
        <v>45116</v>
      </c>
      <c r="I6" s="135">
        <v>45200</v>
      </c>
      <c r="J6" s="3">
        <v>45200</v>
      </c>
      <c r="K6" s="135">
        <v>45291</v>
      </c>
      <c r="L6" s="3">
        <v>45291</v>
      </c>
      <c r="M6" s="135">
        <v>45403</v>
      </c>
      <c r="N6" s="135">
        <v>45487</v>
      </c>
      <c r="O6" s="3">
        <v>45487</v>
      </c>
    </row>
    <row r="7" spans="1:15" x14ac:dyDescent="0.25">
      <c r="H7" s="4" t="s">
        <v>6</v>
      </c>
      <c r="I7" s="4"/>
      <c r="J7" s="4" t="s">
        <v>6</v>
      </c>
      <c r="K7" s="4"/>
      <c r="L7" s="4" t="s">
        <v>8</v>
      </c>
      <c r="M7" s="4" t="s">
        <v>6</v>
      </c>
      <c r="N7" s="4"/>
      <c r="O7" s="4" t="s">
        <v>6</v>
      </c>
    </row>
    <row r="8" spans="1:15" x14ac:dyDescent="0.25">
      <c r="A8" s="8" t="s">
        <v>195</v>
      </c>
      <c r="B8" s="64" t="s">
        <v>196</v>
      </c>
      <c r="C8" t="s">
        <v>17</v>
      </c>
    </row>
    <row r="9" spans="1:15" x14ac:dyDescent="0.25">
      <c r="A9" s="14" t="s">
        <v>90</v>
      </c>
      <c r="B9" s="64" t="s">
        <v>91</v>
      </c>
      <c r="C9" s="7">
        <v>-28248000</v>
      </c>
      <c r="D9" s="7">
        <v>-40141000</v>
      </c>
      <c r="E9" s="7">
        <v>-58987000</v>
      </c>
      <c r="F9" s="133">
        <v>-2141000</v>
      </c>
      <c r="G9" s="133">
        <f>H9-F9</f>
        <v>6539000</v>
      </c>
      <c r="H9" s="7">
        <v>4398000</v>
      </c>
      <c r="I9" s="133">
        <f>J9-H9</f>
        <v>6833000</v>
      </c>
      <c r="J9" s="7">
        <v>11231000</v>
      </c>
      <c r="K9" s="133">
        <f>L9-J9</f>
        <v>2049000</v>
      </c>
      <c r="L9" s="7">
        <v>13280000</v>
      </c>
      <c r="M9" s="133">
        <v>13993000</v>
      </c>
      <c r="N9" s="133">
        <f>O9-M9</f>
        <v>19741000</v>
      </c>
      <c r="O9" s="7">
        <v>33734000</v>
      </c>
    </row>
    <row r="10" spans="1:15" x14ac:dyDescent="0.25">
      <c r="A10" s="9" t="s">
        <v>197</v>
      </c>
      <c r="B10" s="64" t="s">
        <v>198</v>
      </c>
      <c r="C10" t="s">
        <v>17</v>
      </c>
      <c r="G10" s="7"/>
      <c r="I10" s="7">
        <f t="shared" ref="I10:I53" si="0">J10-H10</f>
        <v>0</v>
      </c>
      <c r="K10" s="7">
        <f t="shared" ref="K10:K53" si="1">L10-J10</f>
        <v>0</v>
      </c>
      <c r="N10" s="7">
        <f t="shared" ref="N10:N52" si="2">O10-M10</f>
        <v>0</v>
      </c>
    </row>
    <row r="11" spans="1:15" x14ac:dyDescent="0.25">
      <c r="A11" s="10" t="s">
        <v>199</v>
      </c>
      <c r="B11" s="64" t="s">
        <v>199</v>
      </c>
      <c r="C11" s="7">
        <v>18385000</v>
      </c>
      <c r="D11" s="7">
        <v>26954000</v>
      </c>
      <c r="E11" s="7">
        <v>37086000</v>
      </c>
      <c r="F11" s="7">
        <v>12832000</v>
      </c>
      <c r="G11" s="7">
        <f t="shared" ref="G11:G52" si="3">H11-F11</f>
        <v>10709000</v>
      </c>
      <c r="H11" s="7">
        <v>23541000</v>
      </c>
      <c r="I11" s="7">
        <f t="shared" si="0"/>
        <v>11528000</v>
      </c>
      <c r="J11" s="7">
        <v>35069000</v>
      </c>
      <c r="K11" s="7">
        <f t="shared" si="1"/>
        <v>12337000</v>
      </c>
      <c r="L11" s="7">
        <v>47406000</v>
      </c>
      <c r="M11" s="7">
        <v>17322000</v>
      </c>
      <c r="N11" s="7">
        <f t="shared" si="2"/>
        <v>13733000</v>
      </c>
      <c r="O11" s="7">
        <v>31055000</v>
      </c>
    </row>
    <row r="12" spans="1:15" x14ac:dyDescent="0.25">
      <c r="A12" s="10" t="s">
        <v>200</v>
      </c>
      <c r="B12" s="64" t="s">
        <v>201</v>
      </c>
      <c r="C12" s="7">
        <v>3380000</v>
      </c>
      <c r="D12" s="7">
        <v>4829000</v>
      </c>
      <c r="E12" s="7">
        <v>5638000</v>
      </c>
      <c r="F12" s="7">
        <v>27000</v>
      </c>
      <c r="G12" s="7">
        <f t="shared" si="3"/>
        <v>0</v>
      </c>
      <c r="H12" s="7">
        <v>27000</v>
      </c>
      <c r="I12" s="7">
        <f t="shared" si="0"/>
        <v>0</v>
      </c>
      <c r="J12" s="7">
        <v>27000</v>
      </c>
      <c r="K12" s="7">
        <f t="shared" si="1"/>
        <v>0</v>
      </c>
      <c r="L12" s="7">
        <v>27000</v>
      </c>
      <c r="M12" s="7">
        <v>0</v>
      </c>
      <c r="N12" s="7">
        <f t="shared" si="2"/>
        <v>0</v>
      </c>
      <c r="O12" s="7">
        <v>0</v>
      </c>
    </row>
    <row r="13" spans="1:15" x14ac:dyDescent="0.25">
      <c r="A13" s="10" t="s">
        <v>202</v>
      </c>
      <c r="B13" s="64" t="s">
        <v>203</v>
      </c>
      <c r="C13" s="7">
        <v>1740000</v>
      </c>
      <c r="D13" s="7">
        <v>2838000</v>
      </c>
      <c r="E13" s="7">
        <v>3803000</v>
      </c>
      <c r="F13" s="7">
        <v>928000</v>
      </c>
      <c r="G13" s="7">
        <f t="shared" si="3"/>
        <v>1743000</v>
      </c>
      <c r="H13" s="7">
        <v>2671000</v>
      </c>
      <c r="I13" s="7">
        <f t="shared" si="0"/>
        <v>3183000</v>
      </c>
      <c r="J13" s="7">
        <v>5854000</v>
      </c>
      <c r="K13" s="7">
        <f t="shared" si="1"/>
        <v>3506000</v>
      </c>
      <c r="L13" s="7">
        <v>9360000</v>
      </c>
      <c r="M13" s="7">
        <v>3995000</v>
      </c>
      <c r="N13" s="7">
        <f t="shared" si="2"/>
        <v>2954000</v>
      </c>
      <c r="O13" s="7">
        <v>6949000</v>
      </c>
    </row>
    <row r="14" spans="1:15" x14ac:dyDescent="0.25">
      <c r="A14" s="10" t="s">
        <v>28</v>
      </c>
      <c r="B14" s="64" t="s">
        <v>79</v>
      </c>
      <c r="C14" s="7">
        <v>6010000</v>
      </c>
      <c r="D14" s="7">
        <v>9848000</v>
      </c>
      <c r="E14" s="7">
        <v>19753000</v>
      </c>
      <c r="F14" s="7">
        <v>2719000</v>
      </c>
      <c r="G14" s="7">
        <f t="shared" si="3"/>
        <v>386000</v>
      </c>
      <c r="H14" s="7">
        <v>3105000</v>
      </c>
      <c r="I14" s="7">
        <f t="shared" si="0"/>
        <v>1190000</v>
      </c>
      <c r="J14" s="7">
        <v>4295000</v>
      </c>
      <c r="K14" s="7">
        <f t="shared" si="1"/>
        <v>604000</v>
      </c>
      <c r="L14" s="7">
        <v>4899000</v>
      </c>
      <c r="M14" s="7">
        <v>1290000</v>
      </c>
      <c r="N14" s="7">
        <f t="shared" si="2"/>
        <v>830000</v>
      </c>
      <c r="O14" s="7">
        <v>2120000</v>
      </c>
    </row>
    <row r="15" spans="1:15" x14ac:dyDescent="0.25">
      <c r="A15" s="10" t="s">
        <v>204</v>
      </c>
      <c r="B15" s="64" t="s">
        <v>205</v>
      </c>
      <c r="C15" t="s">
        <v>17</v>
      </c>
      <c r="D15" t="s">
        <v>17</v>
      </c>
      <c r="E15" s="7">
        <v>0</v>
      </c>
      <c r="F15" t="s">
        <v>17</v>
      </c>
      <c r="G15" s="7"/>
      <c r="H15" t="s">
        <v>17</v>
      </c>
      <c r="I15" s="7"/>
      <c r="J15" t="s">
        <v>17</v>
      </c>
      <c r="K15" s="7"/>
      <c r="L15" s="7">
        <v>0</v>
      </c>
      <c r="M15" t="s">
        <v>17</v>
      </c>
      <c r="N15" s="7"/>
      <c r="O15" t="s">
        <v>17</v>
      </c>
    </row>
    <row r="16" spans="1:15" x14ac:dyDescent="0.25">
      <c r="A16" s="9" t="s">
        <v>206</v>
      </c>
      <c r="B16" s="64" t="s">
        <v>207</v>
      </c>
      <c r="C16" t="s">
        <v>17</v>
      </c>
      <c r="G16" s="7">
        <f t="shared" si="3"/>
        <v>0</v>
      </c>
      <c r="I16" s="7">
        <f t="shared" si="0"/>
        <v>0</v>
      </c>
      <c r="K16" s="7">
        <f t="shared" si="1"/>
        <v>0</v>
      </c>
      <c r="N16" s="7">
        <f t="shared" si="2"/>
        <v>0</v>
      </c>
    </row>
    <row r="17" spans="1:15" x14ac:dyDescent="0.25">
      <c r="A17" s="10" t="s">
        <v>208</v>
      </c>
      <c r="B17" s="64" t="s">
        <v>209</v>
      </c>
      <c r="C17" s="7">
        <v>-560000</v>
      </c>
      <c r="D17" s="7">
        <v>-826000</v>
      </c>
      <c r="E17" s="7">
        <v>-50000</v>
      </c>
      <c r="F17" s="7">
        <v>-1815000</v>
      </c>
      <c r="G17" s="7">
        <f t="shared" si="3"/>
        <v>316000</v>
      </c>
      <c r="H17" s="7">
        <v>-1499000</v>
      </c>
      <c r="I17" s="7">
        <f t="shared" si="0"/>
        <v>-866000</v>
      </c>
      <c r="J17" s="7">
        <v>-2365000</v>
      </c>
      <c r="K17" s="7">
        <f t="shared" si="1"/>
        <v>1530000</v>
      </c>
      <c r="L17" s="7">
        <v>-835000</v>
      </c>
      <c r="M17" s="7">
        <v>-1849000</v>
      </c>
      <c r="N17" s="7">
        <f t="shared" si="2"/>
        <v>-416000</v>
      </c>
      <c r="O17" s="7">
        <v>-2265000</v>
      </c>
    </row>
    <row r="18" spans="1:15" x14ac:dyDescent="0.25">
      <c r="A18" s="10" t="s">
        <v>134</v>
      </c>
      <c r="B18" s="64" t="s">
        <v>210</v>
      </c>
      <c r="C18" s="7">
        <v>-1852000</v>
      </c>
      <c r="D18" s="7">
        <v>-1620000</v>
      </c>
      <c r="E18" s="7">
        <v>-1626000</v>
      </c>
      <c r="F18" s="7">
        <v>-1965000</v>
      </c>
      <c r="G18" s="7">
        <f t="shared" si="3"/>
        <v>-679000</v>
      </c>
      <c r="H18" s="7">
        <v>-2644000</v>
      </c>
      <c r="I18" s="7">
        <f t="shared" si="0"/>
        <v>53000</v>
      </c>
      <c r="J18" s="7">
        <v>-2591000</v>
      </c>
      <c r="K18" s="7">
        <f t="shared" si="1"/>
        <v>-724000</v>
      </c>
      <c r="L18" s="7">
        <v>-3315000</v>
      </c>
      <c r="M18" s="7">
        <v>2002000</v>
      </c>
      <c r="N18" s="7">
        <f t="shared" si="2"/>
        <v>-1741000</v>
      </c>
      <c r="O18" s="7">
        <v>261000</v>
      </c>
    </row>
    <row r="19" spans="1:15" x14ac:dyDescent="0.25">
      <c r="A19" s="10" t="s">
        <v>136</v>
      </c>
      <c r="B19" s="64" t="s">
        <v>211</v>
      </c>
      <c r="C19" s="7">
        <v>-353000</v>
      </c>
      <c r="D19" s="7">
        <v>-879000</v>
      </c>
      <c r="E19" s="7">
        <v>-1496000</v>
      </c>
      <c r="F19" s="7">
        <v>799000</v>
      </c>
      <c r="G19" s="7">
        <f t="shared" si="3"/>
        <v>-1016000</v>
      </c>
      <c r="H19" s="7">
        <v>-217000</v>
      </c>
      <c r="I19" s="7">
        <f t="shared" si="0"/>
        <v>-369000</v>
      </c>
      <c r="J19" s="7">
        <v>-586000</v>
      </c>
      <c r="K19" s="7">
        <f t="shared" si="1"/>
        <v>88000</v>
      </c>
      <c r="L19" s="7">
        <v>-498000</v>
      </c>
      <c r="M19" s="7">
        <v>-667000</v>
      </c>
      <c r="N19" s="7">
        <f t="shared" si="2"/>
        <v>-891000</v>
      </c>
      <c r="O19" s="7">
        <v>-1558000</v>
      </c>
    </row>
    <row r="20" spans="1:15" x14ac:dyDescent="0.25">
      <c r="A20" s="10" t="s">
        <v>138</v>
      </c>
      <c r="B20" s="64" t="s">
        <v>212</v>
      </c>
      <c r="C20" s="7">
        <v>-232000</v>
      </c>
      <c r="D20" s="7">
        <v>-82000</v>
      </c>
      <c r="E20" s="7">
        <v>-318000</v>
      </c>
      <c r="F20" s="7">
        <v>1020000</v>
      </c>
      <c r="G20" s="7">
        <f t="shared" si="3"/>
        <v>351000</v>
      </c>
      <c r="H20" s="7">
        <v>1371000</v>
      </c>
      <c r="I20" s="7">
        <f t="shared" si="0"/>
        <v>-728000</v>
      </c>
      <c r="J20" s="7">
        <v>643000</v>
      </c>
      <c r="K20" s="7">
        <f t="shared" si="1"/>
        <v>-583000</v>
      </c>
      <c r="L20" s="7">
        <v>60000</v>
      </c>
      <c r="M20" s="7">
        <v>182000</v>
      </c>
      <c r="N20" s="7">
        <f t="shared" si="2"/>
        <v>-325000</v>
      </c>
      <c r="O20" s="7">
        <v>-143000</v>
      </c>
    </row>
    <row r="21" spans="1:15" x14ac:dyDescent="0.25">
      <c r="A21" s="10" t="s">
        <v>144</v>
      </c>
      <c r="B21" s="64" t="s">
        <v>213</v>
      </c>
      <c r="C21" s="7">
        <v>-31815000</v>
      </c>
      <c r="D21" s="7">
        <v>-32677000</v>
      </c>
      <c r="E21" s="7">
        <v>-34187000</v>
      </c>
      <c r="F21" s="7">
        <v>-5036000</v>
      </c>
      <c r="G21" s="7">
        <f t="shared" si="3"/>
        <v>-12999000</v>
      </c>
      <c r="H21" s="7">
        <v>-18035000</v>
      </c>
      <c r="I21" s="7">
        <f t="shared" si="0"/>
        <v>-8142000</v>
      </c>
      <c r="J21" s="7">
        <v>-26177000</v>
      </c>
      <c r="K21" s="7">
        <f t="shared" si="1"/>
        <v>5656000</v>
      </c>
      <c r="L21" s="7">
        <v>-20521000</v>
      </c>
      <c r="M21" s="7">
        <v>-9446000</v>
      </c>
      <c r="N21" s="7">
        <f t="shared" si="2"/>
        <v>-6142000</v>
      </c>
      <c r="O21" s="7">
        <v>-15588000</v>
      </c>
    </row>
    <row r="22" spans="1:15" x14ac:dyDescent="0.25">
      <c r="A22" s="10" t="s">
        <v>157</v>
      </c>
      <c r="B22" s="64" t="s">
        <v>214</v>
      </c>
      <c r="C22" s="7">
        <v>-2244000</v>
      </c>
      <c r="D22" s="7">
        <v>-917000</v>
      </c>
      <c r="E22" s="7">
        <v>336000</v>
      </c>
      <c r="F22" s="7">
        <v>2234000</v>
      </c>
      <c r="G22" s="7">
        <f t="shared" si="3"/>
        <v>-2515000</v>
      </c>
      <c r="H22" s="7">
        <v>-281000</v>
      </c>
      <c r="I22" s="7">
        <f t="shared" si="0"/>
        <v>1882000</v>
      </c>
      <c r="J22" s="7">
        <v>1601000</v>
      </c>
      <c r="K22" s="7">
        <f t="shared" si="1"/>
        <v>948000</v>
      </c>
      <c r="L22" s="7">
        <v>2549000</v>
      </c>
      <c r="M22" s="7">
        <v>2199000</v>
      </c>
      <c r="N22" s="7">
        <f t="shared" si="2"/>
        <v>1565000</v>
      </c>
      <c r="O22" s="7">
        <v>3764000</v>
      </c>
    </row>
    <row r="23" spans="1:15" x14ac:dyDescent="0.25">
      <c r="A23" s="10" t="s">
        <v>159</v>
      </c>
      <c r="B23" s="64" t="s">
        <v>215</v>
      </c>
      <c r="C23" s="7">
        <v>-276000</v>
      </c>
      <c r="D23" s="7">
        <v>1735000</v>
      </c>
      <c r="E23" s="7">
        <v>-2901000</v>
      </c>
      <c r="F23" s="7">
        <v>10058000</v>
      </c>
      <c r="G23" s="7">
        <f t="shared" si="3"/>
        <v>3886000</v>
      </c>
      <c r="H23" s="7">
        <v>13944000</v>
      </c>
      <c r="I23" s="7">
        <f t="shared" si="0"/>
        <v>2493000</v>
      </c>
      <c r="J23" s="7">
        <v>16437000</v>
      </c>
      <c r="K23" s="7">
        <f t="shared" si="1"/>
        <v>2736000</v>
      </c>
      <c r="L23" s="7">
        <v>19173000</v>
      </c>
      <c r="M23" s="7">
        <v>-5086000</v>
      </c>
      <c r="N23" s="7">
        <f t="shared" si="2"/>
        <v>11108000</v>
      </c>
      <c r="O23" s="7">
        <v>6022000</v>
      </c>
    </row>
    <row r="24" spans="1:15" x14ac:dyDescent="0.25">
      <c r="A24" s="12" t="s">
        <v>167</v>
      </c>
      <c r="B24" s="64" t="s">
        <v>216</v>
      </c>
      <c r="C24" s="7">
        <v>34633000</v>
      </c>
      <c r="D24" s="7">
        <v>36167000</v>
      </c>
      <c r="E24" s="7">
        <v>38987000</v>
      </c>
      <c r="F24" s="7">
        <v>6019000</v>
      </c>
      <c r="G24" s="7">
        <f t="shared" si="3"/>
        <v>14710000</v>
      </c>
      <c r="H24" s="7">
        <v>20729000</v>
      </c>
      <c r="I24" s="7">
        <f t="shared" si="0"/>
        <v>8921000</v>
      </c>
      <c r="J24" s="7">
        <v>29650000</v>
      </c>
      <c r="K24" s="7">
        <f t="shared" si="1"/>
        <v>-4134000</v>
      </c>
      <c r="L24" s="7">
        <v>25516000</v>
      </c>
      <c r="M24" s="7">
        <v>14451000</v>
      </c>
      <c r="N24" s="7">
        <f t="shared" si="2"/>
        <v>8493000</v>
      </c>
      <c r="O24" s="7">
        <v>22944000</v>
      </c>
    </row>
    <row r="25" spans="1:15" x14ac:dyDescent="0.25">
      <c r="A25" s="11" t="s">
        <v>217</v>
      </c>
      <c r="B25" s="64" t="s">
        <v>218</v>
      </c>
      <c r="C25" s="13">
        <v>-1432000</v>
      </c>
      <c r="D25" s="13">
        <v>5229000</v>
      </c>
      <c r="E25" s="13">
        <v>6038000</v>
      </c>
      <c r="F25" s="13">
        <v>25679000</v>
      </c>
      <c r="G25" s="7">
        <f t="shared" si="3"/>
        <v>21431000</v>
      </c>
      <c r="H25" s="13">
        <v>47110000</v>
      </c>
      <c r="I25" s="7">
        <f t="shared" si="0"/>
        <v>25978000</v>
      </c>
      <c r="J25" s="13">
        <v>73088000</v>
      </c>
      <c r="K25" s="7">
        <f t="shared" si="1"/>
        <v>24013000</v>
      </c>
      <c r="L25" s="13">
        <v>97101000</v>
      </c>
      <c r="M25" s="13">
        <v>38386000</v>
      </c>
      <c r="N25" s="7">
        <f t="shared" si="2"/>
        <v>48909000</v>
      </c>
      <c r="O25" s="13">
        <v>87295000</v>
      </c>
    </row>
    <row r="26" spans="1:15" x14ac:dyDescent="0.25">
      <c r="A26" s="8" t="s">
        <v>219</v>
      </c>
      <c r="B26" s="64" t="s">
        <v>220</v>
      </c>
      <c r="C26" t="s">
        <v>17</v>
      </c>
      <c r="G26" s="7"/>
      <c r="I26" s="7"/>
      <c r="K26" s="7">
        <f t="shared" si="1"/>
        <v>0</v>
      </c>
      <c r="N26" s="7">
        <f t="shared" si="2"/>
        <v>0</v>
      </c>
    </row>
    <row r="27" spans="1:15" x14ac:dyDescent="0.25">
      <c r="A27" s="15" t="s">
        <v>221</v>
      </c>
      <c r="B27" s="64" t="s">
        <v>222</v>
      </c>
      <c r="C27" s="7">
        <v>-45612000</v>
      </c>
      <c r="D27" s="7">
        <v>-71736000</v>
      </c>
      <c r="E27" s="7">
        <v>-104161000</v>
      </c>
      <c r="F27" s="7">
        <v>-39097000</v>
      </c>
      <c r="G27" s="7">
        <f t="shared" si="3"/>
        <v>-33381000</v>
      </c>
      <c r="H27" s="7">
        <v>-72478000</v>
      </c>
      <c r="I27" s="7">
        <f t="shared" si="0"/>
        <v>-35086000</v>
      </c>
      <c r="J27" s="7">
        <v>-107564000</v>
      </c>
      <c r="K27" s="7">
        <f t="shared" si="1"/>
        <v>-31242000</v>
      </c>
      <c r="L27" s="7">
        <v>-138806000</v>
      </c>
      <c r="M27" s="7">
        <v>-33687000</v>
      </c>
      <c r="N27" s="7">
        <f t="shared" si="2"/>
        <v>-26195000</v>
      </c>
      <c r="O27" s="7">
        <v>-59882000</v>
      </c>
    </row>
    <row r="28" spans="1:15" x14ac:dyDescent="0.25">
      <c r="A28" s="10" t="s">
        <v>223</v>
      </c>
      <c r="B28" s="64" t="s">
        <v>224</v>
      </c>
      <c r="C28" s="13">
        <v>-45612000</v>
      </c>
      <c r="D28" s="13">
        <v>-71736000</v>
      </c>
      <c r="E28" s="13">
        <v>-104161000</v>
      </c>
      <c r="F28" s="13">
        <v>-39097000</v>
      </c>
      <c r="G28" s="7">
        <f t="shared" si="3"/>
        <v>-33381000</v>
      </c>
      <c r="H28" s="13">
        <v>-72478000</v>
      </c>
      <c r="I28" s="7">
        <f t="shared" si="0"/>
        <v>-35086000</v>
      </c>
      <c r="J28" s="13">
        <v>-107564000</v>
      </c>
      <c r="K28" s="7">
        <f t="shared" si="1"/>
        <v>-31242000</v>
      </c>
      <c r="L28" s="13">
        <v>-138806000</v>
      </c>
      <c r="M28" s="13">
        <v>-33687000</v>
      </c>
      <c r="N28" s="7">
        <f t="shared" si="2"/>
        <v>-26195000</v>
      </c>
      <c r="O28" s="13">
        <v>-59882000</v>
      </c>
    </row>
    <row r="29" spans="1:15" x14ac:dyDescent="0.25">
      <c r="A29" s="8" t="s">
        <v>225</v>
      </c>
      <c r="B29" s="64" t="s">
        <v>226</v>
      </c>
      <c r="C29" t="s">
        <v>17</v>
      </c>
      <c r="G29" s="7"/>
      <c r="I29" s="7">
        <f t="shared" si="0"/>
        <v>0</v>
      </c>
      <c r="K29" s="7">
        <f t="shared" si="1"/>
        <v>0</v>
      </c>
      <c r="N29" s="7">
        <f t="shared" si="2"/>
        <v>0</v>
      </c>
    </row>
    <row r="30" spans="1:15" x14ac:dyDescent="0.25">
      <c r="A30" s="14" t="s">
        <v>227</v>
      </c>
      <c r="B30" s="64" t="s">
        <v>228</v>
      </c>
      <c r="C30" t="s">
        <v>17</v>
      </c>
      <c r="D30" t="s">
        <v>17</v>
      </c>
      <c r="E30" s="7">
        <v>0</v>
      </c>
      <c r="F30" t="s">
        <v>17</v>
      </c>
      <c r="G30" s="7"/>
      <c r="H30" t="s">
        <v>17</v>
      </c>
      <c r="I30" s="7"/>
      <c r="J30" t="s">
        <v>17</v>
      </c>
      <c r="K30" s="7"/>
      <c r="L30" s="7">
        <v>0</v>
      </c>
      <c r="M30" t="s">
        <v>17</v>
      </c>
      <c r="N30" s="7"/>
      <c r="O30" t="s">
        <v>17</v>
      </c>
    </row>
    <row r="31" spans="1:15" x14ac:dyDescent="0.25">
      <c r="A31" s="14" t="s">
        <v>229</v>
      </c>
      <c r="B31" s="64" t="s">
        <v>230</v>
      </c>
      <c r="C31" s="7">
        <v>0</v>
      </c>
      <c r="D31" s="7">
        <v>0</v>
      </c>
      <c r="E31" s="7">
        <v>0</v>
      </c>
      <c r="F31" t="s">
        <v>17</v>
      </c>
      <c r="G31" s="7"/>
      <c r="H31" s="7">
        <v>6000000</v>
      </c>
      <c r="I31" s="7">
        <f t="shared" si="0"/>
        <v>0</v>
      </c>
      <c r="J31" s="7">
        <v>6000000</v>
      </c>
      <c r="K31" s="7">
        <f t="shared" si="1"/>
        <v>0</v>
      </c>
      <c r="L31" s="7">
        <v>6000000</v>
      </c>
      <c r="M31" t="s">
        <v>17</v>
      </c>
      <c r="N31" s="7"/>
      <c r="O31" s="7">
        <v>0</v>
      </c>
    </row>
    <row r="32" spans="1:15" x14ac:dyDescent="0.25">
      <c r="A32" s="14" t="s">
        <v>231</v>
      </c>
      <c r="B32" s="64" t="s">
        <v>232</v>
      </c>
      <c r="C32" s="7">
        <v>0</v>
      </c>
      <c r="D32" s="7">
        <v>0</v>
      </c>
      <c r="E32" s="7">
        <v>0</v>
      </c>
      <c r="F32" t="s">
        <v>17</v>
      </c>
      <c r="G32" s="7"/>
      <c r="H32" s="7">
        <v>-6000000</v>
      </c>
      <c r="I32" s="7">
        <f t="shared" si="0"/>
        <v>0</v>
      </c>
      <c r="J32" s="7">
        <v>-6000000</v>
      </c>
      <c r="K32" s="7">
        <f t="shared" si="1"/>
        <v>0</v>
      </c>
      <c r="L32" s="7">
        <v>-6000000</v>
      </c>
      <c r="M32" t="s">
        <v>17</v>
      </c>
      <c r="N32" s="7"/>
      <c r="O32" s="7">
        <v>0</v>
      </c>
    </row>
    <row r="33" spans="1:15" x14ac:dyDescent="0.25">
      <c r="A33" s="14" t="s">
        <v>233</v>
      </c>
      <c r="B33" s="64" t="s">
        <v>234</v>
      </c>
      <c r="C33" t="s">
        <v>17</v>
      </c>
      <c r="D33" t="s">
        <v>17</v>
      </c>
      <c r="E33" s="7">
        <v>0</v>
      </c>
      <c r="F33" t="s">
        <v>17</v>
      </c>
      <c r="G33" s="7"/>
      <c r="H33" t="s">
        <v>17</v>
      </c>
      <c r="I33" s="7"/>
      <c r="J33" t="s">
        <v>17</v>
      </c>
      <c r="K33" s="7"/>
      <c r="L33" s="7">
        <v>0</v>
      </c>
      <c r="M33" t="s">
        <v>17</v>
      </c>
      <c r="N33" s="7"/>
      <c r="O33" t="s">
        <v>17</v>
      </c>
    </row>
    <row r="34" spans="1:15" x14ac:dyDescent="0.25">
      <c r="A34" s="11" t="s">
        <v>235</v>
      </c>
      <c r="B34" s="64" t="s">
        <v>236</v>
      </c>
      <c r="C34" s="7">
        <v>-642000</v>
      </c>
      <c r="D34" s="7">
        <v>-661000</v>
      </c>
      <c r="E34" s="7">
        <v>-911000</v>
      </c>
      <c r="F34" t="s">
        <v>17</v>
      </c>
      <c r="G34" s="7"/>
      <c r="H34" t="s">
        <v>17</v>
      </c>
      <c r="I34" s="7"/>
      <c r="J34" s="7">
        <v>-1571000</v>
      </c>
      <c r="K34" s="7">
        <f t="shared" si="1"/>
        <v>-1537000</v>
      </c>
      <c r="L34" s="7">
        <v>-3108000</v>
      </c>
      <c r="M34" t="s">
        <v>17</v>
      </c>
      <c r="N34" s="7"/>
      <c r="O34" t="s">
        <v>17</v>
      </c>
    </row>
    <row r="35" spans="1:15" x14ac:dyDescent="0.25">
      <c r="A35" s="14" t="s">
        <v>237</v>
      </c>
      <c r="B35" s="64" t="s">
        <v>238</v>
      </c>
      <c r="C35" t="s">
        <v>17</v>
      </c>
      <c r="D35" t="s">
        <v>17</v>
      </c>
      <c r="E35" t="s">
        <v>17</v>
      </c>
      <c r="F35" s="7">
        <v>-1368000</v>
      </c>
      <c r="G35" s="7">
        <f t="shared" si="3"/>
        <v>-98000</v>
      </c>
      <c r="H35" s="7">
        <v>-1466000</v>
      </c>
      <c r="I35" s="7"/>
      <c r="J35" t="s">
        <v>17</v>
      </c>
      <c r="K35" s="7"/>
      <c r="L35" t="s">
        <v>17</v>
      </c>
      <c r="M35" s="7">
        <v>-8039000</v>
      </c>
      <c r="N35" s="7">
        <f t="shared" si="2"/>
        <v>-9300000</v>
      </c>
      <c r="O35" s="7">
        <v>-17339000</v>
      </c>
    </row>
    <row r="36" spans="1:15" x14ac:dyDescent="0.25">
      <c r="A36" s="14" t="s">
        <v>239</v>
      </c>
      <c r="B36" s="64" t="s">
        <v>240</v>
      </c>
      <c r="C36" s="7">
        <v>28000</v>
      </c>
      <c r="D36" s="7">
        <v>32000</v>
      </c>
      <c r="E36" t="s">
        <v>17</v>
      </c>
      <c r="F36" s="7">
        <v>43000</v>
      </c>
      <c r="G36" s="7"/>
      <c r="H36" t="s">
        <v>17</v>
      </c>
      <c r="I36" s="7"/>
      <c r="J36" s="7">
        <v>292000</v>
      </c>
      <c r="K36" s="7"/>
      <c r="L36" t="s">
        <v>17</v>
      </c>
      <c r="M36" s="7">
        <v>59000</v>
      </c>
      <c r="N36" s="7"/>
      <c r="O36" t="s">
        <v>17</v>
      </c>
    </row>
    <row r="37" spans="1:15" x14ac:dyDescent="0.25">
      <c r="A37" s="14" t="s">
        <v>241</v>
      </c>
      <c r="B37" s="64" t="s">
        <v>242</v>
      </c>
      <c r="C37" t="s">
        <v>17</v>
      </c>
      <c r="D37" t="s">
        <v>17</v>
      </c>
      <c r="E37" s="7">
        <v>37000</v>
      </c>
      <c r="F37" t="s">
        <v>17</v>
      </c>
      <c r="G37" s="7"/>
      <c r="H37" s="7">
        <v>289000</v>
      </c>
      <c r="I37" s="7"/>
      <c r="J37" t="s">
        <v>17</v>
      </c>
      <c r="K37" s="7"/>
      <c r="L37" s="7">
        <v>1353000</v>
      </c>
      <c r="M37" t="s">
        <v>17</v>
      </c>
      <c r="N37" s="7"/>
      <c r="O37" s="7">
        <v>1291000</v>
      </c>
    </row>
    <row r="38" spans="1:15" x14ac:dyDescent="0.25">
      <c r="A38" s="14" t="s">
        <v>243</v>
      </c>
      <c r="B38" s="64" t="s">
        <v>244</v>
      </c>
      <c r="C38" s="7">
        <v>0</v>
      </c>
      <c r="D38" s="7">
        <v>0</v>
      </c>
      <c r="E38" s="7">
        <v>0</v>
      </c>
      <c r="F38" t="s">
        <v>17</v>
      </c>
      <c r="G38" s="7"/>
      <c r="H38" s="7">
        <v>342604000</v>
      </c>
      <c r="I38" s="7">
        <f t="shared" si="0"/>
        <v>0</v>
      </c>
      <c r="J38" s="7">
        <v>342604000</v>
      </c>
      <c r="K38" s="7">
        <f t="shared" si="1"/>
        <v>0</v>
      </c>
      <c r="L38" s="7">
        <v>342604000</v>
      </c>
      <c r="M38" t="s">
        <v>17</v>
      </c>
      <c r="N38" s="7"/>
      <c r="O38" s="7">
        <v>0</v>
      </c>
    </row>
    <row r="39" spans="1:15" x14ac:dyDescent="0.25">
      <c r="A39" s="14" t="s">
        <v>245</v>
      </c>
      <c r="B39" s="64" t="s">
        <v>246</v>
      </c>
      <c r="C39" s="7">
        <v>0</v>
      </c>
      <c r="D39" s="7">
        <v>0</v>
      </c>
      <c r="E39" s="7">
        <v>-1109000</v>
      </c>
      <c r="F39" s="7">
        <v>-1411000</v>
      </c>
      <c r="G39" s="7">
        <f t="shared" si="3"/>
        <v>-511000</v>
      </c>
      <c r="H39" s="7">
        <v>-1922000</v>
      </c>
      <c r="I39" s="7">
        <f t="shared" si="0"/>
        <v>-3219000</v>
      </c>
      <c r="J39" s="7">
        <v>-5141000</v>
      </c>
      <c r="K39" s="7">
        <f t="shared" si="1"/>
        <v>-243000</v>
      </c>
      <c r="L39" s="7">
        <v>-5384000</v>
      </c>
      <c r="M39" s="7">
        <v>0</v>
      </c>
      <c r="N39" s="7">
        <f t="shared" si="2"/>
        <v>0</v>
      </c>
      <c r="O39" s="7">
        <v>0</v>
      </c>
    </row>
    <row r="40" spans="1:15" x14ac:dyDescent="0.25">
      <c r="A40" s="14" t="s">
        <v>247</v>
      </c>
      <c r="B40" s="64" t="s">
        <v>248</v>
      </c>
      <c r="C40" s="7">
        <v>-963000</v>
      </c>
      <c r="D40" s="7">
        <v>-963000</v>
      </c>
      <c r="E40" s="7">
        <v>-986000</v>
      </c>
      <c r="F40" s="7">
        <v>-226000</v>
      </c>
      <c r="G40" s="7">
        <f t="shared" si="3"/>
        <v>-139000</v>
      </c>
      <c r="H40" s="7">
        <v>-365000</v>
      </c>
      <c r="I40" s="7">
        <f t="shared" si="0"/>
        <v>-3000</v>
      </c>
      <c r="J40" s="7">
        <v>-368000</v>
      </c>
      <c r="K40" s="7">
        <f t="shared" si="1"/>
        <v>-4000</v>
      </c>
      <c r="L40" s="7">
        <v>-372000</v>
      </c>
      <c r="M40" s="7">
        <v>0</v>
      </c>
      <c r="N40" s="7">
        <f t="shared" si="2"/>
        <v>0</v>
      </c>
      <c r="O40" s="7">
        <v>0</v>
      </c>
    </row>
    <row r="41" spans="1:15" x14ac:dyDescent="0.25">
      <c r="A41" s="14" t="s">
        <v>249</v>
      </c>
      <c r="B41" s="64" t="s">
        <v>250</v>
      </c>
      <c r="C41" t="s">
        <v>17</v>
      </c>
      <c r="D41" t="s">
        <v>17</v>
      </c>
      <c r="E41" s="7">
        <v>-115000</v>
      </c>
      <c r="F41" t="s">
        <v>17</v>
      </c>
      <c r="G41" s="7"/>
      <c r="H41" t="s">
        <v>17</v>
      </c>
      <c r="I41" s="7"/>
      <c r="J41" t="s">
        <v>17</v>
      </c>
      <c r="K41" s="7"/>
      <c r="L41" s="7">
        <v>-85000</v>
      </c>
      <c r="M41" t="s">
        <v>17</v>
      </c>
      <c r="N41" s="7"/>
      <c r="O41" t="s">
        <v>17</v>
      </c>
    </row>
    <row r="42" spans="1:15" x14ac:dyDescent="0.25">
      <c r="A42" s="15" t="s">
        <v>251</v>
      </c>
      <c r="B42" s="64" t="s">
        <v>252</v>
      </c>
      <c r="C42" s="7">
        <v>-53000</v>
      </c>
      <c r="D42" s="7">
        <v>-67000</v>
      </c>
      <c r="E42" t="s">
        <v>17</v>
      </c>
      <c r="F42" s="7">
        <v>-29000</v>
      </c>
      <c r="G42" s="7">
        <f t="shared" si="3"/>
        <v>-23000</v>
      </c>
      <c r="H42" s="7">
        <v>-52000</v>
      </c>
      <c r="I42" s="7">
        <f t="shared" si="0"/>
        <v>-14000</v>
      </c>
      <c r="J42" s="7">
        <v>-66000</v>
      </c>
      <c r="K42" s="7"/>
      <c r="L42" t="s">
        <v>17</v>
      </c>
      <c r="M42" s="7">
        <v>-30000</v>
      </c>
      <c r="N42" s="7">
        <f t="shared" si="2"/>
        <v>-15000</v>
      </c>
      <c r="O42" s="7">
        <v>-45000</v>
      </c>
    </row>
    <row r="43" spans="1:15" x14ac:dyDescent="0.25">
      <c r="A43" s="12" t="s">
        <v>253</v>
      </c>
      <c r="B43" s="64" t="s">
        <v>254</v>
      </c>
      <c r="C43" s="13">
        <v>-1630000</v>
      </c>
      <c r="D43" s="13">
        <v>-1659000</v>
      </c>
      <c r="E43" s="13">
        <v>-3084000</v>
      </c>
      <c r="F43" s="13">
        <v>-2991000</v>
      </c>
      <c r="G43" s="7">
        <f t="shared" si="3"/>
        <v>342079000</v>
      </c>
      <c r="H43" s="13">
        <v>339088000</v>
      </c>
      <c r="I43" s="7">
        <f t="shared" si="0"/>
        <v>-3338000</v>
      </c>
      <c r="J43" s="13">
        <v>335750000</v>
      </c>
      <c r="K43" s="7">
        <f t="shared" si="1"/>
        <v>-742000</v>
      </c>
      <c r="L43" s="13">
        <v>335008000</v>
      </c>
      <c r="M43" s="13">
        <v>-8010000</v>
      </c>
      <c r="N43" s="7">
        <f t="shared" si="2"/>
        <v>-8083000</v>
      </c>
      <c r="O43" s="13">
        <v>-16093000</v>
      </c>
    </row>
    <row r="44" spans="1:15" x14ac:dyDescent="0.25">
      <c r="A44" s="6" t="s">
        <v>255</v>
      </c>
      <c r="B44" s="64" t="s">
        <v>256</v>
      </c>
      <c r="C44" s="13">
        <v>-48674000</v>
      </c>
      <c r="D44" s="13">
        <v>-68166000</v>
      </c>
      <c r="E44" s="13">
        <v>-101207000</v>
      </c>
      <c r="F44" s="13">
        <v>-16409000</v>
      </c>
      <c r="G44" s="7">
        <f t="shared" si="3"/>
        <v>330129000</v>
      </c>
      <c r="H44" s="13">
        <v>313720000</v>
      </c>
      <c r="I44" s="7">
        <f t="shared" si="0"/>
        <v>-12446000</v>
      </c>
      <c r="J44" s="13">
        <v>301274000</v>
      </c>
      <c r="K44" s="7">
        <f t="shared" si="1"/>
        <v>-7971000</v>
      </c>
      <c r="L44" s="13">
        <v>293303000</v>
      </c>
      <c r="M44" s="13">
        <v>-3311000</v>
      </c>
      <c r="N44" s="7">
        <f t="shared" si="2"/>
        <v>14631000</v>
      </c>
      <c r="O44" s="13">
        <v>11320000</v>
      </c>
    </row>
    <row r="45" spans="1:15" x14ac:dyDescent="0.25">
      <c r="A45" s="6" t="s">
        <v>257</v>
      </c>
      <c r="B45" s="64" t="s">
        <v>258</v>
      </c>
      <c r="C45" s="7">
        <v>140332000</v>
      </c>
      <c r="D45" s="7">
        <v>140332000</v>
      </c>
      <c r="E45" s="7">
        <v>140332000</v>
      </c>
      <c r="F45" s="7">
        <v>39125000</v>
      </c>
      <c r="G45" s="7">
        <f t="shared" si="3"/>
        <v>0</v>
      </c>
      <c r="H45" s="7">
        <v>39125000</v>
      </c>
      <c r="I45" s="7">
        <f t="shared" si="0"/>
        <v>0</v>
      </c>
      <c r="J45" s="7">
        <v>39125000</v>
      </c>
      <c r="K45" s="7">
        <f t="shared" si="1"/>
        <v>0</v>
      </c>
      <c r="L45" s="7">
        <v>39125000</v>
      </c>
      <c r="M45" s="7">
        <v>332428000</v>
      </c>
      <c r="N45" s="7">
        <f t="shared" si="2"/>
        <v>0</v>
      </c>
      <c r="O45" s="7">
        <v>332428000</v>
      </c>
    </row>
    <row r="46" spans="1:15" x14ac:dyDescent="0.25">
      <c r="A46" s="6" t="s">
        <v>259</v>
      </c>
      <c r="B46" s="64" t="s">
        <v>258</v>
      </c>
      <c r="C46" s="7">
        <v>91658000</v>
      </c>
      <c r="D46" s="7">
        <v>72166000</v>
      </c>
      <c r="E46" s="7">
        <v>39125000</v>
      </c>
      <c r="F46" s="7">
        <v>22716000</v>
      </c>
      <c r="G46" s="7">
        <f t="shared" si="3"/>
        <v>330129000</v>
      </c>
      <c r="H46" s="7">
        <v>352845000</v>
      </c>
      <c r="I46" s="7">
        <f t="shared" si="0"/>
        <v>-12446000</v>
      </c>
      <c r="J46" s="7">
        <v>340399000</v>
      </c>
      <c r="K46" s="7">
        <f t="shared" si="1"/>
        <v>-7971000</v>
      </c>
      <c r="L46" s="7">
        <v>332428000</v>
      </c>
      <c r="M46" s="7">
        <v>329117000</v>
      </c>
      <c r="N46" s="7">
        <f t="shared" si="2"/>
        <v>14631000</v>
      </c>
      <c r="O46" s="7">
        <v>343748000</v>
      </c>
    </row>
    <row r="47" spans="1:15" x14ac:dyDescent="0.25">
      <c r="A47" s="8" t="s">
        <v>260</v>
      </c>
      <c r="B47" s="64" t="s">
        <v>261</v>
      </c>
      <c r="C47" t="s">
        <v>17</v>
      </c>
      <c r="G47" s="7">
        <f t="shared" si="3"/>
        <v>0</v>
      </c>
      <c r="I47" s="7">
        <f t="shared" si="0"/>
        <v>0</v>
      </c>
      <c r="K47" s="7">
        <f t="shared" si="1"/>
        <v>0</v>
      </c>
      <c r="N47" s="7">
        <f t="shared" si="2"/>
        <v>0</v>
      </c>
    </row>
    <row r="48" spans="1:15" x14ac:dyDescent="0.25">
      <c r="A48" s="14" t="s">
        <v>262</v>
      </c>
      <c r="B48" s="64" t="s">
        <v>263</v>
      </c>
      <c r="C48" s="7">
        <v>0</v>
      </c>
      <c r="D48" s="7">
        <v>0</v>
      </c>
      <c r="E48" s="7">
        <v>542000</v>
      </c>
      <c r="F48" s="7">
        <v>1432000</v>
      </c>
      <c r="G48" s="7">
        <f t="shared" si="3"/>
        <v>2030000</v>
      </c>
      <c r="H48" s="7">
        <v>3462000</v>
      </c>
      <c r="I48" s="7">
        <f t="shared" si="0"/>
        <v>-3219000</v>
      </c>
      <c r="J48" s="7">
        <v>243000</v>
      </c>
      <c r="K48" s="7">
        <f t="shared" si="1"/>
        <v>-243000</v>
      </c>
      <c r="L48" s="7">
        <v>0</v>
      </c>
      <c r="M48" s="7">
        <v>0</v>
      </c>
      <c r="N48" s="7">
        <f t="shared" si="2"/>
        <v>0</v>
      </c>
      <c r="O48" s="7">
        <v>0</v>
      </c>
    </row>
    <row r="49" spans="1:15" x14ac:dyDescent="0.25">
      <c r="A49" s="14" t="s">
        <v>264</v>
      </c>
      <c r="B49" s="64" t="s">
        <v>265</v>
      </c>
      <c r="C49" t="s">
        <v>17</v>
      </c>
      <c r="D49" t="s">
        <v>17</v>
      </c>
      <c r="E49" s="7">
        <v>0</v>
      </c>
      <c r="F49" t="s">
        <v>17</v>
      </c>
      <c r="G49" s="7"/>
      <c r="H49" t="s">
        <v>17</v>
      </c>
      <c r="I49" s="7"/>
      <c r="J49" t="s">
        <v>17</v>
      </c>
      <c r="K49" s="7"/>
      <c r="L49" s="7">
        <v>0</v>
      </c>
      <c r="M49" t="s">
        <v>17</v>
      </c>
      <c r="N49" s="7"/>
      <c r="O49" t="s">
        <v>17</v>
      </c>
    </row>
    <row r="50" spans="1:15" x14ac:dyDescent="0.25">
      <c r="A50" s="11" t="s">
        <v>266</v>
      </c>
      <c r="B50" s="64" t="s">
        <v>267</v>
      </c>
      <c r="C50" s="7">
        <v>102000</v>
      </c>
      <c r="D50" s="7">
        <v>102000</v>
      </c>
      <c r="E50" s="7">
        <v>161000</v>
      </c>
      <c r="F50" t="s">
        <v>17</v>
      </c>
      <c r="G50" s="7"/>
      <c r="H50" t="s">
        <v>17</v>
      </c>
      <c r="I50" s="7"/>
      <c r="J50" s="7">
        <v>278000</v>
      </c>
      <c r="K50" s="7">
        <f t="shared" si="1"/>
        <v>52000</v>
      </c>
      <c r="L50" s="7">
        <v>330000</v>
      </c>
      <c r="M50" t="s">
        <v>17</v>
      </c>
      <c r="N50" s="7"/>
      <c r="O50" t="s">
        <v>17</v>
      </c>
    </row>
    <row r="51" spans="1:15" x14ac:dyDescent="0.25">
      <c r="A51" s="14" t="s">
        <v>268</v>
      </c>
      <c r="B51" s="64" t="s">
        <v>269</v>
      </c>
      <c r="C51" s="7">
        <v>297000</v>
      </c>
      <c r="D51" s="7">
        <v>410000</v>
      </c>
      <c r="E51" s="7">
        <v>523000</v>
      </c>
      <c r="F51" s="7">
        <v>42000</v>
      </c>
      <c r="G51" s="7">
        <f t="shared" si="3"/>
        <v>124000</v>
      </c>
      <c r="H51" s="7">
        <v>166000</v>
      </c>
      <c r="I51" s="7">
        <f t="shared" si="0"/>
        <v>94000</v>
      </c>
      <c r="J51" s="7">
        <v>260000</v>
      </c>
      <c r="K51" s="7">
        <f t="shared" si="1"/>
        <v>-144000</v>
      </c>
      <c r="L51" s="7">
        <v>116000</v>
      </c>
      <c r="M51" s="7">
        <v>814000</v>
      </c>
      <c r="N51" s="7">
        <f t="shared" si="2"/>
        <v>171000</v>
      </c>
      <c r="O51" s="7">
        <v>985000</v>
      </c>
    </row>
    <row r="52" spans="1:15" x14ac:dyDescent="0.25">
      <c r="A52" s="14" t="s">
        <v>270</v>
      </c>
      <c r="B52" s="64" t="s">
        <v>271</v>
      </c>
      <c r="C52" s="7">
        <v>3443000</v>
      </c>
      <c r="D52" s="7">
        <v>4823000</v>
      </c>
      <c r="E52" s="7">
        <v>5083000</v>
      </c>
      <c r="F52" s="7">
        <v>4729000</v>
      </c>
      <c r="G52" s="7">
        <f t="shared" si="3"/>
        <v>3998000</v>
      </c>
      <c r="H52" s="7">
        <v>8727000</v>
      </c>
      <c r="I52" s="7">
        <f t="shared" si="0"/>
        <v>-4640000</v>
      </c>
      <c r="J52" s="7">
        <v>4087000</v>
      </c>
      <c r="K52" s="7">
        <f t="shared" si="1"/>
        <v>-3503000</v>
      </c>
      <c r="L52" s="7">
        <v>584000</v>
      </c>
      <c r="M52" s="7">
        <v>-327000</v>
      </c>
      <c r="N52" s="7">
        <f t="shared" si="2"/>
        <v>-2095000</v>
      </c>
      <c r="O52" s="7">
        <v>-2422000</v>
      </c>
    </row>
    <row r="53" spans="1:15" x14ac:dyDescent="0.25">
      <c r="A53" s="14" t="s">
        <v>272</v>
      </c>
      <c r="B53" s="64" t="s">
        <v>273</v>
      </c>
      <c r="C53" s="7">
        <v>0</v>
      </c>
      <c r="D53" s="7">
        <v>0</v>
      </c>
      <c r="E53" s="7">
        <v>0</v>
      </c>
      <c r="F53" t="s">
        <v>17</v>
      </c>
      <c r="G53" s="7"/>
      <c r="H53" s="7">
        <v>662309000</v>
      </c>
      <c r="I53" s="7">
        <f t="shared" si="0"/>
        <v>0</v>
      </c>
      <c r="J53" s="7">
        <v>662309000</v>
      </c>
      <c r="K53" s="7">
        <f t="shared" si="1"/>
        <v>0</v>
      </c>
      <c r="L53" s="7">
        <v>662309000</v>
      </c>
      <c r="M53" t="s">
        <v>17</v>
      </c>
      <c r="N53" s="7"/>
      <c r="O53" s="7">
        <v>0</v>
      </c>
    </row>
    <row r="57" spans="1:15" x14ac:dyDescent="0.25">
      <c r="C57" s="134"/>
      <c r="D57" s="134"/>
      <c r="E57" s="134"/>
      <c r="F57" s="134"/>
      <c r="G57" s="134"/>
      <c r="H57" s="134"/>
    </row>
    <row r="58" spans="1:15" x14ac:dyDescent="0.25">
      <c r="C58" s="135">
        <v>44921</v>
      </c>
      <c r="D58" s="135">
        <v>45032</v>
      </c>
      <c r="E58" s="135">
        <v>45116</v>
      </c>
      <c r="F58" s="135">
        <v>45200</v>
      </c>
      <c r="G58" s="135">
        <v>45292</v>
      </c>
      <c r="H58" s="135">
        <v>45403</v>
      </c>
    </row>
    <row r="59" spans="1:15" x14ac:dyDescent="0.25">
      <c r="C59" s="135">
        <v>45032</v>
      </c>
      <c r="D59" s="135">
        <v>45116</v>
      </c>
      <c r="E59" s="135">
        <v>45200</v>
      </c>
      <c r="F59" s="135">
        <v>45291</v>
      </c>
      <c r="G59" s="135">
        <v>45403</v>
      </c>
      <c r="H59" s="135">
        <v>45487</v>
      </c>
    </row>
    <row r="60" spans="1:15" x14ac:dyDescent="0.25">
      <c r="E60" s="4"/>
      <c r="F60" s="4"/>
      <c r="G60" s="4"/>
      <c r="H60" s="4"/>
    </row>
    <row r="61" spans="1:15" x14ac:dyDescent="0.25">
      <c r="A61" s="8" t="s">
        <v>195</v>
      </c>
    </row>
    <row r="62" spans="1:15" x14ac:dyDescent="0.25">
      <c r="A62" s="14" t="s">
        <v>90</v>
      </c>
      <c r="C62" s="133">
        <v>-2141000</v>
      </c>
      <c r="D62" s="133">
        <v>6539000</v>
      </c>
      <c r="E62" s="133">
        <v>6833000</v>
      </c>
      <c r="F62" s="133">
        <v>2049000</v>
      </c>
      <c r="G62" s="133">
        <v>13993000</v>
      </c>
      <c r="H62" s="133">
        <v>19741000</v>
      </c>
    </row>
    <row r="63" spans="1:15" x14ac:dyDescent="0.25">
      <c r="A63" s="9" t="s">
        <v>197</v>
      </c>
      <c r="D63" s="7"/>
      <c r="E63" s="7">
        <v>0</v>
      </c>
      <c r="F63" s="7">
        <v>0</v>
      </c>
      <c r="H63" s="7">
        <v>0</v>
      </c>
    </row>
    <row r="64" spans="1:15" x14ac:dyDescent="0.25">
      <c r="A64" s="10" t="s">
        <v>199</v>
      </c>
      <c r="C64" s="7">
        <v>12832000</v>
      </c>
      <c r="D64" s="7">
        <v>10709000</v>
      </c>
      <c r="E64" s="7">
        <v>11528000</v>
      </c>
      <c r="F64" s="7">
        <v>12337000</v>
      </c>
      <c r="G64" s="7">
        <v>17322000</v>
      </c>
      <c r="H64" s="7">
        <v>13733000</v>
      </c>
    </row>
    <row r="65" spans="1:15" x14ac:dyDescent="0.25">
      <c r="A65" s="10" t="s">
        <v>200</v>
      </c>
      <c r="C65" s="7">
        <v>27000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</row>
    <row r="66" spans="1:15" x14ac:dyDescent="0.25">
      <c r="A66" s="10" t="s">
        <v>202</v>
      </c>
      <c r="C66" s="7">
        <v>928000</v>
      </c>
      <c r="D66" s="7">
        <v>1743000</v>
      </c>
      <c r="E66" s="7">
        <v>3183000</v>
      </c>
      <c r="F66" s="7">
        <v>3506000</v>
      </c>
      <c r="G66" s="7">
        <v>3995000</v>
      </c>
      <c r="H66" s="7">
        <v>2954000</v>
      </c>
    </row>
    <row r="67" spans="1:15" x14ac:dyDescent="0.25">
      <c r="A67" s="10" t="s">
        <v>28</v>
      </c>
      <c r="C67" s="7">
        <v>2719000</v>
      </c>
      <c r="D67" s="7">
        <v>386000</v>
      </c>
      <c r="E67" s="7">
        <v>1190000</v>
      </c>
      <c r="F67" s="7">
        <v>604000</v>
      </c>
      <c r="G67" s="7">
        <v>1290000</v>
      </c>
      <c r="H67" s="7">
        <v>830000</v>
      </c>
    </row>
    <row r="68" spans="1:15" x14ac:dyDescent="0.25">
      <c r="A68" s="10" t="s">
        <v>204</v>
      </c>
      <c r="C68" t="s">
        <v>17</v>
      </c>
      <c r="D68" s="7"/>
      <c r="E68" s="7"/>
      <c r="F68" s="7"/>
      <c r="G68" t="s">
        <v>17</v>
      </c>
      <c r="H68" s="7"/>
    </row>
    <row r="69" spans="1:15" x14ac:dyDescent="0.25">
      <c r="A69" s="9" t="s">
        <v>206</v>
      </c>
      <c r="D69" s="7">
        <v>0</v>
      </c>
      <c r="E69" s="7">
        <v>0</v>
      </c>
      <c r="F69" s="7">
        <v>0</v>
      </c>
      <c r="H69" s="7">
        <v>0</v>
      </c>
    </row>
    <row r="70" spans="1:15" x14ac:dyDescent="0.25">
      <c r="A70" s="10" t="s">
        <v>208</v>
      </c>
      <c r="C70" s="7">
        <v>-1815000</v>
      </c>
      <c r="D70" s="7">
        <v>316000</v>
      </c>
      <c r="E70" s="7">
        <v>-866000</v>
      </c>
      <c r="F70" s="7">
        <v>1530000</v>
      </c>
      <c r="G70" s="7">
        <v>-1849000</v>
      </c>
      <c r="H70" s="7">
        <v>-416000</v>
      </c>
      <c r="J70" s="7">
        <f>C70+C71</f>
        <v>-3780000</v>
      </c>
      <c r="K70" s="7">
        <f t="shared" ref="K70:N70" si="4">D70+D71</f>
        <v>-363000</v>
      </c>
      <c r="L70" s="7">
        <f t="shared" si="4"/>
        <v>-813000</v>
      </c>
      <c r="M70" s="7">
        <f t="shared" si="4"/>
        <v>806000</v>
      </c>
      <c r="N70" s="7">
        <f t="shared" si="4"/>
        <v>153000</v>
      </c>
    </row>
    <row r="71" spans="1:15" x14ac:dyDescent="0.25">
      <c r="A71" s="10" t="s">
        <v>134</v>
      </c>
      <c r="C71" s="7">
        <v>-1965000</v>
      </c>
      <c r="D71" s="7">
        <v>-679000</v>
      </c>
      <c r="E71" s="7">
        <v>53000</v>
      </c>
      <c r="F71" s="7">
        <v>-724000</v>
      </c>
      <c r="G71" s="7">
        <v>2002000</v>
      </c>
      <c r="H71" s="7">
        <v>-1741000</v>
      </c>
    </row>
    <row r="72" spans="1:15" x14ac:dyDescent="0.25">
      <c r="A72" s="10" t="s">
        <v>136</v>
      </c>
      <c r="C72" s="7">
        <v>799000</v>
      </c>
      <c r="D72" s="7">
        <v>-1016000</v>
      </c>
      <c r="E72" s="7">
        <v>-369000</v>
      </c>
      <c r="F72" s="7">
        <v>88000</v>
      </c>
      <c r="G72" s="7">
        <v>-667000</v>
      </c>
      <c r="H72" s="7">
        <v>-891000</v>
      </c>
    </row>
    <row r="73" spans="1:15" x14ac:dyDescent="0.25">
      <c r="A73" s="10" t="s">
        <v>138</v>
      </c>
      <c r="C73" s="7">
        <v>1020000</v>
      </c>
      <c r="D73" s="7">
        <v>351000</v>
      </c>
      <c r="E73" s="7">
        <v>-728000</v>
      </c>
      <c r="F73" s="7">
        <v>-583000</v>
      </c>
      <c r="G73" s="7">
        <v>182000</v>
      </c>
      <c r="H73" s="7">
        <v>-325000</v>
      </c>
    </row>
    <row r="74" spans="1:15" x14ac:dyDescent="0.25">
      <c r="A74" s="10" t="s">
        <v>144</v>
      </c>
      <c r="C74" s="7">
        <v>-5036000</v>
      </c>
      <c r="D74" s="7">
        <v>-12999000</v>
      </c>
      <c r="E74" s="7">
        <v>-8142000</v>
      </c>
      <c r="F74" s="7">
        <v>5656000</v>
      </c>
      <c r="G74" s="7">
        <v>-9446000</v>
      </c>
      <c r="H74" s="7">
        <v>-6142000</v>
      </c>
    </row>
    <row r="75" spans="1:15" x14ac:dyDescent="0.25">
      <c r="A75" s="10" t="s">
        <v>157</v>
      </c>
      <c r="C75" s="7">
        <v>2234000</v>
      </c>
      <c r="D75" s="7">
        <v>-2515000</v>
      </c>
      <c r="E75" s="7">
        <v>1882000</v>
      </c>
      <c r="F75" s="7">
        <v>948000</v>
      </c>
      <c r="G75" s="7">
        <v>2199000</v>
      </c>
      <c r="H75" s="7">
        <v>1565000</v>
      </c>
    </row>
    <row r="76" spans="1:15" x14ac:dyDescent="0.25">
      <c r="A76" s="10" t="s">
        <v>159</v>
      </c>
      <c r="C76" s="7">
        <v>10058000</v>
      </c>
      <c r="D76" s="7">
        <v>3886000</v>
      </c>
      <c r="E76" s="7">
        <v>2493000</v>
      </c>
      <c r="F76" s="7">
        <v>2736000</v>
      </c>
      <c r="G76" s="7">
        <v>-5086000</v>
      </c>
      <c r="H76" s="7">
        <v>11108000</v>
      </c>
    </row>
    <row r="77" spans="1:15" x14ac:dyDescent="0.25">
      <c r="A77" s="12" t="s">
        <v>167</v>
      </c>
      <c r="C77" s="7">
        <v>6019000</v>
      </c>
      <c r="D77" s="7">
        <v>14710000</v>
      </c>
      <c r="E77" s="7">
        <v>8921000</v>
      </c>
      <c r="F77" s="7">
        <v>-4134000</v>
      </c>
      <c r="G77" s="7">
        <v>14451000</v>
      </c>
      <c r="H77" s="7">
        <v>8493000</v>
      </c>
    </row>
    <row r="78" spans="1:15" x14ac:dyDescent="0.25">
      <c r="A78" s="11" t="s">
        <v>217</v>
      </c>
      <c r="C78" s="13">
        <v>25679000</v>
      </c>
      <c r="D78" s="7">
        <v>21431000</v>
      </c>
      <c r="E78" s="7">
        <v>25978000</v>
      </c>
      <c r="F78" s="7">
        <v>24013000</v>
      </c>
      <c r="G78" s="13">
        <v>38386000</v>
      </c>
      <c r="H78" s="7">
        <v>48909000</v>
      </c>
    </row>
    <row r="79" spans="1:15" x14ac:dyDescent="0.25">
      <c r="A79" s="8" t="s">
        <v>219</v>
      </c>
      <c r="C79" s="7"/>
      <c r="D79" s="7"/>
      <c r="E79" s="7"/>
      <c r="F79" s="7"/>
      <c r="G79" s="7"/>
      <c r="H79" s="7"/>
    </row>
    <row r="80" spans="1:15" x14ac:dyDescent="0.25">
      <c r="A80" s="15" t="s">
        <v>221</v>
      </c>
      <c r="C80" s="7">
        <v>-39097000</v>
      </c>
      <c r="D80" s="7">
        <v>-33381000</v>
      </c>
      <c r="E80" s="7">
        <v>-35086000</v>
      </c>
      <c r="F80" s="7">
        <v>-31242000</v>
      </c>
      <c r="G80" s="7">
        <v>-33687000</v>
      </c>
      <c r="H80" s="7">
        <v>-26195000</v>
      </c>
      <c r="I80" s="7">
        <f>AVERAGE(D80:H80)</f>
        <v>-31918200</v>
      </c>
      <c r="J80" s="7">
        <f t="shared" ref="J80:O80" si="5">AVERAGE(E80:I80)</f>
        <v>-31625640</v>
      </c>
      <c r="K80" s="7">
        <f t="shared" si="5"/>
        <v>-30933568</v>
      </c>
      <c r="L80" s="7">
        <f t="shared" si="5"/>
        <v>-30871881.600000001</v>
      </c>
      <c r="M80" s="7">
        <f t="shared" si="5"/>
        <v>-30308857.919999998</v>
      </c>
      <c r="N80" s="7">
        <f t="shared" si="5"/>
        <v>-31131629.503999997</v>
      </c>
      <c r="O80" s="7">
        <f t="shared" si="5"/>
        <v>-30974315.404799998</v>
      </c>
    </row>
    <row r="81" spans="1:8" x14ac:dyDescent="0.25">
      <c r="A81" s="10" t="s">
        <v>223</v>
      </c>
      <c r="C81" s="13">
        <v>-39097000</v>
      </c>
      <c r="D81" s="7">
        <v>-33381000</v>
      </c>
      <c r="E81" s="7">
        <v>-35086000</v>
      </c>
      <c r="F81" s="7">
        <v>-31242000</v>
      </c>
      <c r="G81" s="13">
        <v>-33687000</v>
      </c>
      <c r="H81" s="7">
        <v>-26195000</v>
      </c>
    </row>
    <row r="82" spans="1:8" x14ac:dyDescent="0.25">
      <c r="A82" s="8" t="s">
        <v>225</v>
      </c>
      <c r="D82" s="7"/>
      <c r="E82" s="7">
        <v>0</v>
      </c>
      <c r="F82" s="7">
        <v>0</v>
      </c>
      <c r="H82" s="7">
        <v>0</v>
      </c>
    </row>
    <row r="83" spans="1:8" x14ac:dyDescent="0.25">
      <c r="A83" s="14" t="s">
        <v>227</v>
      </c>
      <c r="C83" t="s">
        <v>17</v>
      </c>
      <c r="D83" s="7"/>
      <c r="E83" s="7"/>
      <c r="F83" s="7"/>
      <c r="G83" t="s">
        <v>17</v>
      </c>
      <c r="H83" s="7"/>
    </row>
    <row r="84" spans="1:8" x14ac:dyDescent="0.25">
      <c r="A84" s="14" t="s">
        <v>229</v>
      </c>
      <c r="C84" t="s">
        <v>17</v>
      </c>
      <c r="D84" s="7"/>
      <c r="E84" s="7">
        <v>0</v>
      </c>
      <c r="F84" s="7">
        <v>0</v>
      </c>
      <c r="G84" t="s">
        <v>17</v>
      </c>
      <c r="H84" s="7"/>
    </row>
    <row r="85" spans="1:8" x14ac:dyDescent="0.25">
      <c r="A85" s="14" t="s">
        <v>231</v>
      </c>
      <c r="C85" t="s">
        <v>17</v>
      </c>
      <c r="D85" s="7"/>
      <c r="E85" s="7">
        <v>0</v>
      </c>
      <c r="F85" s="7">
        <v>0</v>
      </c>
      <c r="G85" t="s">
        <v>17</v>
      </c>
      <c r="H85" s="7"/>
    </row>
    <row r="86" spans="1:8" x14ac:dyDescent="0.25">
      <c r="A86" s="14" t="s">
        <v>233</v>
      </c>
      <c r="C86" t="s">
        <v>17</v>
      </c>
      <c r="D86" s="7"/>
      <c r="E86" s="7"/>
      <c r="F86" s="7"/>
      <c r="G86" t="s">
        <v>17</v>
      </c>
      <c r="H86" s="7"/>
    </row>
    <row r="87" spans="1:8" x14ac:dyDescent="0.25">
      <c r="A87" s="11" t="s">
        <v>235</v>
      </c>
      <c r="C87" t="s">
        <v>17</v>
      </c>
      <c r="D87" s="7"/>
      <c r="E87" s="7"/>
      <c r="F87" s="7">
        <v>-1537000</v>
      </c>
      <c r="G87" t="s">
        <v>17</v>
      </c>
      <c r="H87" s="7"/>
    </row>
    <row r="88" spans="1:8" x14ac:dyDescent="0.25">
      <c r="A88" s="14" t="s">
        <v>237</v>
      </c>
      <c r="C88" s="7">
        <v>-1368000</v>
      </c>
      <c r="D88" s="7">
        <v>-98000</v>
      </c>
      <c r="E88" s="7"/>
      <c r="F88" s="7"/>
      <c r="G88" s="7">
        <v>-8039000</v>
      </c>
      <c r="H88" s="7">
        <v>-9300000</v>
      </c>
    </row>
    <row r="89" spans="1:8" x14ac:dyDescent="0.25">
      <c r="A89" s="14" t="s">
        <v>239</v>
      </c>
      <c r="C89" s="7">
        <v>43000</v>
      </c>
      <c r="D89" s="7"/>
      <c r="E89" s="7"/>
      <c r="F89" s="7"/>
      <c r="G89" s="7">
        <v>59000</v>
      </c>
      <c r="H89" s="7"/>
    </row>
    <row r="90" spans="1:8" x14ac:dyDescent="0.25">
      <c r="A90" s="14" t="s">
        <v>241</v>
      </c>
      <c r="C90" t="s">
        <v>17</v>
      </c>
      <c r="D90" s="7"/>
      <c r="E90" s="7"/>
      <c r="F90" s="7"/>
      <c r="G90" t="s">
        <v>17</v>
      </c>
      <c r="H90" s="7"/>
    </row>
    <row r="91" spans="1:8" x14ac:dyDescent="0.25">
      <c r="A91" s="14" t="s">
        <v>243</v>
      </c>
      <c r="C91" t="s">
        <v>17</v>
      </c>
      <c r="D91" s="7"/>
      <c r="E91" s="7">
        <v>0</v>
      </c>
      <c r="F91" s="7">
        <v>0</v>
      </c>
      <c r="G91" t="s">
        <v>17</v>
      </c>
      <c r="H91" s="7"/>
    </row>
    <row r="92" spans="1:8" x14ac:dyDescent="0.25">
      <c r="A92" s="14" t="s">
        <v>245</v>
      </c>
      <c r="C92" s="7">
        <v>-1411000</v>
      </c>
      <c r="D92" s="7">
        <v>-511000</v>
      </c>
      <c r="E92" s="7">
        <v>-3219000</v>
      </c>
      <c r="F92" s="7">
        <v>-243000</v>
      </c>
      <c r="G92" s="7">
        <v>0</v>
      </c>
      <c r="H92" s="7">
        <v>0</v>
      </c>
    </row>
    <row r="93" spans="1:8" x14ac:dyDescent="0.25">
      <c r="A93" s="14" t="s">
        <v>247</v>
      </c>
      <c r="C93" s="7">
        <v>-226000</v>
      </c>
      <c r="D93" s="7">
        <v>-139000</v>
      </c>
      <c r="E93" s="7">
        <v>-3000</v>
      </c>
      <c r="F93" s="7">
        <v>-4000</v>
      </c>
      <c r="G93" s="7">
        <v>0</v>
      </c>
      <c r="H93" s="7">
        <v>0</v>
      </c>
    </row>
    <row r="94" spans="1:8" x14ac:dyDescent="0.25">
      <c r="A94" s="14" t="s">
        <v>249</v>
      </c>
      <c r="C94" t="s">
        <v>17</v>
      </c>
      <c r="D94" s="7"/>
      <c r="E94" s="7"/>
      <c r="F94" s="7"/>
      <c r="G94" t="s">
        <v>17</v>
      </c>
      <c r="H94" s="7"/>
    </row>
    <row r="95" spans="1:8" x14ac:dyDescent="0.25">
      <c r="A95" s="15" t="s">
        <v>251</v>
      </c>
      <c r="C95" s="7">
        <v>-29000</v>
      </c>
      <c r="D95" s="7">
        <v>-23000</v>
      </c>
      <c r="E95" s="7">
        <v>-14000</v>
      </c>
      <c r="F95" s="7"/>
      <c r="G95" s="7">
        <v>-30000</v>
      </c>
      <c r="H95" s="7">
        <v>-15000</v>
      </c>
    </row>
    <row r="96" spans="1:8" x14ac:dyDescent="0.25">
      <c r="A96" s="12" t="s">
        <v>253</v>
      </c>
      <c r="C96" s="13">
        <v>-2991000</v>
      </c>
      <c r="D96" s="7">
        <v>342079000</v>
      </c>
      <c r="E96" s="7">
        <v>-3338000</v>
      </c>
      <c r="F96" s="7">
        <v>-742000</v>
      </c>
      <c r="G96" s="13">
        <v>-8010000</v>
      </c>
      <c r="H96" s="7">
        <v>-8083000</v>
      </c>
    </row>
    <row r="97" spans="1:8" x14ac:dyDescent="0.25">
      <c r="A97" s="6" t="s">
        <v>255</v>
      </c>
      <c r="C97" s="13">
        <v>-16409000</v>
      </c>
      <c r="D97" s="7">
        <v>330129000</v>
      </c>
      <c r="E97" s="7">
        <v>-12446000</v>
      </c>
      <c r="F97" s="7">
        <v>-7971000</v>
      </c>
      <c r="G97" s="13">
        <v>-3311000</v>
      </c>
      <c r="H97" s="7">
        <v>14631000</v>
      </c>
    </row>
    <row r="98" spans="1:8" x14ac:dyDescent="0.25">
      <c r="A98" s="6" t="s">
        <v>257</v>
      </c>
      <c r="C98" s="7">
        <v>39125000</v>
      </c>
      <c r="D98" s="7">
        <v>0</v>
      </c>
      <c r="E98" s="7">
        <v>0</v>
      </c>
      <c r="F98" s="7">
        <v>0</v>
      </c>
      <c r="G98" s="7">
        <v>332428000</v>
      </c>
      <c r="H98" s="7">
        <v>0</v>
      </c>
    </row>
    <row r="99" spans="1:8" x14ac:dyDescent="0.25">
      <c r="A99" s="6" t="s">
        <v>259</v>
      </c>
      <c r="C99" s="7">
        <v>22716000</v>
      </c>
      <c r="D99" s="7">
        <v>330129000</v>
      </c>
      <c r="E99" s="7">
        <v>-12446000</v>
      </c>
      <c r="F99" s="7">
        <v>-7971000</v>
      </c>
      <c r="G99" s="7">
        <v>329117000</v>
      </c>
      <c r="H99" s="7">
        <v>14631000</v>
      </c>
    </row>
    <row r="100" spans="1:8" x14ac:dyDescent="0.25">
      <c r="A100" s="8" t="s">
        <v>260</v>
      </c>
      <c r="D100" s="7">
        <v>0</v>
      </c>
      <c r="E100" s="7">
        <v>0</v>
      </c>
      <c r="F100" s="7">
        <v>0</v>
      </c>
      <c r="H100" s="7">
        <v>0</v>
      </c>
    </row>
    <row r="101" spans="1:8" x14ac:dyDescent="0.25">
      <c r="A101" s="14" t="s">
        <v>262</v>
      </c>
      <c r="C101" s="7">
        <v>1432000</v>
      </c>
      <c r="D101" s="7">
        <v>2030000</v>
      </c>
      <c r="E101" s="7">
        <v>-3219000</v>
      </c>
      <c r="F101" s="7">
        <v>-243000</v>
      </c>
      <c r="G101" s="7">
        <v>0</v>
      </c>
      <c r="H101" s="7">
        <v>0</v>
      </c>
    </row>
    <row r="102" spans="1:8" x14ac:dyDescent="0.25">
      <c r="A102" s="14" t="s">
        <v>264</v>
      </c>
      <c r="C102" t="s">
        <v>17</v>
      </c>
      <c r="D102" s="7"/>
      <c r="E102" s="7"/>
      <c r="F102" s="7"/>
      <c r="G102" t="s">
        <v>17</v>
      </c>
      <c r="H102" s="7"/>
    </row>
    <row r="103" spans="1:8" x14ac:dyDescent="0.25">
      <c r="A103" s="11" t="s">
        <v>266</v>
      </c>
      <c r="C103" t="s">
        <v>17</v>
      </c>
      <c r="D103" s="7"/>
      <c r="E103" s="7"/>
      <c r="F103" s="7">
        <v>52000</v>
      </c>
      <c r="G103" t="s">
        <v>17</v>
      </c>
      <c r="H103" s="7"/>
    </row>
    <row r="104" spans="1:8" x14ac:dyDescent="0.25">
      <c r="A104" s="14" t="s">
        <v>268</v>
      </c>
      <c r="C104" s="7">
        <v>42000</v>
      </c>
      <c r="D104" s="7">
        <v>124000</v>
      </c>
      <c r="E104" s="7">
        <v>94000</v>
      </c>
      <c r="F104" s="7">
        <v>-144000</v>
      </c>
      <c r="G104" s="7">
        <v>814000</v>
      </c>
      <c r="H104" s="7">
        <v>171000</v>
      </c>
    </row>
    <row r="105" spans="1:8" x14ac:dyDescent="0.25">
      <c r="A105" s="14" t="s">
        <v>270</v>
      </c>
      <c r="C105" s="7">
        <v>4729000</v>
      </c>
      <c r="D105" s="7">
        <v>3998000</v>
      </c>
      <c r="E105" s="7">
        <v>-4640000</v>
      </c>
      <c r="F105" s="7">
        <v>-3503000</v>
      </c>
      <c r="G105" s="7">
        <v>-327000</v>
      </c>
      <c r="H105" s="7">
        <v>-2095000</v>
      </c>
    </row>
    <row r="106" spans="1:8" x14ac:dyDescent="0.25">
      <c r="A106" s="14" t="s">
        <v>272</v>
      </c>
      <c r="C106" t="s">
        <v>17</v>
      </c>
      <c r="D106" s="7"/>
      <c r="E106" s="7">
        <v>0</v>
      </c>
      <c r="F106" s="7">
        <v>0</v>
      </c>
      <c r="G106" t="s">
        <v>17</v>
      </c>
      <c r="H106" s="7"/>
    </row>
  </sheetData>
  <hyperlinks>
    <hyperlink ref="H7" r:id="rId1" display="https://www.sec.gov/Archives/edgar/data/1639438/000162828023029592/0001628280-23-029592-index.htm" xr:uid="{402800C2-8868-4FFF-A1BA-8D7ECD6E3025}"/>
    <hyperlink ref="J7" r:id="rId2" display="https://www.sec.gov/Archives/edgar/data/1639438/000162828023037474/0001628280-23-037474-index.htm" xr:uid="{A60A343A-BC39-4EE1-B40E-A7024E5E33D4}"/>
    <hyperlink ref="L7" r:id="rId3" display="https://www.sec.gov/Archives/edgar/data/1639438/000162828024007277/0001628280-24-007277-index.htm" xr:uid="{8BAC5FCC-8E2B-4C1B-B55A-DA26A81B9B35}"/>
    <hyperlink ref="M7" r:id="rId4" display="https://www.sec.gov/Archives/edgar/data/1639438/000162828024025487/0001628280-24-025487-index.htm" xr:uid="{CF984C68-CFBB-4A53-B211-E49790DBD959}"/>
    <hyperlink ref="O7" r:id="rId5" display="https://www.sec.gov/Archives/edgar/data/1639438/000162828024038276/0001628280-24-038276-index.htm" xr:uid="{C6920763-E15C-4E46-8343-457DA34ED7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2653-4CFA-4A07-BC68-C82E0685715E}">
  <dimension ref="A1:H21"/>
  <sheetViews>
    <sheetView showGridLines="0" workbookViewId="0">
      <selection activeCell="C10" sqref="C10"/>
    </sheetView>
  </sheetViews>
  <sheetFormatPr defaultRowHeight="13.15" x14ac:dyDescent="0.25"/>
  <cols>
    <col min="3" max="3" width="27.109375" customWidth="1"/>
    <col min="5" max="5" width="16.77734375" bestFit="1" customWidth="1"/>
  </cols>
  <sheetData>
    <row r="1" spans="2:8" x14ac:dyDescent="0.25">
      <c r="H1" s="71"/>
    </row>
    <row r="2" spans="2:8" x14ac:dyDescent="0.25">
      <c r="H2" s="71"/>
    </row>
    <row r="3" spans="2:8" x14ac:dyDescent="0.25">
      <c r="D3" s="138" t="s">
        <v>276</v>
      </c>
      <c r="E3" s="138" t="s">
        <v>104</v>
      </c>
      <c r="H3" s="71"/>
    </row>
    <row r="4" spans="2:8" x14ac:dyDescent="0.25">
      <c r="D4" s="138" t="s">
        <v>277</v>
      </c>
      <c r="E4" s="140">
        <v>45544</v>
      </c>
      <c r="H4" s="71"/>
    </row>
    <row r="5" spans="2:8" x14ac:dyDescent="0.25">
      <c r="H5" s="71"/>
    </row>
    <row r="6" spans="2:8" x14ac:dyDescent="0.25">
      <c r="H6" s="71"/>
    </row>
    <row r="7" spans="2:8" x14ac:dyDescent="0.25">
      <c r="H7" s="71"/>
    </row>
    <row r="8" spans="2:8" x14ac:dyDescent="0.25">
      <c r="B8" s="277" t="s">
        <v>278</v>
      </c>
      <c r="C8" s="277"/>
      <c r="H8" s="71"/>
    </row>
    <row r="9" spans="2:8" x14ac:dyDescent="0.25">
      <c r="B9" s="141" t="s">
        <v>279</v>
      </c>
      <c r="C9" s="141" t="s">
        <v>283</v>
      </c>
      <c r="H9" s="71"/>
    </row>
    <row r="10" spans="2:8" ht="23.8" customHeight="1" x14ac:dyDescent="0.25">
      <c r="B10" s="142" t="s">
        <v>280</v>
      </c>
      <c r="C10" s="143"/>
      <c r="H10" s="71"/>
    </row>
    <row r="11" spans="2:8" ht="23.8" customHeight="1" x14ac:dyDescent="0.25">
      <c r="B11" s="142" t="s">
        <v>281</v>
      </c>
      <c r="C11" s="143"/>
      <c r="H11" s="71"/>
    </row>
    <row r="12" spans="2:8" ht="23.8" customHeight="1" x14ac:dyDescent="0.25">
      <c r="B12" s="142" t="s">
        <v>282</v>
      </c>
      <c r="C12" s="143"/>
      <c r="H12" s="71"/>
    </row>
    <row r="13" spans="2:8" x14ac:dyDescent="0.25">
      <c r="H13" s="71"/>
    </row>
    <row r="14" spans="2:8" x14ac:dyDescent="0.25">
      <c r="H14" s="71"/>
    </row>
    <row r="15" spans="2:8" x14ac:dyDescent="0.25">
      <c r="H15" s="71"/>
    </row>
    <row r="16" spans="2:8" x14ac:dyDescent="0.25">
      <c r="H16" s="71"/>
    </row>
    <row r="17" spans="1:8" x14ac:dyDescent="0.25">
      <c r="H17" s="71"/>
    </row>
    <row r="18" spans="1:8" x14ac:dyDescent="0.25">
      <c r="H18" s="71"/>
    </row>
    <row r="19" spans="1:8" x14ac:dyDescent="0.25">
      <c r="H19" s="71"/>
    </row>
    <row r="20" spans="1:8" x14ac:dyDescent="0.25">
      <c r="H20" s="71"/>
    </row>
    <row r="21" spans="1:8" x14ac:dyDescent="0.25">
      <c r="A21" s="73"/>
      <c r="B21" s="73"/>
      <c r="C21" s="73"/>
      <c r="D21" s="73"/>
      <c r="E21" s="73"/>
      <c r="F21" s="73"/>
      <c r="G21" s="73"/>
      <c r="H21" s="139"/>
    </row>
  </sheetData>
  <mergeCells count="1">
    <mergeCell ref="B8:C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D2C7-EF59-46A0-8722-2C739E3AA60A}">
  <dimension ref="A1"/>
  <sheetViews>
    <sheetView showGridLines="0" workbookViewId="0"/>
  </sheetViews>
  <sheetFormatPr defaultRowHeight="13.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612-1F10-4140-85EA-AC92F94A6587}">
  <dimension ref="A1:AA211"/>
  <sheetViews>
    <sheetView showGridLines="0" zoomScale="90" zoomScaleNormal="90" workbookViewId="0">
      <pane ySplit="4" topLeftCell="A132" activePane="bottomLeft" state="frozen"/>
      <selection pane="bottomLeft" activeCell="K117" sqref="K117"/>
    </sheetView>
  </sheetViews>
  <sheetFormatPr defaultRowHeight="13.15" x14ac:dyDescent="0.25"/>
  <cols>
    <col min="1" max="1" width="31" bestFit="1" customWidth="1"/>
    <col min="2" max="2" width="20" bestFit="1" customWidth="1"/>
    <col min="3" max="4" width="12.6640625" bestFit="1" customWidth="1"/>
    <col min="5" max="5" width="13.33203125" bestFit="1" customWidth="1"/>
    <col min="6" max="6" width="12.6640625" bestFit="1" customWidth="1"/>
    <col min="7" max="9" width="14" bestFit="1" customWidth="1"/>
    <col min="10" max="11" width="14.109375" bestFit="1" customWidth="1"/>
    <col min="12" max="13" width="13.33203125" bestFit="1" customWidth="1"/>
    <col min="14" max="21" width="14.6640625" bestFit="1" customWidth="1"/>
  </cols>
  <sheetData>
    <row r="1" spans="1:21" ht="18.2" thickBot="1" x14ac:dyDescent="0.35">
      <c r="A1" s="70" t="str">
        <f>Cover!E3</f>
        <v>$CAVA</v>
      </c>
      <c r="B1" s="104" t="str">
        <f>"CURRENTLY RUNNING: "&amp;UPPER(CHOOSE(Scenarios!$D$3,Scenarios!B9,Scenarios!B10,Scenarios!B11))&amp;" SCENARIO"</f>
        <v>CURRENTLY RUNNING: BULL CASE SCENARIO</v>
      </c>
      <c r="C1" s="105"/>
      <c r="D1" s="106"/>
    </row>
    <row r="2" spans="1:21" x14ac:dyDescent="0.25">
      <c r="A2" s="19" t="s">
        <v>103</v>
      </c>
      <c r="B2" s="20"/>
      <c r="C2" s="21" t="s">
        <v>14</v>
      </c>
      <c r="D2" s="21" t="s">
        <v>13</v>
      </c>
      <c r="E2" s="21" t="s">
        <v>12</v>
      </c>
      <c r="F2" s="21" t="s">
        <v>11</v>
      </c>
      <c r="G2" s="22" t="s">
        <v>10</v>
      </c>
      <c r="H2" s="22" t="s">
        <v>9</v>
      </c>
      <c r="I2" s="21" t="s">
        <v>7</v>
      </c>
      <c r="J2" s="21" t="s">
        <v>5</v>
      </c>
      <c r="K2" s="23" t="s">
        <v>45</v>
      </c>
      <c r="L2" s="24" t="s">
        <v>46</v>
      </c>
      <c r="M2" s="24" t="s">
        <v>47</v>
      </c>
      <c r="N2" s="24" t="s">
        <v>48</v>
      </c>
      <c r="O2" s="24" t="s">
        <v>49</v>
      </c>
      <c r="P2" s="24" t="s">
        <v>50</v>
      </c>
      <c r="Q2" s="24" t="s">
        <v>58</v>
      </c>
      <c r="R2" s="24" t="s">
        <v>60</v>
      </c>
      <c r="S2" s="24" t="s">
        <v>63</v>
      </c>
      <c r="T2" s="24" t="s">
        <v>99</v>
      </c>
      <c r="U2" s="24" t="s">
        <v>100</v>
      </c>
    </row>
    <row r="3" spans="1:21" ht="15.05" x14ac:dyDescent="0.3">
      <c r="A3" s="27" t="s">
        <v>40</v>
      </c>
      <c r="B3" s="27" t="s">
        <v>41</v>
      </c>
      <c r="C3" s="28">
        <v>44752</v>
      </c>
      <c r="D3" s="28">
        <v>44836</v>
      </c>
      <c r="E3" s="28">
        <v>44920</v>
      </c>
      <c r="F3" s="28">
        <v>45032</v>
      </c>
      <c r="G3" s="28">
        <v>45116</v>
      </c>
      <c r="H3" s="28">
        <v>45200</v>
      </c>
      <c r="I3" s="28">
        <v>45291</v>
      </c>
      <c r="J3" s="28">
        <v>45403</v>
      </c>
      <c r="K3" s="29">
        <v>45487</v>
      </c>
      <c r="L3" s="30"/>
      <c r="M3" s="25"/>
      <c r="N3" s="25"/>
      <c r="O3" s="25"/>
      <c r="P3" s="25"/>
      <c r="Q3" s="25"/>
      <c r="R3" s="26"/>
      <c r="S3" s="26"/>
    </row>
    <row r="4" spans="1:21" ht="15.05" x14ac:dyDescent="0.3">
      <c r="A4" s="27" t="s">
        <v>42</v>
      </c>
      <c r="B4" s="27" t="s">
        <v>43</v>
      </c>
      <c r="C4" s="28"/>
      <c r="D4" s="28"/>
      <c r="E4" s="28"/>
      <c r="F4" s="28"/>
      <c r="G4" s="28"/>
      <c r="H4" s="28"/>
      <c r="I4" s="28"/>
      <c r="J4" s="28"/>
      <c r="K4" s="29"/>
      <c r="L4" s="30"/>
      <c r="M4" s="25"/>
      <c r="N4" s="25"/>
      <c r="O4" s="25"/>
      <c r="P4" s="25"/>
      <c r="Q4" s="25"/>
      <c r="R4" s="26"/>
      <c r="S4" s="26"/>
    </row>
    <row r="5" spans="1:21" x14ac:dyDescent="0.25">
      <c r="A5" s="31" t="s">
        <v>101</v>
      </c>
      <c r="B5" s="31"/>
      <c r="C5" s="31"/>
      <c r="D5" s="32"/>
      <c r="E5" s="32"/>
      <c r="F5" s="32"/>
      <c r="G5" s="33"/>
      <c r="H5" s="32"/>
      <c r="I5" s="32"/>
      <c r="J5" s="32"/>
      <c r="K5" s="34"/>
      <c r="L5" s="35"/>
      <c r="M5" s="36"/>
      <c r="N5" s="36"/>
      <c r="O5" s="36"/>
      <c r="P5" s="36"/>
      <c r="Q5" s="36"/>
      <c r="R5" s="36"/>
      <c r="S5" s="36"/>
      <c r="T5" s="36"/>
      <c r="U5" s="36"/>
    </row>
    <row r="6" spans="1:21" ht="6.3" customHeight="1" x14ac:dyDescent="0.25">
      <c r="K6" s="71"/>
    </row>
    <row r="7" spans="1:21" x14ac:dyDescent="0.25">
      <c r="A7" s="67" t="s">
        <v>62</v>
      </c>
      <c r="B7" s="54"/>
      <c r="C7" s="62">
        <v>0.13300000000000001</v>
      </c>
      <c r="D7" s="62">
        <v>9.1999999999999998E-2</v>
      </c>
      <c r="E7" s="62"/>
      <c r="F7" s="62">
        <v>0.28399999999999997</v>
      </c>
      <c r="G7" s="62">
        <v>0.182</v>
      </c>
      <c r="H7" s="62">
        <v>0.14099999999999999</v>
      </c>
      <c r="I7" s="62">
        <v>0.114</v>
      </c>
      <c r="J7" s="62">
        <v>2.3E-2</v>
      </c>
      <c r="K7" s="65">
        <v>0.14399999999999999</v>
      </c>
      <c r="L7" s="101">
        <f>Scenarios!G7</f>
        <v>0.15</v>
      </c>
      <c r="M7" s="101">
        <f>Scenarios!H7</f>
        <v>0.14749999999999999</v>
      </c>
      <c r="N7" s="101">
        <f>Scenarios!I7</f>
        <v>0.14499999999999999</v>
      </c>
      <c r="O7" s="101">
        <f>Scenarios!J7</f>
        <v>0.14249999999999999</v>
      </c>
      <c r="P7" s="101">
        <f>Scenarios!K7</f>
        <v>0.13749999999999998</v>
      </c>
      <c r="Q7" s="101">
        <f>Scenarios!L7</f>
        <v>0.13249999999999998</v>
      </c>
      <c r="R7" s="101">
        <f>Scenarios!M7</f>
        <v>0.12749999999999997</v>
      </c>
      <c r="S7" s="101">
        <f>Scenarios!N7</f>
        <v>0.12249999999999997</v>
      </c>
      <c r="T7" s="101">
        <f>Scenarios!O7</f>
        <v>0.11749999999999997</v>
      </c>
      <c r="U7" s="101">
        <f>Scenarios!P7</f>
        <v>0.11249999999999996</v>
      </c>
    </row>
    <row r="8" spans="1:21" x14ac:dyDescent="0.25">
      <c r="A8" s="67" t="s">
        <v>59</v>
      </c>
      <c r="B8" s="54"/>
      <c r="C8" s="59"/>
      <c r="D8" s="59">
        <f>D9-C9</f>
        <v>19</v>
      </c>
      <c r="E8" s="59">
        <f>E9-D9</f>
        <v>23</v>
      </c>
      <c r="F8" s="59">
        <v>26</v>
      </c>
      <c r="G8" s="60">
        <v>16</v>
      </c>
      <c r="H8" s="60">
        <v>11</v>
      </c>
      <c r="I8" s="60">
        <v>19</v>
      </c>
      <c r="J8" s="60">
        <v>14</v>
      </c>
      <c r="K8" s="66">
        <f>K9-J9</f>
        <v>18</v>
      </c>
      <c r="L8" s="75">
        <f>Scenarios!G13</f>
        <v>14</v>
      </c>
      <c r="M8" s="75">
        <f>Scenarios!H13</f>
        <v>13</v>
      </c>
      <c r="N8" s="75">
        <f>Scenarios!I13</f>
        <v>12</v>
      </c>
      <c r="O8" s="75">
        <f>Scenarios!J13</f>
        <v>11</v>
      </c>
      <c r="P8" s="75">
        <f>Scenarios!K13</f>
        <v>11</v>
      </c>
      <c r="Q8" s="75">
        <f>Scenarios!L13</f>
        <v>10</v>
      </c>
      <c r="R8" s="75">
        <f>Scenarios!M13</f>
        <v>10</v>
      </c>
      <c r="S8" s="75">
        <f>Scenarios!N13</f>
        <v>9</v>
      </c>
      <c r="T8" s="75">
        <f>Scenarios!O13</f>
        <v>9</v>
      </c>
      <c r="U8" s="75">
        <f>Scenarios!P13</f>
        <v>9</v>
      </c>
    </row>
    <row r="9" spans="1:21" x14ac:dyDescent="0.25">
      <c r="A9" s="67" t="s">
        <v>61</v>
      </c>
      <c r="B9" s="54"/>
      <c r="C9" s="61">
        <v>195</v>
      </c>
      <c r="D9" s="61">
        <v>214</v>
      </c>
      <c r="E9" s="61">
        <v>237</v>
      </c>
      <c r="F9" s="61">
        <v>263</v>
      </c>
      <c r="G9" s="60">
        <v>279</v>
      </c>
      <c r="H9" s="60">
        <v>290</v>
      </c>
      <c r="I9" s="60">
        <v>309</v>
      </c>
      <c r="J9" s="60">
        <v>323</v>
      </c>
      <c r="K9" s="66">
        <v>341</v>
      </c>
      <c r="L9" s="75">
        <f>K9+L8</f>
        <v>355</v>
      </c>
      <c r="M9" s="75">
        <f t="shared" ref="M9:U9" si="0">L9+M8</f>
        <v>368</v>
      </c>
      <c r="N9" s="75">
        <f t="shared" si="0"/>
        <v>380</v>
      </c>
      <c r="O9" s="75">
        <f t="shared" si="0"/>
        <v>391</v>
      </c>
      <c r="P9" s="75">
        <f t="shared" si="0"/>
        <v>402</v>
      </c>
      <c r="Q9" s="75">
        <f t="shared" si="0"/>
        <v>412</v>
      </c>
      <c r="R9" s="75">
        <f t="shared" si="0"/>
        <v>422</v>
      </c>
      <c r="S9" s="75">
        <f t="shared" si="0"/>
        <v>431</v>
      </c>
      <c r="T9" s="75">
        <f t="shared" si="0"/>
        <v>440</v>
      </c>
      <c r="U9" s="75">
        <f t="shared" si="0"/>
        <v>449</v>
      </c>
    </row>
    <row r="10" spans="1:21" x14ac:dyDescent="0.25">
      <c r="A10" s="67"/>
      <c r="B10" s="54"/>
      <c r="C10" s="57"/>
      <c r="D10" s="58"/>
      <c r="E10" s="58"/>
      <c r="F10" s="50"/>
      <c r="G10" s="50"/>
      <c r="H10" s="50"/>
      <c r="I10" s="50"/>
      <c r="J10" s="50"/>
      <c r="K10" s="51"/>
    </row>
    <row r="11" spans="1:21" x14ac:dyDescent="0.25">
      <c r="A11" s="67" t="s">
        <v>102</v>
      </c>
      <c r="B11" s="54"/>
      <c r="C11" s="50"/>
      <c r="D11" s="50">
        <f t="shared" ref="D11:K11" si="1">D13/C9</f>
        <v>714143.58974358975</v>
      </c>
      <c r="E11" s="50">
        <f t="shared" si="1"/>
        <v>607172.89719626168</v>
      </c>
      <c r="F11" s="50">
        <f t="shared" si="1"/>
        <v>856890.2953586498</v>
      </c>
      <c r="G11" s="50">
        <f t="shared" si="1"/>
        <v>657391.63498098857</v>
      </c>
      <c r="H11" s="50">
        <f t="shared" si="1"/>
        <v>629222.22222222225</v>
      </c>
      <c r="I11" s="50">
        <f t="shared" si="1"/>
        <v>610931.03448275861</v>
      </c>
      <c r="J11" s="50">
        <f t="shared" si="1"/>
        <v>838207.11974110035</v>
      </c>
      <c r="K11" s="51">
        <f t="shared" si="1"/>
        <v>722894.73684210528</v>
      </c>
      <c r="L11" s="68">
        <f>H11*(1+L7)</f>
        <v>723605.5555555555</v>
      </c>
      <c r="M11" s="68">
        <f t="shared" ref="M11:U11" si="2">I11*(1+M7)</f>
        <v>701043.36206896545</v>
      </c>
      <c r="N11" s="68">
        <f t="shared" si="2"/>
        <v>959747.15210355993</v>
      </c>
      <c r="O11" s="68">
        <f t="shared" si="2"/>
        <v>825907.23684210528</v>
      </c>
      <c r="P11" s="68">
        <f t="shared" si="2"/>
        <v>823101.31944444438</v>
      </c>
      <c r="Q11" s="68">
        <f t="shared" si="2"/>
        <v>793931.6075431034</v>
      </c>
      <c r="R11" s="68">
        <f t="shared" si="2"/>
        <v>1082114.9139967638</v>
      </c>
      <c r="S11" s="68">
        <f t="shared" si="2"/>
        <v>927080.87335526326</v>
      </c>
      <c r="T11" s="68">
        <f t="shared" si="2"/>
        <v>919815.72447916656</v>
      </c>
      <c r="U11" s="68">
        <f t="shared" si="2"/>
        <v>883248.91339170258</v>
      </c>
    </row>
    <row r="12" spans="1:21" x14ac:dyDescent="0.25">
      <c r="A12" s="67"/>
      <c r="B12" s="54"/>
      <c r="C12" s="57"/>
      <c r="D12" s="58"/>
      <c r="E12" s="58"/>
      <c r="F12" s="50"/>
      <c r="G12" s="50"/>
      <c r="H12" s="50"/>
      <c r="I12" s="50"/>
      <c r="J12" s="50"/>
      <c r="K12" s="51"/>
    </row>
    <row r="13" spans="1:21" x14ac:dyDescent="0.25">
      <c r="A13" s="8" t="s">
        <v>15</v>
      </c>
      <c r="B13" s="30"/>
      <c r="C13" s="48">
        <v>135915000</v>
      </c>
      <c r="D13" s="48">
        <v>139258000</v>
      </c>
      <c r="E13" s="48">
        <v>129935000</v>
      </c>
      <c r="F13" s="48">
        <v>203083000</v>
      </c>
      <c r="G13" s="48">
        <v>172894000</v>
      </c>
      <c r="H13" s="48">
        <v>175553000</v>
      </c>
      <c r="I13" s="48">
        <v>177170000</v>
      </c>
      <c r="J13" s="48">
        <v>259006000</v>
      </c>
      <c r="K13" s="49">
        <v>233495000</v>
      </c>
      <c r="L13" s="103">
        <f>L11*K9</f>
        <v>246749494.44444442</v>
      </c>
      <c r="M13" s="103">
        <f t="shared" ref="M13:U13" si="3">M11*L9</f>
        <v>248870393.53448275</v>
      </c>
      <c r="N13" s="103">
        <f t="shared" si="3"/>
        <v>353186951.97411007</v>
      </c>
      <c r="O13" s="103">
        <f t="shared" si="3"/>
        <v>313844750</v>
      </c>
      <c r="P13" s="103">
        <f t="shared" si="3"/>
        <v>321832615.90277773</v>
      </c>
      <c r="Q13" s="103">
        <f t="shared" si="3"/>
        <v>319160506.23232758</v>
      </c>
      <c r="R13" s="103">
        <f t="shared" si="3"/>
        <v>445831344.56666666</v>
      </c>
      <c r="S13" s="103">
        <f t="shared" si="3"/>
        <v>391228128.55592108</v>
      </c>
      <c r="T13" s="103">
        <f t="shared" si="3"/>
        <v>396440577.25052077</v>
      </c>
      <c r="U13" s="103">
        <f t="shared" si="3"/>
        <v>388629521.89234912</v>
      </c>
    </row>
    <row r="14" spans="1:21" x14ac:dyDescent="0.25">
      <c r="A14" s="39" t="s">
        <v>51</v>
      </c>
      <c r="B14" s="30"/>
      <c r="C14" s="50"/>
      <c r="D14" s="50"/>
      <c r="E14" s="50"/>
      <c r="F14" s="50"/>
      <c r="G14" s="42">
        <f t="shared" ref="G14:L14" si="4">(G13/C13)-1</f>
        <v>0.27207445830114407</v>
      </c>
      <c r="H14" s="42">
        <f t="shared" si="4"/>
        <v>0.26063134613451289</v>
      </c>
      <c r="I14" s="42">
        <f t="shared" si="4"/>
        <v>0.36352791780505633</v>
      </c>
      <c r="J14" s="55">
        <f t="shared" si="4"/>
        <v>0.2753701688472201</v>
      </c>
      <c r="K14" s="43">
        <f t="shared" si="4"/>
        <v>0.35050956077133977</v>
      </c>
      <c r="L14" s="55">
        <f t="shared" si="4"/>
        <v>0.40555555555555545</v>
      </c>
      <c r="M14" s="55">
        <f t="shared" ref="M14:U14" si="5">(M13/I13)-1</f>
        <v>0.40469827586206897</v>
      </c>
      <c r="N14" s="55">
        <f t="shared" si="5"/>
        <v>0.36362459546925585</v>
      </c>
      <c r="O14" s="55">
        <f t="shared" si="5"/>
        <v>0.34411764705882364</v>
      </c>
      <c r="P14" s="55">
        <f t="shared" si="5"/>
        <v>0.30428885630498526</v>
      </c>
      <c r="Q14" s="55">
        <f t="shared" si="5"/>
        <v>0.28243661971830991</v>
      </c>
      <c r="R14" s="55">
        <f t="shared" si="5"/>
        <v>0.26230978260869553</v>
      </c>
      <c r="S14" s="55">
        <f t="shared" si="5"/>
        <v>0.24656578947368435</v>
      </c>
      <c r="T14" s="55">
        <f t="shared" si="5"/>
        <v>0.23182225063938611</v>
      </c>
      <c r="U14" s="55">
        <f t="shared" si="5"/>
        <v>0.21766169154228843</v>
      </c>
    </row>
    <row r="15" spans="1:21" x14ac:dyDescent="0.25">
      <c r="A15" s="39"/>
      <c r="B15" s="30"/>
      <c r="C15" s="50"/>
      <c r="D15" s="50"/>
      <c r="E15" s="50"/>
      <c r="F15" s="50"/>
      <c r="G15" s="42"/>
      <c r="H15" s="42"/>
      <c r="I15" s="42"/>
      <c r="J15" s="55"/>
      <c r="K15" s="43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 spans="1:21" x14ac:dyDescent="0.25">
      <c r="A16" s="31" t="s">
        <v>44</v>
      </c>
      <c r="B16" s="31"/>
      <c r="C16" s="31"/>
      <c r="D16" s="32"/>
      <c r="E16" s="32"/>
      <c r="F16" s="32"/>
      <c r="G16" s="33"/>
      <c r="H16" s="32"/>
      <c r="I16" s="32"/>
      <c r="J16" s="32"/>
      <c r="K16" s="34"/>
      <c r="L16" s="35"/>
      <c r="M16" s="36"/>
      <c r="N16" s="36"/>
      <c r="O16" s="36"/>
      <c r="P16" s="36"/>
      <c r="Q16" s="36"/>
      <c r="R16" s="36"/>
      <c r="S16" s="36"/>
      <c r="T16" s="36"/>
      <c r="U16" s="36"/>
    </row>
    <row r="17" spans="1:27" ht="6.3" customHeight="1" x14ac:dyDescent="0.25">
      <c r="K17" s="71"/>
    </row>
    <row r="18" spans="1:27" ht="15.85" customHeight="1" x14ac:dyDescent="0.25">
      <c r="A18" s="8" t="s">
        <v>15</v>
      </c>
      <c r="B18" s="30"/>
      <c r="C18" s="48">
        <v>135915000</v>
      </c>
      <c r="D18" s="48">
        <v>139258000</v>
      </c>
      <c r="E18" s="48">
        <v>129935000</v>
      </c>
      <c r="F18" s="48">
        <v>203083000</v>
      </c>
      <c r="G18" s="48">
        <v>172894000</v>
      </c>
      <c r="H18" s="48">
        <v>175553000</v>
      </c>
      <c r="I18" s="48">
        <v>177170000</v>
      </c>
      <c r="J18" s="48">
        <v>259006000</v>
      </c>
      <c r="K18" s="49">
        <v>233495000</v>
      </c>
      <c r="L18" s="121">
        <f t="shared" ref="L18:U18" si="6">L13</f>
        <v>246749494.44444442</v>
      </c>
      <c r="M18" s="121">
        <f t="shared" si="6"/>
        <v>248870393.53448275</v>
      </c>
      <c r="N18" s="121">
        <f t="shared" si="6"/>
        <v>353186951.97411007</v>
      </c>
      <c r="O18" s="121">
        <f t="shared" si="6"/>
        <v>313844750</v>
      </c>
      <c r="P18" s="121">
        <f t="shared" si="6"/>
        <v>321832615.90277773</v>
      </c>
      <c r="Q18" s="121">
        <f t="shared" si="6"/>
        <v>319160506.23232758</v>
      </c>
      <c r="R18" s="121">
        <f t="shared" si="6"/>
        <v>445831344.56666666</v>
      </c>
      <c r="S18" s="121">
        <f t="shared" si="6"/>
        <v>391228128.55592108</v>
      </c>
      <c r="T18" s="121">
        <f t="shared" si="6"/>
        <v>396440577.25052077</v>
      </c>
      <c r="U18" s="121">
        <f t="shared" si="6"/>
        <v>388629521.89234912</v>
      </c>
      <c r="V18" s="144"/>
      <c r="W18" s="144"/>
      <c r="X18" s="144"/>
      <c r="Y18" s="144"/>
      <c r="Z18" s="144"/>
      <c r="AA18" s="144"/>
    </row>
    <row r="19" spans="1:27" ht="15.85" customHeight="1" x14ac:dyDescent="0.25">
      <c r="A19" s="14" t="s">
        <v>19</v>
      </c>
      <c r="B19" s="30"/>
      <c r="C19" s="50">
        <v>43741000</v>
      </c>
      <c r="D19" s="50">
        <v>44617000</v>
      </c>
      <c r="E19" s="50">
        <v>40726000</v>
      </c>
      <c r="F19" s="50">
        <v>59118000</v>
      </c>
      <c r="G19" s="50">
        <v>51000000</v>
      </c>
      <c r="H19" s="50">
        <v>51818000</v>
      </c>
      <c r="I19" s="50">
        <v>51522000</v>
      </c>
      <c r="J19" s="50">
        <v>73947000</v>
      </c>
      <c r="K19" s="51">
        <v>68839000</v>
      </c>
      <c r="L19" s="122">
        <f t="shared" ref="L19:U19" si="7">L51*L$18</f>
        <v>72216204.041666657</v>
      </c>
      <c r="M19" s="122">
        <f t="shared" si="7"/>
        <v>71750688.585129306</v>
      </c>
      <c r="N19" s="122">
        <f t="shared" si="7"/>
        <v>99952980.581229791</v>
      </c>
      <c r="O19" s="122">
        <f t="shared" si="7"/>
        <v>91743102.830882356</v>
      </c>
      <c r="P19" s="122">
        <f t="shared" si="7"/>
        <v>93386208.636435911</v>
      </c>
      <c r="Q19" s="122">
        <f t="shared" si="7"/>
        <v>91217809.265993521</v>
      </c>
      <c r="R19" s="122">
        <f t="shared" si="7"/>
        <v>125057046.82716668</v>
      </c>
      <c r="S19" s="122">
        <f t="shared" si="7"/>
        <v>113385743.08775446</v>
      </c>
      <c r="T19" s="122">
        <f t="shared" si="7"/>
        <v>114044108.25808747</v>
      </c>
      <c r="U19" s="122">
        <f t="shared" si="7"/>
        <v>110100858.12488064</v>
      </c>
      <c r="V19" s="102"/>
    </row>
    <row r="20" spans="1:27" ht="15.85" customHeight="1" x14ac:dyDescent="0.25">
      <c r="A20" s="14" t="s">
        <v>20</v>
      </c>
      <c r="B20" s="30"/>
      <c r="C20" s="50">
        <v>37731000</v>
      </c>
      <c r="D20" s="50">
        <v>37193000</v>
      </c>
      <c r="E20" s="50">
        <v>35945000</v>
      </c>
      <c r="F20" s="50">
        <v>52154000</v>
      </c>
      <c r="G20" s="50">
        <v>42417000</v>
      </c>
      <c r="H20" s="50">
        <v>43913000</v>
      </c>
      <c r="I20" s="50">
        <v>48842000</v>
      </c>
      <c r="J20" s="50">
        <v>66513000</v>
      </c>
      <c r="K20" s="51">
        <v>58388000</v>
      </c>
      <c r="L20" s="122">
        <f t="shared" ref="L20:U20" si="8">L52*L$18</f>
        <v>61105287.375</v>
      </c>
      <c r="M20" s="122">
        <f t="shared" si="8"/>
        <v>67986097.205818966</v>
      </c>
      <c r="N20" s="122">
        <f t="shared" si="8"/>
        <v>89815795.338511333</v>
      </c>
      <c r="O20" s="122">
        <f t="shared" si="8"/>
        <v>77695729.301470578</v>
      </c>
      <c r="P20" s="122">
        <f t="shared" si="8"/>
        <v>78894363.844769254</v>
      </c>
      <c r="Q20" s="122">
        <f t="shared" si="8"/>
        <v>86389959.422890082</v>
      </c>
      <c r="R20" s="122">
        <f t="shared" si="8"/>
        <v>112260778.72716667</v>
      </c>
      <c r="S20" s="122">
        <f t="shared" si="8"/>
        <v>95874767.814031541</v>
      </c>
      <c r="T20" s="122">
        <f t="shared" si="8"/>
        <v>96192731.390899986</v>
      </c>
      <c r="U20" s="122">
        <f t="shared" si="8"/>
        <v>104222170.31841514</v>
      </c>
      <c r="V20" s="102"/>
    </row>
    <row r="21" spans="1:27" ht="15.85" customHeight="1" x14ac:dyDescent="0.25">
      <c r="A21" s="14" t="s">
        <v>21</v>
      </c>
      <c r="B21" s="30"/>
      <c r="C21" s="50">
        <v>12214000</v>
      </c>
      <c r="D21" s="50">
        <v>12302000</v>
      </c>
      <c r="E21" s="50">
        <v>12413000</v>
      </c>
      <c r="F21" s="50">
        <v>16599000</v>
      </c>
      <c r="G21" s="50">
        <v>13400000</v>
      </c>
      <c r="H21" s="50">
        <v>13782000</v>
      </c>
      <c r="I21" s="50">
        <v>14538000</v>
      </c>
      <c r="J21" s="50">
        <v>20422000</v>
      </c>
      <c r="K21" s="51">
        <v>15917000</v>
      </c>
      <c r="L21" s="122">
        <f t="shared" ref="L21:U21" si="9">L53*L$18</f>
        <v>18754492.930555552</v>
      </c>
      <c r="M21" s="122">
        <f t="shared" si="9"/>
        <v>19799327.550646551</v>
      </c>
      <c r="N21" s="122">
        <f t="shared" si="9"/>
        <v>26964974.108737864</v>
      </c>
      <c r="O21" s="122">
        <f t="shared" si="9"/>
        <v>20609708.713235293</v>
      </c>
      <c r="P21" s="122">
        <f t="shared" si="9"/>
        <v>23656694.595217288</v>
      </c>
      <c r="Q21" s="122">
        <f t="shared" si="9"/>
        <v>24593481.431165945</v>
      </c>
      <c r="R21" s="122">
        <f t="shared" si="9"/>
        <v>32923572.24383333</v>
      </c>
      <c r="S21" s="122">
        <f t="shared" si="9"/>
        <v>24713287.491547022</v>
      </c>
      <c r="T21" s="122">
        <f t="shared" si="9"/>
        <v>28149741.335842859</v>
      </c>
      <c r="U21" s="122">
        <f t="shared" si="9"/>
        <v>28974966.395656515</v>
      </c>
      <c r="V21" s="102"/>
    </row>
    <row r="22" spans="1:27" ht="15.85" customHeight="1" x14ac:dyDescent="0.25">
      <c r="A22" s="14" t="s">
        <v>22</v>
      </c>
      <c r="B22" s="38"/>
      <c r="C22" s="52">
        <v>16624000</v>
      </c>
      <c r="D22" s="52">
        <v>18738000</v>
      </c>
      <c r="E22" s="52">
        <v>17024000</v>
      </c>
      <c r="F22" s="52">
        <v>24648000</v>
      </c>
      <c r="G22" s="52">
        <v>20646000</v>
      </c>
      <c r="H22" s="52">
        <v>21553000</v>
      </c>
      <c r="I22" s="52">
        <v>22404000</v>
      </c>
      <c r="J22" s="52">
        <v>32758000</v>
      </c>
      <c r="K22" s="53">
        <v>27991000</v>
      </c>
      <c r="L22" s="123">
        <f t="shared" ref="L22:U22" si="10">L54*L$18</f>
        <v>29677065.152777776</v>
      </c>
      <c r="M22" s="124">
        <f t="shared" si="10"/>
        <v>30848684.188577589</v>
      </c>
      <c r="N22" s="124">
        <f t="shared" si="10"/>
        <v>43786647.118446603</v>
      </c>
      <c r="O22" s="124">
        <f t="shared" si="10"/>
        <v>36838585.183823526</v>
      </c>
      <c r="P22" s="124">
        <f t="shared" si="10"/>
        <v>37902883.826848112</v>
      </c>
      <c r="Q22" s="124">
        <f t="shared" si="10"/>
        <v>38763581.007976294</v>
      </c>
      <c r="R22" s="124">
        <f t="shared" si="10"/>
        <v>54157734.643833324</v>
      </c>
      <c r="S22" s="124">
        <f t="shared" si="10"/>
        <v>44943649.701376744</v>
      </c>
      <c r="T22" s="124">
        <f t="shared" si="10"/>
        <v>45698514.218184933</v>
      </c>
      <c r="U22" s="124">
        <f t="shared" si="10"/>
        <v>46229353.815678075</v>
      </c>
      <c r="V22" s="102"/>
    </row>
    <row r="23" spans="1:27" ht="15.85" customHeight="1" x14ac:dyDescent="0.25">
      <c r="A23" s="8" t="s">
        <v>52</v>
      </c>
      <c r="B23" s="30"/>
      <c r="C23" s="48">
        <f t="shared" ref="C23:L23" si="11">C18-C19-C20-C21-C22</f>
        <v>25605000</v>
      </c>
      <c r="D23" s="48">
        <f t="shared" si="11"/>
        <v>26408000</v>
      </c>
      <c r="E23" s="48">
        <f t="shared" si="11"/>
        <v>23827000</v>
      </c>
      <c r="F23" s="48">
        <f t="shared" si="11"/>
        <v>50564000</v>
      </c>
      <c r="G23" s="48">
        <f t="shared" si="11"/>
        <v>45431000</v>
      </c>
      <c r="H23" s="48">
        <f t="shared" si="11"/>
        <v>44487000</v>
      </c>
      <c r="I23" s="48">
        <f t="shared" si="11"/>
        <v>39864000</v>
      </c>
      <c r="J23" s="48">
        <f t="shared" si="11"/>
        <v>65366000</v>
      </c>
      <c r="K23" s="49">
        <f t="shared" si="11"/>
        <v>62360000</v>
      </c>
      <c r="L23" s="121">
        <f t="shared" si="11"/>
        <v>64996444.944444433</v>
      </c>
      <c r="M23" s="121">
        <f t="shared" ref="M23:U23" si="12">M18-M19-M20-M21-M22</f>
        <v>58485596.00431034</v>
      </c>
      <c r="N23" s="121">
        <f t="shared" si="12"/>
        <v>92666554.827184454</v>
      </c>
      <c r="O23" s="121">
        <f t="shared" si="12"/>
        <v>86957623.970588237</v>
      </c>
      <c r="P23" s="121">
        <f t="shared" si="12"/>
        <v>87992464.999507159</v>
      </c>
      <c r="Q23" s="121">
        <f t="shared" si="12"/>
        <v>78195675.104301736</v>
      </c>
      <c r="R23" s="121">
        <f t="shared" si="12"/>
        <v>121432212.12466668</v>
      </c>
      <c r="S23" s="121">
        <f t="shared" si="12"/>
        <v>112310680.46121129</v>
      </c>
      <c r="T23" s="121">
        <f t="shared" si="12"/>
        <v>112355482.04750554</v>
      </c>
      <c r="U23" s="121">
        <f t="shared" si="12"/>
        <v>99102173.237718716</v>
      </c>
      <c r="V23" s="102"/>
    </row>
    <row r="24" spans="1:27" ht="15.85" customHeight="1" x14ac:dyDescent="0.25">
      <c r="A24" s="14" t="s">
        <v>24</v>
      </c>
      <c r="B24" s="30"/>
      <c r="C24" s="50">
        <v>16284000</v>
      </c>
      <c r="D24" s="50">
        <v>16547000</v>
      </c>
      <c r="E24" s="50">
        <v>16269000</v>
      </c>
      <c r="F24" s="50">
        <v>29024000</v>
      </c>
      <c r="G24" s="50">
        <v>23321000</v>
      </c>
      <c r="H24" s="50">
        <v>24472000</v>
      </c>
      <c r="I24" s="50">
        <v>24674000</v>
      </c>
      <c r="J24" s="50">
        <v>33840000</v>
      </c>
      <c r="K24" s="51">
        <v>28281000</v>
      </c>
      <c r="L24" s="122">
        <f t="shared" ref="L24:U24" si="13">L55*L$18</f>
        <v>32721486.141402576</v>
      </c>
      <c r="M24" s="122">
        <f t="shared" si="13"/>
        <v>32580321.639766797</v>
      </c>
      <c r="N24" s="122">
        <f t="shared" si="13"/>
        <v>45499014.311428353</v>
      </c>
      <c r="O24" s="122">
        <f t="shared" si="13"/>
        <v>40287268.456122249</v>
      </c>
      <c r="P24" s="122">
        <f t="shared" si="13"/>
        <v>41895686.151706919</v>
      </c>
      <c r="Q24" s="122">
        <f t="shared" si="13"/>
        <v>41353813.442946464</v>
      </c>
      <c r="R24" s="122">
        <f t="shared" si="13"/>
        <v>57617026.935323998</v>
      </c>
      <c r="S24" s="122">
        <f t="shared" si="13"/>
        <v>50600564.100419633</v>
      </c>
      <c r="T24" s="122">
        <f t="shared" si="13"/>
        <v>51370953.994363248</v>
      </c>
      <c r="U24" s="122">
        <f t="shared" si="13"/>
        <v>50300690.529094726</v>
      </c>
      <c r="V24" s="102"/>
    </row>
    <row r="25" spans="1:27" ht="15.85" customHeight="1" x14ac:dyDescent="0.25">
      <c r="A25" s="14" t="s">
        <v>25</v>
      </c>
      <c r="B25" s="30"/>
      <c r="C25" s="50">
        <v>8946000</v>
      </c>
      <c r="D25" s="50">
        <v>10018000</v>
      </c>
      <c r="E25" s="50">
        <v>10941000</v>
      </c>
      <c r="F25" s="50">
        <v>12859000</v>
      </c>
      <c r="G25" s="50">
        <v>10709000</v>
      </c>
      <c r="H25" s="50">
        <v>11528000</v>
      </c>
      <c r="I25" s="50">
        <v>12337000</v>
      </c>
      <c r="J25" s="50">
        <v>17322000</v>
      </c>
      <c r="K25" s="51">
        <v>13733000</v>
      </c>
      <c r="L25" s="122">
        <f>L154</f>
        <v>15766343.367545633</v>
      </c>
      <c r="M25" s="122">
        <f t="shared" ref="M25:U25" si="14">M154</f>
        <v>16343702.42044167</v>
      </c>
      <c r="N25" s="122">
        <f t="shared" si="14"/>
        <v>16876649.238499552</v>
      </c>
      <c r="O25" s="122">
        <f t="shared" si="14"/>
        <v>17365183.821719274</v>
      </c>
      <c r="P25" s="122">
        <f t="shared" si="14"/>
        <v>17853718.404939</v>
      </c>
      <c r="Q25" s="122">
        <f t="shared" si="14"/>
        <v>18297840.753320567</v>
      </c>
      <c r="R25" s="122">
        <f t="shared" si="14"/>
        <v>18741963.101702131</v>
      </c>
      <c r="S25" s="122">
        <f t="shared" si="14"/>
        <v>19141673.215245545</v>
      </c>
      <c r="T25" s="122">
        <f t="shared" si="14"/>
        <v>19541383.328788955</v>
      </c>
      <c r="U25" s="122">
        <f t="shared" si="14"/>
        <v>19941093.442332365</v>
      </c>
      <c r="V25" s="102"/>
      <c r="W25" s="122"/>
    </row>
    <row r="26" spans="1:27" ht="15.85" customHeight="1" x14ac:dyDescent="0.25">
      <c r="A26" s="14" t="s">
        <v>26</v>
      </c>
      <c r="B26" s="30"/>
      <c r="C26" s="50">
        <v>1650000</v>
      </c>
      <c r="D26" s="50">
        <v>2055000</v>
      </c>
      <c r="E26" s="50">
        <v>934000</v>
      </c>
      <c r="F26" s="50">
        <v>2215000</v>
      </c>
      <c r="G26" s="50">
        <v>1853000</v>
      </c>
      <c r="H26" s="50">
        <v>1092000</v>
      </c>
      <c r="I26" s="50">
        <v>920000</v>
      </c>
      <c r="J26" s="50">
        <v>282000</v>
      </c>
      <c r="K26" s="51">
        <v>70000</v>
      </c>
      <c r="L26" s="122">
        <f t="shared" ref="L26:U26" si="15">L57*L$18</f>
        <v>789701.18979206483</v>
      </c>
      <c r="M26" s="122">
        <f t="shared" si="15"/>
        <v>608596.34118718817</v>
      </c>
      <c r="N26" s="122">
        <f t="shared" si="15"/>
        <v>621116.488140453</v>
      </c>
      <c r="O26" s="122">
        <f t="shared" si="15"/>
        <v>604484.54382325453</v>
      </c>
      <c r="P26" s="122">
        <f t="shared" si="15"/>
        <v>750716.35511410865</v>
      </c>
      <c r="Q26" s="122">
        <f t="shared" si="15"/>
        <v>675242.49119089881</v>
      </c>
      <c r="R26" s="122">
        <f t="shared" si="15"/>
        <v>906484.42461628793</v>
      </c>
      <c r="S26" s="122">
        <f t="shared" si="15"/>
        <v>822324.39789065032</v>
      </c>
      <c r="T26" s="122">
        <f t="shared" si="15"/>
        <v>850708.27457771858</v>
      </c>
      <c r="U26" s="122">
        <f t="shared" si="15"/>
        <v>815801.29519016715</v>
      </c>
      <c r="V26" s="102"/>
    </row>
    <row r="27" spans="1:27" ht="15.85" customHeight="1" x14ac:dyDescent="0.25">
      <c r="A27" s="14" t="s">
        <v>27</v>
      </c>
      <c r="B27" s="30"/>
      <c r="C27" s="50">
        <v>4484000</v>
      </c>
      <c r="D27" s="50">
        <v>6175000</v>
      </c>
      <c r="E27" s="50">
        <v>5088000</v>
      </c>
      <c r="F27" s="50">
        <v>5999000</v>
      </c>
      <c r="G27" s="50">
        <v>3400000</v>
      </c>
      <c r="H27" s="50">
        <v>3410000</v>
      </c>
      <c r="I27" s="50">
        <v>2909000</v>
      </c>
      <c r="J27" s="50">
        <v>3379000</v>
      </c>
      <c r="K27" s="51">
        <v>3302000</v>
      </c>
      <c r="L27" s="122">
        <f t="shared" ref="L27:U27" si="16">L58*L$18</f>
        <v>3888232.39099852</v>
      </c>
      <c r="M27" s="122">
        <f t="shared" si="16"/>
        <v>3693531.0289456402</v>
      </c>
      <c r="N27" s="122">
        <f t="shared" si="16"/>
        <v>5102373.2387173055</v>
      </c>
      <c r="O27" s="122">
        <f t="shared" si="16"/>
        <v>4643905.08825034</v>
      </c>
      <c r="P27" s="122">
        <f t="shared" si="16"/>
        <v>4814815.6741111446</v>
      </c>
      <c r="Q27" s="122">
        <f t="shared" si="16"/>
        <v>4711231.1753484057</v>
      </c>
      <c r="R27" s="122">
        <f t="shared" si="16"/>
        <v>6572159.2140617808</v>
      </c>
      <c r="S27" s="122">
        <f t="shared" si="16"/>
        <v>5796056.7768202964</v>
      </c>
      <c r="T27" s="122">
        <f t="shared" si="16"/>
        <v>5875083.9832090391</v>
      </c>
      <c r="U27" s="122">
        <f t="shared" si="16"/>
        <v>5745624.5403575813</v>
      </c>
      <c r="V27" s="102"/>
    </row>
    <row r="28" spans="1:27" ht="15.85" customHeight="1" x14ac:dyDescent="0.25">
      <c r="A28" s="14" t="s">
        <v>28</v>
      </c>
      <c r="B28" s="30"/>
      <c r="C28" s="52">
        <v>2579000</v>
      </c>
      <c r="D28" s="52">
        <v>3838000</v>
      </c>
      <c r="E28" s="52">
        <v>9905000</v>
      </c>
      <c r="F28" s="52">
        <v>2719000</v>
      </c>
      <c r="G28" s="52">
        <v>386000</v>
      </c>
      <c r="H28" s="52">
        <v>1190000</v>
      </c>
      <c r="I28" s="52">
        <v>604000</v>
      </c>
      <c r="J28" s="52">
        <v>1290000</v>
      </c>
      <c r="K28" s="53">
        <v>830000</v>
      </c>
      <c r="L28" s="123">
        <f t="shared" ref="L28:U28" si="17">L59*L$18</f>
        <v>0</v>
      </c>
      <c r="M28" s="124">
        <f t="shared" si="17"/>
        <v>0</v>
      </c>
      <c r="N28" s="124">
        <f t="shared" si="17"/>
        <v>0</v>
      </c>
      <c r="O28" s="124">
        <f t="shared" si="17"/>
        <v>0</v>
      </c>
      <c r="P28" s="124">
        <f t="shared" si="17"/>
        <v>0</v>
      </c>
      <c r="Q28" s="124">
        <f t="shared" si="17"/>
        <v>0</v>
      </c>
      <c r="R28" s="124">
        <f t="shared" si="17"/>
        <v>0</v>
      </c>
      <c r="S28" s="124">
        <f t="shared" si="17"/>
        <v>0</v>
      </c>
      <c r="T28" s="124">
        <f t="shared" si="17"/>
        <v>0</v>
      </c>
      <c r="U28" s="124">
        <f t="shared" si="17"/>
        <v>0</v>
      </c>
      <c r="V28" s="102"/>
    </row>
    <row r="29" spans="1:27" ht="15.85" customHeight="1" x14ac:dyDescent="0.25">
      <c r="A29" s="8" t="s">
        <v>53</v>
      </c>
      <c r="B29" s="40"/>
      <c r="C29" s="48">
        <v>-8338000</v>
      </c>
      <c r="D29" s="48">
        <v>-12225000</v>
      </c>
      <c r="E29" s="48">
        <v>-19310000</v>
      </c>
      <c r="F29" s="48">
        <v>-2252000</v>
      </c>
      <c r="G29" s="48">
        <v>5762000</v>
      </c>
      <c r="H29" s="48">
        <v>2795000</v>
      </c>
      <c r="I29" s="48">
        <v>-1580000</v>
      </c>
      <c r="J29" s="48">
        <v>9253000</v>
      </c>
      <c r="K29" s="49">
        <f>K23-K24-K25-K26-K27-K28</f>
        <v>16144000</v>
      </c>
      <c r="L29" s="121">
        <f>L23-L24-L25-L26-L27-L28</f>
        <v>11830681.854705639</v>
      </c>
      <c r="M29" s="121">
        <f t="shared" ref="M29:U29" si="18">M23-M24-M25-M26-M27-M28</f>
        <v>5259444.5739690438</v>
      </c>
      <c r="N29" s="121">
        <f t="shared" si="18"/>
        <v>24567401.550398789</v>
      </c>
      <c r="O29" s="121">
        <f t="shared" si="18"/>
        <v>24056782.060673121</v>
      </c>
      <c r="P29" s="121">
        <f t="shared" si="18"/>
        <v>22677528.413635984</v>
      </c>
      <c r="Q29" s="121">
        <f t="shared" si="18"/>
        <v>13157547.241495401</v>
      </c>
      <c r="R29" s="121">
        <f t="shared" si="18"/>
        <v>37594578.44896248</v>
      </c>
      <c r="S29" s="121">
        <f t="shared" si="18"/>
        <v>35950061.970835172</v>
      </c>
      <c r="T29" s="121">
        <f t="shared" si="18"/>
        <v>34717352.466566585</v>
      </c>
      <c r="U29" s="121">
        <f t="shared" si="18"/>
        <v>22298963.430743877</v>
      </c>
      <c r="V29" s="102"/>
    </row>
    <row r="30" spans="1:27" ht="15.85" customHeight="1" x14ac:dyDescent="0.25">
      <c r="A30" s="14" t="s">
        <v>31</v>
      </c>
      <c r="B30" s="37"/>
      <c r="C30" s="50">
        <v>34000</v>
      </c>
      <c r="D30" s="50">
        <v>-115000</v>
      </c>
      <c r="E30" s="50">
        <v>-215000</v>
      </c>
      <c r="F30" s="50">
        <v>25000</v>
      </c>
      <c r="G30" s="50">
        <v>-699000</v>
      </c>
      <c r="H30" s="50">
        <v>-3956000</v>
      </c>
      <c r="I30" s="50">
        <v>-4222000</v>
      </c>
      <c r="J30" s="50">
        <v>-4914000</v>
      </c>
      <c r="K30" s="51">
        <v>-3824000</v>
      </c>
      <c r="L30" s="175">
        <f>-L197</f>
        <v>-4296850</v>
      </c>
      <c r="M30" s="175">
        <f t="shared" ref="M30:U30" si="19">-M197</f>
        <v>-4124976</v>
      </c>
      <c r="N30" s="175">
        <f t="shared" si="19"/>
        <v>-4124976</v>
      </c>
      <c r="O30" s="175">
        <f t="shared" si="19"/>
        <v>-3781228</v>
      </c>
      <c r="P30" s="175">
        <f t="shared" si="19"/>
        <v>-3437480</v>
      </c>
      <c r="Q30" s="175">
        <f t="shared" si="19"/>
        <v>-3437480</v>
      </c>
      <c r="R30" s="175">
        <f t="shared" si="19"/>
        <v>-3437480</v>
      </c>
      <c r="S30" s="175">
        <f t="shared" si="19"/>
        <v>-3437480</v>
      </c>
      <c r="T30" s="175">
        <f t="shared" si="19"/>
        <v>-3437480</v>
      </c>
      <c r="U30" s="175">
        <f t="shared" si="19"/>
        <v>-3437480</v>
      </c>
      <c r="V30" s="102"/>
    </row>
    <row r="31" spans="1:27" ht="15.85" customHeight="1" x14ac:dyDescent="0.25">
      <c r="A31" s="14" t="s">
        <v>32</v>
      </c>
      <c r="B31" s="37"/>
      <c r="C31" s="52">
        <v>198000</v>
      </c>
      <c r="D31" s="52">
        <v>188000</v>
      </c>
      <c r="E31" s="52">
        <v>275000</v>
      </c>
      <c r="F31" s="52">
        <v>174000</v>
      </c>
      <c r="G31" s="52">
        <v>118000</v>
      </c>
      <c r="H31" s="52">
        <v>120000</v>
      </c>
      <c r="I31" s="52">
        <v>59000</v>
      </c>
      <c r="J31" s="52">
        <v>78000</v>
      </c>
      <c r="K31" s="53">
        <v>60000</v>
      </c>
      <c r="L31" s="123">
        <v>0</v>
      </c>
      <c r="M31" s="124">
        <v>0</v>
      </c>
      <c r="N31" s="124">
        <v>0</v>
      </c>
      <c r="O31" s="124">
        <v>0</v>
      </c>
      <c r="P31" s="124">
        <v>0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02"/>
    </row>
    <row r="32" spans="1:27" ht="15.85" customHeight="1" x14ac:dyDescent="0.25">
      <c r="A32" s="8" t="s">
        <v>54</v>
      </c>
      <c r="B32" s="41"/>
      <c r="C32" s="48">
        <v>-8174000</v>
      </c>
      <c r="D32" s="48">
        <v>-11922000</v>
      </c>
      <c r="E32" s="48">
        <v>-18820000</v>
      </c>
      <c r="F32" s="48">
        <v>-2103000</v>
      </c>
      <c r="G32" s="48">
        <v>6579000</v>
      </c>
      <c r="H32" s="48">
        <v>6871000</v>
      </c>
      <c r="I32" s="48">
        <v>2701000</v>
      </c>
      <c r="J32" s="48">
        <v>14245000</v>
      </c>
      <c r="K32" s="49">
        <f>K29-K30+K31</f>
        <v>20028000</v>
      </c>
      <c r="L32" s="121">
        <f>L29-L30+L31</f>
        <v>16127531.854705639</v>
      </c>
      <c r="M32" s="121">
        <f t="shared" ref="M32:U32" si="20">M29-M30+M31</f>
        <v>9384420.5739690438</v>
      </c>
      <c r="N32" s="121">
        <f t="shared" si="20"/>
        <v>28692377.550398789</v>
      </c>
      <c r="O32" s="121">
        <f t="shared" si="20"/>
        <v>27838010.060673121</v>
      </c>
      <c r="P32" s="121">
        <f t="shared" si="20"/>
        <v>26115008.413635984</v>
      </c>
      <c r="Q32" s="121">
        <f t="shared" si="20"/>
        <v>16595027.241495401</v>
      </c>
      <c r="R32" s="121">
        <f t="shared" si="20"/>
        <v>41032058.44896248</v>
      </c>
      <c r="S32" s="121">
        <f t="shared" si="20"/>
        <v>39387541.970835172</v>
      </c>
      <c r="T32" s="121">
        <f t="shared" si="20"/>
        <v>38154832.466566585</v>
      </c>
      <c r="U32" s="121">
        <f t="shared" si="20"/>
        <v>25736443.430743877</v>
      </c>
      <c r="V32" s="102"/>
    </row>
    <row r="33" spans="1:22" ht="15.85" customHeight="1" x14ac:dyDescent="0.25">
      <c r="A33" s="14" t="s">
        <v>33</v>
      </c>
      <c r="B33" s="37"/>
      <c r="C33" s="52">
        <v>56000</v>
      </c>
      <c r="D33" s="52">
        <v>-29000</v>
      </c>
      <c r="E33" s="52">
        <v>26000</v>
      </c>
      <c r="F33" s="52">
        <v>38000</v>
      </c>
      <c r="G33" s="52">
        <v>40000</v>
      </c>
      <c r="H33" s="52">
        <v>38000</v>
      </c>
      <c r="I33" s="52">
        <v>652000</v>
      </c>
      <c r="J33" s="52">
        <v>252000</v>
      </c>
      <c r="K33" s="52">
        <v>287000</v>
      </c>
      <c r="L33" s="124">
        <f>L160</f>
        <v>553657.17006298224</v>
      </c>
      <c r="M33" s="124">
        <f t="shared" ref="M33:U33" si="21">M160</f>
        <v>509854.98876309145</v>
      </c>
      <c r="N33" s="124">
        <f t="shared" si="21"/>
        <v>2132702.6468807505</v>
      </c>
      <c r="O33" s="124">
        <f t="shared" si="21"/>
        <v>2625957.7654796331</v>
      </c>
      <c r="P33" s="124">
        <f t="shared" si="21"/>
        <v>2985727.2950640945</v>
      </c>
      <c r="Q33" s="124">
        <f t="shared" si="21"/>
        <v>2229208.9818968228</v>
      </c>
      <c r="R33" s="124">
        <f t="shared" si="21"/>
        <v>6332475.0399973588</v>
      </c>
      <c r="S33" s="124">
        <f t="shared" si="21"/>
        <v>6866427.7531621512</v>
      </c>
      <c r="T33" s="124">
        <f t="shared" si="21"/>
        <v>7414626.2309354795</v>
      </c>
      <c r="U33" s="124">
        <f t="shared" si="21"/>
        <v>5516090.3270826414</v>
      </c>
      <c r="V33" s="102"/>
    </row>
    <row r="34" spans="1:22" ht="15.85" customHeight="1" x14ac:dyDescent="0.25">
      <c r="A34" s="8" t="s">
        <v>34</v>
      </c>
      <c r="B34" s="41"/>
      <c r="C34" s="48">
        <v>-8230000</v>
      </c>
      <c r="D34" s="48">
        <v>-11893000</v>
      </c>
      <c r="E34" s="48">
        <v>-18846000</v>
      </c>
      <c r="F34" s="48">
        <v>-2141000</v>
      </c>
      <c r="G34" s="48">
        <v>6539000</v>
      </c>
      <c r="H34" s="48">
        <v>6833000</v>
      </c>
      <c r="I34" s="48">
        <v>2049000</v>
      </c>
      <c r="J34" s="48">
        <v>13993000</v>
      </c>
      <c r="K34" s="49">
        <v>19741000</v>
      </c>
      <c r="L34" s="121">
        <f>L32-L33</f>
        <v>15573874.684642658</v>
      </c>
      <c r="M34" s="121">
        <f t="shared" ref="M34:U34" si="22">M32-M33</f>
        <v>8874565.5852059517</v>
      </c>
      <c r="N34" s="121">
        <f t="shared" si="22"/>
        <v>26559674.90351804</v>
      </c>
      <c r="O34" s="121">
        <f t="shared" si="22"/>
        <v>25212052.29519349</v>
      </c>
      <c r="P34" s="121">
        <f t="shared" si="22"/>
        <v>23129281.118571889</v>
      </c>
      <c r="Q34" s="121">
        <f t="shared" si="22"/>
        <v>14365818.259598577</v>
      </c>
      <c r="R34" s="121">
        <f t="shared" si="22"/>
        <v>34699583.408965118</v>
      </c>
      <c r="S34" s="121">
        <f t="shared" si="22"/>
        <v>32521114.217673019</v>
      </c>
      <c r="T34" s="121">
        <f t="shared" si="22"/>
        <v>30740206.235631105</v>
      </c>
      <c r="U34" s="121">
        <f t="shared" si="22"/>
        <v>20220353.103661235</v>
      </c>
      <c r="V34" s="102"/>
    </row>
    <row r="35" spans="1:22" ht="15.85" customHeight="1" x14ac:dyDescent="0.25">
      <c r="A35" s="8" t="s">
        <v>56</v>
      </c>
      <c r="B35" s="37"/>
      <c r="C35" s="44">
        <v>-6.23</v>
      </c>
      <c r="D35" s="44">
        <v>-8.9600000000000009</v>
      </c>
      <c r="E35" s="44">
        <v>-13.87</v>
      </c>
      <c r="F35" s="44">
        <v>-1.3</v>
      </c>
      <c r="G35" s="44">
        <v>0.23</v>
      </c>
      <c r="H35" s="44">
        <v>0.06</v>
      </c>
      <c r="I35" s="44">
        <f>I34/I36</f>
        <v>1.8030305696837438E-2</v>
      </c>
      <c r="J35" s="44">
        <v>0.12</v>
      </c>
      <c r="K35" s="45">
        <v>0.17</v>
      </c>
      <c r="L35" s="120">
        <f t="shared" ref="L35:U35" si="23">L34/L36</f>
        <v>0.13645732659811319</v>
      </c>
      <c r="M35" s="120">
        <f t="shared" si="23"/>
        <v>7.7758394683308085E-2</v>
      </c>
      <c r="N35" s="120">
        <f t="shared" si="23"/>
        <v>0.23271422854217155</v>
      </c>
      <c r="O35" s="120">
        <f t="shared" si="23"/>
        <v>0.22090644261100054</v>
      </c>
      <c r="P35" s="120">
        <f t="shared" si="23"/>
        <v>0.20265733040017425</v>
      </c>
      <c r="Q35" s="120">
        <f t="shared" si="23"/>
        <v>0.12587241093138157</v>
      </c>
      <c r="R35" s="120">
        <f t="shared" si="23"/>
        <v>0.30403560333799279</v>
      </c>
      <c r="S35" s="120">
        <f t="shared" si="23"/>
        <v>0.28494799104243423</v>
      </c>
      <c r="T35" s="120">
        <f t="shared" si="23"/>
        <v>0.26934378546947435</v>
      </c>
      <c r="U35" s="120">
        <f t="shared" si="23"/>
        <v>0.17716948307772923</v>
      </c>
      <c r="V35" s="102"/>
    </row>
    <row r="36" spans="1:22" ht="15.85" customHeight="1" x14ac:dyDescent="0.25">
      <c r="A36" s="6" t="s">
        <v>57</v>
      </c>
      <c r="B36" s="37"/>
      <c r="C36" s="46">
        <v>1322000</v>
      </c>
      <c r="D36" s="46">
        <v>1327000</v>
      </c>
      <c r="E36" s="46">
        <v>1328000</v>
      </c>
      <c r="F36" s="46">
        <v>1647000</v>
      </c>
      <c r="G36" s="46">
        <v>28366000</v>
      </c>
      <c r="H36" s="46">
        <v>113584000</v>
      </c>
      <c r="I36" s="46">
        <v>113642000</v>
      </c>
      <c r="J36" s="56">
        <v>113972000</v>
      </c>
      <c r="K36" s="47">
        <v>114130000</v>
      </c>
      <c r="L36" s="119">
        <f>K36</f>
        <v>114130000</v>
      </c>
      <c r="M36" s="119">
        <f t="shared" ref="M36:U36" si="24">L36</f>
        <v>114130000</v>
      </c>
      <c r="N36" s="119">
        <f t="shared" si="24"/>
        <v>114130000</v>
      </c>
      <c r="O36" s="119">
        <f t="shared" si="24"/>
        <v>114130000</v>
      </c>
      <c r="P36" s="119">
        <f t="shared" si="24"/>
        <v>114130000</v>
      </c>
      <c r="Q36" s="119">
        <f t="shared" si="24"/>
        <v>114130000</v>
      </c>
      <c r="R36" s="119">
        <f t="shared" si="24"/>
        <v>114130000</v>
      </c>
      <c r="S36" s="119">
        <f t="shared" si="24"/>
        <v>114130000</v>
      </c>
      <c r="T36" s="119">
        <f t="shared" si="24"/>
        <v>114130000</v>
      </c>
      <c r="U36" s="119">
        <f t="shared" si="24"/>
        <v>114130000</v>
      </c>
      <c r="V36" s="102"/>
    </row>
    <row r="37" spans="1:22" ht="15.85" customHeight="1" x14ac:dyDescent="0.25">
      <c r="A37" s="6"/>
      <c r="B37" s="37"/>
      <c r="C37" s="46"/>
      <c r="D37" s="46"/>
      <c r="E37" s="46"/>
      <c r="F37" s="46"/>
      <c r="G37" s="46"/>
      <c r="H37" s="46"/>
      <c r="I37" s="46"/>
      <c r="J37" s="56"/>
      <c r="K37" s="47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02"/>
    </row>
    <row r="38" spans="1:22" ht="15.85" customHeight="1" x14ac:dyDescent="0.25">
      <c r="A38" s="111" t="s">
        <v>116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02"/>
    </row>
    <row r="39" spans="1:22" ht="15.85" customHeight="1" x14ac:dyDescent="0.25">
      <c r="A39" s="126" t="s">
        <v>117</v>
      </c>
      <c r="B39" s="37"/>
      <c r="C39" s="56"/>
      <c r="D39" s="127"/>
      <c r="E39" s="127"/>
      <c r="F39" s="127"/>
      <c r="G39" s="127">
        <f>(G18/C18)-1</f>
        <v>0.27207445830114407</v>
      </c>
      <c r="H39" s="127">
        <f t="shared" ref="H39:U39" si="25">(H18/D18)-1</f>
        <v>0.26063134613451289</v>
      </c>
      <c r="I39" s="127">
        <f t="shared" si="25"/>
        <v>0.36352791780505633</v>
      </c>
      <c r="J39" s="127">
        <f t="shared" si="25"/>
        <v>0.2753701688472201</v>
      </c>
      <c r="K39" s="118">
        <f t="shared" si="25"/>
        <v>0.35050956077133977</v>
      </c>
      <c r="L39" s="127">
        <f t="shared" si="25"/>
        <v>0.40555555555555545</v>
      </c>
      <c r="M39" s="127">
        <f t="shared" si="25"/>
        <v>0.40469827586206897</v>
      </c>
      <c r="N39" s="127">
        <f t="shared" si="25"/>
        <v>0.36362459546925585</v>
      </c>
      <c r="O39" s="127">
        <f t="shared" si="25"/>
        <v>0.34411764705882364</v>
      </c>
      <c r="P39" s="127">
        <f t="shared" si="25"/>
        <v>0.30428885630498526</v>
      </c>
      <c r="Q39" s="127">
        <f t="shared" si="25"/>
        <v>0.28243661971830991</v>
      </c>
      <c r="R39" s="127">
        <f t="shared" si="25"/>
        <v>0.26230978260869553</v>
      </c>
      <c r="S39" s="127">
        <f t="shared" si="25"/>
        <v>0.24656578947368435</v>
      </c>
      <c r="T39" s="127">
        <f t="shared" si="25"/>
        <v>0.23182225063938611</v>
      </c>
      <c r="U39" s="127">
        <f t="shared" si="25"/>
        <v>0.21766169154228843</v>
      </c>
      <c r="V39" s="102"/>
    </row>
    <row r="40" spans="1:22" ht="15.85" customHeight="1" x14ac:dyDescent="0.25">
      <c r="A40" s="126" t="s">
        <v>118</v>
      </c>
      <c r="B40" s="37"/>
      <c r="C40" s="56"/>
      <c r="D40" s="56"/>
      <c r="E40" s="56"/>
      <c r="F40" s="56"/>
      <c r="G40" s="127">
        <f>(G23/C23)-1</f>
        <v>0.77430189416129669</v>
      </c>
      <c r="H40" s="127">
        <f t="shared" ref="H40:U40" si="26">(H23/D23)-1</f>
        <v>0.68460315056043619</v>
      </c>
      <c r="I40" s="127">
        <f t="shared" si="26"/>
        <v>0.67305997397909945</v>
      </c>
      <c r="J40" s="127">
        <f t="shared" si="26"/>
        <v>0.29273791630408996</v>
      </c>
      <c r="K40" s="115">
        <f t="shared" si="26"/>
        <v>0.37263102286984662</v>
      </c>
      <c r="L40" s="127">
        <f t="shared" si="26"/>
        <v>0.46102108356248861</v>
      </c>
      <c r="M40" s="127">
        <f t="shared" si="26"/>
        <v>0.4671281357693744</v>
      </c>
      <c r="N40" s="127">
        <f t="shared" si="26"/>
        <v>0.41765680670661287</v>
      </c>
      <c r="O40" s="127">
        <f t="shared" si="26"/>
        <v>0.39444554154246703</v>
      </c>
      <c r="P40" s="127">
        <f t="shared" si="26"/>
        <v>0.35380427459868802</v>
      </c>
      <c r="Q40" s="127">
        <f t="shared" si="26"/>
        <v>0.33700740774769189</v>
      </c>
      <c r="R40" s="127">
        <f t="shared" si="26"/>
        <v>0.31042113685059114</v>
      </c>
      <c r="S40" s="127">
        <f t="shared" si="26"/>
        <v>0.29155645397116925</v>
      </c>
      <c r="T40" s="127">
        <f t="shared" si="26"/>
        <v>0.27687617397847464</v>
      </c>
      <c r="U40" s="127">
        <f t="shared" si="26"/>
        <v>0.26736131001530117</v>
      </c>
      <c r="V40" s="102"/>
    </row>
    <row r="41" spans="1:22" ht="15.85" customHeight="1" x14ac:dyDescent="0.25">
      <c r="A41" s="126" t="s">
        <v>119</v>
      </c>
      <c r="B41" s="37"/>
      <c r="C41" s="56"/>
      <c r="D41" s="56"/>
      <c r="E41" s="56"/>
      <c r="F41" s="56"/>
      <c r="G41" s="127">
        <f>(G29/C29)-1</f>
        <v>-1.6910530103142241</v>
      </c>
      <c r="H41" s="127">
        <f t="shared" ref="H41:U41" si="27">(H29/D29)-1</f>
        <v>-1.2286298568507157</v>
      </c>
      <c r="I41" s="127">
        <f t="shared" si="27"/>
        <v>-0.91817711030554117</v>
      </c>
      <c r="J41" s="127">
        <f t="shared" si="27"/>
        <v>-5.1087921847246891</v>
      </c>
      <c r="K41" s="115">
        <f t="shared" si="27"/>
        <v>1.8018049288441516</v>
      </c>
      <c r="L41" s="127">
        <f t="shared" si="27"/>
        <v>3.2328020947068472</v>
      </c>
      <c r="M41" s="127">
        <f>(M29/I29)-1</f>
        <v>-4.328762388588002</v>
      </c>
      <c r="N41" s="127">
        <f t="shared" si="27"/>
        <v>1.6550741976006473</v>
      </c>
      <c r="O41" s="127">
        <f t="shared" si="27"/>
        <v>0.49013764003178406</v>
      </c>
      <c r="P41" s="127">
        <f t="shared" si="27"/>
        <v>0.91684035562295385</v>
      </c>
      <c r="Q41" s="127">
        <f t="shared" si="27"/>
        <v>1.5016990019472813</v>
      </c>
      <c r="R41" s="127">
        <f t="shared" si="27"/>
        <v>0.53026270897388517</v>
      </c>
      <c r="S41" s="127">
        <f t="shared" si="27"/>
        <v>0.49438365780453308</v>
      </c>
      <c r="T41" s="127">
        <f t="shared" si="27"/>
        <v>0.53091429689009062</v>
      </c>
      <c r="U41" s="127">
        <f t="shared" si="27"/>
        <v>0.6947659789066829</v>
      </c>
      <c r="V41" s="102"/>
    </row>
    <row r="42" spans="1:22" ht="15.85" customHeight="1" x14ac:dyDescent="0.25">
      <c r="A42" s="126" t="s">
        <v>120</v>
      </c>
      <c r="B42" s="37"/>
      <c r="C42" s="56"/>
      <c r="D42" s="56"/>
      <c r="E42" s="56"/>
      <c r="F42" s="56"/>
      <c r="G42" s="127">
        <f>(G34/C34)-1</f>
        <v>-1.79453219927096</v>
      </c>
      <c r="H42" s="127">
        <f t="shared" ref="H42:U42" si="28">(H34/D34)-1</f>
        <v>-1.5745396451694273</v>
      </c>
      <c r="I42" s="127">
        <f t="shared" si="28"/>
        <v>-1.1087233365170328</v>
      </c>
      <c r="J42" s="127">
        <f t="shared" si="28"/>
        <v>-7.5357309668379262</v>
      </c>
      <c r="K42" s="115">
        <f t="shared" si="28"/>
        <v>2.0189631442116531</v>
      </c>
      <c r="L42" s="127">
        <f t="shared" si="28"/>
        <v>1.2792147935961742</v>
      </c>
      <c r="M42" s="127">
        <f t="shared" si="28"/>
        <v>3.3311691484655697</v>
      </c>
      <c r="N42" s="127">
        <f t="shared" si="28"/>
        <v>0.89806867030072457</v>
      </c>
      <c r="O42" s="127">
        <f>(O34/K34)-1</f>
        <v>0.27714159845972786</v>
      </c>
      <c r="P42" s="127">
        <f t="shared" si="28"/>
        <v>0.48513337797559086</v>
      </c>
      <c r="Q42" s="127">
        <f t="shared" si="28"/>
        <v>0.61876298300692434</v>
      </c>
      <c r="R42" s="127">
        <f t="shared" si="28"/>
        <v>0.30647621008225823</v>
      </c>
      <c r="S42" s="127">
        <f t="shared" si="28"/>
        <v>0.28990348889102346</v>
      </c>
      <c r="T42" s="127">
        <f t="shared" si="28"/>
        <v>0.32906016741471267</v>
      </c>
      <c r="U42" s="127">
        <f t="shared" si="28"/>
        <v>0.40753229215822273</v>
      </c>
      <c r="V42" s="102"/>
    </row>
    <row r="43" spans="1:22" ht="15.85" customHeight="1" x14ac:dyDescent="0.25">
      <c r="A43" s="6"/>
      <c r="B43" s="37"/>
      <c r="C43" s="46"/>
      <c r="D43" s="46"/>
      <c r="E43" s="46"/>
      <c r="F43" s="46"/>
      <c r="G43" s="46"/>
      <c r="H43" s="46"/>
      <c r="I43" s="46"/>
      <c r="J43" s="56"/>
      <c r="K43" s="47"/>
    </row>
    <row r="44" spans="1:22" ht="15.85" customHeight="1" x14ac:dyDescent="0.25">
      <c r="A44" s="111" t="s">
        <v>113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72"/>
      <c r="M44" s="73"/>
      <c r="N44" s="73"/>
      <c r="O44" s="73"/>
      <c r="P44" s="73"/>
      <c r="Q44" s="73"/>
      <c r="R44" s="73"/>
      <c r="S44" s="73"/>
      <c r="T44" s="73"/>
      <c r="U44" s="73"/>
    </row>
    <row r="45" spans="1:22" ht="15.85" customHeight="1" x14ac:dyDescent="0.25">
      <c r="A45" s="110" t="s">
        <v>55</v>
      </c>
      <c r="B45" s="37"/>
      <c r="C45" s="109">
        <f t="shared" ref="C45:U45" si="29">C23/C$18</f>
        <v>0.18838980245006071</v>
      </c>
      <c r="D45" s="109">
        <f t="shared" si="29"/>
        <v>0.18963362966580016</v>
      </c>
      <c r="E45" s="109">
        <f t="shared" si="29"/>
        <v>0.18337630353638357</v>
      </c>
      <c r="F45" s="109">
        <f t="shared" si="29"/>
        <v>0.24898194334336207</v>
      </c>
      <c r="G45" s="109">
        <f t="shared" si="29"/>
        <v>0.26276793873702964</v>
      </c>
      <c r="H45" s="109">
        <f t="shared" si="29"/>
        <v>0.25341065091453863</v>
      </c>
      <c r="I45" s="109">
        <f t="shared" si="29"/>
        <v>0.22500423322232885</v>
      </c>
      <c r="J45" s="109">
        <f t="shared" si="29"/>
        <v>0.25237253191045766</v>
      </c>
      <c r="K45" s="118">
        <f t="shared" si="29"/>
        <v>0.26707210004496884</v>
      </c>
      <c r="L45" s="109">
        <f t="shared" si="29"/>
        <v>0.26341065091453864</v>
      </c>
      <c r="M45" s="109">
        <f t="shared" si="29"/>
        <v>0.23500423322232883</v>
      </c>
      <c r="N45" s="109">
        <f t="shared" si="29"/>
        <v>0.26237253191045762</v>
      </c>
      <c r="O45" s="109">
        <f t="shared" si="29"/>
        <v>0.27707210004496885</v>
      </c>
      <c r="P45" s="109">
        <f t="shared" si="29"/>
        <v>0.27341065091453864</v>
      </c>
      <c r="Q45" s="109">
        <f t="shared" si="29"/>
        <v>0.24500423322232887</v>
      </c>
      <c r="R45" s="109">
        <f t="shared" si="29"/>
        <v>0.27237253191045768</v>
      </c>
      <c r="S45" s="109">
        <f t="shared" si="29"/>
        <v>0.2870721000449688</v>
      </c>
      <c r="T45" s="109">
        <f t="shared" si="29"/>
        <v>0.28341065091453865</v>
      </c>
      <c r="U45" s="109">
        <f t="shared" si="29"/>
        <v>0.25500423322232874</v>
      </c>
    </row>
    <row r="46" spans="1:22" ht="15.85" customHeight="1" x14ac:dyDescent="0.25">
      <c r="A46" s="110" t="s">
        <v>53</v>
      </c>
      <c r="B46" s="37"/>
      <c r="C46" s="109">
        <f t="shared" ref="C46:U46" si="30">C29/C$18</f>
        <v>-6.1347165507854171E-2</v>
      </c>
      <c r="D46" s="109">
        <f t="shared" si="30"/>
        <v>-8.7786698071205968E-2</v>
      </c>
      <c r="E46" s="109">
        <f t="shared" si="30"/>
        <v>-0.14861276792242276</v>
      </c>
      <c r="F46" s="109">
        <f t="shared" si="30"/>
        <v>-1.1089062107611174E-2</v>
      </c>
      <c r="G46" s="109">
        <f t="shared" si="30"/>
        <v>3.3326778257198049E-2</v>
      </c>
      <c r="H46" s="109">
        <f t="shared" si="30"/>
        <v>1.5921117839057152E-2</v>
      </c>
      <c r="I46" s="109">
        <f t="shared" si="30"/>
        <v>-8.9179883727493366E-3</v>
      </c>
      <c r="J46" s="109">
        <f t="shared" si="30"/>
        <v>3.572504111873856E-2</v>
      </c>
      <c r="K46" s="115">
        <f t="shared" si="30"/>
        <v>6.9140666823700722E-2</v>
      </c>
      <c r="L46" s="109">
        <f t="shared" si="30"/>
        <v>4.7946123988389017E-2</v>
      </c>
      <c r="M46" s="109">
        <f t="shared" si="30"/>
        <v>2.113326739783658E-2</v>
      </c>
      <c r="N46" s="109">
        <f t="shared" si="30"/>
        <v>6.9559199209034403E-2</v>
      </c>
      <c r="O46" s="109">
        <f t="shared" si="30"/>
        <v>7.6651854334581424E-2</v>
      </c>
      <c r="P46" s="109">
        <f t="shared" si="30"/>
        <v>7.0463735783966128E-2</v>
      </c>
      <c r="Q46" s="109">
        <f t="shared" si="30"/>
        <v>4.1225486814830348E-2</v>
      </c>
      <c r="R46" s="109">
        <f t="shared" si="30"/>
        <v>8.432466426402381E-2</v>
      </c>
      <c r="S46" s="109">
        <f t="shared" si="30"/>
        <v>9.1890279217734128E-2</v>
      </c>
      <c r="T46" s="109">
        <f t="shared" si="30"/>
        <v>8.7572651385349531E-2</v>
      </c>
      <c r="U46" s="109">
        <f t="shared" si="30"/>
        <v>5.7378459881698637E-2</v>
      </c>
    </row>
    <row r="47" spans="1:22" ht="15.85" customHeight="1" x14ac:dyDescent="0.25">
      <c r="A47" s="110" t="s">
        <v>114</v>
      </c>
      <c r="B47" s="37"/>
      <c r="C47" s="109">
        <f t="shared" ref="C47:U47" si="31">C32/C$18</f>
        <v>-6.0140529007100027E-2</v>
      </c>
      <c r="D47" s="109">
        <f t="shared" si="31"/>
        <v>-8.561088052391963E-2</v>
      </c>
      <c r="E47" s="109">
        <f t="shared" si="31"/>
        <v>-0.14484165159502829</v>
      </c>
      <c r="F47" s="109">
        <f t="shared" si="31"/>
        <v>-1.0355371941521446E-2</v>
      </c>
      <c r="G47" s="109">
        <f t="shared" si="31"/>
        <v>3.8052216965308222E-2</v>
      </c>
      <c r="H47" s="109">
        <f t="shared" si="31"/>
        <v>3.9139177342454985E-2</v>
      </c>
      <c r="I47" s="109">
        <f t="shared" si="31"/>
        <v>1.5245244680250607E-2</v>
      </c>
      <c r="J47" s="109">
        <f t="shared" si="31"/>
        <v>5.4998725898241736E-2</v>
      </c>
      <c r="K47" s="115">
        <f t="shared" si="31"/>
        <v>8.5774855992633681E-2</v>
      </c>
      <c r="L47" s="109">
        <f t="shared" si="31"/>
        <v>6.5359938795484532E-2</v>
      </c>
      <c r="M47" s="109">
        <f t="shared" si="31"/>
        <v>3.7708063384682057E-2</v>
      </c>
      <c r="N47" s="109">
        <f t="shared" si="31"/>
        <v>8.123849816655189E-2</v>
      </c>
      <c r="O47" s="109">
        <f t="shared" si="31"/>
        <v>8.8699938618291757E-2</v>
      </c>
      <c r="P47" s="109">
        <f t="shared" si="31"/>
        <v>8.11446917534457E-2</v>
      </c>
      <c r="Q47" s="109">
        <f t="shared" si="31"/>
        <v>5.1995867024397208E-2</v>
      </c>
      <c r="R47" s="109">
        <f t="shared" si="31"/>
        <v>9.2034934171899202E-2</v>
      </c>
      <c r="S47" s="109">
        <f t="shared" si="31"/>
        <v>0.10067666176310026</v>
      </c>
      <c r="T47" s="109">
        <f t="shared" si="31"/>
        <v>9.6243509509511146E-2</v>
      </c>
      <c r="U47" s="109">
        <f t="shared" si="31"/>
        <v>6.6223593373518616E-2</v>
      </c>
    </row>
    <row r="48" spans="1:22" ht="15.85" customHeight="1" x14ac:dyDescent="0.25">
      <c r="A48" s="110" t="s">
        <v>115</v>
      </c>
      <c r="B48" s="37"/>
      <c r="C48" s="109">
        <f t="shared" ref="C48:U48" si="32">C34/C$18</f>
        <v>-6.0552551226869734E-2</v>
      </c>
      <c r="D48" s="109">
        <f t="shared" si="32"/>
        <v>-8.5402633959987942E-2</v>
      </c>
      <c r="E48" s="109">
        <f t="shared" si="32"/>
        <v>-0.14504175164505329</v>
      </c>
      <c r="F48" s="109">
        <f t="shared" si="32"/>
        <v>-1.05424875543497E-2</v>
      </c>
      <c r="G48" s="109">
        <f t="shared" si="32"/>
        <v>3.7820861337004179E-2</v>
      </c>
      <c r="H48" s="109">
        <f t="shared" si="32"/>
        <v>3.8922718495269237E-2</v>
      </c>
      <c r="I48" s="109">
        <f t="shared" si="32"/>
        <v>1.1565163402381893E-2</v>
      </c>
      <c r="J48" s="109">
        <f t="shared" si="32"/>
        <v>5.4025775464661051E-2</v>
      </c>
      <c r="K48" s="115">
        <f t="shared" si="32"/>
        <v>8.4545707616865459E-2</v>
      </c>
      <c r="L48" s="109">
        <f t="shared" si="32"/>
        <v>6.3116136143286455E-2</v>
      </c>
      <c r="M48" s="109">
        <f t="shared" si="32"/>
        <v>3.5659386635623729E-2</v>
      </c>
      <c r="N48" s="109">
        <f t="shared" si="32"/>
        <v>7.520004562757733E-2</v>
      </c>
      <c r="O48" s="109">
        <f t="shared" si="32"/>
        <v>8.0332878900136101E-2</v>
      </c>
      <c r="P48" s="109">
        <f t="shared" si="32"/>
        <v>7.1867424169211616E-2</v>
      </c>
      <c r="Q48" s="109">
        <f t="shared" si="32"/>
        <v>4.5011265426246755E-2</v>
      </c>
      <c r="R48" s="109">
        <f t="shared" si="32"/>
        <v>7.7831188479338453E-2</v>
      </c>
      <c r="S48" s="109">
        <f t="shared" si="32"/>
        <v>8.3125705551165496E-2</v>
      </c>
      <c r="T48" s="109">
        <f t="shared" si="32"/>
        <v>7.7540514265283175E-2</v>
      </c>
      <c r="U48" s="109">
        <f t="shared" si="32"/>
        <v>5.2029894705894988E-2</v>
      </c>
    </row>
    <row r="49" spans="1:21" ht="15.85" customHeight="1" x14ac:dyDescent="0.25">
      <c r="A49" s="6"/>
      <c r="B49" s="37"/>
      <c r="C49" s="46"/>
      <c r="D49" s="46"/>
      <c r="E49" s="46"/>
      <c r="F49" s="46"/>
      <c r="G49" s="46"/>
      <c r="H49" s="46"/>
      <c r="I49" s="46"/>
      <c r="J49" s="56"/>
      <c r="K49" s="47"/>
    </row>
    <row r="50" spans="1:21" ht="15.85" customHeight="1" x14ac:dyDescent="0.25">
      <c r="A50" s="111" t="s">
        <v>112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72"/>
      <c r="M50" s="73"/>
      <c r="N50" s="73"/>
      <c r="O50" s="73"/>
      <c r="P50" s="73"/>
      <c r="Q50" s="73"/>
      <c r="R50" s="73"/>
      <c r="S50" s="73"/>
      <c r="T50" s="73"/>
      <c r="U50" s="73"/>
    </row>
    <row r="51" spans="1:21" ht="15.85" customHeight="1" x14ac:dyDescent="0.25">
      <c r="A51" s="116" t="s">
        <v>19</v>
      </c>
      <c r="B51" s="37"/>
      <c r="C51" s="109">
        <f t="shared" ref="C51:K51" si="33">C19/C$18</f>
        <v>0.32182614133833648</v>
      </c>
      <c r="D51" s="109">
        <f t="shared" si="33"/>
        <v>0.3203909290669118</v>
      </c>
      <c r="E51" s="109">
        <f t="shared" si="33"/>
        <v>0.31343363989687151</v>
      </c>
      <c r="F51" s="109">
        <f t="shared" si="33"/>
        <v>0.29110265261001661</v>
      </c>
      <c r="G51" s="109">
        <f t="shared" si="33"/>
        <v>0.29497842608766067</v>
      </c>
      <c r="H51" s="109">
        <f t="shared" si="33"/>
        <v>0.29517011956503164</v>
      </c>
      <c r="I51" s="109">
        <f t="shared" si="33"/>
        <v>0.29080544110176665</v>
      </c>
      <c r="J51" s="109">
        <f t="shared" si="33"/>
        <v>0.28550303853964776</v>
      </c>
      <c r="K51" s="115">
        <f t="shared" si="33"/>
        <v>0.29482001755926251</v>
      </c>
      <c r="L51" s="117">
        <f>H51-0.0025</f>
        <v>0.29267011956503164</v>
      </c>
      <c r="M51" s="117">
        <f t="shared" ref="M51:U54" si="34">I51-0.0025</f>
        <v>0.28830544110176665</v>
      </c>
      <c r="N51" s="117">
        <f t="shared" si="34"/>
        <v>0.28300303853964776</v>
      </c>
      <c r="O51" s="117">
        <f t="shared" si="34"/>
        <v>0.29232001755926251</v>
      </c>
      <c r="P51" s="117">
        <f t="shared" si="34"/>
        <v>0.29017011956503164</v>
      </c>
      <c r="Q51" s="117">
        <f t="shared" si="34"/>
        <v>0.28580544110176664</v>
      </c>
      <c r="R51" s="117">
        <f t="shared" si="34"/>
        <v>0.28050303853964775</v>
      </c>
      <c r="S51" s="117">
        <f t="shared" si="34"/>
        <v>0.28982001755926251</v>
      </c>
      <c r="T51" s="117">
        <f t="shared" si="34"/>
        <v>0.28767011956503163</v>
      </c>
      <c r="U51" s="117">
        <f t="shared" si="34"/>
        <v>0.28330544110176664</v>
      </c>
    </row>
    <row r="52" spans="1:21" ht="15.85" customHeight="1" x14ac:dyDescent="0.25">
      <c r="A52" s="116" t="s">
        <v>20</v>
      </c>
      <c r="B52" s="37"/>
      <c r="C52" s="109">
        <f t="shared" ref="C52:K52" si="35">C20/C$18</f>
        <v>0.27760732810948019</v>
      </c>
      <c r="D52" s="109">
        <f t="shared" si="35"/>
        <v>0.26707980870039782</v>
      </c>
      <c r="E52" s="109">
        <f t="shared" si="35"/>
        <v>0.27663831915957982</v>
      </c>
      <c r="F52" s="109">
        <f t="shared" si="35"/>
        <v>0.25681125451170211</v>
      </c>
      <c r="G52" s="109">
        <f t="shared" si="35"/>
        <v>0.24533529214431965</v>
      </c>
      <c r="H52" s="109">
        <f t="shared" si="35"/>
        <v>0.25014098306494337</v>
      </c>
      <c r="I52" s="109">
        <f t="shared" si="35"/>
        <v>0.27567872664672349</v>
      </c>
      <c r="J52" s="109">
        <f t="shared" si="35"/>
        <v>0.25680100074901741</v>
      </c>
      <c r="K52" s="115">
        <f t="shared" si="35"/>
        <v>0.25006102914409301</v>
      </c>
      <c r="L52" s="117">
        <f>H52-0.0025</f>
        <v>0.24764098306494337</v>
      </c>
      <c r="M52" s="117">
        <f t="shared" si="34"/>
        <v>0.27317872664672349</v>
      </c>
      <c r="N52" s="117">
        <f t="shared" si="34"/>
        <v>0.2543010007490174</v>
      </c>
      <c r="O52" s="117">
        <f t="shared" si="34"/>
        <v>0.247561029144093</v>
      </c>
      <c r="P52" s="117">
        <f t="shared" si="34"/>
        <v>0.24514098306494336</v>
      </c>
      <c r="Q52" s="117">
        <f t="shared" si="34"/>
        <v>0.27067872664672349</v>
      </c>
      <c r="R52" s="117">
        <f t="shared" si="34"/>
        <v>0.2518010007490174</v>
      </c>
      <c r="S52" s="117">
        <f t="shared" si="34"/>
        <v>0.245061029144093</v>
      </c>
      <c r="T52" s="117">
        <f t="shared" si="34"/>
        <v>0.24264098306494336</v>
      </c>
      <c r="U52" s="117">
        <f t="shared" si="34"/>
        <v>0.26817872664672349</v>
      </c>
    </row>
    <row r="53" spans="1:21" ht="15.85" customHeight="1" x14ac:dyDescent="0.25">
      <c r="A53" s="116" t="s">
        <v>21</v>
      </c>
      <c r="B53" s="37"/>
      <c r="C53" s="109">
        <f t="shared" ref="C53:K53" si="36">C21/C$18</f>
        <v>8.9864989147629026E-2</v>
      </c>
      <c r="D53" s="109">
        <f t="shared" si="36"/>
        <v>8.8339628603024606E-2</v>
      </c>
      <c r="E53" s="109">
        <f t="shared" si="36"/>
        <v>9.5532381575403086E-2</v>
      </c>
      <c r="F53" s="109">
        <f t="shared" si="36"/>
        <v>8.1735054140425339E-2</v>
      </c>
      <c r="G53" s="109">
        <f t="shared" si="36"/>
        <v>7.7504135481855932E-2</v>
      </c>
      <c r="H53" s="109">
        <f t="shared" si="36"/>
        <v>7.8506206103000228E-2</v>
      </c>
      <c r="I53" s="109">
        <f t="shared" si="36"/>
        <v>8.2056781622170796E-2</v>
      </c>
      <c r="J53" s="109">
        <f t="shared" si="36"/>
        <v>7.8847594264225537E-2</v>
      </c>
      <c r="K53" s="115">
        <f t="shared" si="36"/>
        <v>6.816848326516628E-2</v>
      </c>
      <c r="L53" s="117">
        <f>H53-0.0025</f>
        <v>7.6006206103000226E-2</v>
      </c>
      <c r="M53" s="117">
        <f t="shared" si="34"/>
        <v>7.9556781622170794E-2</v>
      </c>
      <c r="N53" s="117">
        <f t="shared" si="34"/>
        <v>7.6347594264225535E-2</v>
      </c>
      <c r="O53" s="117">
        <f t="shared" si="34"/>
        <v>6.5668483265166278E-2</v>
      </c>
      <c r="P53" s="117">
        <f t="shared" si="34"/>
        <v>7.3506206103000224E-2</v>
      </c>
      <c r="Q53" s="117">
        <f t="shared" si="34"/>
        <v>7.7056781622170792E-2</v>
      </c>
      <c r="R53" s="117">
        <f t="shared" si="34"/>
        <v>7.3847594264225533E-2</v>
      </c>
      <c r="S53" s="117">
        <f t="shared" si="34"/>
        <v>6.3168483265166275E-2</v>
      </c>
      <c r="T53" s="117">
        <f t="shared" si="34"/>
        <v>7.1006206103000222E-2</v>
      </c>
      <c r="U53" s="117">
        <f t="shared" si="34"/>
        <v>7.455678162217079E-2</v>
      </c>
    </row>
    <row r="54" spans="1:21" ht="15.85" customHeight="1" x14ac:dyDescent="0.25">
      <c r="A54" s="116" t="s">
        <v>22</v>
      </c>
      <c r="B54" s="37"/>
      <c r="C54" s="109">
        <f t="shared" ref="C54:K54" si="37">C22/C$18</f>
        <v>0.12231173895449361</v>
      </c>
      <c r="D54" s="109">
        <f t="shared" si="37"/>
        <v>0.13455600396386563</v>
      </c>
      <c r="E54" s="109">
        <f t="shared" si="37"/>
        <v>0.13101935583176202</v>
      </c>
      <c r="F54" s="109">
        <f t="shared" si="37"/>
        <v>0.12136909539449388</v>
      </c>
      <c r="G54" s="109">
        <f t="shared" si="37"/>
        <v>0.11941420754913415</v>
      </c>
      <c r="H54" s="109">
        <f t="shared" si="37"/>
        <v>0.12277204035248615</v>
      </c>
      <c r="I54" s="109">
        <f t="shared" si="37"/>
        <v>0.12645481740701023</v>
      </c>
      <c r="J54" s="109">
        <f t="shared" si="37"/>
        <v>0.12647583453665165</v>
      </c>
      <c r="K54" s="115">
        <f t="shared" si="37"/>
        <v>0.11987836998650934</v>
      </c>
      <c r="L54" s="117">
        <f>H54-0.0025</f>
        <v>0.12027204035248615</v>
      </c>
      <c r="M54" s="117">
        <f t="shared" si="34"/>
        <v>0.12395481740701023</v>
      </c>
      <c r="N54" s="117">
        <f t="shared" si="34"/>
        <v>0.12397583453665165</v>
      </c>
      <c r="O54" s="117">
        <f t="shared" si="34"/>
        <v>0.11737836998650934</v>
      </c>
      <c r="P54" s="117">
        <f t="shared" si="34"/>
        <v>0.11777204035248615</v>
      </c>
      <c r="Q54" s="117">
        <f t="shared" si="34"/>
        <v>0.12145481740701022</v>
      </c>
      <c r="R54" s="117">
        <f t="shared" si="34"/>
        <v>0.12147583453665164</v>
      </c>
      <c r="S54" s="117">
        <f t="shared" si="34"/>
        <v>0.11487836998650934</v>
      </c>
      <c r="T54" s="117">
        <f t="shared" si="34"/>
        <v>0.11527204035248614</v>
      </c>
      <c r="U54" s="117">
        <f t="shared" si="34"/>
        <v>0.11895481740701022</v>
      </c>
    </row>
    <row r="55" spans="1:21" ht="15.85" customHeight="1" x14ac:dyDescent="0.25">
      <c r="A55" s="116" t="s">
        <v>24</v>
      </c>
      <c r="B55" s="37"/>
      <c r="C55" s="109">
        <f t="shared" ref="C55:K55" si="38">C24/C$18</f>
        <v>0.11981017547732038</v>
      </c>
      <c r="D55" s="109">
        <f t="shared" si="38"/>
        <v>0.11882261701302618</v>
      </c>
      <c r="E55" s="109">
        <f t="shared" si="38"/>
        <v>0.12520875822526648</v>
      </c>
      <c r="F55" s="109">
        <f t="shared" si="38"/>
        <v>0.14291693544018949</v>
      </c>
      <c r="G55" s="109">
        <f t="shared" si="38"/>
        <v>0.13488611519196733</v>
      </c>
      <c r="H55" s="109">
        <f t="shared" si="38"/>
        <v>0.1393994975876231</v>
      </c>
      <c r="I55" s="109">
        <f t="shared" si="38"/>
        <v>0.13926737032228934</v>
      </c>
      <c r="J55" s="109">
        <f t="shared" si="38"/>
        <v>0.13065334393797828</v>
      </c>
      <c r="K55" s="115">
        <f t="shared" si="38"/>
        <v>0.12112036660313925</v>
      </c>
      <c r="L55" s="117">
        <f>AVERAGE(H55:K55)</f>
        <v>0.1326101446127575</v>
      </c>
      <c r="M55" s="117">
        <f t="shared" ref="M55:U55" si="39">AVERAGE(I55:L55)</f>
        <v>0.1309128063690411</v>
      </c>
      <c r="N55" s="117">
        <f t="shared" si="39"/>
        <v>0.12882416538072902</v>
      </c>
      <c r="O55" s="117">
        <f t="shared" si="39"/>
        <v>0.12836687074141673</v>
      </c>
      <c r="P55" s="117">
        <f t="shared" si="39"/>
        <v>0.13017849677598609</v>
      </c>
      <c r="Q55" s="117">
        <f t="shared" si="39"/>
        <v>0.12957058481679323</v>
      </c>
      <c r="R55" s="117">
        <f t="shared" si="39"/>
        <v>0.12923502942873127</v>
      </c>
      <c r="S55" s="117">
        <f t="shared" si="39"/>
        <v>0.12933774544073184</v>
      </c>
      <c r="T55" s="117">
        <f t="shared" si="39"/>
        <v>0.12958046411556062</v>
      </c>
      <c r="U55" s="117">
        <f t="shared" si="39"/>
        <v>0.12943095595045423</v>
      </c>
    </row>
    <row r="56" spans="1:21" ht="15.85" customHeight="1" x14ac:dyDescent="0.25">
      <c r="A56" s="116" t="s">
        <v>25</v>
      </c>
      <c r="B56" s="37"/>
      <c r="C56" s="109">
        <f t="shared" ref="C56:K56" si="40">C25/C$18</f>
        <v>6.5820549608211015E-2</v>
      </c>
      <c r="D56" s="109">
        <f t="shared" si="40"/>
        <v>7.1938416464404201E-2</v>
      </c>
      <c r="E56" s="109">
        <f t="shared" si="40"/>
        <v>8.4203640281679301E-2</v>
      </c>
      <c r="F56" s="109">
        <f t="shared" si="40"/>
        <v>6.331893856206576E-2</v>
      </c>
      <c r="G56" s="109">
        <f t="shared" si="40"/>
        <v>6.1939685587701132E-2</v>
      </c>
      <c r="H56" s="109">
        <f t="shared" si="40"/>
        <v>6.5666778693613898E-2</v>
      </c>
      <c r="I56" s="109">
        <f t="shared" si="40"/>
        <v>6.9633685161144668E-2</v>
      </c>
      <c r="J56" s="109">
        <f t="shared" si="40"/>
        <v>6.6878759565415474E-2</v>
      </c>
      <c r="K56" s="115">
        <f t="shared" si="40"/>
        <v>5.8814963917856913E-2</v>
      </c>
      <c r="L56" s="117">
        <f>K56</f>
        <v>5.8814963917856913E-2</v>
      </c>
      <c r="M56" s="117">
        <f t="shared" ref="M56:U56" si="41">L56</f>
        <v>5.8814963917856913E-2</v>
      </c>
      <c r="N56" s="117">
        <f t="shared" si="41"/>
        <v>5.8814963917856913E-2</v>
      </c>
      <c r="O56" s="117">
        <f t="shared" si="41"/>
        <v>5.8814963917856913E-2</v>
      </c>
      <c r="P56" s="117">
        <f t="shared" si="41"/>
        <v>5.8814963917856913E-2</v>
      </c>
      <c r="Q56" s="117">
        <f t="shared" si="41"/>
        <v>5.8814963917856913E-2</v>
      </c>
      <c r="R56" s="117">
        <f t="shared" si="41"/>
        <v>5.8814963917856913E-2</v>
      </c>
      <c r="S56" s="117">
        <f t="shared" si="41"/>
        <v>5.8814963917856913E-2</v>
      </c>
      <c r="T56" s="117">
        <f t="shared" si="41"/>
        <v>5.8814963917856913E-2</v>
      </c>
      <c r="U56" s="117">
        <f t="shared" si="41"/>
        <v>5.8814963917856913E-2</v>
      </c>
    </row>
    <row r="57" spans="1:21" ht="15.85" customHeight="1" x14ac:dyDescent="0.25">
      <c r="A57" s="116" t="s">
        <v>26</v>
      </c>
      <c r="B57" s="37"/>
      <c r="C57" s="109">
        <f t="shared" ref="C57:K57" si="42">C26/C$18</f>
        <v>1.2139940403928927E-2</v>
      </c>
      <c r="D57" s="109">
        <f t="shared" si="42"/>
        <v>1.4756782375159776E-2</v>
      </c>
      <c r="E57" s="109">
        <f t="shared" si="42"/>
        <v>7.1882094893600647E-3</v>
      </c>
      <c r="F57" s="109">
        <f t="shared" si="42"/>
        <v>1.090687058985735E-2</v>
      </c>
      <c r="G57" s="109">
        <f t="shared" si="42"/>
        <v>1.0717549481185003E-2</v>
      </c>
      <c r="H57" s="109">
        <f t="shared" si="42"/>
        <v>6.2203437138641888E-3</v>
      </c>
      <c r="I57" s="109">
        <f t="shared" si="42"/>
        <v>5.1927527233730317E-3</v>
      </c>
      <c r="J57" s="109">
        <f t="shared" si="42"/>
        <v>1.0887778661498189E-3</v>
      </c>
      <c r="K57" s="115">
        <f t="shared" si="42"/>
        <v>2.9979228677273604E-4</v>
      </c>
      <c r="L57" s="117">
        <f>AVERAGE(H57:K57)</f>
        <v>3.2004166475399437E-3</v>
      </c>
      <c r="M57" s="117">
        <f t="shared" ref="M57:U57" si="43">AVERAGE(I57:L57)</f>
        <v>2.4454348809588829E-3</v>
      </c>
      <c r="N57" s="117">
        <f t="shared" si="43"/>
        <v>1.7586054203553455E-3</v>
      </c>
      <c r="O57" s="117">
        <f t="shared" si="43"/>
        <v>1.9260623089067271E-3</v>
      </c>
      <c r="P57" s="117">
        <f t="shared" si="43"/>
        <v>2.332629814440225E-3</v>
      </c>
      <c r="Q57" s="117">
        <f t="shared" si="43"/>
        <v>2.115683106165295E-3</v>
      </c>
      <c r="R57" s="117">
        <f t="shared" si="43"/>
        <v>2.0332451624668984E-3</v>
      </c>
      <c r="S57" s="117">
        <f t="shared" si="43"/>
        <v>2.1019050979947866E-3</v>
      </c>
      <c r="T57" s="117">
        <f t="shared" si="43"/>
        <v>2.1458657952668015E-3</v>
      </c>
      <c r="U57" s="117">
        <f t="shared" si="43"/>
        <v>2.099174790473445E-3</v>
      </c>
    </row>
    <row r="58" spans="1:21" ht="15.85" customHeight="1" x14ac:dyDescent="0.25">
      <c r="A58" s="116" t="s">
        <v>27</v>
      </c>
      <c r="B58" s="37"/>
      <c r="C58" s="109">
        <f t="shared" ref="C58:K58" si="44">C27/C$18</f>
        <v>3.2991207740131701E-2</v>
      </c>
      <c r="D58" s="109">
        <f t="shared" si="44"/>
        <v>4.4342156285455771E-2</v>
      </c>
      <c r="E58" s="109">
        <f t="shared" si="44"/>
        <v>3.9158040558740906E-2</v>
      </c>
      <c r="F58" s="109">
        <f t="shared" si="44"/>
        <v>2.9539646351491755E-2</v>
      </c>
      <c r="G58" s="109">
        <f t="shared" si="44"/>
        <v>1.9665228405844042E-2</v>
      </c>
      <c r="H58" s="109">
        <f t="shared" si="44"/>
        <v>1.9424333392194949E-2</v>
      </c>
      <c r="I58" s="109">
        <f t="shared" si="44"/>
        <v>1.6419258339447986E-2</v>
      </c>
      <c r="J58" s="109">
        <f t="shared" si="44"/>
        <v>1.3046029821702972E-2</v>
      </c>
      <c r="K58" s="115">
        <f t="shared" si="44"/>
        <v>1.4141630441765349E-2</v>
      </c>
      <c r="L58" s="117">
        <f>AVERAGE(H58:K58)</f>
        <v>1.5757812998777813E-2</v>
      </c>
      <c r="M58" s="117">
        <f t="shared" ref="M58:U58" si="45">AVERAGE(I58:L58)</f>
        <v>1.4841182900423531E-2</v>
      </c>
      <c r="N58" s="117">
        <f t="shared" si="45"/>
        <v>1.4446664040667415E-2</v>
      </c>
      <c r="O58" s="117">
        <f t="shared" si="45"/>
        <v>1.4796822595408526E-2</v>
      </c>
      <c r="P58" s="117">
        <f t="shared" si="45"/>
        <v>1.4960620633819321E-2</v>
      </c>
      <c r="Q58" s="117">
        <f t="shared" si="45"/>
        <v>1.47613225425797E-2</v>
      </c>
      <c r="R58" s="117">
        <f t="shared" si="45"/>
        <v>1.4741357453118741E-2</v>
      </c>
      <c r="S58" s="117">
        <f t="shared" si="45"/>
        <v>1.4815030806231573E-2</v>
      </c>
      <c r="T58" s="117">
        <f t="shared" si="45"/>
        <v>1.4819582858937334E-2</v>
      </c>
      <c r="U58" s="117">
        <f t="shared" si="45"/>
        <v>1.4784323415216837E-2</v>
      </c>
    </row>
    <row r="59" spans="1:21" ht="15.85" customHeight="1" x14ac:dyDescent="0.25">
      <c r="A59" s="6"/>
      <c r="B59" s="37"/>
      <c r="C59" s="46"/>
      <c r="D59" s="46"/>
      <c r="E59" s="46"/>
      <c r="F59" s="46"/>
      <c r="G59" s="46"/>
      <c r="H59" s="46"/>
      <c r="I59" s="46"/>
      <c r="J59" s="56"/>
      <c r="K59" s="47"/>
    </row>
    <row r="60" spans="1:21" ht="6.3" customHeight="1" x14ac:dyDescent="0.25">
      <c r="K60" s="71"/>
    </row>
    <row r="61" spans="1:21" x14ac:dyDescent="0.25">
      <c r="A61" s="31" t="s">
        <v>121</v>
      </c>
      <c r="B61" s="31"/>
      <c r="C61" s="31"/>
      <c r="D61" s="32"/>
      <c r="E61" s="32"/>
      <c r="F61" s="32"/>
      <c r="G61" s="33"/>
      <c r="H61" s="32"/>
      <c r="I61" s="32"/>
      <c r="J61" s="32"/>
      <c r="K61" s="34"/>
      <c r="L61" s="35"/>
      <c r="M61" s="36"/>
      <c r="N61" s="36"/>
      <c r="O61" s="36"/>
      <c r="P61" s="36"/>
      <c r="Q61" s="36"/>
      <c r="R61" s="36"/>
      <c r="S61" s="36"/>
      <c r="T61" s="36"/>
      <c r="U61" s="36"/>
    </row>
    <row r="62" spans="1:21" x14ac:dyDescent="0.25">
      <c r="K62" s="71"/>
    </row>
    <row r="63" spans="1:21" x14ac:dyDescent="0.25">
      <c r="A63" s="8" t="s">
        <v>195</v>
      </c>
      <c r="B63" s="64"/>
      <c r="C63" t="s">
        <v>17</v>
      </c>
      <c r="K63" s="71"/>
    </row>
    <row r="64" spans="1:21" x14ac:dyDescent="0.25">
      <c r="A64" s="14" t="s">
        <v>90</v>
      </c>
      <c r="B64" s="64"/>
      <c r="C64" s="48"/>
      <c r="D64" s="50"/>
      <c r="E64" s="50"/>
      <c r="F64" s="48"/>
      <c r="G64" s="48">
        <v>6539000</v>
      </c>
      <c r="H64" s="48">
        <v>6833000</v>
      </c>
      <c r="I64" s="48">
        <v>2049000</v>
      </c>
      <c r="J64" s="48">
        <v>13993000</v>
      </c>
      <c r="K64" s="49">
        <v>19741000</v>
      </c>
      <c r="L64" s="121">
        <f>L34</f>
        <v>15573874.684642658</v>
      </c>
      <c r="M64" s="121">
        <f t="shared" ref="M64:U64" si="46">M34</f>
        <v>8874565.5852059517</v>
      </c>
      <c r="N64" s="121">
        <f t="shared" si="46"/>
        <v>26559674.90351804</v>
      </c>
      <c r="O64" s="121">
        <f t="shared" si="46"/>
        <v>25212052.29519349</v>
      </c>
      <c r="P64" s="121">
        <f t="shared" si="46"/>
        <v>23129281.118571889</v>
      </c>
      <c r="Q64" s="121">
        <f t="shared" si="46"/>
        <v>14365818.259598577</v>
      </c>
      <c r="R64" s="121">
        <f t="shared" si="46"/>
        <v>34699583.408965118</v>
      </c>
      <c r="S64" s="121">
        <f t="shared" si="46"/>
        <v>32521114.217673019</v>
      </c>
      <c r="T64" s="121">
        <f t="shared" si="46"/>
        <v>30740206.235631105</v>
      </c>
      <c r="U64" s="121">
        <f t="shared" si="46"/>
        <v>20220353.103661235</v>
      </c>
    </row>
    <row r="65" spans="1:21" x14ac:dyDescent="0.25">
      <c r="A65" s="9" t="s">
        <v>197</v>
      </c>
      <c r="B65" s="64"/>
      <c r="C65" s="50"/>
      <c r="D65" s="50"/>
      <c r="E65" s="50"/>
      <c r="F65" s="50"/>
      <c r="G65" s="50"/>
      <c r="H65" s="50">
        <v>0</v>
      </c>
      <c r="I65" s="50">
        <v>0</v>
      </c>
      <c r="J65" s="50"/>
      <c r="K65" s="51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</row>
    <row r="66" spans="1:21" x14ac:dyDescent="0.25">
      <c r="A66" s="10" t="s">
        <v>199</v>
      </c>
      <c r="B66" s="64"/>
      <c r="C66" s="50"/>
      <c r="D66" s="50"/>
      <c r="E66" s="50"/>
      <c r="F66" s="50"/>
      <c r="G66" s="50">
        <v>10709000</v>
      </c>
      <c r="H66" s="50">
        <v>11528000</v>
      </c>
      <c r="I66" s="50">
        <v>12337000</v>
      </c>
      <c r="J66" s="50">
        <v>17322000</v>
      </c>
      <c r="K66" s="51">
        <v>13733000</v>
      </c>
      <c r="L66" s="122">
        <f>L154</f>
        <v>15766343.367545633</v>
      </c>
      <c r="M66" s="122">
        <f t="shared" ref="M66:U66" si="47">M154</f>
        <v>16343702.42044167</v>
      </c>
      <c r="N66" s="122">
        <f t="shared" si="47"/>
        <v>16876649.238499552</v>
      </c>
      <c r="O66" s="122">
        <f t="shared" si="47"/>
        <v>17365183.821719274</v>
      </c>
      <c r="P66" s="122">
        <f t="shared" si="47"/>
        <v>17853718.404939</v>
      </c>
      <c r="Q66" s="122">
        <f t="shared" si="47"/>
        <v>18297840.753320567</v>
      </c>
      <c r="R66" s="122">
        <f t="shared" si="47"/>
        <v>18741963.101702131</v>
      </c>
      <c r="S66" s="122">
        <f t="shared" si="47"/>
        <v>19141673.215245545</v>
      </c>
      <c r="T66" s="122">
        <f t="shared" si="47"/>
        <v>19541383.328788955</v>
      </c>
      <c r="U66" s="122">
        <f t="shared" si="47"/>
        <v>19941093.442332365</v>
      </c>
    </row>
    <row r="67" spans="1:21" x14ac:dyDescent="0.25">
      <c r="A67" s="10" t="s">
        <v>202</v>
      </c>
      <c r="B67" s="64"/>
      <c r="C67" s="50"/>
      <c r="D67" s="50"/>
      <c r="E67" s="50"/>
      <c r="F67" s="50"/>
      <c r="G67" s="50">
        <v>1743000</v>
      </c>
      <c r="H67" s="50">
        <v>3183000</v>
      </c>
      <c r="I67" s="50">
        <v>3506000</v>
      </c>
      <c r="J67" s="50">
        <v>3995000</v>
      </c>
      <c r="K67" s="51">
        <v>2954000</v>
      </c>
    </row>
    <row r="68" spans="1:21" x14ac:dyDescent="0.25">
      <c r="A68" s="10" t="s">
        <v>28</v>
      </c>
      <c r="B68" s="64"/>
      <c r="C68" s="48"/>
      <c r="D68" s="50"/>
      <c r="E68" s="50"/>
      <c r="F68" s="50"/>
      <c r="G68" s="50">
        <v>386000</v>
      </c>
      <c r="H68" s="50">
        <v>1190000</v>
      </c>
      <c r="I68" s="50">
        <v>604000</v>
      </c>
      <c r="J68" s="50">
        <v>1290000</v>
      </c>
      <c r="K68" s="51">
        <v>830000</v>
      </c>
    </row>
    <row r="69" spans="1:21" x14ac:dyDescent="0.25">
      <c r="A69" s="10" t="s">
        <v>299</v>
      </c>
      <c r="B69" s="64"/>
      <c r="C69" s="50"/>
      <c r="D69" s="50"/>
      <c r="E69" s="50"/>
      <c r="F69" s="50"/>
      <c r="G69" s="50">
        <v>-363000</v>
      </c>
      <c r="H69" s="50">
        <v>-813000</v>
      </c>
      <c r="I69" s="50">
        <v>806000</v>
      </c>
      <c r="J69" s="50">
        <v>153000</v>
      </c>
      <c r="K69" s="51">
        <v>-2157000</v>
      </c>
      <c r="L69" s="68">
        <f>L118-K118</f>
        <v>1550613.9244294632</v>
      </c>
      <c r="M69" s="68">
        <f t="shared" ref="M69:U69" si="48">M118-L118</f>
        <v>-172358.15099283122</v>
      </c>
      <c r="N69" s="68">
        <f t="shared" si="48"/>
        <v>5625872.507706292</v>
      </c>
      <c r="O69" s="68">
        <f t="shared" si="48"/>
        <v>-2824863.0074117556</v>
      </c>
      <c r="P69" s="68">
        <f t="shared" si="48"/>
        <v>1249931.5996040031</v>
      </c>
      <c r="Q69" s="68">
        <f t="shared" si="48"/>
        <v>-125764.12143068016</v>
      </c>
      <c r="R69" s="68">
        <f t="shared" si="48"/>
        <v>7399858.7631240487</v>
      </c>
      <c r="S69" s="68">
        <f t="shared" si="48"/>
        <v>-3389885.0578572899</v>
      </c>
      <c r="T69" s="68">
        <f t="shared" si="48"/>
        <v>321072.39355885237</v>
      </c>
      <c r="U69" s="68">
        <f t="shared" si="48"/>
        <v>-326218.55151338875</v>
      </c>
    </row>
    <row r="70" spans="1:21" x14ac:dyDescent="0.25">
      <c r="A70" s="10" t="s">
        <v>136</v>
      </c>
      <c r="B70" s="64"/>
      <c r="C70" s="50"/>
      <c r="D70" s="50"/>
      <c r="E70" s="50"/>
      <c r="F70" s="50"/>
      <c r="G70" s="50">
        <v>-1016000</v>
      </c>
      <c r="H70" s="50">
        <v>-369000</v>
      </c>
      <c r="I70" s="50">
        <v>88000</v>
      </c>
      <c r="J70" s="50">
        <v>-667000</v>
      </c>
      <c r="K70" s="51">
        <v>-891000</v>
      </c>
      <c r="L70" s="68">
        <f>+L119-K119</f>
        <v>124855.86395054404</v>
      </c>
      <c r="M70" s="68">
        <f t="shared" ref="M70:U70" si="49">+M119-L119</f>
        <v>280835.42598524317</v>
      </c>
      <c r="N70" s="68">
        <f t="shared" si="49"/>
        <v>2603829.9065175792</v>
      </c>
      <c r="O70" s="68">
        <f t="shared" si="49"/>
        <v>-1402922.1741301622</v>
      </c>
      <c r="P70" s="68">
        <f t="shared" si="49"/>
        <v>561447.76389823481</v>
      </c>
      <c r="Q70" s="68">
        <f t="shared" si="49"/>
        <v>188770.41151876003</v>
      </c>
      <c r="R70" s="68">
        <f t="shared" si="49"/>
        <v>3266207.9452055637</v>
      </c>
      <c r="S70" s="68">
        <f t="shared" si="49"/>
        <v>-1819975.6756623592</v>
      </c>
      <c r="T70" s="68">
        <f t="shared" si="49"/>
        <v>218620.77222387865</v>
      </c>
      <c r="U70" s="68">
        <f t="shared" si="49"/>
        <v>254870.62241183221</v>
      </c>
    </row>
    <row r="71" spans="1:21" x14ac:dyDescent="0.25">
      <c r="A71" s="10" t="s">
        <v>138</v>
      </c>
      <c r="B71" s="64"/>
      <c r="C71" s="48"/>
      <c r="D71" s="50"/>
      <c r="E71" s="50"/>
      <c r="F71" s="50"/>
      <c r="G71" s="50">
        <v>351000</v>
      </c>
      <c r="H71" s="50">
        <v>-728000</v>
      </c>
      <c r="I71" s="50">
        <v>-583000</v>
      </c>
      <c r="J71" s="50">
        <v>182000</v>
      </c>
      <c r="K71" s="51">
        <v>-325000</v>
      </c>
      <c r="L71" s="68">
        <f>L120-K120</f>
        <v>973359.92370978277</v>
      </c>
      <c r="M71" s="68">
        <f t="shared" ref="M71:U71" si="50">M120-L120</f>
        <v>163692.54811868444</v>
      </c>
      <c r="N71" s="68">
        <f t="shared" si="50"/>
        <v>1977101.6918167369</v>
      </c>
      <c r="O71" s="68">
        <f t="shared" si="50"/>
        <v>-1277053.6810084507</v>
      </c>
      <c r="P71" s="68">
        <f t="shared" si="50"/>
        <v>429191.84844153468</v>
      </c>
      <c r="Q71" s="68">
        <f t="shared" si="50"/>
        <v>313860.76872729324</v>
      </c>
      <c r="R71" s="68">
        <f t="shared" si="50"/>
        <v>2516237.7007678365</v>
      </c>
      <c r="S71" s="68">
        <f t="shared" si="50"/>
        <v>-1460311.2429215349</v>
      </c>
      <c r="T71" s="68">
        <f t="shared" si="50"/>
        <v>149328.81860351935</v>
      </c>
      <c r="U71" s="68">
        <f t="shared" si="50"/>
        <v>216227.73062949814</v>
      </c>
    </row>
    <row r="72" spans="1:21" x14ac:dyDescent="0.25">
      <c r="A72" s="10" t="s">
        <v>144</v>
      </c>
      <c r="B72" s="64"/>
      <c r="C72" s="50"/>
      <c r="D72" s="50"/>
      <c r="E72" s="50"/>
      <c r="F72" s="50"/>
      <c r="G72" s="50">
        <v>-12999000</v>
      </c>
      <c r="H72" s="50">
        <v>-8142000</v>
      </c>
      <c r="I72" s="50">
        <v>5656000</v>
      </c>
      <c r="J72" s="50">
        <v>-9446000</v>
      </c>
      <c r="K72" s="51">
        <v>-6142000</v>
      </c>
      <c r="L72" s="68">
        <f>K123-L123</f>
        <v>-3049260</v>
      </c>
      <c r="M72" s="68">
        <f t="shared" ref="M72:U72" si="51">L123-M123</f>
        <v>-3079752.6000000238</v>
      </c>
      <c r="N72" s="68">
        <f t="shared" si="51"/>
        <v>-3110550.1259999871</v>
      </c>
      <c r="O72" s="68">
        <f t="shared" si="51"/>
        <v>-3141655.6272600293</v>
      </c>
      <c r="P72" s="68">
        <f t="shared" si="51"/>
        <v>-3173072.1835325956</v>
      </c>
      <c r="Q72" s="68">
        <f t="shared" si="51"/>
        <v>-3204802.9053679109</v>
      </c>
      <c r="R72" s="68">
        <f t="shared" si="51"/>
        <v>-3236850.9344215989</v>
      </c>
      <c r="S72" s="68">
        <f t="shared" si="51"/>
        <v>-3269219.4437658191</v>
      </c>
      <c r="T72" s="68">
        <f t="shared" si="51"/>
        <v>-3301911.6382035017</v>
      </c>
      <c r="U72" s="68">
        <f t="shared" si="51"/>
        <v>-3334930.7545855045</v>
      </c>
    </row>
    <row r="73" spans="1:21" x14ac:dyDescent="0.25">
      <c r="A73" s="10" t="s">
        <v>157</v>
      </c>
      <c r="B73" s="64"/>
      <c r="C73" s="50"/>
      <c r="D73" s="50"/>
      <c r="E73" s="50"/>
      <c r="F73" s="50"/>
      <c r="G73" s="50">
        <v>-2515000</v>
      </c>
      <c r="H73" s="50">
        <v>1882000</v>
      </c>
      <c r="I73" s="50">
        <v>948000</v>
      </c>
      <c r="J73" s="50">
        <v>2199000</v>
      </c>
      <c r="K73" s="51">
        <v>1565000</v>
      </c>
      <c r="L73" s="68">
        <f>L130-K130</f>
        <v>-16545.060110405087</v>
      </c>
      <c r="M73" s="68">
        <f t="shared" ref="M73:U73" si="52">M130-L130</f>
        <v>981825.67982932553</v>
      </c>
      <c r="N73" s="68">
        <f t="shared" si="52"/>
        <v>8290707.8204440847</v>
      </c>
      <c r="O73" s="68">
        <f t="shared" si="52"/>
        <v>-4361024.0679725595</v>
      </c>
      <c r="P73" s="68">
        <f t="shared" si="52"/>
        <v>1302740.5520807914</v>
      </c>
      <c r="Q73" s="68">
        <f t="shared" si="52"/>
        <v>549542.33342241868</v>
      </c>
      <c r="R73" s="68">
        <f t="shared" si="52"/>
        <v>9419498.6520699933</v>
      </c>
      <c r="S73" s="68">
        <f t="shared" si="52"/>
        <v>-5085291.2498204783</v>
      </c>
      <c r="T73" s="68">
        <f t="shared" si="52"/>
        <v>528314.43592228368</v>
      </c>
      <c r="U73" s="68">
        <f t="shared" si="52"/>
        <v>683780.91066112369</v>
      </c>
    </row>
    <row r="74" spans="1:21" x14ac:dyDescent="0.25">
      <c r="A74" s="10" t="s">
        <v>159</v>
      </c>
      <c r="B74" s="64"/>
      <c r="C74" s="48"/>
      <c r="D74" s="50"/>
      <c r="E74" s="50"/>
      <c r="F74" s="50"/>
      <c r="G74" s="50">
        <v>3886000</v>
      </c>
      <c r="H74" s="50">
        <v>2493000</v>
      </c>
      <c r="I74" s="50">
        <v>2736000</v>
      </c>
      <c r="J74" s="50">
        <v>-5086000</v>
      </c>
      <c r="K74" s="51">
        <v>11108000</v>
      </c>
      <c r="L74" s="168">
        <f>L131-K131</f>
        <v>12166993.202719137</v>
      </c>
      <c r="M74" s="68">
        <f t="shared" ref="M74:U74" si="53">M131-L131</f>
        <v>-375604.13774548471</v>
      </c>
      <c r="N74" s="68">
        <f t="shared" si="53"/>
        <v>23325160.614920557</v>
      </c>
      <c r="O74" s="68">
        <f t="shared" si="53"/>
        <v>-15123439.796611547</v>
      </c>
      <c r="P74" s="68">
        <f t="shared" si="53"/>
        <v>6746526.2108605206</v>
      </c>
      <c r="Q74" s="68">
        <f t="shared" si="53"/>
        <v>3463257.5899177939</v>
      </c>
      <c r="R74" s="68">
        <f t="shared" si="53"/>
        <v>30674482.54756704</v>
      </c>
      <c r="S74" s="68">
        <f t="shared" si="53"/>
        <v>-18121844.155342236</v>
      </c>
      <c r="T74" s="68">
        <f t="shared" si="53"/>
        <v>2106330.6414887458</v>
      </c>
      <c r="U74" s="68">
        <f t="shared" si="53"/>
        <v>2853233.2591457367</v>
      </c>
    </row>
    <row r="75" spans="1:21" x14ac:dyDescent="0.25">
      <c r="A75" s="12" t="s">
        <v>167</v>
      </c>
      <c r="B75" s="64"/>
      <c r="C75" s="50"/>
      <c r="D75" s="50"/>
      <c r="E75" s="50"/>
      <c r="F75" s="50"/>
      <c r="G75" s="52">
        <v>14710000</v>
      </c>
      <c r="H75" s="52">
        <v>8921000</v>
      </c>
      <c r="I75" s="52">
        <v>-4134000</v>
      </c>
      <c r="J75" s="52">
        <v>14451000</v>
      </c>
      <c r="K75" s="53">
        <v>8493000</v>
      </c>
      <c r="L75" s="170">
        <f>L132-K132</f>
        <v>397110</v>
      </c>
      <c r="M75" s="171">
        <f t="shared" ref="M75:U75" si="54">M132-L132</f>
        <v>401081.10000000149</v>
      </c>
      <c r="N75" s="171">
        <f t="shared" si="54"/>
        <v>405091.91099999845</v>
      </c>
      <c r="O75" s="171">
        <f t="shared" si="54"/>
        <v>409142.83010999858</v>
      </c>
      <c r="P75" s="171">
        <f t="shared" si="54"/>
        <v>413234.258411102</v>
      </c>
      <c r="Q75" s="171">
        <f t="shared" si="54"/>
        <v>417366.60099521279</v>
      </c>
      <c r="R75" s="171">
        <f t="shared" si="54"/>
        <v>421540.26700516045</v>
      </c>
      <c r="S75" s="171">
        <f t="shared" si="54"/>
        <v>425755.66967521608</v>
      </c>
      <c r="T75" s="171">
        <f t="shared" si="54"/>
        <v>430013.2263719663</v>
      </c>
      <c r="U75" s="171">
        <f t="shared" si="54"/>
        <v>434313.35863568634</v>
      </c>
    </row>
    <row r="76" spans="1:21" x14ac:dyDescent="0.25">
      <c r="A76" s="157" t="s">
        <v>217</v>
      </c>
      <c r="B76" s="64"/>
      <c r="C76" s="48"/>
      <c r="D76" s="50"/>
      <c r="E76" s="50"/>
      <c r="F76" s="48"/>
      <c r="G76" s="48">
        <v>21431000</v>
      </c>
      <c r="H76" s="48">
        <v>25978000</v>
      </c>
      <c r="I76" s="48">
        <v>24013000</v>
      </c>
      <c r="J76" s="48">
        <v>38386000</v>
      </c>
      <c r="K76" s="49">
        <v>48909000</v>
      </c>
      <c r="L76" s="169">
        <f>SUM(L64:L75)</f>
        <v>43487345.906886809</v>
      </c>
      <c r="M76" s="169">
        <f t="shared" ref="M76:U76" si="55">SUM(M64:M75)</f>
        <v>23417987.870842535</v>
      </c>
      <c r="N76" s="169">
        <f t="shared" si="55"/>
        <v>82553538.468422845</v>
      </c>
      <c r="O76" s="169">
        <f t="shared" si="55"/>
        <v>14855420.592628259</v>
      </c>
      <c r="P76" s="169">
        <f t="shared" si="55"/>
        <v>48512999.573274471</v>
      </c>
      <c r="Q76" s="169">
        <f t="shared" si="55"/>
        <v>34265889.690702036</v>
      </c>
      <c r="R76" s="169">
        <f t="shared" si="55"/>
        <v>103902521.45198528</v>
      </c>
      <c r="S76" s="169">
        <f t="shared" si="55"/>
        <v>18942016.277224056</v>
      </c>
      <c r="T76" s="169">
        <f t="shared" si="55"/>
        <v>50733358.2143858</v>
      </c>
      <c r="U76" s="169">
        <f t="shared" si="55"/>
        <v>40942723.121378578</v>
      </c>
    </row>
    <row r="77" spans="1:21" x14ac:dyDescent="0.25">
      <c r="A77" s="11"/>
      <c r="B77" s="64"/>
      <c r="C77" s="48"/>
      <c r="D77" s="50"/>
      <c r="E77" s="50"/>
      <c r="F77" s="48"/>
      <c r="G77" s="48"/>
      <c r="H77" s="48"/>
      <c r="I77" s="48"/>
      <c r="J77" s="48"/>
      <c r="K77" s="48"/>
    </row>
    <row r="78" spans="1:21" x14ac:dyDescent="0.25">
      <c r="A78" s="8" t="s">
        <v>219</v>
      </c>
      <c r="B78" s="64"/>
      <c r="C78" s="48"/>
      <c r="D78" s="50"/>
      <c r="E78" s="50"/>
      <c r="F78" s="50"/>
      <c r="G78" s="50"/>
      <c r="H78" s="50"/>
      <c r="I78" s="50"/>
      <c r="J78" s="50"/>
      <c r="K78" s="51"/>
      <c r="L78" s="68"/>
      <c r="M78" s="68"/>
      <c r="N78" s="68"/>
      <c r="O78" s="68"/>
    </row>
    <row r="79" spans="1:21" x14ac:dyDescent="0.25">
      <c r="A79" s="15" t="s">
        <v>221</v>
      </c>
      <c r="B79" s="64"/>
      <c r="C79" s="131"/>
      <c r="D79" s="131"/>
      <c r="E79" s="131"/>
      <c r="F79" s="131"/>
      <c r="G79" s="131">
        <v>-33381000</v>
      </c>
      <c r="H79" s="131">
        <v>-35086000</v>
      </c>
      <c r="I79" s="131">
        <v>-31242000</v>
      </c>
      <c r="J79" s="131">
        <v>-33687000</v>
      </c>
      <c r="K79" s="132">
        <v>-26195000</v>
      </c>
    </row>
    <row r="80" spans="1:21" x14ac:dyDescent="0.25">
      <c r="A80" s="156" t="s">
        <v>223</v>
      </c>
      <c r="B80" s="64"/>
      <c r="C80" s="48"/>
      <c r="D80" s="50"/>
      <c r="E80" s="50"/>
      <c r="F80" s="48"/>
      <c r="G80" s="48">
        <v>-33381000</v>
      </c>
      <c r="H80" s="48">
        <v>-35086000</v>
      </c>
      <c r="I80" s="48">
        <v>-31242000</v>
      </c>
      <c r="J80" s="48">
        <v>-33687000</v>
      </c>
      <c r="K80" s="49">
        <v>-26195000</v>
      </c>
      <c r="L80" s="68"/>
    </row>
    <row r="81" spans="1:12" x14ac:dyDescent="0.25">
      <c r="A81" s="10"/>
      <c r="B81" s="64"/>
      <c r="C81" s="48"/>
      <c r="D81" s="50"/>
      <c r="E81" s="50"/>
      <c r="F81" s="48"/>
      <c r="G81" s="48"/>
      <c r="H81" s="48"/>
      <c r="I81" s="48"/>
      <c r="J81" s="48"/>
      <c r="K81" s="49"/>
    </row>
    <row r="82" spans="1:12" x14ac:dyDescent="0.25">
      <c r="A82" s="8" t="s">
        <v>225</v>
      </c>
      <c r="B82" s="64"/>
      <c r="C82" s="50"/>
      <c r="D82" s="50"/>
      <c r="E82" s="50"/>
      <c r="F82" s="50"/>
      <c r="G82" s="50"/>
      <c r="H82" s="50"/>
      <c r="I82" s="50"/>
      <c r="J82" s="50"/>
      <c r="K82" s="51"/>
    </row>
    <row r="83" spans="1:12" x14ac:dyDescent="0.25">
      <c r="A83" s="14" t="s">
        <v>227</v>
      </c>
      <c r="B83" s="64"/>
      <c r="C83" s="50"/>
      <c r="D83" s="50"/>
      <c r="E83" s="50"/>
      <c r="F83" s="50"/>
      <c r="G83" s="50"/>
      <c r="H83" s="50"/>
      <c r="I83" s="50"/>
      <c r="J83" s="50"/>
      <c r="K83" s="51"/>
      <c r="L83" s="68"/>
    </row>
    <row r="84" spans="1:12" x14ac:dyDescent="0.25">
      <c r="A84" s="14" t="s">
        <v>229</v>
      </c>
      <c r="B84" s="64"/>
      <c r="C84" s="50"/>
      <c r="D84" s="50"/>
      <c r="E84" s="50"/>
      <c r="F84" s="50"/>
      <c r="G84" s="50"/>
      <c r="H84" s="50"/>
      <c r="I84" s="50"/>
      <c r="J84" s="50"/>
      <c r="K84" s="51"/>
    </row>
    <row r="85" spans="1:12" x14ac:dyDescent="0.25">
      <c r="A85" s="14" t="s">
        <v>231</v>
      </c>
      <c r="B85" s="64"/>
      <c r="C85" s="50"/>
      <c r="D85" s="50"/>
      <c r="E85" s="50"/>
      <c r="F85" s="50"/>
      <c r="G85" s="50"/>
      <c r="H85" s="50"/>
      <c r="I85" s="50"/>
      <c r="J85" s="50"/>
      <c r="K85" s="51"/>
    </row>
    <row r="86" spans="1:12" x14ac:dyDescent="0.25">
      <c r="A86" s="14" t="s">
        <v>233</v>
      </c>
      <c r="B86" s="64"/>
      <c r="C86" s="48"/>
      <c r="D86" s="50"/>
      <c r="E86" s="50"/>
      <c r="F86" s="50"/>
      <c r="G86" s="50"/>
      <c r="H86" s="50"/>
      <c r="I86" s="50"/>
      <c r="J86" s="50" t="s">
        <v>17</v>
      </c>
      <c r="K86" s="51"/>
    </row>
    <row r="87" spans="1:12" x14ac:dyDescent="0.25">
      <c r="A87" s="11" t="s">
        <v>235</v>
      </c>
      <c r="B87" s="64"/>
      <c r="C87" s="50"/>
      <c r="D87" s="50"/>
      <c r="E87" s="50"/>
      <c r="F87" s="50"/>
      <c r="G87" s="50"/>
      <c r="H87" s="50"/>
      <c r="I87" s="50">
        <v>-1537000</v>
      </c>
      <c r="J87" s="50" t="s">
        <v>17</v>
      </c>
      <c r="K87" s="51"/>
    </row>
    <row r="88" spans="1:12" x14ac:dyDescent="0.25">
      <c r="A88" s="14" t="s">
        <v>237</v>
      </c>
      <c r="B88" s="64"/>
      <c r="C88" s="50"/>
      <c r="D88" s="50"/>
      <c r="E88" s="50"/>
      <c r="F88" s="50"/>
      <c r="G88" s="50">
        <v>-98000</v>
      </c>
      <c r="H88" s="50"/>
      <c r="I88" s="50"/>
      <c r="J88" s="50">
        <v>-8039000</v>
      </c>
      <c r="K88" s="51">
        <v>-9300000</v>
      </c>
    </row>
    <row r="89" spans="1:12" x14ac:dyDescent="0.25">
      <c r="A89" s="14" t="s">
        <v>239</v>
      </c>
      <c r="B89" s="64"/>
      <c r="C89" s="48"/>
      <c r="D89" s="50"/>
      <c r="E89" s="50"/>
      <c r="F89" s="50"/>
      <c r="G89" s="50"/>
      <c r="H89" s="50"/>
      <c r="I89" s="50"/>
      <c r="J89" s="50">
        <v>59000</v>
      </c>
      <c r="K89" s="51"/>
    </row>
    <row r="90" spans="1:12" x14ac:dyDescent="0.25">
      <c r="A90" s="14" t="s">
        <v>241</v>
      </c>
      <c r="B90" s="64"/>
      <c r="C90" s="50"/>
      <c r="D90" s="50"/>
      <c r="E90" s="50"/>
      <c r="F90" s="50"/>
      <c r="G90" s="50"/>
      <c r="H90" s="50"/>
      <c r="I90" s="50"/>
      <c r="J90" s="50" t="s">
        <v>17</v>
      </c>
      <c r="K90" s="51"/>
    </row>
    <row r="91" spans="1:12" x14ac:dyDescent="0.25">
      <c r="A91" s="14" t="s">
        <v>243</v>
      </c>
      <c r="B91" s="64"/>
      <c r="C91" s="50"/>
      <c r="D91" s="50"/>
      <c r="E91" s="50"/>
      <c r="F91" s="50"/>
      <c r="G91" s="50"/>
      <c r="H91" s="50"/>
      <c r="I91" s="50"/>
      <c r="J91" s="50"/>
      <c r="K91" s="51"/>
    </row>
    <row r="92" spans="1:12" x14ac:dyDescent="0.25">
      <c r="A92" s="14" t="s">
        <v>245</v>
      </c>
      <c r="B92" s="64"/>
      <c r="C92" s="50"/>
      <c r="D92" s="50"/>
      <c r="E92" s="50"/>
      <c r="F92" s="50"/>
      <c r="G92" s="50">
        <v>-511000</v>
      </c>
      <c r="H92" s="50">
        <v>-3219000</v>
      </c>
      <c r="I92" s="50">
        <v>-243000</v>
      </c>
      <c r="J92" s="50"/>
      <c r="K92" s="51"/>
    </row>
    <row r="93" spans="1:12" x14ac:dyDescent="0.25">
      <c r="A93" s="14" t="s">
        <v>247</v>
      </c>
      <c r="B93" s="64"/>
      <c r="C93" s="50"/>
      <c r="D93" s="50"/>
      <c r="E93" s="50"/>
      <c r="F93" s="50"/>
      <c r="G93" s="50">
        <v>-139000</v>
      </c>
      <c r="H93" s="50">
        <v>-3000</v>
      </c>
      <c r="I93" s="50">
        <v>-4000</v>
      </c>
      <c r="J93" s="50"/>
      <c r="K93" s="51"/>
    </row>
    <row r="94" spans="1:12" x14ac:dyDescent="0.25">
      <c r="A94" s="14" t="s">
        <v>249</v>
      </c>
      <c r="B94" s="64"/>
      <c r="C94" s="48"/>
      <c r="D94" s="50"/>
      <c r="E94" s="50"/>
      <c r="F94" s="50"/>
      <c r="G94" s="50"/>
      <c r="H94" s="50"/>
      <c r="I94" s="50"/>
      <c r="J94" s="50" t="s">
        <v>17</v>
      </c>
      <c r="K94" s="51"/>
    </row>
    <row r="95" spans="1:12" x14ac:dyDescent="0.25">
      <c r="A95" s="15" t="s">
        <v>251</v>
      </c>
      <c r="B95" s="64"/>
      <c r="C95" s="50"/>
      <c r="D95" s="50"/>
      <c r="E95" s="50"/>
      <c r="F95" s="50"/>
      <c r="G95" s="50">
        <v>-23000</v>
      </c>
      <c r="H95" s="50">
        <v>-14000</v>
      </c>
      <c r="I95" s="50"/>
      <c r="J95" s="50">
        <v>-30000</v>
      </c>
      <c r="K95" s="51">
        <v>-15000</v>
      </c>
    </row>
    <row r="96" spans="1:12" x14ac:dyDescent="0.25">
      <c r="A96" s="155" t="s">
        <v>253</v>
      </c>
      <c r="B96" s="64"/>
      <c r="C96" s="50"/>
      <c r="D96" s="50"/>
      <c r="E96" s="50"/>
      <c r="F96" s="48"/>
      <c r="G96" s="48">
        <v>342079000</v>
      </c>
      <c r="H96" s="48">
        <v>-3338000</v>
      </c>
      <c r="I96" s="48">
        <v>-742000</v>
      </c>
      <c r="J96" s="48">
        <v>-8010000</v>
      </c>
      <c r="K96" s="49">
        <v>-8083000</v>
      </c>
    </row>
    <row r="97" spans="1:20" x14ac:dyDescent="0.25">
      <c r="A97" s="12"/>
      <c r="B97" s="64"/>
      <c r="C97" s="50"/>
      <c r="D97" s="50"/>
      <c r="E97" s="50"/>
      <c r="F97" s="48"/>
      <c r="G97" s="48"/>
      <c r="H97" s="48"/>
      <c r="I97" s="48"/>
      <c r="J97" s="48"/>
      <c r="K97" s="49"/>
    </row>
    <row r="98" spans="1:20" x14ac:dyDescent="0.25">
      <c r="A98" s="6" t="s">
        <v>255</v>
      </c>
      <c r="B98" s="64"/>
      <c r="C98" s="50"/>
      <c r="D98" s="50"/>
      <c r="E98" s="50"/>
      <c r="F98" s="50"/>
      <c r="G98" s="50">
        <v>330129000</v>
      </c>
      <c r="H98" s="50">
        <v>-12446000</v>
      </c>
      <c r="I98" s="50">
        <v>-7971000</v>
      </c>
      <c r="J98" s="50">
        <v>-3311000</v>
      </c>
      <c r="K98" s="51">
        <v>14631000</v>
      </c>
    </row>
    <row r="99" spans="1:20" x14ac:dyDescent="0.25">
      <c r="A99" s="6" t="s">
        <v>257</v>
      </c>
      <c r="B99" s="64"/>
      <c r="C99" s="50"/>
      <c r="D99" s="50"/>
      <c r="E99" s="50"/>
      <c r="F99" s="50"/>
      <c r="G99" s="50">
        <v>0</v>
      </c>
      <c r="H99" s="50">
        <v>0</v>
      </c>
      <c r="I99" s="50">
        <v>0</v>
      </c>
      <c r="J99" s="50">
        <v>332428000</v>
      </c>
      <c r="K99" s="51">
        <v>0</v>
      </c>
    </row>
    <row r="100" spans="1:20" x14ac:dyDescent="0.25">
      <c r="A100" s="6" t="s">
        <v>259</v>
      </c>
      <c r="B100" s="64"/>
      <c r="C100" s="50"/>
      <c r="D100" s="50"/>
      <c r="E100" s="50"/>
      <c r="F100" s="50"/>
      <c r="G100" s="50">
        <v>330129000</v>
      </c>
      <c r="H100" s="50">
        <v>-12446000</v>
      </c>
      <c r="I100" s="50">
        <v>-7971000</v>
      </c>
      <c r="J100" s="50">
        <v>329117000</v>
      </c>
      <c r="K100" s="51">
        <v>14631000</v>
      </c>
    </row>
    <row r="101" spans="1:20" x14ac:dyDescent="0.25">
      <c r="A101" s="8" t="s">
        <v>260</v>
      </c>
      <c r="B101" s="64"/>
      <c r="C101" s="48"/>
      <c r="D101" s="50"/>
      <c r="E101" s="50"/>
      <c r="F101" s="50"/>
      <c r="G101" s="50">
        <v>0</v>
      </c>
      <c r="H101" s="50">
        <v>0</v>
      </c>
      <c r="I101" s="50">
        <v>0</v>
      </c>
      <c r="J101" s="50"/>
      <c r="K101" s="51">
        <v>0</v>
      </c>
    </row>
    <row r="102" spans="1:20" x14ac:dyDescent="0.25">
      <c r="A102" s="14" t="s">
        <v>262</v>
      </c>
      <c r="B102" s="64"/>
      <c r="C102" s="50"/>
      <c r="D102" s="50"/>
      <c r="E102" s="50"/>
      <c r="F102" s="50"/>
      <c r="G102" s="50">
        <v>2030000</v>
      </c>
      <c r="H102" s="50">
        <v>-3219000</v>
      </c>
      <c r="I102" s="50">
        <v>-243000</v>
      </c>
      <c r="J102" s="50">
        <v>0</v>
      </c>
      <c r="K102" s="51">
        <v>0</v>
      </c>
    </row>
    <row r="103" spans="1:20" x14ac:dyDescent="0.25">
      <c r="A103" s="14" t="s">
        <v>264</v>
      </c>
      <c r="B103" s="64"/>
      <c r="C103" s="50"/>
      <c r="D103" s="50"/>
      <c r="E103" s="50"/>
      <c r="F103" s="50"/>
      <c r="G103" s="50"/>
      <c r="H103" s="50"/>
      <c r="I103" s="50"/>
      <c r="J103" s="50" t="s">
        <v>17</v>
      </c>
      <c r="K103" s="51"/>
    </row>
    <row r="104" spans="1:20" x14ac:dyDescent="0.25">
      <c r="A104" s="11" t="s">
        <v>266</v>
      </c>
      <c r="B104" s="64"/>
      <c r="C104" s="48"/>
      <c r="D104" s="50"/>
      <c r="E104" s="50"/>
      <c r="F104" s="50"/>
      <c r="G104" s="50"/>
      <c r="H104" s="50"/>
      <c r="I104" s="50">
        <v>52000</v>
      </c>
      <c r="J104" s="50" t="s">
        <v>17</v>
      </c>
      <c r="K104" s="51"/>
    </row>
    <row r="105" spans="1:20" x14ac:dyDescent="0.25">
      <c r="A105" s="14" t="s">
        <v>268</v>
      </c>
      <c r="B105" s="64"/>
      <c r="C105" s="50"/>
      <c r="D105" s="50"/>
      <c r="E105" s="50"/>
      <c r="F105" s="50"/>
      <c r="G105" s="50">
        <v>124000</v>
      </c>
      <c r="H105" s="50">
        <v>94000</v>
      </c>
      <c r="I105" s="50">
        <v>-144000</v>
      </c>
      <c r="J105" s="50">
        <v>814000</v>
      </c>
      <c r="K105" s="51">
        <v>171000</v>
      </c>
    </row>
    <row r="106" spans="1:20" x14ac:dyDescent="0.25">
      <c r="A106" s="14" t="s">
        <v>270</v>
      </c>
      <c r="B106" s="64"/>
      <c r="C106" s="48"/>
      <c r="D106" s="50"/>
      <c r="E106" s="50"/>
      <c r="F106" s="50"/>
      <c r="G106" s="50">
        <v>3998000</v>
      </c>
      <c r="H106" s="50">
        <v>-4640000</v>
      </c>
      <c r="I106" s="50">
        <v>-3503000</v>
      </c>
      <c r="J106" s="50">
        <v>-327000</v>
      </c>
      <c r="K106" s="51">
        <v>-2095000</v>
      </c>
      <c r="L106" s="68"/>
    </row>
    <row r="107" spans="1:20" x14ac:dyDescent="0.25">
      <c r="A107" s="14" t="s">
        <v>272</v>
      </c>
      <c r="B107" s="64"/>
      <c r="C107" s="48"/>
      <c r="D107" s="50"/>
      <c r="E107" s="50"/>
      <c r="F107" s="50"/>
      <c r="G107" s="50"/>
      <c r="H107" s="50">
        <v>0</v>
      </c>
      <c r="I107" s="50">
        <v>0</v>
      </c>
      <c r="J107" s="50" t="s">
        <v>17</v>
      </c>
      <c r="K107" s="51"/>
      <c r="L107" s="68"/>
    </row>
    <row r="108" spans="1:20" x14ac:dyDescent="0.25">
      <c r="A108" s="14"/>
      <c r="B108" s="64"/>
      <c r="C108" s="48"/>
      <c r="D108" s="50"/>
      <c r="E108" s="50"/>
      <c r="F108" s="50"/>
      <c r="G108" s="50"/>
      <c r="H108" s="50"/>
      <c r="I108" s="50"/>
      <c r="J108" s="50"/>
      <c r="K108" s="51"/>
    </row>
    <row r="109" spans="1:20" x14ac:dyDescent="0.25">
      <c r="A109" s="14" t="s">
        <v>316</v>
      </c>
      <c r="B109" s="64"/>
      <c r="C109" s="48"/>
      <c r="D109" s="50"/>
      <c r="E109" s="50"/>
      <c r="F109" s="50"/>
      <c r="G109" s="50"/>
      <c r="H109" s="50"/>
      <c r="I109" s="50"/>
      <c r="J109" s="50"/>
      <c r="K109" s="50"/>
    </row>
    <row r="110" spans="1:20" x14ac:dyDescent="0.25">
      <c r="A110" s="14" t="s">
        <v>317</v>
      </c>
      <c r="B110" s="64"/>
      <c r="C110" s="48"/>
      <c r="D110" s="50"/>
      <c r="E110" s="50"/>
      <c r="F110" s="50"/>
      <c r="G110" s="50"/>
      <c r="H110" s="50"/>
      <c r="I110" s="50"/>
      <c r="J110" s="50"/>
      <c r="K110" s="50"/>
    </row>
    <row r="111" spans="1:20" x14ac:dyDescent="0.25">
      <c r="A111" s="14" t="s">
        <v>318</v>
      </c>
      <c r="B111" s="64"/>
      <c r="C111" s="48"/>
      <c r="D111" s="50"/>
      <c r="E111" s="50"/>
      <c r="F111" s="50"/>
      <c r="G111" s="50"/>
      <c r="H111" s="50"/>
      <c r="I111" s="50"/>
      <c r="J111" s="50"/>
      <c r="K111" s="50"/>
      <c r="L111" s="68">
        <f>H130-G130</f>
        <v>-636000</v>
      </c>
      <c r="M111" s="68">
        <f t="shared" ref="M111:T111" si="56">I130-H130</f>
        <v>3666000</v>
      </c>
      <c r="N111" s="68">
        <f t="shared" si="56"/>
        <v>2119000</v>
      </c>
      <c r="O111" s="68">
        <f t="shared" si="56"/>
        <v>995000</v>
      </c>
      <c r="P111" s="68">
        <f t="shared" si="56"/>
        <v>-16545.060110405087</v>
      </c>
      <c r="Q111" s="68">
        <f t="shared" si="56"/>
        <v>981825.67982932553</v>
      </c>
      <c r="R111" s="68">
        <f t="shared" si="56"/>
        <v>8290707.8204440847</v>
      </c>
      <c r="S111" s="68">
        <f t="shared" si="56"/>
        <v>-4361024.0679725595</v>
      </c>
      <c r="T111" s="68">
        <f t="shared" si="56"/>
        <v>1302740.5520807914</v>
      </c>
    </row>
    <row r="112" spans="1:20" x14ac:dyDescent="0.25">
      <c r="C112" s="130"/>
      <c r="D112" s="131"/>
      <c r="E112" s="131"/>
      <c r="F112" s="131"/>
      <c r="G112" s="131"/>
      <c r="H112" s="131"/>
      <c r="I112" s="131"/>
      <c r="J112" s="131"/>
      <c r="K112" s="132"/>
    </row>
    <row r="113" spans="1:21" x14ac:dyDescent="0.25">
      <c r="A113" s="31" t="s">
        <v>122</v>
      </c>
      <c r="B113" s="31"/>
      <c r="C113" s="31"/>
      <c r="D113" s="32"/>
      <c r="E113" s="32"/>
      <c r="F113" s="32"/>
      <c r="G113" s="33"/>
      <c r="H113" s="32"/>
      <c r="I113" s="32"/>
      <c r="J113" s="32"/>
      <c r="K113" s="34"/>
      <c r="L113" s="35"/>
      <c r="M113" s="36"/>
      <c r="N113" s="36"/>
      <c r="O113" s="36"/>
      <c r="P113" s="36"/>
      <c r="Q113" s="36"/>
      <c r="R113" s="36"/>
      <c r="S113" s="36"/>
      <c r="T113" s="36"/>
      <c r="U113" s="36"/>
    </row>
    <row r="114" spans="1:21" x14ac:dyDescent="0.25">
      <c r="K114" s="71"/>
    </row>
    <row r="115" spans="1:21" x14ac:dyDescent="0.25">
      <c r="A115" s="8" t="s">
        <v>126</v>
      </c>
      <c r="G115" s="176"/>
      <c r="H115" s="176"/>
      <c r="I115" s="176"/>
      <c r="J115" s="176"/>
      <c r="K115" s="176"/>
    </row>
    <row r="116" spans="1:21" x14ac:dyDescent="0.25">
      <c r="A116" s="9" t="s">
        <v>128</v>
      </c>
      <c r="G116" s="136"/>
      <c r="H116" s="136"/>
      <c r="I116" s="136"/>
      <c r="J116" s="136"/>
      <c r="K116" s="177"/>
    </row>
    <row r="117" spans="1:21" x14ac:dyDescent="0.25">
      <c r="A117" s="10" t="s">
        <v>130</v>
      </c>
      <c r="G117" s="50">
        <v>352845000</v>
      </c>
      <c r="H117" s="50">
        <v>340399000</v>
      </c>
      <c r="I117" s="50">
        <v>332428000</v>
      </c>
      <c r="J117" s="50">
        <v>329117000</v>
      </c>
      <c r="K117" s="51">
        <v>343748000</v>
      </c>
      <c r="L117" s="68">
        <f>L111</f>
        <v>-636000</v>
      </c>
      <c r="M117" s="68">
        <f t="shared" ref="M117:U117" si="57">M111</f>
        <v>3666000</v>
      </c>
      <c r="N117" s="68">
        <f t="shared" si="57"/>
        <v>2119000</v>
      </c>
      <c r="O117" s="68">
        <f t="shared" si="57"/>
        <v>995000</v>
      </c>
      <c r="P117" s="68">
        <f t="shared" si="57"/>
        <v>-16545.060110405087</v>
      </c>
      <c r="Q117" s="68">
        <f t="shared" si="57"/>
        <v>981825.67982932553</v>
      </c>
      <c r="R117" s="68">
        <f t="shared" si="57"/>
        <v>8290707.8204440847</v>
      </c>
      <c r="S117" s="68">
        <f t="shared" si="57"/>
        <v>-4361024.0679725595</v>
      </c>
      <c r="T117" s="68">
        <f t="shared" si="57"/>
        <v>1302740.5520807914</v>
      </c>
      <c r="U117" s="68">
        <f t="shared" si="57"/>
        <v>0</v>
      </c>
    </row>
    <row r="118" spans="1:21" x14ac:dyDescent="0.25">
      <c r="A118" s="10" t="s">
        <v>293</v>
      </c>
      <c r="F118" s="50"/>
      <c r="G118" s="50">
        <v>11878000</v>
      </c>
      <c r="H118" s="50">
        <v>12692000</v>
      </c>
      <c r="I118" s="50">
        <v>11885000</v>
      </c>
      <c r="J118" s="50">
        <v>11732000</v>
      </c>
      <c r="K118" s="51">
        <v>13889000</v>
      </c>
      <c r="L118" s="68">
        <f>L178</f>
        <v>15439613.924429463</v>
      </c>
      <c r="M118" s="68">
        <f t="shared" ref="M118:U118" si="58">M178</f>
        <v>15267255.773436632</v>
      </c>
      <c r="N118" s="68">
        <f t="shared" si="58"/>
        <v>20893128.281142924</v>
      </c>
      <c r="O118" s="68">
        <f t="shared" si="58"/>
        <v>18068265.273731168</v>
      </c>
      <c r="P118" s="68">
        <f t="shared" si="58"/>
        <v>19318196.873335171</v>
      </c>
      <c r="Q118" s="68">
        <f t="shared" si="58"/>
        <v>19192432.751904491</v>
      </c>
      <c r="R118" s="68">
        <f t="shared" si="58"/>
        <v>26592291.51502854</v>
      </c>
      <c r="S118" s="68">
        <f t="shared" si="58"/>
        <v>23202406.45717125</v>
      </c>
      <c r="T118" s="68">
        <f t="shared" si="58"/>
        <v>23523478.850730103</v>
      </c>
      <c r="U118" s="68">
        <f t="shared" si="58"/>
        <v>23197260.299216714</v>
      </c>
    </row>
    <row r="119" spans="1:21" x14ac:dyDescent="0.25">
      <c r="A119" s="10" t="s">
        <v>136</v>
      </c>
      <c r="F119" s="50"/>
      <c r="G119" s="50">
        <v>5357000</v>
      </c>
      <c r="H119" s="50">
        <v>5726000</v>
      </c>
      <c r="I119" s="50">
        <v>5637000</v>
      </c>
      <c r="J119" s="50">
        <v>6304000</v>
      </c>
      <c r="K119" s="51">
        <v>7195000</v>
      </c>
      <c r="L119" s="68">
        <f>L179</f>
        <v>7319855.863950544</v>
      </c>
      <c r="M119" s="68">
        <f t="shared" ref="M119:U119" si="59">M179</f>
        <v>7600691.2899357872</v>
      </c>
      <c r="N119" s="68">
        <f t="shared" si="59"/>
        <v>10204521.196453366</v>
      </c>
      <c r="O119" s="68">
        <f t="shared" si="59"/>
        <v>8801599.0223232042</v>
      </c>
      <c r="P119" s="68">
        <f t="shared" si="59"/>
        <v>9363046.786221439</v>
      </c>
      <c r="Q119" s="68">
        <f t="shared" si="59"/>
        <v>9551817.197740199</v>
      </c>
      <c r="R119" s="68">
        <f t="shared" si="59"/>
        <v>12818025.142945763</v>
      </c>
      <c r="S119" s="68">
        <f t="shared" si="59"/>
        <v>10998049.467283404</v>
      </c>
      <c r="T119" s="68">
        <f t="shared" si="59"/>
        <v>11216670.239507282</v>
      </c>
      <c r="U119" s="68">
        <f t="shared" si="59"/>
        <v>11471540.861919114</v>
      </c>
    </row>
    <row r="120" spans="1:21" x14ac:dyDescent="0.25">
      <c r="A120" s="12" t="s">
        <v>138</v>
      </c>
      <c r="F120" s="50"/>
      <c r="G120" s="52">
        <v>4534000</v>
      </c>
      <c r="H120" s="52">
        <v>4832000</v>
      </c>
      <c r="I120" s="52">
        <v>4962000</v>
      </c>
      <c r="J120" s="52">
        <v>4861000</v>
      </c>
      <c r="K120" s="53">
        <v>4934000</v>
      </c>
      <c r="L120" s="171">
        <f>L180</f>
        <v>5907359.9237097828</v>
      </c>
      <c r="M120" s="171">
        <f t="shared" ref="M120:U120" si="60">M180</f>
        <v>6071052.4718284672</v>
      </c>
      <c r="N120" s="171">
        <f t="shared" si="60"/>
        <v>8048154.1636452042</v>
      </c>
      <c r="O120" s="171">
        <f t="shared" si="60"/>
        <v>6771100.4826367535</v>
      </c>
      <c r="P120" s="171">
        <f t="shared" si="60"/>
        <v>7200292.3310782881</v>
      </c>
      <c r="Q120" s="171">
        <f t="shared" si="60"/>
        <v>7514153.0998055814</v>
      </c>
      <c r="R120" s="171">
        <f t="shared" si="60"/>
        <v>10030390.800573418</v>
      </c>
      <c r="S120" s="171">
        <f t="shared" si="60"/>
        <v>8570079.557651883</v>
      </c>
      <c r="T120" s="171">
        <f t="shared" si="60"/>
        <v>8719408.3762554023</v>
      </c>
      <c r="U120" s="171">
        <f t="shared" si="60"/>
        <v>8935636.1068849005</v>
      </c>
    </row>
    <row r="121" spans="1:21" x14ac:dyDescent="0.25">
      <c r="A121" s="11" t="s">
        <v>140</v>
      </c>
      <c r="F121" s="50"/>
      <c r="G121" s="48">
        <f>SUM(G117:G120)</f>
        <v>374614000</v>
      </c>
      <c r="H121" s="48">
        <f t="shared" ref="H121:K121" si="61">SUM(H117:H120)</f>
        <v>363649000</v>
      </c>
      <c r="I121" s="48">
        <f t="shared" si="61"/>
        <v>354912000</v>
      </c>
      <c r="J121" s="48">
        <f t="shared" si="61"/>
        <v>352014000</v>
      </c>
      <c r="K121" s="48">
        <f t="shared" si="61"/>
        <v>369766000</v>
      </c>
      <c r="L121" s="169">
        <f>SUM(L117:L120)</f>
        <v>28030829.712089792</v>
      </c>
      <c r="M121" s="169">
        <f t="shared" ref="M121:U121" si="62">SUM(M117:M120)</f>
        <v>32604999.535200886</v>
      </c>
      <c r="N121" s="169">
        <f t="shared" si="62"/>
        <v>41264803.641241491</v>
      </c>
      <c r="O121" s="169">
        <f t="shared" si="62"/>
        <v>34635964.778691128</v>
      </c>
      <c r="P121" s="169">
        <f t="shared" si="62"/>
        <v>35864990.930524498</v>
      </c>
      <c r="Q121" s="169">
        <f t="shared" si="62"/>
        <v>37240228.729279593</v>
      </c>
      <c r="R121" s="169">
        <f t="shared" si="62"/>
        <v>57731415.278991811</v>
      </c>
      <c r="S121" s="169">
        <f t="shared" si="62"/>
        <v>38409511.414133981</v>
      </c>
      <c r="T121" s="169">
        <f t="shared" si="62"/>
        <v>44762298.018573575</v>
      </c>
      <c r="U121" s="169">
        <f t="shared" si="62"/>
        <v>43604437.268020734</v>
      </c>
    </row>
    <row r="122" spans="1:21" x14ac:dyDescent="0.25">
      <c r="A122" s="14" t="s">
        <v>142</v>
      </c>
      <c r="F122" s="50"/>
      <c r="G122" s="50">
        <v>298318000</v>
      </c>
      <c r="H122" s="50">
        <v>316086000</v>
      </c>
      <c r="I122" s="50">
        <v>330730000</v>
      </c>
      <c r="J122" s="50">
        <v>345695000</v>
      </c>
      <c r="K122" s="51">
        <v>355014000</v>
      </c>
      <c r="L122" s="68">
        <f>K122*1.02</f>
        <v>362114280</v>
      </c>
      <c r="M122" s="68">
        <f t="shared" ref="M122:U122" si="63">L122*1.02</f>
        <v>369356565.60000002</v>
      </c>
      <c r="N122" s="68">
        <f t="shared" si="63"/>
        <v>376743696.91200006</v>
      </c>
      <c r="O122" s="68">
        <f t="shared" si="63"/>
        <v>384278570.85024005</v>
      </c>
      <c r="P122" s="68">
        <f t="shared" si="63"/>
        <v>391964142.26724488</v>
      </c>
      <c r="Q122" s="68">
        <f t="shared" si="63"/>
        <v>399803425.11258978</v>
      </c>
      <c r="R122" s="68">
        <f t="shared" si="63"/>
        <v>407799493.61484158</v>
      </c>
      <c r="S122" s="68">
        <f t="shared" si="63"/>
        <v>415955483.48713839</v>
      </c>
      <c r="T122" s="68">
        <f t="shared" si="63"/>
        <v>424274593.15688115</v>
      </c>
      <c r="U122" s="68">
        <f t="shared" si="63"/>
        <v>432760085.02001876</v>
      </c>
    </row>
    <row r="123" spans="1:21" x14ac:dyDescent="0.25">
      <c r="A123" s="14" t="s">
        <v>144</v>
      </c>
      <c r="F123" s="50"/>
      <c r="G123" s="50">
        <v>289126000</v>
      </c>
      <c r="H123" s="50">
        <v>297031000</v>
      </c>
      <c r="I123" s="50">
        <v>289451000</v>
      </c>
      <c r="J123" s="50">
        <v>298798000</v>
      </c>
      <c r="K123" s="51">
        <v>304926000</v>
      </c>
      <c r="L123" s="68">
        <f>K123*1.01</f>
        <v>307975260</v>
      </c>
      <c r="M123" s="68">
        <f t="shared" ref="M123:U123" si="64">L123*1.01</f>
        <v>311055012.60000002</v>
      </c>
      <c r="N123" s="68">
        <f t="shared" si="64"/>
        <v>314165562.72600001</v>
      </c>
      <c r="O123" s="68">
        <f t="shared" si="64"/>
        <v>317307218.35326004</v>
      </c>
      <c r="P123" s="68">
        <f t="shared" si="64"/>
        <v>320480290.53679264</v>
      </c>
      <c r="Q123" s="68">
        <f t="shared" si="64"/>
        <v>323685093.44216055</v>
      </c>
      <c r="R123" s="68">
        <f t="shared" si="64"/>
        <v>326921944.37658215</v>
      </c>
      <c r="S123" s="68">
        <f t="shared" si="64"/>
        <v>330191163.82034796</v>
      </c>
      <c r="T123" s="68">
        <f t="shared" si="64"/>
        <v>333493075.45855147</v>
      </c>
      <c r="U123" s="68">
        <f t="shared" si="64"/>
        <v>336828006.21313697</v>
      </c>
    </row>
    <row r="124" spans="1:21" x14ac:dyDescent="0.25">
      <c r="A124" s="14" t="s">
        <v>146</v>
      </c>
      <c r="F124" s="50"/>
      <c r="G124" s="50">
        <v>1944000</v>
      </c>
      <c r="H124" s="50">
        <v>1944000</v>
      </c>
      <c r="I124" s="50">
        <v>1944000</v>
      </c>
      <c r="J124" s="50">
        <v>1944000</v>
      </c>
      <c r="K124" s="51">
        <v>1944000</v>
      </c>
      <c r="L124" s="68">
        <f>K124</f>
        <v>1944000</v>
      </c>
      <c r="M124" s="68">
        <f t="shared" ref="M124:U124" si="65">L124</f>
        <v>1944000</v>
      </c>
      <c r="N124" s="68">
        <f t="shared" si="65"/>
        <v>1944000</v>
      </c>
      <c r="O124" s="68">
        <f t="shared" si="65"/>
        <v>1944000</v>
      </c>
      <c r="P124" s="68">
        <f t="shared" si="65"/>
        <v>1944000</v>
      </c>
      <c r="Q124" s="68">
        <f t="shared" si="65"/>
        <v>1944000</v>
      </c>
      <c r="R124" s="68">
        <f t="shared" si="65"/>
        <v>1944000</v>
      </c>
      <c r="S124" s="68">
        <f t="shared" si="65"/>
        <v>1944000</v>
      </c>
      <c r="T124" s="68">
        <f t="shared" si="65"/>
        <v>1944000</v>
      </c>
      <c r="U124" s="68">
        <f t="shared" si="65"/>
        <v>1944000</v>
      </c>
    </row>
    <row r="125" spans="1:21" x14ac:dyDescent="0.25">
      <c r="A125" s="14" t="s">
        <v>147</v>
      </c>
      <c r="F125" s="50"/>
      <c r="G125" s="50">
        <v>1355000</v>
      </c>
      <c r="H125" s="50">
        <v>1355000</v>
      </c>
      <c r="I125" s="50">
        <v>1355000</v>
      </c>
      <c r="J125" s="50">
        <v>1355000</v>
      </c>
      <c r="K125" s="51">
        <v>1355000</v>
      </c>
      <c r="L125" s="68">
        <f>K125</f>
        <v>1355000</v>
      </c>
      <c r="M125" s="68">
        <f t="shared" ref="M125:U125" si="66">L125</f>
        <v>1355000</v>
      </c>
      <c r="N125" s="68">
        <f t="shared" si="66"/>
        <v>1355000</v>
      </c>
      <c r="O125" s="68">
        <f t="shared" si="66"/>
        <v>1355000</v>
      </c>
      <c r="P125" s="68">
        <f t="shared" si="66"/>
        <v>1355000</v>
      </c>
      <c r="Q125" s="68">
        <f t="shared" si="66"/>
        <v>1355000</v>
      </c>
      <c r="R125" s="68">
        <f t="shared" si="66"/>
        <v>1355000</v>
      </c>
      <c r="S125" s="68">
        <f t="shared" si="66"/>
        <v>1355000</v>
      </c>
      <c r="T125" s="68">
        <f t="shared" si="66"/>
        <v>1355000</v>
      </c>
      <c r="U125" s="68">
        <f t="shared" si="66"/>
        <v>1355000</v>
      </c>
    </row>
    <row r="126" spans="1:21" x14ac:dyDescent="0.25">
      <c r="A126" s="15" t="s">
        <v>149</v>
      </c>
      <c r="F126" s="50"/>
      <c r="G126" s="52">
        <v>5018000</v>
      </c>
      <c r="H126" s="52">
        <v>4909000</v>
      </c>
      <c r="I126" s="52">
        <v>5365000</v>
      </c>
      <c r="J126" s="52">
        <v>5284000</v>
      </c>
      <c r="K126" s="53">
        <v>5537000</v>
      </c>
      <c r="L126" s="171">
        <f>K126*1.02</f>
        <v>5647740</v>
      </c>
      <c r="M126" s="171">
        <f t="shared" ref="M126:U126" si="67">L126*1.02</f>
        <v>5760694.7999999998</v>
      </c>
      <c r="N126" s="171">
        <f t="shared" si="67"/>
        <v>5875908.6959999995</v>
      </c>
      <c r="O126" s="171">
        <f t="shared" si="67"/>
        <v>5993426.8699199995</v>
      </c>
      <c r="P126" s="171">
        <f t="shared" si="67"/>
        <v>6113295.4073183993</v>
      </c>
      <c r="Q126" s="171">
        <f t="shared" si="67"/>
        <v>6235561.3154647676</v>
      </c>
      <c r="R126" s="171">
        <f t="shared" si="67"/>
        <v>6360272.5417740634</v>
      </c>
      <c r="S126" s="171">
        <f t="shared" si="67"/>
        <v>6487477.9926095447</v>
      </c>
      <c r="T126" s="171">
        <f t="shared" si="67"/>
        <v>6617227.5524617359</v>
      </c>
      <c r="U126" s="171">
        <f t="shared" si="67"/>
        <v>6749572.1035109712</v>
      </c>
    </row>
    <row r="127" spans="1:21" x14ac:dyDescent="0.25">
      <c r="A127" s="10" t="s">
        <v>151</v>
      </c>
      <c r="F127" s="50"/>
      <c r="G127" s="48">
        <f>SUM(G121:G126)</f>
        <v>970375000</v>
      </c>
      <c r="H127" s="48">
        <f t="shared" ref="H127:K127" si="68">SUM(H121:H126)</f>
        <v>984974000</v>
      </c>
      <c r="I127" s="48">
        <f t="shared" si="68"/>
        <v>983757000</v>
      </c>
      <c r="J127" s="48">
        <f t="shared" si="68"/>
        <v>1005090000</v>
      </c>
      <c r="K127" s="48">
        <f t="shared" si="68"/>
        <v>1038542000</v>
      </c>
      <c r="L127" s="169">
        <f>SUM(L122:L126)</f>
        <v>679036280</v>
      </c>
      <c r="M127" s="169">
        <f t="shared" ref="M127:U127" si="69">SUM(M122:M126)</f>
        <v>689471273</v>
      </c>
      <c r="N127" s="169">
        <f t="shared" si="69"/>
        <v>700084168.33399999</v>
      </c>
      <c r="O127" s="169">
        <f t="shared" si="69"/>
        <v>710878216.07342005</v>
      </c>
      <c r="P127" s="169">
        <f t="shared" si="69"/>
        <v>721856728.21135592</v>
      </c>
      <c r="Q127" s="169">
        <f t="shared" si="69"/>
        <v>733023079.87021506</v>
      </c>
      <c r="R127" s="169">
        <f t="shared" si="69"/>
        <v>744380710.53319776</v>
      </c>
      <c r="S127" s="169">
        <f t="shared" si="69"/>
        <v>755933125.3000958</v>
      </c>
      <c r="T127" s="169">
        <f t="shared" si="69"/>
        <v>767683896.16789436</v>
      </c>
      <c r="U127" s="169">
        <f t="shared" si="69"/>
        <v>779636663.3366667</v>
      </c>
    </row>
    <row r="128" spans="1:21" x14ac:dyDescent="0.25">
      <c r="A128" s="8" t="s">
        <v>153</v>
      </c>
      <c r="F128" s="50"/>
      <c r="G128" s="50"/>
      <c r="H128" s="50"/>
      <c r="I128" s="50"/>
      <c r="J128" s="50"/>
      <c r="K128" s="51"/>
    </row>
    <row r="129" spans="1:21" x14ac:dyDescent="0.25">
      <c r="A129" s="9" t="s">
        <v>155</v>
      </c>
      <c r="F129" s="50"/>
      <c r="G129" s="50"/>
      <c r="H129" s="50"/>
      <c r="I129" s="50"/>
      <c r="J129" s="50"/>
      <c r="K129" s="51"/>
    </row>
    <row r="130" spans="1:21" x14ac:dyDescent="0.25">
      <c r="A130" s="10" t="s">
        <v>157</v>
      </c>
      <c r="F130" s="50"/>
      <c r="G130" s="50">
        <v>14204000</v>
      </c>
      <c r="H130" s="50">
        <v>13568000</v>
      </c>
      <c r="I130" s="50">
        <v>17234000</v>
      </c>
      <c r="J130" s="50">
        <v>19353000</v>
      </c>
      <c r="K130" s="51">
        <v>20348000</v>
      </c>
      <c r="L130" s="68">
        <f>L181</f>
        <v>20331454.939889595</v>
      </c>
      <c r="M130" s="68">
        <f t="shared" ref="M130:U130" si="70">M181</f>
        <v>21313280.61971892</v>
      </c>
      <c r="N130" s="68">
        <f t="shared" si="70"/>
        <v>29603988.440163005</v>
      </c>
      <c r="O130" s="68">
        <f t="shared" si="70"/>
        <v>25242964.372190446</v>
      </c>
      <c r="P130" s="68">
        <f t="shared" si="70"/>
        <v>26545704.924271237</v>
      </c>
      <c r="Q130" s="68">
        <f t="shared" si="70"/>
        <v>27095247.257693656</v>
      </c>
      <c r="R130" s="68">
        <f t="shared" si="70"/>
        <v>36514745.909763649</v>
      </c>
      <c r="S130" s="68">
        <f t="shared" si="70"/>
        <v>31429454.659943171</v>
      </c>
      <c r="T130" s="68">
        <f t="shared" si="70"/>
        <v>31957769.095865455</v>
      </c>
      <c r="U130" s="68">
        <f t="shared" si="70"/>
        <v>32641550.006526578</v>
      </c>
    </row>
    <row r="131" spans="1:21" x14ac:dyDescent="0.25">
      <c r="A131" s="10" t="s">
        <v>159</v>
      </c>
      <c r="F131" s="50"/>
      <c r="G131" s="50">
        <v>66388000</v>
      </c>
      <c r="H131" s="50">
        <v>62997000</v>
      </c>
      <c r="I131" s="50">
        <v>59219000</v>
      </c>
      <c r="J131" s="50">
        <v>53960000</v>
      </c>
      <c r="K131" s="51">
        <v>63542000</v>
      </c>
      <c r="L131" s="68">
        <f>L182</f>
        <v>75708993.202719137</v>
      </c>
      <c r="M131" s="68">
        <f t="shared" ref="M131:U131" si="71">M182</f>
        <v>75333389.064973652</v>
      </c>
      <c r="N131" s="68">
        <f t="shared" si="71"/>
        <v>98658549.679894209</v>
      </c>
      <c r="O131" s="68">
        <f t="shared" si="71"/>
        <v>83535109.883282661</v>
      </c>
      <c r="P131" s="68">
        <f t="shared" si="71"/>
        <v>90281636.094143182</v>
      </c>
      <c r="Q131" s="68">
        <f t="shared" si="71"/>
        <v>93744893.684060976</v>
      </c>
      <c r="R131" s="68">
        <f t="shared" si="71"/>
        <v>124419376.23162802</v>
      </c>
      <c r="S131" s="68">
        <f t="shared" si="71"/>
        <v>106297532.07628578</v>
      </c>
      <c r="T131" s="68">
        <f t="shared" si="71"/>
        <v>108403862.71777453</v>
      </c>
      <c r="U131" s="68">
        <f t="shared" si="71"/>
        <v>111257095.97692026</v>
      </c>
    </row>
    <row r="132" spans="1:21" x14ac:dyDescent="0.25">
      <c r="A132" s="12" t="s">
        <v>161</v>
      </c>
      <c r="F132" s="50"/>
      <c r="G132" s="52">
        <v>34106000</v>
      </c>
      <c r="H132" s="52">
        <v>36366000</v>
      </c>
      <c r="I132" s="52">
        <v>32583000</v>
      </c>
      <c r="J132" s="52">
        <v>37995000</v>
      </c>
      <c r="K132" s="53">
        <v>39711000</v>
      </c>
      <c r="L132" s="171">
        <f>K132*1.01</f>
        <v>40108110</v>
      </c>
      <c r="M132" s="171">
        <f t="shared" ref="M132:U132" si="72">L132*1.01</f>
        <v>40509191.100000001</v>
      </c>
      <c r="N132" s="171">
        <f t="shared" si="72"/>
        <v>40914283.011</v>
      </c>
      <c r="O132" s="171">
        <f t="shared" si="72"/>
        <v>41323425.841109999</v>
      </c>
      <c r="P132" s="171">
        <f t="shared" si="72"/>
        <v>41736660.099521101</v>
      </c>
      <c r="Q132" s="171">
        <f t="shared" si="72"/>
        <v>42154026.700516313</v>
      </c>
      <c r="R132" s="171">
        <f t="shared" si="72"/>
        <v>42575566.967521474</v>
      </c>
      <c r="S132" s="171">
        <f t="shared" si="72"/>
        <v>43001322.63719669</v>
      </c>
      <c r="T132" s="171">
        <f t="shared" si="72"/>
        <v>43431335.863568656</v>
      </c>
      <c r="U132" s="171">
        <f t="shared" si="72"/>
        <v>43865649.222204342</v>
      </c>
    </row>
    <row r="133" spans="1:21" x14ac:dyDescent="0.25">
      <c r="A133" s="11" t="s">
        <v>163</v>
      </c>
      <c r="F133" s="48"/>
      <c r="G133" s="48">
        <v>114698000</v>
      </c>
      <c r="H133" s="48">
        <v>112931000</v>
      </c>
      <c r="I133" s="48">
        <v>109036000</v>
      </c>
      <c r="J133" s="48">
        <v>111308000</v>
      </c>
      <c r="K133" s="49">
        <v>123601000</v>
      </c>
      <c r="L133" s="169">
        <f>SUM(L130:L132)</f>
        <v>136148558.14260873</v>
      </c>
      <c r="M133" s="169">
        <f t="shared" ref="M133:U133" si="73">SUM(M130:M132)</f>
        <v>137155860.78469259</v>
      </c>
      <c r="N133" s="169">
        <f t="shared" si="73"/>
        <v>169176821.1310572</v>
      </c>
      <c r="O133" s="169">
        <f t="shared" si="73"/>
        <v>150101500.0965831</v>
      </c>
      <c r="P133" s="169">
        <f t="shared" si="73"/>
        <v>158564001.11793554</v>
      </c>
      <c r="Q133" s="169">
        <f t="shared" si="73"/>
        <v>162994167.64227095</v>
      </c>
      <c r="R133" s="169">
        <f t="shared" si="73"/>
        <v>203509689.10891312</v>
      </c>
      <c r="S133" s="169">
        <f t="shared" si="73"/>
        <v>180728309.37342563</v>
      </c>
      <c r="T133" s="169">
        <f t="shared" si="73"/>
        <v>183792967.67720863</v>
      </c>
      <c r="U133" s="169">
        <f t="shared" si="73"/>
        <v>187764295.20565116</v>
      </c>
    </row>
    <row r="134" spans="1:21" x14ac:dyDescent="0.25">
      <c r="A134" s="14" t="s">
        <v>165</v>
      </c>
      <c r="F134" s="50"/>
      <c r="G134" s="50">
        <v>28000</v>
      </c>
      <c r="H134" s="50">
        <v>28000</v>
      </c>
      <c r="I134" s="50">
        <v>79000</v>
      </c>
      <c r="J134" s="50">
        <v>79000</v>
      </c>
      <c r="K134" s="51">
        <v>79000</v>
      </c>
      <c r="L134" s="68">
        <f>K134</f>
        <v>79000</v>
      </c>
      <c r="M134" s="68">
        <f t="shared" ref="M134:U134" si="74">L134</f>
        <v>79000</v>
      </c>
      <c r="N134" s="68">
        <f t="shared" si="74"/>
        <v>79000</v>
      </c>
      <c r="O134" s="68">
        <f t="shared" si="74"/>
        <v>79000</v>
      </c>
      <c r="P134" s="68">
        <f t="shared" si="74"/>
        <v>79000</v>
      </c>
      <c r="Q134" s="68">
        <f t="shared" si="74"/>
        <v>79000</v>
      </c>
      <c r="R134" s="68">
        <f t="shared" si="74"/>
        <v>79000</v>
      </c>
      <c r="S134" s="68">
        <f t="shared" si="74"/>
        <v>79000</v>
      </c>
      <c r="T134" s="68">
        <f t="shared" si="74"/>
        <v>79000</v>
      </c>
      <c r="U134" s="68">
        <f t="shared" si="74"/>
        <v>79000</v>
      </c>
    </row>
    <row r="135" spans="1:21" x14ac:dyDescent="0.25">
      <c r="A135" s="14" t="s">
        <v>167</v>
      </c>
      <c r="F135" s="131"/>
      <c r="G135" s="131">
        <v>299473000</v>
      </c>
      <c r="H135" s="131">
        <v>305993000</v>
      </c>
      <c r="I135" s="131">
        <v>303615000</v>
      </c>
      <c r="J135" s="131">
        <v>312771000</v>
      </c>
      <c r="K135" s="132">
        <v>319425000</v>
      </c>
      <c r="L135" s="68">
        <f>K135*1.01</f>
        <v>322619250</v>
      </c>
      <c r="M135" s="68">
        <f t="shared" ref="M135:U135" si="75">L135*1.01</f>
        <v>325845442.5</v>
      </c>
      <c r="N135" s="68">
        <f t="shared" si="75"/>
        <v>329103896.92500001</v>
      </c>
      <c r="O135" s="68">
        <f t="shared" si="75"/>
        <v>332394935.89425004</v>
      </c>
      <c r="P135" s="68">
        <f t="shared" si="75"/>
        <v>335718885.25319254</v>
      </c>
      <c r="Q135" s="68">
        <f t="shared" si="75"/>
        <v>339076074.10572445</v>
      </c>
      <c r="R135" s="68">
        <f t="shared" si="75"/>
        <v>342466834.84678173</v>
      </c>
      <c r="S135" s="68">
        <f t="shared" si="75"/>
        <v>345891503.19524956</v>
      </c>
      <c r="T135" s="68">
        <f t="shared" si="75"/>
        <v>349350418.22720206</v>
      </c>
      <c r="U135" s="68">
        <f t="shared" si="75"/>
        <v>352843922.40947407</v>
      </c>
    </row>
    <row r="136" spans="1:21" x14ac:dyDescent="0.25">
      <c r="A136" s="15" t="s">
        <v>169</v>
      </c>
      <c r="F136" s="48"/>
      <c r="G136" s="52">
        <v>367000</v>
      </c>
      <c r="H136" s="52">
        <v>299000</v>
      </c>
      <c r="I136" s="52">
        <v>225000</v>
      </c>
      <c r="J136" s="52">
        <v>122000</v>
      </c>
      <c r="K136" s="53">
        <v>0</v>
      </c>
      <c r="L136" s="171">
        <f>K136</f>
        <v>0</v>
      </c>
      <c r="M136" s="171">
        <f t="shared" ref="M136:U136" si="76">L136</f>
        <v>0</v>
      </c>
      <c r="N136" s="171">
        <f t="shared" si="76"/>
        <v>0</v>
      </c>
      <c r="O136" s="171">
        <f t="shared" si="76"/>
        <v>0</v>
      </c>
      <c r="P136" s="171">
        <f t="shared" si="76"/>
        <v>0</v>
      </c>
      <c r="Q136" s="171">
        <f t="shared" si="76"/>
        <v>0</v>
      </c>
      <c r="R136" s="171">
        <f t="shared" si="76"/>
        <v>0</v>
      </c>
      <c r="S136" s="171">
        <f t="shared" si="76"/>
        <v>0</v>
      </c>
      <c r="T136" s="171">
        <f t="shared" si="76"/>
        <v>0</v>
      </c>
      <c r="U136" s="171">
        <f t="shared" si="76"/>
        <v>0</v>
      </c>
    </row>
    <row r="137" spans="1:21" x14ac:dyDescent="0.25">
      <c r="A137" s="10" t="s">
        <v>171</v>
      </c>
      <c r="F137" s="50"/>
      <c r="G137" s="48">
        <v>414566000</v>
      </c>
      <c r="H137" s="48">
        <v>419251000</v>
      </c>
      <c r="I137" s="48">
        <v>412955000</v>
      </c>
      <c r="J137" s="48">
        <v>424280000</v>
      </c>
      <c r="K137" s="49">
        <v>443105000</v>
      </c>
      <c r="L137" s="169">
        <f>SUM(L130:L136)</f>
        <v>594995366.28521752</v>
      </c>
      <c r="M137" s="169">
        <f t="shared" ref="M137:U137" si="77">SUM(M130:M136)</f>
        <v>600236164.06938517</v>
      </c>
      <c r="N137" s="169">
        <f t="shared" si="77"/>
        <v>667536539.18711448</v>
      </c>
      <c r="O137" s="169">
        <f t="shared" si="77"/>
        <v>632676936.08741617</v>
      </c>
      <c r="P137" s="169">
        <f t="shared" si="77"/>
        <v>652925887.48906362</v>
      </c>
      <c r="Q137" s="169">
        <f t="shared" si="77"/>
        <v>665143409.39026642</v>
      </c>
      <c r="R137" s="169">
        <f t="shared" si="77"/>
        <v>749565213.06460798</v>
      </c>
      <c r="S137" s="169">
        <f t="shared" si="77"/>
        <v>707427121.94210076</v>
      </c>
      <c r="T137" s="169">
        <f t="shared" si="77"/>
        <v>717015353.58161926</v>
      </c>
      <c r="U137" s="169">
        <f t="shared" si="77"/>
        <v>728451512.82077646</v>
      </c>
    </row>
    <row r="138" spans="1:21" x14ac:dyDescent="0.25">
      <c r="A138" s="137" t="s">
        <v>173</v>
      </c>
      <c r="B138" s="137"/>
      <c r="F138" s="50"/>
      <c r="G138" s="50">
        <v>0</v>
      </c>
      <c r="H138" s="50">
        <v>0</v>
      </c>
      <c r="I138" s="50">
        <v>0</v>
      </c>
      <c r="J138" s="50" t="s">
        <v>17</v>
      </c>
      <c r="K138" s="51" t="s">
        <v>17</v>
      </c>
    </row>
    <row r="139" spans="1:21" x14ac:dyDescent="0.25">
      <c r="A139" s="9" t="s">
        <v>175</v>
      </c>
      <c r="F139" s="50"/>
      <c r="G139" s="50"/>
      <c r="H139" s="50"/>
      <c r="I139" s="50"/>
      <c r="J139" s="50"/>
      <c r="K139" s="51"/>
    </row>
    <row r="140" spans="1:21" x14ac:dyDescent="0.25">
      <c r="A140" s="137" t="s">
        <v>177</v>
      </c>
      <c r="B140" s="137"/>
      <c r="F140" s="50"/>
      <c r="G140" s="50">
        <v>11000</v>
      </c>
      <c r="H140" s="50">
        <v>11000</v>
      </c>
      <c r="I140" s="50">
        <v>11000</v>
      </c>
      <c r="J140" s="50">
        <v>11000</v>
      </c>
      <c r="K140" s="51">
        <v>11000</v>
      </c>
      <c r="L140" s="68">
        <f>K140</f>
        <v>11000</v>
      </c>
      <c r="M140" s="68">
        <f t="shared" ref="M140:U140" si="78">L140</f>
        <v>11000</v>
      </c>
      <c r="N140" s="68">
        <f t="shared" si="78"/>
        <v>11000</v>
      </c>
      <c r="O140" s="68">
        <f t="shared" si="78"/>
        <v>11000</v>
      </c>
      <c r="P140" s="68">
        <f t="shared" si="78"/>
        <v>11000</v>
      </c>
      <c r="Q140" s="68">
        <f t="shared" si="78"/>
        <v>11000</v>
      </c>
      <c r="R140" s="68">
        <f t="shared" si="78"/>
        <v>11000</v>
      </c>
      <c r="S140" s="68">
        <f t="shared" si="78"/>
        <v>11000</v>
      </c>
      <c r="T140" s="68">
        <f t="shared" si="78"/>
        <v>11000</v>
      </c>
      <c r="U140" s="68">
        <f t="shared" si="78"/>
        <v>11000</v>
      </c>
    </row>
    <row r="141" spans="1:21" x14ac:dyDescent="0.25">
      <c r="A141" s="10" t="s">
        <v>179</v>
      </c>
      <c r="F141" s="50"/>
      <c r="G141" s="50">
        <v>-8085000</v>
      </c>
      <c r="H141" s="50">
        <v>-8190000</v>
      </c>
      <c r="I141" s="50">
        <v>-9727000</v>
      </c>
      <c r="J141" s="50">
        <v>-17766000</v>
      </c>
      <c r="K141" s="51">
        <v>-27066000</v>
      </c>
    </row>
    <row r="142" spans="1:21" x14ac:dyDescent="0.25">
      <c r="A142" s="10" t="s">
        <v>181</v>
      </c>
      <c r="F142" s="50"/>
      <c r="G142" s="50">
        <v>1020428000</v>
      </c>
      <c r="H142" s="50">
        <v>1023614000</v>
      </c>
      <c r="I142" s="50">
        <v>1028181000</v>
      </c>
      <c r="J142" s="50">
        <v>1032235000</v>
      </c>
      <c r="K142" s="51">
        <v>1036421000</v>
      </c>
    </row>
    <row r="143" spans="1:21" x14ac:dyDescent="0.25">
      <c r="A143" s="12" t="s">
        <v>183</v>
      </c>
      <c r="F143" s="50"/>
      <c r="G143" s="50">
        <v>-456545000</v>
      </c>
      <c r="H143" s="50">
        <v>-449712000</v>
      </c>
      <c r="I143" s="50">
        <v>-447663000</v>
      </c>
      <c r="J143" s="50">
        <v>-433670000</v>
      </c>
      <c r="K143" s="51">
        <v>-413929000</v>
      </c>
    </row>
    <row r="144" spans="1:21" x14ac:dyDescent="0.25">
      <c r="A144" s="129" t="s">
        <v>185</v>
      </c>
      <c r="F144" s="50"/>
      <c r="G144" s="52">
        <f>SUM(G140:G143)</f>
        <v>555809000</v>
      </c>
      <c r="H144" s="52">
        <f t="shared" ref="H144:K144" si="79">SUM(H140:H143)</f>
        <v>565723000</v>
      </c>
      <c r="I144" s="52">
        <f t="shared" si="79"/>
        <v>570802000</v>
      </c>
      <c r="J144" s="52">
        <f t="shared" si="79"/>
        <v>580810000</v>
      </c>
      <c r="K144" s="52">
        <f t="shared" si="79"/>
        <v>595437000</v>
      </c>
    </row>
    <row r="145" spans="1:21" x14ac:dyDescent="0.25">
      <c r="A145" s="14" t="s">
        <v>187</v>
      </c>
      <c r="F145" s="50"/>
      <c r="G145" s="48">
        <f>G144+G137</f>
        <v>970375000</v>
      </c>
      <c r="H145" s="48">
        <f t="shared" ref="H145:K145" si="80">H144+H137</f>
        <v>984974000</v>
      </c>
      <c r="I145" s="48">
        <f t="shared" si="80"/>
        <v>983757000</v>
      </c>
      <c r="J145" s="48">
        <f t="shared" si="80"/>
        <v>1005090000</v>
      </c>
      <c r="K145" s="48">
        <f t="shared" si="80"/>
        <v>1038542000</v>
      </c>
    </row>
    <row r="146" spans="1:21" x14ac:dyDescent="0.25">
      <c r="F146" s="50"/>
      <c r="G146" s="50"/>
      <c r="H146" s="50"/>
      <c r="I146" s="50"/>
      <c r="J146" s="50"/>
      <c r="K146" s="51"/>
    </row>
    <row r="147" spans="1:21" x14ac:dyDescent="0.25">
      <c r="A147" t="s">
        <v>324</v>
      </c>
      <c r="F147" s="50"/>
      <c r="G147" s="50">
        <f>G127-G145</f>
        <v>0</v>
      </c>
      <c r="H147" s="50">
        <f t="shared" ref="H147:U147" si="81">H127-H145</f>
        <v>0</v>
      </c>
      <c r="I147" s="50">
        <f t="shared" si="81"/>
        <v>0</v>
      </c>
      <c r="J147" s="50">
        <f t="shared" si="81"/>
        <v>0</v>
      </c>
      <c r="K147" s="50">
        <f t="shared" si="81"/>
        <v>0</v>
      </c>
      <c r="L147" s="50">
        <f t="shared" si="81"/>
        <v>679036280</v>
      </c>
      <c r="M147" s="50">
        <f t="shared" si="81"/>
        <v>689471273</v>
      </c>
      <c r="N147" s="50">
        <f t="shared" si="81"/>
        <v>700084168.33399999</v>
      </c>
      <c r="O147" s="50">
        <f t="shared" si="81"/>
        <v>710878216.07342005</v>
      </c>
      <c r="P147" s="50">
        <f t="shared" si="81"/>
        <v>721856728.21135592</v>
      </c>
      <c r="Q147" s="50">
        <f t="shared" si="81"/>
        <v>733023079.87021506</v>
      </c>
      <c r="R147" s="50">
        <f t="shared" si="81"/>
        <v>744380710.53319776</v>
      </c>
      <c r="S147" s="50">
        <f t="shared" si="81"/>
        <v>755933125.3000958</v>
      </c>
      <c r="T147" s="50">
        <f t="shared" si="81"/>
        <v>767683896.16789436</v>
      </c>
      <c r="U147" s="50">
        <f t="shared" si="81"/>
        <v>779636663.3366667</v>
      </c>
    </row>
    <row r="148" spans="1:21" x14ac:dyDescent="0.25">
      <c r="A148" s="31" t="s">
        <v>285</v>
      </c>
      <c r="B148" s="31"/>
      <c r="C148" s="31"/>
      <c r="D148" s="32"/>
      <c r="E148" s="32"/>
      <c r="F148" s="32"/>
      <c r="G148" s="33"/>
      <c r="H148" s="32"/>
      <c r="I148" s="32"/>
      <c r="J148" s="32"/>
      <c r="K148" s="34"/>
      <c r="L148" s="35"/>
      <c r="M148" s="36"/>
      <c r="N148" s="36"/>
      <c r="O148" s="36"/>
      <c r="P148" s="36"/>
      <c r="Q148" s="36"/>
      <c r="R148" s="36"/>
      <c r="S148" s="36"/>
      <c r="T148" s="36"/>
      <c r="U148" s="36"/>
    </row>
    <row r="149" spans="1:21" x14ac:dyDescent="0.25">
      <c r="F149" s="50"/>
      <c r="G149" s="50"/>
      <c r="H149" s="50"/>
      <c r="I149" s="50"/>
      <c r="J149" s="50"/>
      <c r="K149" s="51"/>
    </row>
    <row r="150" spans="1:21" x14ac:dyDescent="0.25">
      <c r="A150" t="s">
        <v>286</v>
      </c>
      <c r="B150" s="122"/>
      <c r="C150" s="146">
        <f t="shared" ref="C150:K150" si="82">C25/C9</f>
        <v>45876.923076923078</v>
      </c>
      <c r="D150" s="146">
        <f t="shared" si="82"/>
        <v>46813.084112149532</v>
      </c>
      <c r="E150" s="146">
        <f t="shared" si="82"/>
        <v>46164.556962025315</v>
      </c>
      <c r="F150" s="146">
        <f t="shared" si="82"/>
        <v>48893.536121673002</v>
      </c>
      <c r="G150" s="146">
        <f t="shared" si="82"/>
        <v>38383.51254480287</v>
      </c>
      <c r="H150" s="146">
        <f t="shared" si="82"/>
        <v>39751.724137931036</v>
      </c>
      <c r="I150" s="146">
        <f t="shared" si="82"/>
        <v>39925.566343042068</v>
      </c>
      <c r="J150" s="146">
        <f t="shared" si="82"/>
        <v>53628.482972136226</v>
      </c>
      <c r="K150" s="149">
        <f t="shared" si="82"/>
        <v>40272.727272727272</v>
      </c>
    </row>
    <row r="151" spans="1:21" x14ac:dyDescent="0.25">
      <c r="A151" t="s">
        <v>287</v>
      </c>
      <c r="B151" s="150">
        <f>AVERAGE(C150:K150)</f>
        <v>44412.234838156714</v>
      </c>
      <c r="C151" s="122"/>
      <c r="D151" s="122"/>
      <c r="E151" s="122"/>
      <c r="F151" s="147"/>
      <c r="G151" s="147"/>
      <c r="H151" s="147"/>
      <c r="I151" s="147"/>
      <c r="J151" s="147"/>
      <c r="K151" s="148"/>
    </row>
    <row r="152" spans="1:21" x14ac:dyDescent="0.25">
      <c r="F152" s="48"/>
      <c r="G152" s="48"/>
      <c r="H152" s="48"/>
      <c r="I152" s="48"/>
      <c r="J152" s="48"/>
      <c r="K152" s="49"/>
    </row>
    <row r="153" spans="1:21" x14ac:dyDescent="0.25">
      <c r="F153" s="50"/>
      <c r="G153" s="50"/>
      <c r="H153" s="50"/>
      <c r="I153" s="50"/>
      <c r="J153" s="50"/>
      <c r="K153" s="51"/>
    </row>
    <row r="154" spans="1:21" x14ac:dyDescent="0.25">
      <c r="A154" s="138" t="s">
        <v>288</v>
      </c>
      <c r="F154" s="50"/>
      <c r="G154" s="50"/>
      <c r="H154" s="50"/>
      <c r="I154" s="50"/>
      <c r="J154" s="50"/>
      <c r="K154" s="51"/>
      <c r="L154" s="152">
        <f t="shared" ref="L154:U154" si="83">$B$151*L9</f>
        <v>15766343.367545633</v>
      </c>
      <c r="M154" s="152">
        <f t="shared" si="83"/>
        <v>16343702.42044167</v>
      </c>
      <c r="N154" s="152">
        <f t="shared" si="83"/>
        <v>16876649.238499552</v>
      </c>
      <c r="O154" s="152">
        <f t="shared" si="83"/>
        <v>17365183.821719274</v>
      </c>
      <c r="P154" s="152">
        <f t="shared" si="83"/>
        <v>17853718.404939</v>
      </c>
      <c r="Q154" s="152">
        <f t="shared" si="83"/>
        <v>18297840.753320567</v>
      </c>
      <c r="R154" s="152">
        <f t="shared" si="83"/>
        <v>18741963.101702131</v>
      </c>
      <c r="S154" s="152">
        <f t="shared" si="83"/>
        <v>19141673.215245545</v>
      </c>
      <c r="T154" s="152">
        <f t="shared" si="83"/>
        <v>19541383.328788955</v>
      </c>
      <c r="U154" s="152">
        <f t="shared" si="83"/>
        <v>19941093.442332365</v>
      </c>
    </row>
    <row r="155" spans="1:21" x14ac:dyDescent="0.25">
      <c r="K155" s="71"/>
    </row>
    <row r="156" spans="1:21" x14ac:dyDescent="0.25">
      <c r="A156" s="31" t="s">
        <v>289</v>
      </c>
      <c r="B156" s="31"/>
      <c r="C156" s="31"/>
      <c r="D156" s="32"/>
      <c r="E156" s="32"/>
      <c r="F156" s="32"/>
      <c r="G156" s="33"/>
      <c r="H156" s="32"/>
      <c r="I156" s="32"/>
      <c r="J156" s="32"/>
      <c r="K156" s="34"/>
      <c r="L156" s="35"/>
      <c r="M156" s="36"/>
      <c r="N156" s="36"/>
      <c r="O156" s="36"/>
      <c r="P156" s="36"/>
      <c r="Q156" s="36"/>
      <c r="R156" s="36"/>
      <c r="S156" s="36"/>
      <c r="T156" s="36"/>
      <c r="U156" s="36"/>
    </row>
    <row r="157" spans="1:21" x14ac:dyDescent="0.25">
      <c r="K157" s="71"/>
    </row>
    <row r="158" spans="1:21" x14ac:dyDescent="0.25">
      <c r="A158" t="s">
        <v>290</v>
      </c>
      <c r="B158" s="153">
        <v>0.24</v>
      </c>
      <c r="G158" s="151">
        <f>G33/G32</f>
        <v>6.0799513603891171E-3</v>
      </c>
      <c r="H158" s="151">
        <f>H33/H32</f>
        <v>5.530490467180905E-3</v>
      </c>
      <c r="I158" s="151">
        <f>I33/I32</f>
        <v>0.24139207700851537</v>
      </c>
      <c r="J158" s="151">
        <f>J33/J32</f>
        <v>1.7690417690417692E-2</v>
      </c>
      <c r="K158" s="178">
        <f>K33/K32</f>
        <v>1.4329938086678649E-2</v>
      </c>
      <c r="L158" s="154">
        <f>K158+0.02</f>
        <v>3.4329938086678648E-2</v>
      </c>
      <c r="M158" s="154">
        <f t="shared" ref="M158:U158" si="84">L158+0.02</f>
        <v>5.4329938086678645E-2</v>
      </c>
      <c r="N158" s="154">
        <f t="shared" si="84"/>
        <v>7.4329938086678649E-2</v>
      </c>
      <c r="O158" s="154">
        <f t="shared" si="84"/>
        <v>9.4329938086678652E-2</v>
      </c>
      <c r="P158" s="154">
        <f t="shared" si="84"/>
        <v>0.11432993808667866</v>
      </c>
      <c r="Q158" s="154">
        <f t="shared" si="84"/>
        <v>0.13432993808667865</v>
      </c>
      <c r="R158" s="154">
        <f t="shared" si="84"/>
        <v>0.15432993808667864</v>
      </c>
      <c r="S158" s="154">
        <f t="shared" si="84"/>
        <v>0.17432993808667863</v>
      </c>
      <c r="T158" s="154">
        <f t="shared" si="84"/>
        <v>0.19432993808667862</v>
      </c>
      <c r="U158" s="154">
        <f t="shared" si="84"/>
        <v>0.21432993808667861</v>
      </c>
    </row>
    <row r="159" spans="1:21" x14ac:dyDescent="0.25">
      <c r="K159" s="71"/>
    </row>
    <row r="160" spans="1:21" x14ac:dyDescent="0.25">
      <c r="A160" t="s">
        <v>291</v>
      </c>
      <c r="K160" s="71"/>
      <c r="L160" s="145">
        <f t="shared" ref="L160:U160" si="85">L158*L32</f>
        <v>553657.17006298224</v>
      </c>
      <c r="M160" s="145">
        <f t="shared" si="85"/>
        <v>509854.98876309145</v>
      </c>
      <c r="N160" s="145">
        <f t="shared" si="85"/>
        <v>2132702.6468807505</v>
      </c>
      <c r="O160" s="145">
        <f t="shared" si="85"/>
        <v>2625957.7654796331</v>
      </c>
      <c r="P160" s="145">
        <f t="shared" si="85"/>
        <v>2985727.2950640945</v>
      </c>
      <c r="Q160" s="145">
        <f t="shared" si="85"/>
        <v>2229208.9818968228</v>
      </c>
      <c r="R160" s="145">
        <f t="shared" si="85"/>
        <v>6332475.0399973588</v>
      </c>
      <c r="S160" s="145">
        <f t="shared" si="85"/>
        <v>6866427.7531621512</v>
      </c>
      <c r="T160" s="145">
        <f t="shared" si="85"/>
        <v>7414626.2309354795</v>
      </c>
      <c r="U160" s="145">
        <f t="shared" si="85"/>
        <v>5516090.3270826414</v>
      </c>
    </row>
    <row r="161" spans="1:21" x14ac:dyDescent="0.25">
      <c r="K161" s="71"/>
    </row>
    <row r="162" spans="1:21" x14ac:dyDescent="0.25">
      <c r="A162" s="31" t="s">
        <v>292</v>
      </c>
      <c r="B162" s="31"/>
      <c r="C162" s="31"/>
      <c r="D162" s="32"/>
      <c r="E162" s="32"/>
      <c r="F162" s="32"/>
      <c r="G162" s="33"/>
      <c r="H162" s="32"/>
      <c r="I162" s="32"/>
      <c r="J162" s="32"/>
      <c r="K162" s="34"/>
      <c r="L162" s="35"/>
      <c r="M162" s="36"/>
      <c r="N162" s="36"/>
      <c r="O162" s="36"/>
      <c r="P162" s="36"/>
      <c r="Q162" s="36"/>
      <c r="R162" s="36"/>
      <c r="S162" s="36"/>
      <c r="T162" s="36"/>
      <c r="U162" s="36"/>
    </row>
    <row r="163" spans="1:21" x14ac:dyDescent="0.25">
      <c r="K163" s="71"/>
    </row>
    <row r="164" spans="1:21" x14ac:dyDescent="0.25">
      <c r="A164" s="158" t="s">
        <v>294</v>
      </c>
      <c r="B164">
        <f>365/4</f>
        <v>91.25</v>
      </c>
      <c r="K164" s="71"/>
    </row>
    <row r="165" spans="1:21" x14ac:dyDescent="0.25">
      <c r="K165" s="71"/>
    </row>
    <row r="166" spans="1:21" x14ac:dyDescent="0.25">
      <c r="A166" s="159" t="s">
        <v>295</v>
      </c>
      <c r="K166" s="71"/>
    </row>
    <row r="167" spans="1:21" x14ac:dyDescent="0.25">
      <c r="A167" s="6" t="s">
        <v>296</v>
      </c>
      <c r="G167" s="68">
        <f t="shared" ref="G167:U167" si="86">G18</f>
        <v>172894000</v>
      </c>
      <c r="H167" s="68">
        <f t="shared" si="86"/>
        <v>175553000</v>
      </c>
      <c r="I167" s="68">
        <f t="shared" si="86"/>
        <v>177170000</v>
      </c>
      <c r="J167" s="68">
        <f t="shared" si="86"/>
        <v>259006000</v>
      </c>
      <c r="K167" s="179">
        <f t="shared" si="86"/>
        <v>233495000</v>
      </c>
      <c r="L167" s="68">
        <f t="shared" si="86"/>
        <v>246749494.44444442</v>
      </c>
      <c r="M167" s="68">
        <f t="shared" si="86"/>
        <v>248870393.53448275</v>
      </c>
      <c r="N167" s="68">
        <f t="shared" si="86"/>
        <v>353186951.97411007</v>
      </c>
      <c r="O167" s="68">
        <f t="shared" si="86"/>
        <v>313844750</v>
      </c>
      <c r="P167" s="68">
        <f t="shared" si="86"/>
        <v>321832615.90277773</v>
      </c>
      <c r="Q167" s="68">
        <f t="shared" si="86"/>
        <v>319160506.23232758</v>
      </c>
      <c r="R167" s="68">
        <f t="shared" si="86"/>
        <v>445831344.56666666</v>
      </c>
      <c r="S167" s="68">
        <f t="shared" si="86"/>
        <v>391228128.55592108</v>
      </c>
      <c r="T167" s="68">
        <f t="shared" si="86"/>
        <v>396440577.25052077</v>
      </c>
      <c r="U167" s="68">
        <f t="shared" si="86"/>
        <v>388629521.89234912</v>
      </c>
    </row>
    <row r="168" spans="1:21" x14ac:dyDescent="0.25">
      <c r="A168" s="6" t="s">
        <v>297</v>
      </c>
      <c r="G168" s="68">
        <f t="shared" ref="G168:U168" si="87">SUM(G19:G22)</f>
        <v>127463000</v>
      </c>
      <c r="H168" s="68">
        <f t="shared" si="87"/>
        <v>131066000</v>
      </c>
      <c r="I168" s="68">
        <f t="shared" si="87"/>
        <v>137306000</v>
      </c>
      <c r="J168" s="68">
        <f t="shared" si="87"/>
        <v>193640000</v>
      </c>
      <c r="K168" s="179">
        <f t="shared" si="87"/>
        <v>171135000</v>
      </c>
      <c r="L168" s="68">
        <f t="shared" si="87"/>
        <v>181753049.5</v>
      </c>
      <c r="M168" s="68">
        <f t="shared" si="87"/>
        <v>190384797.53017241</v>
      </c>
      <c r="N168" s="68">
        <f t="shared" si="87"/>
        <v>260520397.14692557</v>
      </c>
      <c r="O168" s="68">
        <f t="shared" si="87"/>
        <v>226887126.02941176</v>
      </c>
      <c r="P168" s="68">
        <f t="shared" si="87"/>
        <v>233840150.90327057</v>
      </c>
      <c r="Q168" s="68">
        <f t="shared" si="87"/>
        <v>240964831.12802583</v>
      </c>
      <c r="R168" s="68">
        <f t="shared" si="87"/>
        <v>324399132.44199997</v>
      </c>
      <c r="S168" s="68">
        <f t="shared" si="87"/>
        <v>278917448.09470975</v>
      </c>
      <c r="T168" s="68">
        <f t="shared" si="87"/>
        <v>284085095.20301527</v>
      </c>
      <c r="U168" s="68">
        <f t="shared" si="87"/>
        <v>289527348.65463036</v>
      </c>
    </row>
    <row r="169" spans="1:21" x14ac:dyDescent="0.25">
      <c r="K169" s="71"/>
    </row>
    <row r="170" spans="1:21" x14ac:dyDescent="0.25">
      <c r="A170" s="164" t="s">
        <v>298</v>
      </c>
      <c r="B170" s="160"/>
      <c r="K170" s="71"/>
    </row>
    <row r="171" spans="1:21" x14ac:dyDescent="0.25">
      <c r="A171" s="163" t="s">
        <v>299</v>
      </c>
      <c r="B171" s="165" t="s">
        <v>305</v>
      </c>
      <c r="G171" s="166">
        <f t="shared" ref="G171:K172" si="88">(G178/G167)*$B$164</f>
        <v>6.2689711615209314</v>
      </c>
      <c r="H171" s="166">
        <f t="shared" si="88"/>
        <v>6.5971245151037001</v>
      </c>
      <c r="I171" s="166">
        <f t="shared" si="88"/>
        <v>6.1212747643506233</v>
      </c>
      <c r="J171" s="166">
        <f t="shared" si="88"/>
        <v>4.133282626657298</v>
      </c>
      <c r="K171" s="180">
        <f t="shared" si="88"/>
        <v>5.4278303603931555</v>
      </c>
      <c r="L171" s="166">
        <f>AVERAGE(G171:K171)</f>
        <v>5.7096966856051417</v>
      </c>
      <c r="M171" s="166">
        <f t="shared" ref="M171:U171" si="89">AVERAGE(H171:L171)</f>
        <v>5.5978417904219837</v>
      </c>
      <c r="N171" s="166">
        <f t="shared" si="89"/>
        <v>5.397985245485641</v>
      </c>
      <c r="O171" s="166">
        <f t="shared" si="89"/>
        <v>5.2533273417126436</v>
      </c>
      <c r="P171" s="166">
        <f t="shared" si="89"/>
        <v>5.4773362847237133</v>
      </c>
      <c r="Q171" s="166">
        <f t="shared" si="89"/>
        <v>5.4872374695898252</v>
      </c>
      <c r="R171" s="166">
        <f t="shared" si="89"/>
        <v>5.4427456263867615</v>
      </c>
      <c r="S171" s="166">
        <f t="shared" si="89"/>
        <v>5.4117263935797171</v>
      </c>
      <c r="T171" s="166">
        <f t="shared" si="89"/>
        <v>5.4144746231985312</v>
      </c>
      <c r="U171" s="166">
        <f t="shared" si="89"/>
        <v>5.44670407949571</v>
      </c>
    </row>
    <row r="172" spans="1:21" x14ac:dyDescent="0.25">
      <c r="A172" s="163" t="s">
        <v>136</v>
      </c>
      <c r="B172" s="165" t="s">
        <v>305</v>
      </c>
      <c r="G172" s="166">
        <f t="shared" si="88"/>
        <v>3.8350442873618227</v>
      </c>
      <c r="H172" s="166">
        <f t="shared" si="88"/>
        <v>3.9865220575893061</v>
      </c>
      <c r="I172" s="166">
        <f t="shared" si="88"/>
        <v>3.7462037347239012</v>
      </c>
      <c r="J172" s="166">
        <f t="shared" si="88"/>
        <v>2.9706672175170419</v>
      </c>
      <c r="K172" s="180">
        <f t="shared" si="88"/>
        <v>3.8364083910363163</v>
      </c>
      <c r="L172" s="166">
        <f>AVERAGE(G172:K172)</f>
        <v>3.6749691376456775</v>
      </c>
      <c r="M172" s="166">
        <f t="shared" ref="M172:U172" si="90">AVERAGE(H172:L172)</f>
        <v>3.6429541077024488</v>
      </c>
      <c r="N172" s="166">
        <f t="shared" si="90"/>
        <v>3.5742405177250767</v>
      </c>
      <c r="O172" s="166">
        <f t="shared" si="90"/>
        <v>3.5398478743253121</v>
      </c>
      <c r="P172" s="166">
        <f t="shared" si="90"/>
        <v>3.6536840056869666</v>
      </c>
      <c r="Q172" s="166">
        <f t="shared" si="90"/>
        <v>3.6171391286170964</v>
      </c>
      <c r="R172" s="166">
        <f t="shared" si="90"/>
        <v>3.6055731268113802</v>
      </c>
      <c r="S172" s="166">
        <f t="shared" si="90"/>
        <v>3.5980969306331665</v>
      </c>
      <c r="T172" s="166">
        <f t="shared" si="90"/>
        <v>3.6028682132147845</v>
      </c>
      <c r="U172" s="166">
        <f t="shared" si="90"/>
        <v>3.6154722809926789</v>
      </c>
    </row>
    <row r="173" spans="1:21" x14ac:dyDescent="0.25">
      <c r="A173" s="163" t="s">
        <v>300</v>
      </c>
      <c r="B173" s="165" t="s">
        <v>305</v>
      </c>
      <c r="G173" s="166">
        <f>(G180/G168)*$B$164</f>
        <v>3.2458635054878671</v>
      </c>
      <c r="H173" s="166">
        <f>(H180/H168)*$B$164</f>
        <v>3.364106633299254</v>
      </c>
      <c r="I173" s="166">
        <f>(I180/I168)*$B$164</f>
        <v>3.2976162731417422</v>
      </c>
      <c r="J173" s="166">
        <f>(J180/J168)*$B$164</f>
        <v>2.2906747056393306</v>
      </c>
      <c r="K173" s="180">
        <f>(K180/K168)*$B$164</f>
        <v>2.6308323837905747</v>
      </c>
      <c r="L173" s="166">
        <f>AVERAGE(G173:K173)</f>
        <v>2.9658187002717535</v>
      </c>
      <c r="M173" s="166">
        <f t="shared" ref="M173:U173" si="91">AVERAGE(H173:L173)</f>
        <v>2.9098097392285309</v>
      </c>
      <c r="N173" s="166">
        <f t="shared" si="91"/>
        <v>2.8189503604143864</v>
      </c>
      <c r="O173" s="166">
        <f t="shared" si="91"/>
        <v>2.7232171778689156</v>
      </c>
      <c r="P173" s="166">
        <f t="shared" si="91"/>
        <v>2.8097256723148325</v>
      </c>
      <c r="Q173" s="166">
        <f t="shared" si="91"/>
        <v>2.8455043300196836</v>
      </c>
      <c r="R173" s="166">
        <f t="shared" si="91"/>
        <v>2.82144145596927</v>
      </c>
      <c r="S173" s="166">
        <f t="shared" si="91"/>
        <v>2.8037677993174173</v>
      </c>
      <c r="T173" s="166">
        <f t="shared" si="91"/>
        <v>2.8007312870980234</v>
      </c>
      <c r="U173" s="166">
        <f t="shared" si="91"/>
        <v>2.8162341089438456</v>
      </c>
    </row>
    <row r="174" spans="1:21" x14ac:dyDescent="0.25">
      <c r="A174" s="163" t="s">
        <v>301</v>
      </c>
      <c r="B174" s="165" t="s">
        <v>305</v>
      </c>
      <c r="G174" s="166">
        <f>(G181/G168)*$B$164</f>
        <v>10.168558719000808</v>
      </c>
      <c r="H174" s="166">
        <f>(H181/H168)*$B$164</f>
        <v>9.4462331954892953</v>
      </c>
      <c r="I174" s="166">
        <f>(I181/I168)*$B$164</f>
        <v>11.453268611713982</v>
      </c>
      <c r="J174" s="166">
        <f>(J181/J168)*$B$164</f>
        <v>9.119816411898368</v>
      </c>
      <c r="K174" s="180">
        <f>(K181/K168)*$B$164</f>
        <v>10.849650860431822</v>
      </c>
      <c r="L174" s="166">
        <f>AVERAGE(G174:K174)</f>
        <v>10.207505559706856</v>
      </c>
      <c r="M174" s="166">
        <f t="shared" ref="M174:U174" si="92">AVERAGE(H174:L174)</f>
        <v>10.215294927848067</v>
      </c>
      <c r="N174" s="166">
        <f t="shared" si="92"/>
        <v>10.36910727431982</v>
      </c>
      <c r="O174" s="166">
        <f t="shared" si="92"/>
        <v>10.152275006840986</v>
      </c>
      <c r="P174" s="166">
        <f t="shared" si="92"/>
        <v>10.35876672582951</v>
      </c>
      <c r="Q174" s="166">
        <f t="shared" si="92"/>
        <v>10.260589898909048</v>
      </c>
      <c r="R174" s="166">
        <f t="shared" si="92"/>
        <v>10.271206766749486</v>
      </c>
      <c r="S174" s="166">
        <f t="shared" si="92"/>
        <v>10.282389134529769</v>
      </c>
      <c r="T174" s="166">
        <f t="shared" si="92"/>
        <v>10.265045506571761</v>
      </c>
      <c r="U174" s="166">
        <f t="shared" si="92"/>
        <v>10.287599606517913</v>
      </c>
    </row>
    <row r="175" spans="1:21" x14ac:dyDescent="0.25">
      <c r="A175" s="163" t="s">
        <v>302</v>
      </c>
      <c r="B175" s="165" t="s">
        <v>305</v>
      </c>
      <c r="G175" s="166">
        <f>(G182/G168)*$B$164</f>
        <v>47.526772475149649</v>
      </c>
      <c r="H175" s="166">
        <f t="shared" ref="H175:K175" si="93">(H182/H168)*$B$164</f>
        <v>43.859400988814798</v>
      </c>
      <c r="I175" s="166">
        <f t="shared" si="93"/>
        <v>39.355408722124309</v>
      </c>
      <c r="J175" s="166">
        <f t="shared" si="93"/>
        <v>25.427855814914274</v>
      </c>
      <c r="K175" s="180">
        <f t="shared" si="93"/>
        <v>33.880898121366172</v>
      </c>
      <c r="L175" s="166">
        <f>AVERAGE(G175:K175)</f>
        <v>38.010067224473836</v>
      </c>
      <c r="M175" s="166">
        <f t="shared" ref="M175:U175" si="94">AVERAGE(H175:L175)</f>
        <v>36.106726174338675</v>
      </c>
      <c r="N175" s="166">
        <f t="shared" si="94"/>
        <v>34.556191211443455</v>
      </c>
      <c r="O175" s="166">
        <f t="shared" si="94"/>
        <v>33.596347709307288</v>
      </c>
      <c r="P175" s="166">
        <f t="shared" si="94"/>
        <v>35.230046088185887</v>
      </c>
      <c r="Q175" s="166">
        <f t="shared" si="94"/>
        <v>35.499875681549824</v>
      </c>
      <c r="R175" s="166">
        <f t="shared" si="94"/>
        <v>34.997837372965023</v>
      </c>
      <c r="S175" s="166">
        <f t="shared" si="94"/>
        <v>34.776059612690297</v>
      </c>
      <c r="T175" s="166">
        <f t="shared" si="94"/>
        <v>34.820033292939662</v>
      </c>
      <c r="U175" s="166">
        <f t="shared" si="94"/>
        <v>35.064770409666139</v>
      </c>
    </row>
    <row r="176" spans="1:21" x14ac:dyDescent="0.25">
      <c r="A176" s="160"/>
      <c r="B176" s="160"/>
      <c r="K176" s="71"/>
    </row>
    <row r="177" spans="1:21" x14ac:dyDescent="0.25">
      <c r="A177" s="164" t="s">
        <v>303</v>
      </c>
      <c r="B177" s="160"/>
      <c r="K177" s="71"/>
    </row>
    <row r="178" spans="1:21" x14ac:dyDescent="0.25">
      <c r="A178" s="163" t="s">
        <v>299</v>
      </c>
      <c r="B178" s="160"/>
      <c r="G178" s="68">
        <f t="shared" ref="G178:K180" si="95">G118</f>
        <v>11878000</v>
      </c>
      <c r="H178" s="68">
        <f t="shared" si="95"/>
        <v>12692000</v>
      </c>
      <c r="I178" s="68">
        <f t="shared" si="95"/>
        <v>11885000</v>
      </c>
      <c r="J178" s="68">
        <f t="shared" si="95"/>
        <v>11732000</v>
      </c>
      <c r="K178" s="179">
        <f t="shared" si="95"/>
        <v>13889000</v>
      </c>
      <c r="L178" s="68">
        <f t="shared" ref="L178:U178" si="96">(L167/$B$164)*L171</f>
        <v>15439613.924429463</v>
      </c>
      <c r="M178" s="68">
        <f t="shared" si="96"/>
        <v>15267255.773436632</v>
      </c>
      <c r="N178" s="68">
        <f t="shared" si="96"/>
        <v>20893128.281142924</v>
      </c>
      <c r="O178" s="68">
        <f t="shared" si="96"/>
        <v>18068265.273731168</v>
      </c>
      <c r="P178" s="68">
        <f t="shared" si="96"/>
        <v>19318196.873335171</v>
      </c>
      <c r="Q178" s="68">
        <f t="shared" si="96"/>
        <v>19192432.751904491</v>
      </c>
      <c r="R178" s="68">
        <f t="shared" si="96"/>
        <v>26592291.51502854</v>
      </c>
      <c r="S178" s="68">
        <f t="shared" si="96"/>
        <v>23202406.45717125</v>
      </c>
      <c r="T178" s="68">
        <f t="shared" si="96"/>
        <v>23523478.850730103</v>
      </c>
      <c r="U178" s="68">
        <f t="shared" si="96"/>
        <v>23197260.299216714</v>
      </c>
    </row>
    <row r="179" spans="1:21" x14ac:dyDescent="0.25">
      <c r="A179" s="163" t="s">
        <v>136</v>
      </c>
      <c r="B179" s="161"/>
      <c r="G179" s="68">
        <f t="shared" si="95"/>
        <v>5357000</v>
      </c>
      <c r="H179" s="68">
        <f t="shared" si="95"/>
        <v>5726000</v>
      </c>
      <c r="I179" s="68">
        <f t="shared" si="95"/>
        <v>5637000</v>
      </c>
      <c r="J179" s="68">
        <f t="shared" si="95"/>
        <v>6304000</v>
      </c>
      <c r="K179" s="179">
        <f t="shared" si="95"/>
        <v>7195000</v>
      </c>
      <c r="L179" s="68">
        <f t="shared" ref="L179:U179" si="97">(L$168/$B$164)*L172</f>
        <v>7319855.863950544</v>
      </c>
      <c r="M179" s="68">
        <f t="shared" si="97"/>
        <v>7600691.2899357872</v>
      </c>
      <c r="N179" s="68">
        <f t="shared" si="97"/>
        <v>10204521.196453366</v>
      </c>
      <c r="O179" s="68">
        <f t="shared" si="97"/>
        <v>8801599.0223232042</v>
      </c>
      <c r="P179" s="68">
        <f t="shared" si="97"/>
        <v>9363046.786221439</v>
      </c>
      <c r="Q179" s="68">
        <f t="shared" si="97"/>
        <v>9551817.197740199</v>
      </c>
      <c r="R179" s="68">
        <f t="shared" si="97"/>
        <v>12818025.142945763</v>
      </c>
      <c r="S179" s="68">
        <f t="shared" si="97"/>
        <v>10998049.467283404</v>
      </c>
      <c r="T179" s="68">
        <f t="shared" si="97"/>
        <v>11216670.239507282</v>
      </c>
      <c r="U179" s="68">
        <f t="shared" si="97"/>
        <v>11471540.861919114</v>
      </c>
    </row>
    <row r="180" spans="1:21" x14ac:dyDescent="0.25">
      <c r="A180" s="163" t="s">
        <v>300</v>
      </c>
      <c r="B180" s="161"/>
      <c r="G180" s="68">
        <f t="shared" si="95"/>
        <v>4534000</v>
      </c>
      <c r="H180" s="68">
        <f t="shared" si="95"/>
        <v>4832000</v>
      </c>
      <c r="I180" s="68">
        <f t="shared" si="95"/>
        <v>4962000</v>
      </c>
      <c r="J180" s="68">
        <f t="shared" si="95"/>
        <v>4861000</v>
      </c>
      <c r="K180" s="179">
        <f t="shared" si="95"/>
        <v>4934000</v>
      </c>
      <c r="L180" s="68">
        <f t="shared" ref="L180:U180" si="98">(L$168/$B$164)*L173</f>
        <v>5907359.9237097828</v>
      </c>
      <c r="M180" s="68">
        <f t="shared" si="98"/>
        <v>6071052.4718284672</v>
      </c>
      <c r="N180" s="68">
        <f t="shared" si="98"/>
        <v>8048154.1636452042</v>
      </c>
      <c r="O180" s="68">
        <f t="shared" si="98"/>
        <v>6771100.4826367535</v>
      </c>
      <c r="P180" s="68">
        <f t="shared" si="98"/>
        <v>7200292.3310782881</v>
      </c>
      <c r="Q180" s="68">
        <f t="shared" si="98"/>
        <v>7514153.0998055814</v>
      </c>
      <c r="R180" s="68">
        <f t="shared" si="98"/>
        <v>10030390.800573418</v>
      </c>
      <c r="S180" s="68">
        <f t="shared" si="98"/>
        <v>8570079.557651883</v>
      </c>
      <c r="T180" s="68">
        <f t="shared" si="98"/>
        <v>8719408.3762554023</v>
      </c>
      <c r="U180" s="68">
        <f t="shared" si="98"/>
        <v>8935636.1068849005</v>
      </c>
    </row>
    <row r="181" spans="1:21" x14ac:dyDescent="0.25">
      <c r="A181" s="163" t="s">
        <v>301</v>
      </c>
      <c r="B181" s="160"/>
      <c r="G181" s="68">
        <f>G130</f>
        <v>14204000</v>
      </c>
      <c r="H181" s="68">
        <f>H130</f>
        <v>13568000</v>
      </c>
      <c r="I181" s="68">
        <f>I130</f>
        <v>17234000</v>
      </c>
      <c r="J181" s="68">
        <f>J130</f>
        <v>19353000</v>
      </c>
      <c r="K181" s="179">
        <f>K130</f>
        <v>20348000</v>
      </c>
      <c r="L181" s="68">
        <f t="shared" ref="L181:U181" si="99">(L$168/$B$164)*L174</f>
        <v>20331454.939889595</v>
      </c>
      <c r="M181" s="68">
        <f t="shared" si="99"/>
        <v>21313280.61971892</v>
      </c>
      <c r="N181" s="68">
        <f t="shared" si="99"/>
        <v>29603988.440163005</v>
      </c>
      <c r="O181" s="68">
        <f t="shared" si="99"/>
        <v>25242964.372190446</v>
      </c>
      <c r="P181" s="68">
        <f t="shared" si="99"/>
        <v>26545704.924271237</v>
      </c>
      <c r="Q181" s="68">
        <f t="shared" si="99"/>
        <v>27095247.257693656</v>
      </c>
      <c r="R181" s="68">
        <f t="shared" si="99"/>
        <v>36514745.909763649</v>
      </c>
      <c r="S181" s="68">
        <f t="shared" si="99"/>
        <v>31429454.659943171</v>
      </c>
      <c r="T181" s="68">
        <f t="shared" si="99"/>
        <v>31957769.095865455</v>
      </c>
      <c r="U181" s="68">
        <f t="shared" si="99"/>
        <v>32641550.006526578</v>
      </c>
    </row>
    <row r="182" spans="1:21" x14ac:dyDescent="0.25">
      <c r="A182" s="163" t="s">
        <v>302</v>
      </c>
      <c r="B182" s="160"/>
      <c r="G182" s="68">
        <f>G131</f>
        <v>66388000</v>
      </c>
      <c r="H182" s="68">
        <f t="shared" ref="H182:K182" si="100">H131</f>
        <v>62997000</v>
      </c>
      <c r="I182" s="68">
        <f t="shared" si="100"/>
        <v>59219000</v>
      </c>
      <c r="J182" s="68">
        <f t="shared" si="100"/>
        <v>53960000</v>
      </c>
      <c r="K182" s="179">
        <f t="shared" si="100"/>
        <v>63542000</v>
      </c>
      <c r="L182" s="68">
        <f t="shared" ref="L182:U182" si="101">(L$168/$B$164)*L175</f>
        <v>75708993.202719137</v>
      </c>
      <c r="M182" s="68">
        <f t="shared" si="101"/>
        <v>75333389.064973652</v>
      </c>
      <c r="N182" s="68">
        <f t="shared" si="101"/>
        <v>98658549.679894209</v>
      </c>
      <c r="O182" s="68">
        <f t="shared" si="101"/>
        <v>83535109.883282661</v>
      </c>
      <c r="P182" s="68">
        <f t="shared" si="101"/>
        <v>90281636.094143182</v>
      </c>
      <c r="Q182" s="68">
        <f t="shared" si="101"/>
        <v>93744893.684060976</v>
      </c>
      <c r="R182" s="68">
        <f t="shared" si="101"/>
        <v>124419376.23162802</v>
      </c>
      <c r="S182" s="68">
        <f t="shared" si="101"/>
        <v>106297532.07628578</v>
      </c>
      <c r="T182" s="68">
        <f t="shared" si="101"/>
        <v>108403862.71777453</v>
      </c>
      <c r="U182" s="68">
        <f t="shared" si="101"/>
        <v>111257095.97692026</v>
      </c>
    </row>
    <row r="183" spans="1:21" x14ac:dyDescent="0.25">
      <c r="A183" s="163"/>
      <c r="B183" s="160"/>
      <c r="G183" s="68"/>
      <c r="H183" s="68"/>
      <c r="I183" s="68"/>
      <c r="J183" s="68"/>
      <c r="K183" s="179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spans="1:21" x14ac:dyDescent="0.25">
      <c r="A184" s="162" t="s">
        <v>304</v>
      </c>
      <c r="B184" s="162"/>
      <c r="C184" s="159"/>
      <c r="D184" s="159"/>
      <c r="G184" s="68">
        <f>SUM(G178:G180)-SUM(G181:G182)</f>
        <v>-58823000</v>
      </c>
      <c r="H184" s="68">
        <f t="shared" ref="H184:U184" si="102">SUM(H178:H180)-SUM(H181:H182)</f>
        <v>-53315000</v>
      </c>
      <c r="I184" s="68">
        <f t="shared" si="102"/>
        <v>-53969000</v>
      </c>
      <c r="J184" s="68">
        <f t="shared" si="102"/>
        <v>-50416000</v>
      </c>
      <c r="K184" s="179">
        <f t="shared" si="102"/>
        <v>-57872000</v>
      </c>
      <c r="L184" s="68">
        <f t="shared" si="102"/>
        <v>-67373618.43051894</v>
      </c>
      <c r="M184" s="68">
        <f t="shared" si="102"/>
        <v>-67707670.149491698</v>
      </c>
      <c r="N184" s="68">
        <f t="shared" si="102"/>
        <v>-89116734.478815719</v>
      </c>
      <c r="O184" s="68">
        <f t="shared" si="102"/>
        <v>-75137109.476781979</v>
      </c>
      <c r="P184" s="68">
        <f t="shared" si="102"/>
        <v>-80945805.02777952</v>
      </c>
      <c r="Q184" s="68">
        <f t="shared" si="102"/>
        <v>-84581737.892304361</v>
      </c>
      <c r="R184" s="68">
        <f t="shared" si="102"/>
        <v>-111493414.68284395</v>
      </c>
      <c r="S184" s="68">
        <f t="shared" si="102"/>
        <v>-94956451.254122406</v>
      </c>
      <c r="T184" s="68">
        <f t="shared" si="102"/>
        <v>-96902074.347147182</v>
      </c>
      <c r="U184" s="68">
        <f t="shared" si="102"/>
        <v>-100294208.7154261</v>
      </c>
    </row>
    <row r="185" spans="1:21" x14ac:dyDescent="0.25">
      <c r="K185" s="71"/>
    </row>
    <row r="186" spans="1:21" x14ac:dyDescent="0.25">
      <c r="A186" s="172" t="s">
        <v>306</v>
      </c>
      <c r="H186" s="68">
        <f>H184-G184</f>
        <v>5508000</v>
      </c>
      <c r="I186" s="68">
        <f t="shared" ref="I186:U186" si="103">I184-H184</f>
        <v>-654000</v>
      </c>
      <c r="J186" s="68">
        <f t="shared" si="103"/>
        <v>3553000</v>
      </c>
      <c r="K186" s="179">
        <f t="shared" si="103"/>
        <v>-7456000</v>
      </c>
      <c r="L186" s="68">
        <f t="shared" si="103"/>
        <v>-9501618.4305189401</v>
      </c>
      <c r="M186" s="68">
        <f t="shared" si="103"/>
        <v>-334051.71897275746</v>
      </c>
      <c r="N186" s="68">
        <f t="shared" si="103"/>
        <v>-21409064.329324022</v>
      </c>
      <c r="O186" s="68">
        <f t="shared" si="103"/>
        <v>13979625.00203374</v>
      </c>
      <c r="P186" s="68">
        <f t="shared" si="103"/>
        <v>-5808695.5509975404</v>
      </c>
      <c r="Q186" s="68">
        <f t="shared" si="103"/>
        <v>-3635932.8645248413</v>
      </c>
      <c r="R186" s="68">
        <f t="shared" si="103"/>
        <v>-26911676.790539593</v>
      </c>
      <c r="S186" s="68">
        <f t="shared" si="103"/>
        <v>16536963.428721547</v>
      </c>
      <c r="T186" s="68">
        <f t="shared" si="103"/>
        <v>-1945623.0930247754</v>
      </c>
      <c r="U186" s="68">
        <f t="shared" si="103"/>
        <v>-3392134.3682789207</v>
      </c>
    </row>
    <row r="187" spans="1:21" x14ac:dyDescent="0.25">
      <c r="K187" s="71"/>
    </row>
    <row r="188" spans="1:21" x14ac:dyDescent="0.25">
      <c r="A188" s="31" t="s">
        <v>307</v>
      </c>
      <c r="B188" s="31"/>
      <c r="C188" s="31"/>
      <c r="D188" s="32"/>
      <c r="E188" s="32"/>
      <c r="F188" s="32"/>
      <c r="G188" s="33"/>
      <c r="H188" s="32"/>
      <c r="I188" s="32"/>
      <c r="J188" s="32"/>
      <c r="K188" s="34"/>
      <c r="L188" s="35"/>
      <c r="M188" s="36"/>
      <c r="N188" s="36"/>
      <c r="O188" s="36"/>
      <c r="P188" s="36"/>
      <c r="Q188" s="36"/>
      <c r="R188" s="36"/>
      <c r="S188" s="36"/>
      <c r="T188" s="36"/>
      <c r="U188" s="36"/>
    </row>
    <row r="189" spans="1:21" x14ac:dyDescent="0.25">
      <c r="K189" s="71"/>
    </row>
    <row r="190" spans="1:21" x14ac:dyDescent="0.25">
      <c r="A190" t="s">
        <v>308</v>
      </c>
      <c r="K190" s="71"/>
    </row>
    <row r="191" spans="1:21" x14ac:dyDescent="0.25">
      <c r="A191" s="6" t="s">
        <v>309</v>
      </c>
      <c r="K191" s="71"/>
    </row>
    <row r="192" spans="1:21" x14ac:dyDescent="0.25">
      <c r="A192" s="14" t="s">
        <v>310</v>
      </c>
      <c r="H192" s="68">
        <f>G194</f>
        <v>352845000</v>
      </c>
      <c r="I192" s="68">
        <f t="shared" ref="I192:K192" si="104">H194</f>
        <v>340399000</v>
      </c>
      <c r="J192" s="68">
        <f t="shared" si="104"/>
        <v>332428000</v>
      </c>
      <c r="K192" s="179">
        <f t="shared" si="104"/>
        <v>329117000</v>
      </c>
      <c r="L192" s="68">
        <f>K194</f>
        <v>343748000</v>
      </c>
      <c r="M192" s="68">
        <f t="shared" ref="M192:U192" si="105">L194</f>
        <v>343748000</v>
      </c>
      <c r="N192" s="68">
        <f t="shared" si="105"/>
        <v>343748000</v>
      </c>
      <c r="O192" s="68">
        <f t="shared" si="105"/>
        <v>343748000</v>
      </c>
      <c r="P192" s="68">
        <f t="shared" si="105"/>
        <v>343748000</v>
      </c>
      <c r="Q192" s="68">
        <f t="shared" si="105"/>
        <v>343748000</v>
      </c>
      <c r="R192" s="68">
        <f t="shared" si="105"/>
        <v>343748000</v>
      </c>
      <c r="S192" s="68">
        <f t="shared" si="105"/>
        <v>343748000</v>
      </c>
      <c r="T192" s="68">
        <f t="shared" si="105"/>
        <v>343748000</v>
      </c>
      <c r="U192" s="68">
        <f t="shared" si="105"/>
        <v>343748000</v>
      </c>
    </row>
    <row r="193" spans="1:21" x14ac:dyDescent="0.25">
      <c r="A193" s="14" t="s">
        <v>311</v>
      </c>
      <c r="G193" s="68"/>
      <c r="H193" s="68">
        <f>H194-H192</f>
        <v>-12446000</v>
      </c>
      <c r="I193" s="68">
        <f t="shared" ref="I193:K193" si="106">I194-I192</f>
        <v>-7971000</v>
      </c>
      <c r="J193" s="68">
        <f t="shared" si="106"/>
        <v>-3311000</v>
      </c>
      <c r="K193" s="179">
        <f t="shared" si="106"/>
        <v>14631000</v>
      </c>
      <c r="L193" s="68">
        <f>L109</f>
        <v>0</v>
      </c>
      <c r="M193" s="68">
        <f t="shared" ref="M193:U193" si="107">M109</f>
        <v>0</v>
      </c>
      <c r="N193" s="68">
        <f t="shared" si="107"/>
        <v>0</v>
      </c>
      <c r="O193" s="68">
        <f t="shared" si="107"/>
        <v>0</v>
      </c>
      <c r="P193" s="68">
        <f t="shared" si="107"/>
        <v>0</v>
      </c>
      <c r="Q193" s="68">
        <f t="shared" si="107"/>
        <v>0</v>
      </c>
      <c r="R193" s="68">
        <f t="shared" si="107"/>
        <v>0</v>
      </c>
      <c r="S193" s="68">
        <f t="shared" si="107"/>
        <v>0</v>
      </c>
      <c r="T193" s="68">
        <f t="shared" si="107"/>
        <v>0</v>
      </c>
      <c r="U193" s="68">
        <f t="shared" si="107"/>
        <v>0</v>
      </c>
    </row>
    <row r="194" spans="1:21" x14ac:dyDescent="0.25">
      <c r="A194" s="14" t="s">
        <v>312</v>
      </c>
      <c r="G194" s="68">
        <f>G117</f>
        <v>352845000</v>
      </c>
      <c r="H194" s="68">
        <f>H117</f>
        <v>340399000</v>
      </c>
      <c r="I194" s="68">
        <f>I117</f>
        <v>332428000</v>
      </c>
      <c r="J194" s="68">
        <f>J117</f>
        <v>329117000</v>
      </c>
      <c r="K194" s="179">
        <f>K117</f>
        <v>343748000</v>
      </c>
      <c r="L194" s="68">
        <f>L192+L193</f>
        <v>343748000</v>
      </c>
      <c r="M194" s="68">
        <f t="shared" ref="M194:U194" si="108">M192+M193</f>
        <v>343748000</v>
      </c>
      <c r="N194" s="68">
        <f t="shared" si="108"/>
        <v>343748000</v>
      </c>
      <c r="O194" s="68">
        <f t="shared" si="108"/>
        <v>343748000</v>
      </c>
      <c r="P194" s="68">
        <f t="shared" si="108"/>
        <v>343748000</v>
      </c>
      <c r="Q194" s="68">
        <f t="shared" si="108"/>
        <v>343748000</v>
      </c>
      <c r="R194" s="68">
        <f t="shared" si="108"/>
        <v>343748000</v>
      </c>
      <c r="S194" s="68">
        <f t="shared" si="108"/>
        <v>343748000</v>
      </c>
      <c r="T194" s="68">
        <f t="shared" si="108"/>
        <v>343748000</v>
      </c>
      <c r="U194" s="68">
        <f t="shared" si="108"/>
        <v>343748000</v>
      </c>
    </row>
    <row r="195" spans="1:21" x14ac:dyDescent="0.25">
      <c r="A195" s="14"/>
      <c r="K195" s="71"/>
    </row>
    <row r="196" spans="1:21" x14ac:dyDescent="0.25">
      <c r="A196" s="14" t="s">
        <v>313</v>
      </c>
      <c r="K196" s="71"/>
      <c r="L196" s="101">
        <v>1.2500000000000001E-2</v>
      </c>
      <c r="M196" s="101">
        <v>1.2E-2</v>
      </c>
      <c r="N196" s="101">
        <v>1.2E-2</v>
      </c>
      <c r="O196" s="101">
        <v>1.0999999999999999E-2</v>
      </c>
      <c r="P196" s="101">
        <v>0.01</v>
      </c>
      <c r="Q196" s="101">
        <v>0.01</v>
      </c>
      <c r="R196" s="101">
        <v>0.01</v>
      </c>
      <c r="S196" s="101">
        <v>0.01</v>
      </c>
      <c r="T196" s="101">
        <v>0.01</v>
      </c>
      <c r="U196" s="101">
        <v>0.01</v>
      </c>
    </row>
    <row r="197" spans="1:21" x14ac:dyDescent="0.25">
      <c r="A197" s="174" t="s">
        <v>314</v>
      </c>
      <c r="K197" s="71"/>
      <c r="L197" s="68">
        <f>L196*L192</f>
        <v>4296850</v>
      </c>
      <c r="M197" s="68">
        <f t="shared" ref="M197:U197" si="109">M196*M192</f>
        <v>4124976</v>
      </c>
      <c r="N197" s="68">
        <f t="shared" si="109"/>
        <v>4124976</v>
      </c>
      <c r="O197" s="68">
        <f t="shared" si="109"/>
        <v>3781228</v>
      </c>
      <c r="P197" s="68">
        <f t="shared" si="109"/>
        <v>3437480</v>
      </c>
      <c r="Q197" s="68">
        <f t="shared" si="109"/>
        <v>3437480</v>
      </c>
      <c r="R197" s="68">
        <f t="shared" si="109"/>
        <v>3437480</v>
      </c>
      <c r="S197" s="68">
        <f t="shared" si="109"/>
        <v>3437480</v>
      </c>
      <c r="T197" s="68">
        <f t="shared" si="109"/>
        <v>3437480</v>
      </c>
      <c r="U197" s="68">
        <f t="shared" si="109"/>
        <v>3437480</v>
      </c>
    </row>
    <row r="198" spans="1:21" x14ac:dyDescent="0.25">
      <c r="K198" s="71"/>
    </row>
    <row r="199" spans="1:21" x14ac:dyDescent="0.25">
      <c r="A199" s="31" t="s">
        <v>315</v>
      </c>
      <c r="B199" s="31"/>
      <c r="C199" s="31"/>
      <c r="D199" s="32"/>
      <c r="E199" s="32"/>
      <c r="F199" s="32"/>
      <c r="G199" s="33"/>
      <c r="H199" s="32"/>
      <c r="I199" s="32"/>
      <c r="J199" s="32"/>
      <c r="K199" s="34"/>
      <c r="L199" s="35"/>
      <c r="M199" s="36"/>
      <c r="N199" s="36"/>
      <c r="O199" s="36"/>
      <c r="P199" s="36"/>
      <c r="Q199" s="36"/>
      <c r="R199" s="36"/>
      <c r="S199" s="36"/>
      <c r="T199" s="36"/>
      <c r="U199" s="36"/>
    </row>
    <row r="200" spans="1:21" x14ac:dyDescent="0.25">
      <c r="K200" s="71"/>
    </row>
    <row r="201" spans="1:21" x14ac:dyDescent="0.25">
      <c r="A201" s="159" t="s">
        <v>319</v>
      </c>
      <c r="K201" s="71"/>
    </row>
    <row r="202" spans="1:21" x14ac:dyDescent="0.25">
      <c r="A202" s="6" t="s">
        <v>310</v>
      </c>
      <c r="K202" s="71"/>
    </row>
    <row r="203" spans="1:21" x14ac:dyDescent="0.25">
      <c r="A203" s="6" t="s">
        <v>320</v>
      </c>
      <c r="K203" s="71"/>
    </row>
    <row r="204" spans="1:21" x14ac:dyDescent="0.25">
      <c r="A204" s="6" t="s">
        <v>312</v>
      </c>
      <c r="K204" s="71"/>
    </row>
    <row r="205" spans="1:21" x14ac:dyDescent="0.25">
      <c r="A205" s="6"/>
      <c r="K205" s="71"/>
    </row>
    <row r="206" spans="1:21" x14ac:dyDescent="0.25">
      <c r="K206" s="71"/>
    </row>
    <row r="207" spans="1:21" x14ac:dyDescent="0.25">
      <c r="A207" s="159" t="s">
        <v>323</v>
      </c>
      <c r="K207" s="71"/>
    </row>
    <row r="208" spans="1:21" x14ac:dyDescent="0.25">
      <c r="A208" s="6" t="s">
        <v>310</v>
      </c>
      <c r="K208" s="71"/>
    </row>
    <row r="209" spans="1:11" x14ac:dyDescent="0.25">
      <c r="A209" s="6" t="s">
        <v>321</v>
      </c>
      <c r="K209" s="71"/>
    </row>
    <row r="210" spans="1:11" x14ac:dyDescent="0.25">
      <c r="A210" s="6" t="s">
        <v>322</v>
      </c>
      <c r="K210" s="71"/>
    </row>
    <row r="211" spans="1:11" x14ac:dyDescent="0.25">
      <c r="A211" s="173" t="s">
        <v>312</v>
      </c>
      <c r="C211" s="159"/>
      <c r="K211" s="71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373B-79D4-4CAC-96D4-FC6BF17709B9}">
  <dimension ref="B1:W141"/>
  <sheetViews>
    <sheetView showGridLines="0" tabSelected="1" topLeftCell="G1" zoomScale="77" zoomScaleNormal="77" workbookViewId="0">
      <selection activeCell="L63" sqref="L63"/>
    </sheetView>
  </sheetViews>
  <sheetFormatPr defaultRowHeight="13.15" x14ac:dyDescent="0.25"/>
  <cols>
    <col min="2" max="2" width="34.21875" customWidth="1"/>
    <col min="3" max="3" width="15.77734375" bestFit="1" customWidth="1"/>
    <col min="4" max="4" width="15.5546875" bestFit="1" customWidth="1"/>
    <col min="5" max="5" width="16.109375" customWidth="1"/>
    <col min="6" max="6" width="15.5546875" bestFit="1" customWidth="1"/>
    <col min="7" max="11" width="14.88671875" bestFit="1" customWidth="1"/>
    <col min="12" max="12" width="17.109375" bestFit="1" customWidth="1"/>
    <col min="13" max="17" width="15" bestFit="1" customWidth="1"/>
    <col min="18" max="20" width="16" bestFit="1" customWidth="1"/>
    <col min="21" max="21" width="15" bestFit="1" customWidth="1"/>
    <col min="22" max="23" width="15.5546875" bestFit="1" customWidth="1"/>
  </cols>
  <sheetData>
    <row r="1" spans="2:23" ht="13.8" thickBot="1" x14ac:dyDescent="0.3"/>
    <row r="2" spans="2:23" ht="16.3" thickBot="1" x14ac:dyDescent="0.35">
      <c r="B2" s="227" t="str">
        <f>"DCF Model for "&amp;C4</f>
        <v xml:space="preserve">DCF Model for CAVA 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2:23" x14ac:dyDescent="0.25">
      <c r="B3" s="182"/>
      <c r="C3" s="183"/>
      <c r="D3" s="183"/>
      <c r="E3" s="183"/>
      <c r="F3" s="183"/>
      <c r="G3" s="183"/>
    </row>
    <row r="4" spans="2:23" ht="15.05" x14ac:dyDescent="0.3">
      <c r="B4" s="184" t="s">
        <v>325</v>
      </c>
      <c r="C4" s="185" t="s">
        <v>330</v>
      </c>
      <c r="E4" t="s">
        <v>370</v>
      </c>
      <c r="F4" s="229">
        <f ca="1">TODAY()</f>
        <v>45608</v>
      </c>
    </row>
    <row r="5" spans="2:23" ht="15.05" x14ac:dyDescent="0.3">
      <c r="B5" s="184" t="s">
        <v>326</v>
      </c>
      <c r="C5" s="185" t="s">
        <v>330</v>
      </c>
      <c r="E5" t="s">
        <v>371</v>
      </c>
      <c r="F5" s="153">
        <v>0.1</v>
      </c>
    </row>
    <row r="6" spans="2:23" ht="15.05" x14ac:dyDescent="0.3">
      <c r="B6" t="s">
        <v>327</v>
      </c>
      <c r="C6" s="186">
        <v>1</v>
      </c>
    </row>
    <row r="7" spans="2:23" ht="15.05" x14ac:dyDescent="0.3">
      <c r="B7" t="s">
        <v>328</v>
      </c>
      <c r="C7" s="187">
        <v>128</v>
      </c>
    </row>
    <row r="8" spans="2:23" ht="15.05" x14ac:dyDescent="0.3">
      <c r="B8" t="s">
        <v>329</v>
      </c>
      <c r="C8" s="188">
        <v>45551</v>
      </c>
    </row>
    <row r="9" spans="2:23" ht="15.05" x14ac:dyDescent="0.3">
      <c r="B9" s="184" t="s">
        <v>331</v>
      </c>
      <c r="C9" s="189">
        <v>45487</v>
      </c>
    </row>
    <row r="10" spans="2:23" ht="15.05" x14ac:dyDescent="0.3">
      <c r="B10" t="s">
        <v>354</v>
      </c>
      <c r="C10" s="276">
        <v>114130000</v>
      </c>
    </row>
    <row r="12" spans="2:23" ht="15.05" x14ac:dyDescent="0.3">
      <c r="B12" s="190" t="s">
        <v>332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3" t="s">
        <v>343</v>
      </c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</row>
    <row r="13" spans="2:23" ht="15.05" x14ac:dyDescent="0.3">
      <c r="B13" t="s">
        <v>333</v>
      </c>
      <c r="C13" s="198" t="s">
        <v>334</v>
      </c>
      <c r="D13" s="198" t="s">
        <v>335</v>
      </c>
      <c r="E13" s="198" t="s">
        <v>336</v>
      </c>
      <c r="F13" s="198" t="s">
        <v>337</v>
      </c>
      <c r="G13" s="199" t="s">
        <v>338</v>
      </c>
      <c r="H13" s="199" t="s">
        <v>339</v>
      </c>
      <c r="I13" s="199" t="s">
        <v>340</v>
      </c>
      <c r="J13" s="199" t="s">
        <v>341</v>
      </c>
      <c r="K13" s="200" t="s">
        <v>342</v>
      </c>
      <c r="L13" s="5" t="s">
        <v>344</v>
      </c>
      <c r="M13" s="5" t="s">
        <v>345</v>
      </c>
      <c r="N13" s="5" t="s">
        <v>346</v>
      </c>
      <c r="O13" s="5" t="s">
        <v>347</v>
      </c>
      <c r="P13" s="5" t="s">
        <v>348</v>
      </c>
      <c r="Q13" s="5" t="s">
        <v>349</v>
      </c>
      <c r="R13" s="5" t="s">
        <v>350</v>
      </c>
      <c r="S13" s="5" t="s">
        <v>351</v>
      </c>
      <c r="T13" s="5" t="s">
        <v>352</v>
      </c>
      <c r="U13" s="5" t="s">
        <v>353</v>
      </c>
      <c r="V13" s="5" t="s">
        <v>392</v>
      </c>
      <c r="W13" s="5" t="s">
        <v>393</v>
      </c>
    </row>
    <row r="14" spans="2:23" ht="15.05" x14ac:dyDescent="0.3">
      <c r="B14" s="192" t="s">
        <v>377</v>
      </c>
      <c r="C14" s="201">
        <v>44752</v>
      </c>
      <c r="D14" s="201">
        <v>44836</v>
      </c>
      <c r="E14" s="201">
        <v>44920</v>
      </c>
      <c r="F14" s="201">
        <v>45032</v>
      </c>
      <c r="G14" s="201">
        <v>45116</v>
      </c>
      <c r="H14" s="201">
        <v>45200</v>
      </c>
      <c r="I14" s="201">
        <v>45291</v>
      </c>
      <c r="J14" s="201">
        <v>45403</v>
      </c>
      <c r="K14" s="202">
        <v>45487</v>
      </c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</row>
    <row r="15" spans="2:23" x14ac:dyDescent="0.25">
      <c r="K15" s="71"/>
    </row>
    <row r="16" spans="2:23" x14ac:dyDescent="0.25">
      <c r="B16" s="8" t="s">
        <v>15</v>
      </c>
      <c r="C16" s="211">
        <f>C70</f>
        <v>135915000</v>
      </c>
      <c r="D16" s="211">
        <f t="shared" ref="D16:K16" si="0">D70</f>
        <v>139258000</v>
      </c>
      <c r="E16" s="211">
        <f t="shared" si="0"/>
        <v>129935000</v>
      </c>
      <c r="F16" s="211">
        <f t="shared" si="0"/>
        <v>203083000</v>
      </c>
      <c r="G16" s="211">
        <f t="shared" si="0"/>
        <v>172894000</v>
      </c>
      <c r="H16" s="211">
        <f t="shared" si="0"/>
        <v>175553000</v>
      </c>
      <c r="I16" s="211">
        <f t="shared" si="0"/>
        <v>177170000</v>
      </c>
      <c r="J16" s="211">
        <f t="shared" si="0"/>
        <v>259006000</v>
      </c>
      <c r="K16" s="212">
        <f t="shared" si="0"/>
        <v>233495000</v>
      </c>
      <c r="L16" s="169">
        <f>L70</f>
        <v>246749494.44444442</v>
      </c>
      <c r="M16" s="169">
        <f t="shared" ref="M16:U16" si="1">M70</f>
        <v>248870393.53448275</v>
      </c>
      <c r="N16" s="169">
        <f t="shared" si="1"/>
        <v>353186951.97411007</v>
      </c>
      <c r="O16" s="169">
        <f t="shared" si="1"/>
        <v>313844750</v>
      </c>
      <c r="P16" s="169">
        <f t="shared" si="1"/>
        <v>321832615.90277773</v>
      </c>
      <c r="Q16" s="169">
        <f t="shared" si="1"/>
        <v>319160506.23232758</v>
      </c>
      <c r="R16" s="169">
        <f t="shared" si="1"/>
        <v>445831344.56666666</v>
      </c>
      <c r="S16" s="169">
        <f t="shared" si="1"/>
        <v>391228128.55592108</v>
      </c>
      <c r="T16" s="169">
        <f t="shared" si="1"/>
        <v>396440577.25052077</v>
      </c>
      <c r="U16" s="169">
        <f t="shared" si="1"/>
        <v>388629521.89234912</v>
      </c>
      <c r="V16" s="169">
        <f t="shared" ref="V16:W16" si="2">V70</f>
        <v>538100577.99588573</v>
      </c>
      <c r="W16" s="169">
        <f t="shared" si="2"/>
        <v>467102744.93349928</v>
      </c>
    </row>
    <row r="17" spans="2:23" x14ac:dyDescent="0.25">
      <c r="B17" s="14" t="s">
        <v>19</v>
      </c>
      <c r="C17" s="209">
        <v>43741000</v>
      </c>
      <c r="D17" s="209">
        <v>44617000</v>
      </c>
      <c r="E17" s="209">
        <v>40726000</v>
      </c>
      <c r="F17" s="209">
        <v>59118000</v>
      </c>
      <c r="G17" s="209">
        <v>51000000</v>
      </c>
      <c r="H17" s="209">
        <v>51818000</v>
      </c>
      <c r="I17" s="209">
        <v>51522000</v>
      </c>
      <c r="J17" s="209">
        <v>73947000</v>
      </c>
      <c r="K17" s="210">
        <v>68839000</v>
      </c>
      <c r="L17" s="68">
        <f>L$16*L50</f>
        <v>72216204.041666657</v>
      </c>
      <c r="M17" s="68">
        <f t="shared" ref="M17:U17" si="3">M$16*M50</f>
        <v>71750688.585129306</v>
      </c>
      <c r="N17" s="68">
        <f t="shared" si="3"/>
        <v>99952980.581229791</v>
      </c>
      <c r="O17" s="68">
        <f t="shared" si="3"/>
        <v>91743102.830882356</v>
      </c>
      <c r="P17" s="68">
        <f t="shared" si="3"/>
        <v>93386208.636435911</v>
      </c>
      <c r="Q17" s="68">
        <f t="shared" si="3"/>
        <v>91217809.265993521</v>
      </c>
      <c r="R17" s="68">
        <f t="shared" si="3"/>
        <v>125057046.82716668</v>
      </c>
      <c r="S17" s="68">
        <f t="shared" si="3"/>
        <v>113385743.08775446</v>
      </c>
      <c r="T17" s="68">
        <f t="shared" si="3"/>
        <v>114044108.25808747</v>
      </c>
      <c r="U17" s="68">
        <f t="shared" si="3"/>
        <v>110100858.12488064</v>
      </c>
      <c r="V17" s="68">
        <f>V$16*V50</f>
        <v>149593595.72279695</v>
      </c>
      <c r="W17" s="68">
        <f>W$16*W50</f>
        <v>134207968.87627272</v>
      </c>
    </row>
    <row r="18" spans="2:23" x14ac:dyDescent="0.25">
      <c r="B18" s="14" t="s">
        <v>20</v>
      </c>
      <c r="C18" s="209">
        <v>37731000</v>
      </c>
      <c r="D18" s="209">
        <v>37193000</v>
      </c>
      <c r="E18" s="209">
        <v>35945000</v>
      </c>
      <c r="F18" s="209">
        <v>52154000</v>
      </c>
      <c r="G18" s="209">
        <v>42417000</v>
      </c>
      <c r="H18" s="209">
        <v>43913000</v>
      </c>
      <c r="I18" s="209">
        <v>48842000</v>
      </c>
      <c r="J18" s="209">
        <v>66513000</v>
      </c>
      <c r="K18" s="210">
        <v>58388000</v>
      </c>
      <c r="L18" s="68">
        <f>L$16*L51</f>
        <v>61105287.375</v>
      </c>
      <c r="M18" s="68">
        <f t="shared" ref="M18:U18" si="4">M$16*M51</f>
        <v>67986097.205818966</v>
      </c>
      <c r="N18" s="68">
        <f t="shared" si="4"/>
        <v>89815795.338511333</v>
      </c>
      <c r="O18" s="68">
        <f t="shared" si="4"/>
        <v>77695729.301470578</v>
      </c>
      <c r="P18" s="68">
        <f t="shared" si="4"/>
        <v>78894363.844769254</v>
      </c>
      <c r="Q18" s="68">
        <f t="shared" si="4"/>
        <v>86389959.422890082</v>
      </c>
      <c r="R18" s="68">
        <f t="shared" si="4"/>
        <v>112260778.72716667</v>
      </c>
      <c r="S18" s="68">
        <f t="shared" si="4"/>
        <v>95874767.814031541</v>
      </c>
      <c r="T18" s="68">
        <f t="shared" si="4"/>
        <v>96192731.390899986</v>
      </c>
      <c r="U18" s="68">
        <f t="shared" si="4"/>
        <v>104222170.31841514</v>
      </c>
      <c r="V18" s="68">
        <f t="shared" ref="V18:W18" si="5">V$16*V51</f>
        <v>134149012.59799901</v>
      </c>
      <c r="W18" s="68">
        <f t="shared" si="5"/>
        <v>113300922.52710035</v>
      </c>
    </row>
    <row r="19" spans="2:23" x14ac:dyDescent="0.25">
      <c r="B19" s="14" t="s">
        <v>21</v>
      </c>
      <c r="C19" s="209">
        <v>12214000</v>
      </c>
      <c r="D19" s="209">
        <v>12302000</v>
      </c>
      <c r="E19" s="209">
        <v>12413000</v>
      </c>
      <c r="F19" s="209">
        <v>16599000</v>
      </c>
      <c r="G19" s="209">
        <v>13400000</v>
      </c>
      <c r="H19" s="209">
        <v>13782000</v>
      </c>
      <c r="I19" s="209">
        <v>14538000</v>
      </c>
      <c r="J19" s="209">
        <v>20422000</v>
      </c>
      <c r="K19" s="210">
        <v>15917000</v>
      </c>
      <c r="L19" s="68">
        <f>L$16*L52</f>
        <v>18754492.930555552</v>
      </c>
      <c r="M19" s="68">
        <f t="shared" ref="M19:U19" si="6">M$16*M52</f>
        <v>19799327.550646551</v>
      </c>
      <c r="N19" s="68">
        <f t="shared" si="6"/>
        <v>26964974.108737864</v>
      </c>
      <c r="O19" s="68">
        <f t="shared" si="6"/>
        <v>20609708.713235293</v>
      </c>
      <c r="P19" s="68">
        <f t="shared" si="6"/>
        <v>23656694.595217288</v>
      </c>
      <c r="Q19" s="68">
        <f t="shared" si="6"/>
        <v>24593481.431165945</v>
      </c>
      <c r="R19" s="68">
        <f t="shared" si="6"/>
        <v>32923572.24383333</v>
      </c>
      <c r="S19" s="68">
        <f t="shared" si="6"/>
        <v>24713287.491547022</v>
      </c>
      <c r="T19" s="68">
        <f t="shared" si="6"/>
        <v>28149741.335842859</v>
      </c>
      <c r="U19" s="68">
        <f t="shared" si="6"/>
        <v>28974966.395656515</v>
      </c>
      <c r="V19" s="68">
        <f t="shared" ref="V19:W19" si="7">V$16*V52</f>
        <v>38392181.712195702</v>
      </c>
      <c r="W19" s="68">
        <f t="shared" si="7"/>
        <v>28338415.064111233</v>
      </c>
    </row>
    <row r="20" spans="2:23" x14ac:dyDescent="0.25">
      <c r="B20" s="14" t="s">
        <v>22</v>
      </c>
      <c r="C20" s="213">
        <v>16624000</v>
      </c>
      <c r="D20" s="213">
        <v>18738000</v>
      </c>
      <c r="E20" s="213">
        <v>17024000</v>
      </c>
      <c r="F20" s="213">
        <v>24648000</v>
      </c>
      <c r="G20" s="213">
        <v>20646000</v>
      </c>
      <c r="H20" s="213">
        <v>21553000</v>
      </c>
      <c r="I20" s="213">
        <v>22404000</v>
      </c>
      <c r="J20" s="213">
        <v>32758000</v>
      </c>
      <c r="K20" s="214">
        <v>27991000</v>
      </c>
      <c r="L20" s="171">
        <f>L$16*L53</f>
        <v>29677065.152777776</v>
      </c>
      <c r="M20" s="171">
        <f t="shared" ref="M20:U20" si="8">M$16*M53</f>
        <v>30848684.188577589</v>
      </c>
      <c r="N20" s="171">
        <f t="shared" si="8"/>
        <v>43786647.118446603</v>
      </c>
      <c r="O20" s="171">
        <f t="shared" si="8"/>
        <v>36838585.183823526</v>
      </c>
      <c r="P20" s="171">
        <f t="shared" si="8"/>
        <v>37902883.826848112</v>
      </c>
      <c r="Q20" s="171">
        <f t="shared" si="8"/>
        <v>38763581.007976294</v>
      </c>
      <c r="R20" s="171">
        <f t="shared" si="8"/>
        <v>54157734.643833324</v>
      </c>
      <c r="S20" s="171">
        <f t="shared" si="8"/>
        <v>44943649.701376744</v>
      </c>
      <c r="T20" s="171">
        <f t="shared" si="8"/>
        <v>45698514.218184933</v>
      </c>
      <c r="U20" s="171">
        <f t="shared" si="8"/>
        <v>46229353.815678075</v>
      </c>
      <c r="V20" s="171">
        <f t="shared" ref="V20:W20" si="9">V$16*V53</f>
        <v>64020965.331715114</v>
      </c>
      <c r="W20" s="171">
        <f t="shared" si="9"/>
        <v>52492245.091850884</v>
      </c>
    </row>
    <row r="21" spans="2:23" x14ac:dyDescent="0.25">
      <c r="B21" s="8" t="s">
        <v>52</v>
      </c>
      <c r="C21" s="169">
        <f>C16-C17-C18-C19-C20</f>
        <v>25605000</v>
      </c>
      <c r="D21" s="169">
        <f t="shared" ref="D21:K21" si="10">D16-D17-D18-D19-D20</f>
        <v>26408000</v>
      </c>
      <c r="E21" s="169">
        <f t="shared" si="10"/>
        <v>23827000</v>
      </c>
      <c r="F21" s="169">
        <f t="shared" si="10"/>
        <v>50564000</v>
      </c>
      <c r="G21" s="169">
        <f t="shared" si="10"/>
        <v>45431000</v>
      </c>
      <c r="H21" s="169">
        <f t="shared" si="10"/>
        <v>44487000</v>
      </c>
      <c r="I21" s="169">
        <f t="shared" si="10"/>
        <v>39864000</v>
      </c>
      <c r="J21" s="169">
        <f t="shared" si="10"/>
        <v>65366000</v>
      </c>
      <c r="K21" s="215">
        <f t="shared" si="10"/>
        <v>62360000</v>
      </c>
      <c r="L21" s="169">
        <f t="shared" ref="L21" si="11">L16-L17-L18-L19-L20</f>
        <v>64996444.944444433</v>
      </c>
      <c r="M21" s="169">
        <f t="shared" ref="M21" si="12">M16-M17-M18-M19-M20</f>
        <v>58485596.00431034</v>
      </c>
      <c r="N21" s="169">
        <f t="shared" ref="N21" si="13">N16-N17-N18-N19-N20</f>
        <v>92666554.827184454</v>
      </c>
      <c r="O21" s="169">
        <f t="shared" ref="O21" si="14">O16-O17-O18-O19-O20</f>
        <v>86957623.970588237</v>
      </c>
      <c r="P21" s="169">
        <f t="shared" ref="P21" si="15">P16-P17-P18-P19-P20</f>
        <v>87992464.999507159</v>
      </c>
      <c r="Q21" s="169">
        <f t="shared" ref="Q21" si="16">Q16-Q17-Q18-Q19-Q20</f>
        <v>78195675.104301736</v>
      </c>
      <c r="R21" s="169">
        <f t="shared" ref="R21" si="17">R16-R17-R18-R19-R20</f>
        <v>121432212.12466668</v>
      </c>
      <c r="S21" s="169">
        <f t="shared" ref="S21" si="18">S16-S17-S18-S19-S20</f>
        <v>112310680.46121129</v>
      </c>
      <c r="T21" s="169">
        <f t="shared" ref="T21" si="19">T16-T17-T18-T19-T20</f>
        <v>112355482.04750554</v>
      </c>
      <c r="U21" s="169">
        <f t="shared" ref="U21" si="20">U16-U17-U18-U19-U20</f>
        <v>99102173.237718716</v>
      </c>
      <c r="V21" s="169">
        <f t="shared" ref="V21" si="21">V16-V17-V18-V19-V20</f>
        <v>151944822.631179</v>
      </c>
      <c r="W21" s="169">
        <f t="shared" ref="W21" si="22">W16-W17-W18-W19-W20</f>
        <v>138763193.37416407</v>
      </c>
    </row>
    <row r="22" spans="2:23" x14ac:dyDescent="0.25">
      <c r="B22" s="14" t="s">
        <v>24</v>
      </c>
      <c r="C22" s="209">
        <v>16284000</v>
      </c>
      <c r="D22" s="209">
        <v>16547000</v>
      </c>
      <c r="E22" s="209">
        <v>16269000</v>
      </c>
      <c r="F22" s="209">
        <v>29024000</v>
      </c>
      <c r="G22" s="209">
        <v>23321000</v>
      </c>
      <c r="H22" s="209">
        <v>24472000</v>
      </c>
      <c r="I22" s="209">
        <v>24674000</v>
      </c>
      <c r="J22" s="209">
        <v>33840000</v>
      </c>
      <c r="K22" s="210">
        <v>28281000</v>
      </c>
      <c r="L22" s="68">
        <f>L$16*L54</f>
        <v>32721486.141402576</v>
      </c>
      <c r="M22" s="68">
        <f t="shared" ref="M22:U22" si="23">M$16*M54</f>
        <v>32580321.639766797</v>
      </c>
      <c r="N22" s="68">
        <f t="shared" si="23"/>
        <v>45499014.311428353</v>
      </c>
      <c r="O22" s="68">
        <f t="shared" si="23"/>
        <v>40287268.456122249</v>
      </c>
      <c r="P22" s="68">
        <f t="shared" si="23"/>
        <v>41895686.151706919</v>
      </c>
      <c r="Q22" s="68">
        <f t="shared" si="23"/>
        <v>41353813.442946464</v>
      </c>
      <c r="R22" s="68">
        <f t="shared" si="23"/>
        <v>57617026.935323998</v>
      </c>
      <c r="S22" s="68">
        <f t="shared" si="23"/>
        <v>50600564.100419633</v>
      </c>
      <c r="T22" s="68">
        <f t="shared" si="23"/>
        <v>51370953.994363248</v>
      </c>
      <c r="U22" s="68">
        <f t="shared" si="23"/>
        <v>50300690.529094726</v>
      </c>
      <c r="V22" s="68">
        <f t="shared" ref="V22:W22" si="24">V$16*V54</f>
        <v>69628088.614078984</v>
      </c>
      <c r="W22" s="68">
        <f t="shared" si="24"/>
        <v>60460052.686993629</v>
      </c>
    </row>
    <row r="23" spans="2:23" x14ac:dyDescent="0.25">
      <c r="B23" s="14" t="s">
        <v>25</v>
      </c>
      <c r="C23" s="209">
        <v>8946000</v>
      </c>
      <c r="D23" s="209">
        <v>10018000</v>
      </c>
      <c r="E23" s="209">
        <v>10941000</v>
      </c>
      <c r="F23" s="209">
        <v>12859000</v>
      </c>
      <c r="G23" s="209">
        <v>10709000</v>
      </c>
      <c r="H23" s="209">
        <v>11528000</v>
      </c>
      <c r="I23" s="209">
        <v>12337000</v>
      </c>
      <c r="J23" s="209">
        <v>17322000</v>
      </c>
      <c r="K23" s="210">
        <v>13733000</v>
      </c>
      <c r="L23" s="68">
        <f>L$16*L55</f>
        <v>14512562.612499433</v>
      </c>
      <c r="M23" s="68">
        <f t="shared" ref="M23:U23" si="25">M$16*M55</f>
        <v>14637303.215953453</v>
      </c>
      <c r="N23" s="68">
        <f t="shared" si="25"/>
        <v>20772677.836615145</v>
      </c>
      <c r="O23" s="68">
        <f t="shared" si="25"/>
        <v>18458767.647058822</v>
      </c>
      <c r="P23" s="68">
        <f t="shared" si="25"/>
        <v>18928573.691911377</v>
      </c>
      <c r="Q23" s="68">
        <f t="shared" si="25"/>
        <v>18771413.658059292</v>
      </c>
      <c r="R23" s="68">
        <f t="shared" si="25"/>
        <v>26221554.444138132</v>
      </c>
      <c r="S23" s="68">
        <f t="shared" si="25"/>
        <v>23010068.264667183</v>
      </c>
      <c r="T23" s="68">
        <f t="shared" si="25"/>
        <v>23316638.246563744</v>
      </c>
      <c r="U23" s="68">
        <f t="shared" si="25"/>
        <v>22857231.307512496</v>
      </c>
      <c r="V23" s="68">
        <f t="shared" ref="V23:W23" si="26">V$16*V55</f>
        <v>31648366.079005968</v>
      </c>
      <c r="W23" s="68">
        <f t="shared" si="26"/>
        <v>27472631.08919568</v>
      </c>
    </row>
    <row r="24" spans="2:23" x14ac:dyDescent="0.25">
      <c r="B24" s="14" t="s">
        <v>26</v>
      </c>
      <c r="C24" s="209">
        <v>1650000</v>
      </c>
      <c r="D24" s="209">
        <v>2055000</v>
      </c>
      <c r="E24" s="209">
        <v>934000</v>
      </c>
      <c r="F24" s="209">
        <v>2215000</v>
      </c>
      <c r="G24" s="209">
        <v>1853000</v>
      </c>
      <c r="H24" s="209">
        <v>1092000</v>
      </c>
      <c r="I24" s="209">
        <v>920000</v>
      </c>
      <c r="J24" s="209">
        <v>282000</v>
      </c>
      <c r="K24" s="210">
        <v>70000</v>
      </c>
      <c r="L24" s="68">
        <f>L$16*L56</f>
        <v>789701.18979206483</v>
      </c>
      <c r="M24" s="68">
        <f t="shared" ref="M24:U24" si="27">M$16*M56</f>
        <v>608596.34118718817</v>
      </c>
      <c r="N24" s="68">
        <f t="shared" si="27"/>
        <v>621116.488140453</v>
      </c>
      <c r="O24" s="68">
        <f t="shared" si="27"/>
        <v>604484.54382325453</v>
      </c>
      <c r="P24" s="68">
        <f t="shared" si="27"/>
        <v>750716.35511410865</v>
      </c>
      <c r="Q24" s="68">
        <f t="shared" si="27"/>
        <v>675242.49119089881</v>
      </c>
      <c r="R24" s="68">
        <f t="shared" si="27"/>
        <v>906484.42461628793</v>
      </c>
      <c r="S24" s="68">
        <f t="shared" si="27"/>
        <v>822324.39789065032</v>
      </c>
      <c r="T24" s="68">
        <f t="shared" si="27"/>
        <v>850708.27457771858</v>
      </c>
      <c r="U24" s="68">
        <f t="shared" si="27"/>
        <v>815801.29519016715</v>
      </c>
      <c r="V24" s="68">
        <f t="shared" ref="V24:W24" si="28">V$16*V56</f>
        <v>1127346.3845142724</v>
      </c>
      <c r="W24" s="68">
        <f t="shared" si="28"/>
        <v>985819.57191208377</v>
      </c>
    </row>
    <row r="25" spans="2:23" x14ac:dyDescent="0.25">
      <c r="B25" s="14" t="s">
        <v>27</v>
      </c>
      <c r="C25" s="209">
        <v>4484000</v>
      </c>
      <c r="D25" s="209">
        <v>6175000</v>
      </c>
      <c r="E25" s="209">
        <v>5088000</v>
      </c>
      <c r="F25" s="209">
        <v>5999000</v>
      </c>
      <c r="G25" s="209">
        <v>3400000</v>
      </c>
      <c r="H25" s="209">
        <v>3410000</v>
      </c>
      <c r="I25" s="209">
        <v>2909000</v>
      </c>
      <c r="J25" s="209">
        <v>3379000</v>
      </c>
      <c r="K25" s="210">
        <v>3302000</v>
      </c>
      <c r="L25" s="68">
        <f>L$16*L57</f>
        <v>3888232.39099852</v>
      </c>
      <c r="M25" s="68">
        <f t="shared" ref="M25:U25" si="29">M$16*M57</f>
        <v>3693531.0289456402</v>
      </c>
      <c r="N25" s="68">
        <f t="shared" si="29"/>
        <v>5102373.2387173055</v>
      </c>
      <c r="O25" s="68">
        <f t="shared" si="29"/>
        <v>4643905.08825034</v>
      </c>
      <c r="P25" s="68">
        <f t="shared" si="29"/>
        <v>4814815.6741111446</v>
      </c>
      <c r="Q25" s="68">
        <f t="shared" si="29"/>
        <v>4711231.1753484057</v>
      </c>
      <c r="R25" s="68">
        <f t="shared" si="29"/>
        <v>6572159.2140617808</v>
      </c>
      <c r="S25" s="68">
        <f t="shared" si="29"/>
        <v>5796056.7768202964</v>
      </c>
      <c r="T25" s="68">
        <f t="shared" si="29"/>
        <v>5875083.9832090391</v>
      </c>
      <c r="U25" s="68">
        <f t="shared" si="29"/>
        <v>5745624.5403575813</v>
      </c>
      <c r="V25" s="68">
        <f t="shared" ref="V25:W25" si="30">V$16*V57</f>
        <v>7958547.1707214005</v>
      </c>
      <c r="W25" s="68">
        <f t="shared" si="30"/>
        <v>6914172.857298784</v>
      </c>
    </row>
    <row r="26" spans="2:23" x14ac:dyDescent="0.25">
      <c r="B26" s="14" t="s">
        <v>28</v>
      </c>
      <c r="C26" s="213">
        <v>2579000</v>
      </c>
      <c r="D26" s="213">
        <v>3838000</v>
      </c>
      <c r="E26" s="213">
        <v>9905000</v>
      </c>
      <c r="F26" s="213">
        <v>2719000</v>
      </c>
      <c r="G26" s="213">
        <v>386000</v>
      </c>
      <c r="H26" s="213">
        <v>1190000</v>
      </c>
      <c r="I26" s="213">
        <v>604000</v>
      </c>
      <c r="J26" s="213">
        <v>1290000</v>
      </c>
      <c r="K26" s="214">
        <v>830000</v>
      </c>
      <c r="L26" s="223">
        <f>K26</f>
        <v>830000</v>
      </c>
      <c r="M26" s="223">
        <f t="shared" ref="M26:U26" si="31">L26</f>
        <v>830000</v>
      </c>
      <c r="N26" s="223">
        <f t="shared" si="31"/>
        <v>830000</v>
      </c>
      <c r="O26" s="223">
        <f t="shared" si="31"/>
        <v>830000</v>
      </c>
      <c r="P26" s="223">
        <f t="shared" si="31"/>
        <v>830000</v>
      </c>
      <c r="Q26" s="223">
        <f t="shared" si="31"/>
        <v>830000</v>
      </c>
      <c r="R26" s="223">
        <f t="shared" si="31"/>
        <v>830000</v>
      </c>
      <c r="S26" s="223">
        <f t="shared" si="31"/>
        <v>830000</v>
      </c>
      <c r="T26" s="223">
        <f t="shared" si="31"/>
        <v>830000</v>
      </c>
      <c r="U26" s="223">
        <f t="shared" si="31"/>
        <v>830000</v>
      </c>
      <c r="V26" s="223">
        <f t="shared" ref="V26:W26" si="32">U26</f>
        <v>830000</v>
      </c>
      <c r="W26" s="223">
        <f t="shared" si="32"/>
        <v>830000</v>
      </c>
    </row>
    <row r="27" spans="2:23" x14ac:dyDescent="0.25">
      <c r="B27" s="8" t="s">
        <v>356</v>
      </c>
      <c r="C27" s="169">
        <f>C21-C22-C23-C24-C25-C26</f>
        <v>-8338000</v>
      </c>
      <c r="D27" s="169">
        <f t="shared" ref="D27:U27" si="33">D21-D22-D23-D24-D25-D26</f>
        <v>-12225000</v>
      </c>
      <c r="E27" s="169">
        <f t="shared" si="33"/>
        <v>-19310000</v>
      </c>
      <c r="F27" s="169">
        <f t="shared" si="33"/>
        <v>-2252000</v>
      </c>
      <c r="G27" s="169">
        <f t="shared" si="33"/>
        <v>5762000</v>
      </c>
      <c r="H27" s="169">
        <f t="shared" si="33"/>
        <v>2795000</v>
      </c>
      <c r="I27" s="169">
        <f t="shared" si="33"/>
        <v>-1580000</v>
      </c>
      <c r="J27" s="169">
        <f t="shared" si="33"/>
        <v>9253000</v>
      </c>
      <c r="K27" s="215">
        <f t="shared" si="33"/>
        <v>16144000</v>
      </c>
      <c r="L27" s="169">
        <f t="shared" si="33"/>
        <v>12254462.609751839</v>
      </c>
      <c r="M27" s="169">
        <f t="shared" si="33"/>
        <v>6135843.7784572616</v>
      </c>
      <c r="N27" s="169">
        <f t="shared" si="33"/>
        <v>19841372.952283196</v>
      </c>
      <c r="O27" s="169">
        <f t="shared" si="33"/>
        <v>22133198.235333573</v>
      </c>
      <c r="P27" s="169">
        <f t="shared" si="33"/>
        <v>20772673.12666361</v>
      </c>
      <c r="Q27" s="169">
        <f t="shared" si="33"/>
        <v>11853974.336756676</v>
      </c>
      <c r="R27" s="169">
        <f t="shared" si="33"/>
        <v>29284987.106526479</v>
      </c>
      <c r="S27" s="169">
        <f t="shared" si="33"/>
        <v>31251666.921413533</v>
      </c>
      <c r="T27" s="169">
        <f t="shared" si="33"/>
        <v>30112097.548791785</v>
      </c>
      <c r="U27" s="169">
        <f t="shared" si="33"/>
        <v>18552825.565563746</v>
      </c>
      <c r="V27" s="169">
        <f t="shared" ref="V27" si="34">V21-V22-V23-V24-V25-V26</f>
        <v>40752474.382858381</v>
      </c>
      <c r="W27" s="169">
        <f t="shared" ref="W27" si="35">W21-W22-W23-W24-W25-W26</f>
        <v>42100517.168763898</v>
      </c>
    </row>
    <row r="28" spans="2:23" x14ac:dyDescent="0.25">
      <c r="B28" s="14" t="s">
        <v>31</v>
      </c>
      <c r="C28" s="209">
        <v>34000</v>
      </c>
      <c r="D28" s="209">
        <v>-115000</v>
      </c>
      <c r="E28" s="209">
        <v>-215000</v>
      </c>
      <c r="F28" s="209">
        <v>25000</v>
      </c>
      <c r="G28" s="209">
        <v>-699000</v>
      </c>
      <c r="H28" s="209">
        <v>-3956000</v>
      </c>
      <c r="I28" s="209">
        <v>-4222000</v>
      </c>
      <c r="J28" s="209">
        <v>-4914000</v>
      </c>
      <c r="K28" s="210">
        <v>-3824000</v>
      </c>
      <c r="L28" s="68">
        <f>AVERAGE(H28:K28)</f>
        <v>-4229000</v>
      </c>
      <c r="M28" s="68">
        <f t="shared" ref="M28:U28" si="36">AVERAGE(I28:L28)</f>
        <v>-4297250</v>
      </c>
      <c r="N28" s="68">
        <f t="shared" si="36"/>
        <v>-4316062.5</v>
      </c>
      <c r="O28" s="68">
        <f t="shared" si="36"/>
        <v>-4166578.125</v>
      </c>
      <c r="P28" s="68">
        <f t="shared" si="36"/>
        <v>-4252222.65625</v>
      </c>
      <c r="Q28" s="68">
        <f t="shared" si="36"/>
        <v>-4258028.3203125</v>
      </c>
      <c r="R28" s="68">
        <f t="shared" si="36"/>
        <v>-4248222.900390625</v>
      </c>
      <c r="S28" s="68">
        <f t="shared" si="36"/>
        <v>-4231263.0004882813</v>
      </c>
      <c r="T28" s="68">
        <f t="shared" si="36"/>
        <v>-4247434.2193603516</v>
      </c>
      <c r="U28" s="68">
        <f t="shared" si="36"/>
        <v>-4246237.1101379395</v>
      </c>
      <c r="V28" s="68">
        <f t="shared" ref="V28:V29" si="37">AVERAGE(R28:U28)</f>
        <v>-4243289.3075942993</v>
      </c>
      <c r="W28" s="68">
        <f t="shared" ref="W28:W29" si="38">AVERAGE(S28:V28)</f>
        <v>-4242055.9093952179</v>
      </c>
    </row>
    <row r="29" spans="2:23" x14ac:dyDescent="0.25">
      <c r="B29" s="14" t="s">
        <v>32</v>
      </c>
      <c r="C29" s="213">
        <v>198000</v>
      </c>
      <c r="D29" s="213">
        <v>188000</v>
      </c>
      <c r="E29" s="213">
        <v>275000</v>
      </c>
      <c r="F29" s="213">
        <v>174000</v>
      </c>
      <c r="G29" s="213">
        <v>118000</v>
      </c>
      <c r="H29" s="213">
        <v>120000</v>
      </c>
      <c r="I29" s="213">
        <v>59000</v>
      </c>
      <c r="J29" s="213">
        <v>78000</v>
      </c>
      <c r="K29" s="214">
        <v>60000</v>
      </c>
      <c r="L29" s="171">
        <f>AVERAGE(H29:K29)</f>
        <v>79250</v>
      </c>
      <c r="M29" s="171">
        <f t="shared" ref="M29:U29" si="39">AVERAGE(I29:L29)</f>
        <v>69062.5</v>
      </c>
      <c r="N29" s="171">
        <f t="shared" si="39"/>
        <v>71578.125</v>
      </c>
      <c r="O29" s="171">
        <f t="shared" si="39"/>
        <v>69972.65625</v>
      </c>
      <c r="P29" s="171">
        <f t="shared" si="39"/>
        <v>72465.8203125</v>
      </c>
      <c r="Q29" s="171">
        <f t="shared" si="39"/>
        <v>70769.775390625</v>
      </c>
      <c r="R29" s="171">
        <f t="shared" si="39"/>
        <v>71196.59423828125</v>
      </c>
      <c r="S29" s="171">
        <f t="shared" si="39"/>
        <v>71101.211547851563</v>
      </c>
      <c r="T29" s="171">
        <f t="shared" si="39"/>
        <v>71383.350372314453</v>
      </c>
      <c r="U29" s="171">
        <f t="shared" si="39"/>
        <v>71112.732887268066</v>
      </c>
      <c r="V29" s="171">
        <f t="shared" si="37"/>
        <v>71198.472261428833</v>
      </c>
      <c r="W29" s="171">
        <f t="shared" si="38"/>
        <v>71198.941767215729</v>
      </c>
    </row>
    <row r="30" spans="2:23" x14ac:dyDescent="0.25">
      <c r="B30" s="8" t="s">
        <v>54</v>
      </c>
      <c r="C30" s="169">
        <f>C27-C28-C29</f>
        <v>-8570000</v>
      </c>
      <c r="D30" s="169">
        <f t="shared" ref="D30:U30" si="40">D27-D28-D29</f>
        <v>-12298000</v>
      </c>
      <c r="E30" s="169">
        <f t="shared" si="40"/>
        <v>-19370000</v>
      </c>
      <c r="F30" s="169">
        <f t="shared" si="40"/>
        <v>-2451000</v>
      </c>
      <c r="G30" s="169">
        <f t="shared" si="40"/>
        <v>6343000</v>
      </c>
      <c r="H30" s="169">
        <f t="shared" si="40"/>
        <v>6631000</v>
      </c>
      <c r="I30" s="169">
        <f t="shared" si="40"/>
        <v>2583000</v>
      </c>
      <c r="J30" s="169">
        <f t="shared" si="40"/>
        <v>14089000</v>
      </c>
      <c r="K30" s="215">
        <f t="shared" si="40"/>
        <v>19908000</v>
      </c>
      <c r="L30" s="169">
        <f t="shared" si="40"/>
        <v>16404212.609751839</v>
      </c>
      <c r="M30" s="169">
        <f t="shared" si="40"/>
        <v>10364031.278457262</v>
      </c>
      <c r="N30" s="169">
        <f t="shared" si="40"/>
        <v>24085857.327283196</v>
      </c>
      <c r="O30" s="169">
        <f t="shared" si="40"/>
        <v>26229803.704083573</v>
      </c>
      <c r="P30" s="169">
        <f t="shared" si="40"/>
        <v>24952429.96260111</v>
      </c>
      <c r="Q30" s="169">
        <f t="shared" si="40"/>
        <v>16041232.881678551</v>
      </c>
      <c r="R30" s="169">
        <f t="shared" si="40"/>
        <v>33462013.412678823</v>
      </c>
      <c r="S30" s="169">
        <f t="shared" si="40"/>
        <v>35411828.710353963</v>
      </c>
      <c r="T30" s="169">
        <f t="shared" si="40"/>
        <v>34288148.417779818</v>
      </c>
      <c r="U30" s="169">
        <f t="shared" si="40"/>
        <v>22727949.942814417</v>
      </c>
      <c r="V30" s="169">
        <f t="shared" ref="V30" si="41">V27-V28-V29</f>
        <v>44924565.218191251</v>
      </c>
      <c r="W30" s="169">
        <f t="shared" ref="W30" si="42">W27-W28-W29</f>
        <v>46271374.1363919</v>
      </c>
    </row>
    <row r="31" spans="2:23" x14ac:dyDescent="0.25">
      <c r="B31" s="14" t="s">
        <v>33</v>
      </c>
      <c r="C31" s="213">
        <v>56000</v>
      </c>
      <c r="D31" s="213">
        <v>-29000</v>
      </c>
      <c r="E31" s="213">
        <v>26000</v>
      </c>
      <c r="F31" s="213">
        <v>38000</v>
      </c>
      <c r="G31" s="213">
        <v>40000</v>
      </c>
      <c r="H31" s="213">
        <v>38000</v>
      </c>
      <c r="I31" s="213">
        <v>652000</v>
      </c>
      <c r="J31" s="213">
        <v>252000</v>
      </c>
      <c r="K31" s="214">
        <v>287000</v>
      </c>
      <c r="L31" s="171">
        <v>516584.8330833842</v>
      </c>
      <c r="M31" s="171">
        <v>466384.70584887866</v>
      </c>
      <c r="N31" s="171">
        <v>2025085.7480440687</v>
      </c>
      <c r="O31" s="171">
        <v>2489158.4139832826</v>
      </c>
      <c r="P31" s="171">
        <v>2647824.2131517138</v>
      </c>
      <c r="Q31" s="171">
        <v>1928998.624634492</v>
      </c>
      <c r="R31" s="171">
        <v>5731066.2294711675</v>
      </c>
      <c r="S31" s="171">
        <v>6199918.9722326901</v>
      </c>
      <c r="T31" s="171">
        <v>6295862.2103022998</v>
      </c>
      <c r="U31" s="171">
        <v>4570477.1121239569</v>
      </c>
      <c r="V31" s="171">
        <v>4570478.1121239597</v>
      </c>
      <c r="W31" s="171">
        <v>4570479.1121239597</v>
      </c>
    </row>
    <row r="32" spans="2:23" x14ac:dyDescent="0.25">
      <c r="B32" s="8" t="s">
        <v>34</v>
      </c>
      <c r="C32" s="169">
        <f>C30-C31</f>
        <v>-8626000</v>
      </c>
      <c r="D32" s="169">
        <f t="shared" ref="D32:U32" si="43">D30-D31</f>
        <v>-12269000</v>
      </c>
      <c r="E32" s="169">
        <f t="shared" si="43"/>
        <v>-19396000</v>
      </c>
      <c r="F32" s="169">
        <f t="shared" si="43"/>
        <v>-2489000</v>
      </c>
      <c r="G32" s="169">
        <f t="shared" si="43"/>
        <v>6303000</v>
      </c>
      <c r="H32" s="169">
        <f t="shared" si="43"/>
        <v>6593000</v>
      </c>
      <c r="I32" s="169">
        <f t="shared" si="43"/>
        <v>1931000</v>
      </c>
      <c r="J32" s="169">
        <f t="shared" si="43"/>
        <v>13837000</v>
      </c>
      <c r="K32" s="219">
        <f t="shared" si="43"/>
        <v>19621000</v>
      </c>
      <c r="L32" s="169">
        <f t="shared" si="43"/>
        <v>15887627.776668455</v>
      </c>
      <c r="M32" s="169">
        <f t="shared" si="43"/>
        <v>9897646.5726083834</v>
      </c>
      <c r="N32" s="169">
        <f t="shared" si="43"/>
        <v>22060771.579239126</v>
      </c>
      <c r="O32" s="169">
        <f t="shared" si="43"/>
        <v>23740645.290100291</v>
      </c>
      <c r="P32" s="169">
        <f t="shared" si="43"/>
        <v>22304605.749449395</v>
      </c>
      <c r="Q32" s="169">
        <f t="shared" si="43"/>
        <v>14112234.25704406</v>
      </c>
      <c r="R32" s="169">
        <f t="shared" si="43"/>
        <v>27730947.183207653</v>
      </c>
      <c r="S32" s="169">
        <f t="shared" si="43"/>
        <v>29211909.738121271</v>
      </c>
      <c r="T32" s="169">
        <f t="shared" si="43"/>
        <v>27992286.207477517</v>
      </c>
      <c r="U32" s="169">
        <f t="shared" si="43"/>
        <v>18157472.830690458</v>
      </c>
      <c r="V32" s="169">
        <f t="shared" ref="V32" si="44">V30-V31</f>
        <v>40354087.106067292</v>
      </c>
      <c r="W32" s="169">
        <f t="shared" ref="W32" si="45">W30-W31</f>
        <v>41700895.024267942</v>
      </c>
    </row>
    <row r="33" spans="2:23" x14ac:dyDescent="0.25">
      <c r="B33" s="8" t="s">
        <v>56</v>
      </c>
      <c r="C33" s="220">
        <f>C32/C34</f>
        <v>-6.5249621785173977</v>
      </c>
      <c r="D33" s="220">
        <f t="shared" ref="D33:K33" si="46">D32/D34</f>
        <v>-9.2456669178598343</v>
      </c>
      <c r="E33" s="220">
        <f t="shared" si="46"/>
        <v>-14.605421686746988</v>
      </c>
      <c r="F33" s="220">
        <f t="shared" si="46"/>
        <v>-1.5112325440194292</v>
      </c>
      <c r="G33" s="220">
        <f t="shared" si="46"/>
        <v>0.22220263695974055</v>
      </c>
      <c r="H33" s="220">
        <f t="shared" si="46"/>
        <v>5.8045147203831526E-2</v>
      </c>
      <c r="I33" s="220">
        <f t="shared" si="46"/>
        <v>1.6991957198922932E-2</v>
      </c>
      <c r="J33" s="220">
        <f t="shared" si="46"/>
        <v>0.12140701224862246</v>
      </c>
      <c r="K33" s="221">
        <f t="shared" si="46"/>
        <v>0.1719179882590029</v>
      </c>
      <c r="L33" s="222">
        <f t="shared" ref="L33" si="47">L32/L34</f>
        <v>0.13920641178190182</v>
      </c>
      <c r="M33" s="222">
        <f t="shared" ref="M33" si="48">M32/M34</f>
        <v>8.6722567007871579E-2</v>
      </c>
      <c r="N33" s="222">
        <f t="shared" ref="N33" si="49">N32/N34</f>
        <v>0.19329511591377488</v>
      </c>
      <c r="O33" s="222">
        <f t="shared" ref="O33" si="50">O32/O34</f>
        <v>0.20801406545255666</v>
      </c>
      <c r="P33" s="222">
        <f t="shared" ref="P33" si="51">P32/P34</f>
        <v>0.19543157582975024</v>
      </c>
      <c r="Q33" s="222">
        <f t="shared" ref="Q33" si="52">Q32/Q34</f>
        <v>0.12365052358752353</v>
      </c>
      <c r="R33" s="222">
        <f t="shared" ref="R33" si="53">R32/R34</f>
        <v>0.2429768438027482</v>
      </c>
      <c r="S33" s="222">
        <f t="shared" ref="S33" si="54">S32/S34</f>
        <v>0.25595294609761915</v>
      </c>
      <c r="T33" s="222">
        <f t="shared" ref="T33" si="55">T32/T34</f>
        <v>0.24526668016715603</v>
      </c>
      <c r="U33" s="222">
        <f t="shared" ref="U33" si="56">U32/U34</f>
        <v>0.15909465373425444</v>
      </c>
      <c r="V33" s="222">
        <f t="shared" ref="V33" si="57">V32/V34</f>
        <v>0.35358001494845609</v>
      </c>
      <c r="W33" s="222">
        <f t="shared" ref="W33" si="58">W32/W34</f>
        <v>0.36538066261515767</v>
      </c>
    </row>
    <row r="34" spans="2:23" x14ac:dyDescent="0.25">
      <c r="B34" s="6" t="s">
        <v>57</v>
      </c>
      <c r="C34" s="216">
        <v>1322000</v>
      </c>
      <c r="D34" s="216">
        <v>1327000</v>
      </c>
      <c r="E34" s="216">
        <v>1328000</v>
      </c>
      <c r="F34" s="216">
        <v>1647000</v>
      </c>
      <c r="G34" s="216">
        <v>28366000</v>
      </c>
      <c r="H34" s="216">
        <v>113584000</v>
      </c>
      <c r="I34" s="216">
        <v>113642000</v>
      </c>
      <c r="J34" s="217">
        <v>113972000</v>
      </c>
      <c r="K34" s="218">
        <v>114130000</v>
      </c>
      <c r="L34" s="196">
        <f>$C$10</f>
        <v>114130000</v>
      </c>
      <c r="M34" s="196">
        <f t="shared" ref="M34:W34" si="59">$C$10</f>
        <v>114130000</v>
      </c>
      <c r="N34" s="196">
        <f t="shared" si="59"/>
        <v>114130000</v>
      </c>
      <c r="O34" s="196">
        <f t="shared" si="59"/>
        <v>114130000</v>
      </c>
      <c r="P34" s="196">
        <f t="shared" si="59"/>
        <v>114130000</v>
      </c>
      <c r="Q34" s="196">
        <f t="shared" si="59"/>
        <v>114130000</v>
      </c>
      <c r="R34" s="196">
        <f t="shared" si="59"/>
        <v>114130000</v>
      </c>
      <c r="S34" s="196">
        <f t="shared" si="59"/>
        <v>114130000</v>
      </c>
      <c r="T34" s="196">
        <f t="shared" si="59"/>
        <v>114130000</v>
      </c>
      <c r="U34" s="196">
        <f t="shared" si="59"/>
        <v>114130000</v>
      </c>
      <c r="V34" s="196">
        <f t="shared" si="59"/>
        <v>114130000</v>
      </c>
      <c r="W34" s="196">
        <f t="shared" si="59"/>
        <v>114130000</v>
      </c>
    </row>
    <row r="35" spans="2:23" x14ac:dyDescent="0.25">
      <c r="B35" s="6"/>
      <c r="K35" s="71"/>
    </row>
    <row r="36" spans="2:23" x14ac:dyDescent="0.25">
      <c r="B36" s="111" t="s">
        <v>116</v>
      </c>
      <c r="C36" s="73"/>
      <c r="D36" s="73"/>
      <c r="E36" s="73"/>
      <c r="F36" s="73"/>
      <c r="G36" s="73"/>
      <c r="H36" s="73"/>
      <c r="I36" s="73"/>
      <c r="J36" s="73"/>
      <c r="K36" s="139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2:23" x14ac:dyDescent="0.25">
      <c r="B37" s="126" t="s">
        <v>117</v>
      </c>
      <c r="C37" s="56"/>
      <c r="D37" s="127"/>
      <c r="E37" s="127"/>
      <c r="F37" s="127"/>
      <c r="G37" s="127">
        <f>(G16/C16)-1</f>
        <v>0.27207445830114407</v>
      </c>
      <c r="H37" s="127">
        <f t="shared" ref="H37:U37" si="60">(H16/D16)-1</f>
        <v>0.26063134613451289</v>
      </c>
      <c r="I37" s="127">
        <f t="shared" si="60"/>
        <v>0.36352791780505633</v>
      </c>
      <c r="J37" s="127">
        <f t="shared" si="60"/>
        <v>0.2753701688472201</v>
      </c>
      <c r="K37" s="118">
        <f t="shared" si="60"/>
        <v>0.35050956077133977</v>
      </c>
      <c r="L37" s="127">
        <f t="shared" si="60"/>
        <v>0.40555555555555545</v>
      </c>
      <c r="M37" s="127">
        <f t="shared" si="60"/>
        <v>0.40469827586206897</v>
      </c>
      <c r="N37" s="127">
        <f t="shared" si="60"/>
        <v>0.36362459546925585</v>
      </c>
      <c r="O37" s="127">
        <f t="shared" si="60"/>
        <v>0.34411764705882364</v>
      </c>
      <c r="P37" s="127">
        <f t="shared" si="60"/>
        <v>0.30428885630498526</v>
      </c>
      <c r="Q37" s="127">
        <f t="shared" si="60"/>
        <v>0.28243661971830991</v>
      </c>
      <c r="R37" s="127">
        <f t="shared" si="60"/>
        <v>0.26230978260869553</v>
      </c>
      <c r="S37" s="127">
        <f t="shared" si="60"/>
        <v>0.24656578947368435</v>
      </c>
      <c r="T37" s="127">
        <f t="shared" si="60"/>
        <v>0.23182225063938611</v>
      </c>
      <c r="U37" s="127">
        <f t="shared" si="60"/>
        <v>0.21766169154228843</v>
      </c>
      <c r="V37" s="127">
        <f t="shared" ref="V37" si="61">(V16/R16)-1</f>
        <v>0.20695995145631074</v>
      </c>
      <c r="W37" s="127">
        <f t="shared" ref="W37" si="62">(W16/S16)-1</f>
        <v>0.1939395734597158</v>
      </c>
    </row>
    <row r="38" spans="2:23" x14ac:dyDescent="0.25">
      <c r="B38" s="126" t="s">
        <v>118</v>
      </c>
      <c r="C38" s="56"/>
      <c r="D38" s="56"/>
      <c r="E38" s="56"/>
      <c r="F38" s="56"/>
      <c r="G38" s="127">
        <f>(G21/C21)-1</f>
        <v>0.77430189416129669</v>
      </c>
      <c r="H38" s="127">
        <f t="shared" ref="H38:U38" si="63">(H21/D21)-1</f>
        <v>0.68460315056043619</v>
      </c>
      <c r="I38" s="127">
        <f t="shared" si="63"/>
        <v>0.67305997397909945</v>
      </c>
      <c r="J38" s="127">
        <f t="shared" si="63"/>
        <v>0.29273791630408996</v>
      </c>
      <c r="K38" s="115">
        <f t="shared" si="63"/>
        <v>0.37263102286984662</v>
      </c>
      <c r="L38" s="127">
        <f t="shared" si="63"/>
        <v>0.46102108356248861</v>
      </c>
      <c r="M38" s="127">
        <f t="shared" si="63"/>
        <v>0.4671281357693744</v>
      </c>
      <c r="N38" s="127">
        <f t="shared" si="63"/>
        <v>0.41765680670661287</v>
      </c>
      <c r="O38" s="127">
        <f t="shared" si="63"/>
        <v>0.39444554154246703</v>
      </c>
      <c r="P38" s="127">
        <f t="shared" si="63"/>
        <v>0.35380427459868802</v>
      </c>
      <c r="Q38" s="127">
        <f t="shared" si="63"/>
        <v>0.33700740774769189</v>
      </c>
      <c r="R38" s="127">
        <f t="shared" si="63"/>
        <v>0.31042113685059114</v>
      </c>
      <c r="S38" s="127">
        <f t="shared" si="63"/>
        <v>0.29155645397116925</v>
      </c>
      <c r="T38" s="127">
        <f t="shared" si="63"/>
        <v>0.27687617397847464</v>
      </c>
      <c r="U38" s="127">
        <f t="shared" si="63"/>
        <v>0.26736131001530117</v>
      </c>
      <c r="V38" s="127">
        <f t="shared" ref="V38" si="64">(V21/R21)-1</f>
        <v>0.25127278810656084</v>
      </c>
      <c r="W38" s="127">
        <f t="shared" ref="W38" si="65">(W21/S21)-1</f>
        <v>0.23552980717705374</v>
      </c>
    </row>
    <row r="39" spans="2:23" x14ac:dyDescent="0.25">
      <c r="B39" s="126" t="s">
        <v>119</v>
      </c>
      <c r="C39" s="56"/>
      <c r="D39" s="56"/>
      <c r="E39" s="56"/>
      <c r="F39" s="56"/>
      <c r="G39" s="127">
        <f>(G27/C27)-1</f>
        <v>-1.6910530103142241</v>
      </c>
      <c r="H39" s="127">
        <f t="shared" ref="H39:U39" si="66">(H27/D27)-1</f>
        <v>-1.2286298568507157</v>
      </c>
      <c r="I39" s="127">
        <f t="shared" si="66"/>
        <v>-0.91817711030554117</v>
      </c>
      <c r="J39" s="127">
        <f t="shared" si="66"/>
        <v>-5.1087921847246891</v>
      </c>
      <c r="K39" s="115">
        <f t="shared" si="66"/>
        <v>1.8018049288441516</v>
      </c>
      <c r="L39" s="127">
        <f t="shared" si="66"/>
        <v>3.3844231161902822</v>
      </c>
      <c r="M39" s="127">
        <f>(M27/I27)-1</f>
        <v>-4.8834454294033307</v>
      </c>
      <c r="N39" s="127">
        <f t="shared" si="66"/>
        <v>1.1443178377048735</v>
      </c>
      <c r="O39" s="127">
        <f t="shared" si="66"/>
        <v>0.3709860155682343</v>
      </c>
      <c r="P39" s="127">
        <f t="shared" si="66"/>
        <v>0.69511089863158593</v>
      </c>
      <c r="Q39" s="127">
        <f t="shared" si="66"/>
        <v>0.93192244860854778</v>
      </c>
      <c r="R39" s="127">
        <f t="shared" si="66"/>
        <v>0.47595567992972909</v>
      </c>
      <c r="S39" s="127">
        <f t="shared" si="66"/>
        <v>0.41198152156443357</v>
      </c>
      <c r="T39" s="127">
        <f t="shared" si="66"/>
        <v>0.4496014723372399</v>
      </c>
      <c r="U39" s="127">
        <f t="shared" si="66"/>
        <v>0.56511436911377011</v>
      </c>
      <c r="V39" s="127">
        <f t="shared" ref="V39" si="67">(V27/R27)-1</f>
        <v>0.39158245945671766</v>
      </c>
      <c r="W39" s="127">
        <f t="shared" ref="W39" si="68">(W27/S27)-1</f>
        <v>0.34714469070181897</v>
      </c>
    </row>
    <row r="40" spans="2:23" x14ac:dyDescent="0.25">
      <c r="B40" s="126" t="s">
        <v>120</v>
      </c>
      <c r="C40" s="56"/>
      <c r="D40" s="56"/>
      <c r="E40" s="56"/>
      <c r="F40" s="56"/>
      <c r="G40" s="127">
        <f>(G32/C32)-1</f>
        <v>-1.7306978900996985</v>
      </c>
      <c r="H40" s="127">
        <f t="shared" ref="H40:U40" si="69">(H32/D32)-1</f>
        <v>-1.5373706088515773</v>
      </c>
      <c r="I40" s="127">
        <f t="shared" si="69"/>
        <v>-1.0995566096102289</v>
      </c>
      <c r="J40" s="127">
        <f t="shared" si="69"/>
        <v>-6.5592607472880671</v>
      </c>
      <c r="K40" s="115">
        <f t="shared" si="69"/>
        <v>2.1129620815484689</v>
      </c>
      <c r="L40" s="127">
        <f t="shared" si="69"/>
        <v>1.4097721487438881</v>
      </c>
      <c r="M40" s="127">
        <f t="shared" si="69"/>
        <v>4.1256585047169256</v>
      </c>
      <c r="N40" s="127">
        <f t="shared" si="69"/>
        <v>0.59433197797493142</v>
      </c>
      <c r="O40" s="127">
        <f>(O32/K32)-1</f>
        <v>0.20996102594670463</v>
      </c>
      <c r="P40" s="127">
        <f t="shared" si="69"/>
        <v>0.40389780418977961</v>
      </c>
      <c r="Q40" s="127">
        <f t="shared" si="69"/>
        <v>0.42581715294820666</v>
      </c>
      <c r="R40" s="127">
        <f t="shared" si="69"/>
        <v>0.25702526240308821</v>
      </c>
      <c r="S40" s="127">
        <f t="shared" si="69"/>
        <v>0.23045980347899242</v>
      </c>
      <c r="T40" s="127">
        <f t="shared" si="69"/>
        <v>0.25500026864041425</v>
      </c>
      <c r="U40" s="127">
        <f t="shared" si="69"/>
        <v>0.28664763495030821</v>
      </c>
      <c r="V40" s="127">
        <f t="shared" ref="V40" si="70">(V32/R32)-1</f>
        <v>0.45520046031833794</v>
      </c>
      <c r="W40" s="127">
        <f t="shared" ref="W40" si="71">(W32/S32)-1</f>
        <v>0.42753059961186524</v>
      </c>
    </row>
    <row r="41" spans="2:23" x14ac:dyDescent="0.25">
      <c r="B41" s="6"/>
      <c r="C41" s="46"/>
      <c r="D41" s="46"/>
      <c r="E41" s="46"/>
      <c r="F41" s="46"/>
      <c r="G41" s="46"/>
      <c r="H41" s="46"/>
      <c r="I41" s="46"/>
      <c r="J41" s="56"/>
      <c r="K41" s="47"/>
    </row>
    <row r="42" spans="2:23" x14ac:dyDescent="0.25">
      <c r="B42" s="111" t="s">
        <v>113</v>
      </c>
      <c r="C42" s="113"/>
      <c r="D42" s="113"/>
      <c r="E42" s="113"/>
      <c r="F42" s="113"/>
      <c r="G42" s="113"/>
      <c r="H42" s="113"/>
      <c r="I42" s="113"/>
      <c r="J42" s="113"/>
      <c r="K42" s="114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2:23" x14ac:dyDescent="0.25">
      <c r="B43" s="110" t="s">
        <v>55</v>
      </c>
      <c r="C43" s="109">
        <f>C21/C$16</f>
        <v>0.18838980245006071</v>
      </c>
      <c r="D43" s="109">
        <f t="shared" ref="D43:K43" si="72">D21/D$16</f>
        <v>0.18963362966580016</v>
      </c>
      <c r="E43" s="109">
        <f t="shared" si="72"/>
        <v>0.18337630353638357</v>
      </c>
      <c r="F43" s="109">
        <f t="shared" si="72"/>
        <v>0.24898194334336207</v>
      </c>
      <c r="G43" s="109">
        <f t="shared" si="72"/>
        <v>0.26276793873702964</v>
      </c>
      <c r="H43" s="109">
        <f t="shared" si="72"/>
        <v>0.25341065091453863</v>
      </c>
      <c r="I43" s="109">
        <f t="shared" si="72"/>
        <v>0.22500423322232885</v>
      </c>
      <c r="J43" s="109">
        <f t="shared" si="72"/>
        <v>0.25237253191045766</v>
      </c>
      <c r="K43" s="118">
        <f t="shared" si="72"/>
        <v>0.26707210004496884</v>
      </c>
      <c r="L43" s="109">
        <f>L21/L$16</f>
        <v>0.26341065091453864</v>
      </c>
      <c r="M43" s="109">
        <f t="shared" ref="M43:U43" si="73">M21/M$16</f>
        <v>0.23500423322232883</v>
      </c>
      <c r="N43" s="109">
        <f t="shared" si="73"/>
        <v>0.26237253191045762</v>
      </c>
      <c r="O43" s="109">
        <f t="shared" si="73"/>
        <v>0.27707210004496885</v>
      </c>
      <c r="P43" s="109">
        <f t="shared" si="73"/>
        <v>0.27341065091453864</v>
      </c>
      <c r="Q43" s="109">
        <f t="shared" si="73"/>
        <v>0.24500423322232887</v>
      </c>
      <c r="R43" s="109">
        <f t="shared" si="73"/>
        <v>0.27237253191045768</v>
      </c>
      <c r="S43" s="109">
        <f t="shared" si="73"/>
        <v>0.2870721000449688</v>
      </c>
      <c r="T43" s="109">
        <f t="shared" si="73"/>
        <v>0.28341065091453865</v>
      </c>
      <c r="U43" s="109">
        <f t="shared" si="73"/>
        <v>0.25500423322232874</v>
      </c>
      <c r="V43" s="109">
        <f t="shared" ref="V43:W43" si="74">V21/V$16</f>
        <v>0.28237253191045775</v>
      </c>
      <c r="W43" s="109">
        <f t="shared" si="74"/>
        <v>0.29707210004496887</v>
      </c>
    </row>
    <row r="44" spans="2:23" x14ac:dyDescent="0.25">
      <c r="B44" s="110" t="s">
        <v>53</v>
      </c>
      <c r="C44" s="109">
        <f>C27/C$16</f>
        <v>-6.1347165507854171E-2</v>
      </c>
      <c r="D44" s="109">
        <f t="shared" ref="D44:K44" si="75">D27/D$16</f>
        <v>-8.7786698071205968E-2</v>
      </c>
      <c r="E44" s="109">
        <f t="shared" si="75"/>
        <v>-0.14861276792242276</v>
      </c>
      <c r="F44" s="109">
        <f t="shared" si="75"/>
        <v>-1.1089062107611174E-2</v>
      </c>
      <c r="G44" s="109">
        <f t="shared" si="75"/>
        <v>3.3326778257198049E-2</v>
      </c>
      <c r="H44" s="109">
        <f t="shared" si="75"/>
        <v>1.5921117839057152E-2</v>
      </c>
      <c r="I44" s="109">
        <f t="shared" si="75"/>
        <v>-8.9179883727493366E-3</v>
      </c>
      <c r="J44" s="109">
        <f t="shared" si="75"/>
        <v>3.572504111873856E-2</v>
      </c>
      <c r="K44" s="115">
        <f t="shared" si="75"/>
        <v>6.9140666823700722E-2</v>
      </c>
      <c r="L44" s="109">
        <f>L27/L$16</f>
        <v>4.9663577375681021E-2</v>
      </c>
      <c r="M44" s="109">
        <f t="shared" ref="M44:U44" si="76">M27/M$16</f>
        <v>2.4654775890837723E-2</v>
      </c>
      <c r="N44" s="109">
        <f t="shared" si="76"/>
        <v>5.6178102960433386E-2</v>
      </c>
      <c r="O44" s="109">
        <f t="shared" si="76"/>
        <v>7.0522760808755192E-2</v>
      </c>
      <c r="P44" s="109">
        <f t="shared" si="76"/>
        <v>6.4544959398828664E-2</v>
      </c>
      <c r="Q44" s="109">
        <f t="shared" si="76"/>
        <v>3.7141106450457165E-2</v>
      </c>
      <c r="R44" s="109">
        <f t="shared" si="76"/>
        <v>6.5686245400691873E-2</v>
      </c>
      <c r="S44" s="109">
        <f t="shared" si="76"/>
        <v>7.9880930435058187E-2</v>
      </c>
      <c r="T44" s="109">
        <f t="shared" si="76"/>
        <v>7.5956143938725004E-2</v>
      </c>
      <c r="U44" s="109">
        <f t="shared" si="76"/>
        <v>4.7739105035625423E-2</v>
      </c>
      <c r="V44" s="109">
        <f t="shared" ref="V44:W44" si="77">V27/V$16</f>
        <v>7.5733935344648465E-2</v>
      </c>
      <c r="W44" s="109">
        <f t="shared" si="77"/>
        <v>9.0131170551690259E-2</v>
      </c>
    </row>
    <row r="45" spans="2:23" x14ac:dyDescent="0.25">
      <c r="B45" s="110" t="s">
        <v>114</v>
      </c>
      <c r="C45" s="109">
        <f>C30/C$16</f>
        <v>-6.3054114704042971E-2</v>
      </c>
      <c r="D45" s="109">
        <f t="shared" ref="D45:K45" si="78">D30/D$16</f>
        <v>-8.8310904939034027E-2</v>
      </c>
      <c r="E45" s="109">
        <f t="shared" si="78"/>
        <v>-0.14907453726863432</v>
      </c>
      <c r="F45" s="109">
        <f t="shared" si="78"/>
        <v>-1.2068957027422285E-2</v>
      </c>
      <c r="G45" s="109">
        <f t="shared" si="78"/>
        <v>3.6687218758314342E-2</v>
      </c>
      <c r="H45" s="109">
        <f t="shared" si="78"/>
        <v>3.7772068833913403E-2</v>
      </c>
      <c r="I45" s="109">
        <f t="shared" si="78"/>
        <v>1.4579217700513632E-2</v>
      </c>
      <c r="J45" s="109">
        <f t="shared" si="78"/>
        <v>5.4396423248882268E-2</v>
      </c>
      <c r="K45" s="115">
        <f t="shared" si="78"/>
        <v>8.5260926358166123E-2</v>
      </c>
      <c r="L45" s="109">
        <f>L30/L$16</f>
        <v>6.6481241012006378E-2</v>
      </c>
      <c r="M45" s="109">
        <f t="shared" ref="M45:U45" si="79">M30/M$16</f>
        <v>4.1644291758719192E-2</v>
      </c>
      <c r="N45" s="109">
        <f t="shared" si="79"/>
        <v>6.8195773350791231E-2</v>
      </c>
      <c r="O45" s="109">
        <f t="shared" si="79"/>
        <v>8.3575728776994276E-2</v>
      </c>
      <c r="P45" s="109">
        <f t="shared" si="79"/>
        <v>7.7532321864291653E-2</v>
      </c>
      <c r="Q45" s="109">
        <f t="shared" si="79"/>
        <v>5.0260707601464963E-2</v>
      </c>
      <c r="R45" s="109">
        <f t="shared" si="79"/>
        <v>7.5055318161182216E-2</v>
      </c>
      <c r="S45" s="109">
        <f t="shared" si="79"/>
        <v>9.0514526246014276E-2</v>
      </c>
      <c r="T45" s="109">
        <f t="shared" si="79"/>
        <v>8.6490007293356042E-2</v>
      </c>
      <c r="U45" s="109">
        <f t="shared" si="79"/>
        <v>5.8482304257652586E-2</v>
      </c>
      <c r="V45" s="109">
        <f t="shared" ref="V45:W45" si="80">V30/V$16</f>
        <v>8.3487301547806064E-2</v>
      </c>
      <c r="W45" s="109">
        <f t="shared" si="80"/>
        <v>9.9060377268773037E-2</v>
      </c>
    </row>
    <row r="46" spans="2:23" x14ac:dyDescent="0.25">
      <c r="B46" s="110" t="s">
        <v>115</v>
      </c>
      <c r="C46" s="109">
        <f>C32/C$16</f>
        <v>-6.3466136923812672E-2</v>
      </c>
      <c r="D46" s="109">
        <f t="shared" ref="D46:K46" si="81">D32/D$16</f>
        <v>-8.8102658375102325E-2</v>
      </c>
      <c r="E46" s="109">
        <f t="shared" si="81"/>
        <v>-0.14927463731865934</v>
      </c>
      <c r="F46" s="109">
        <f t="shared" si="81"/>
        <v>-1.2256072640250538E-2</v>
      </c>
      <c r="G46" s="109">
        <f t="shared" si="81"/>
        <v>3.6455863130010292E-2</v>
      </c>
      <c r="H46" s="109">
        <f t="shared" si="81"/>
        <v>3.7555609986727655E-2</v>
      </c>
      <c r="I46" s="109">
        <f t="shared" si="81"/>
        <v>1.0899136422644918E-2</v>
      </c>
      <c r="J46" s="109">
        <f t="shared" si="81"/>
        <v>5.3423472815301576E-2</v>
      </c>
      <c r="K46" s="115">
        <f t="shared" si="81"/>
        <v>8.4031777982397915E-2</v>
      </c>
      <c r="L46" s="109">
        <f>L32/L$16</f>
        <v>6.4387681168058278E-2</v>
      </c>
      <c r="M46" s="109">
        <f t="shared" ref="M46:U46" si="82">M32/M$16</f>
        <v>3.9770285376420217E-2</v>
      </c>
      <c r="N46" s="109">
        <f t="shared" si="82"/>
        <v>6.2462023174786663E-2</v>
      </c>
      <c r="O46" s="109">
        <f t="shared" si="82"/>
        <v>7.5644551295187476E-2</v>
      </c>
      <c r="P46" s="109">
        <f t="shared" si="82"/>
        <v>6.9304988516724425E-2</v>
      </c>
      <c r="Q46" s="109">
        <f t="shared" si="82"/>
        <v>4.4216731022388135E-2</v>
      </c>
      <c r="R46" s="109">
        <f t="shared" si="82"/>
        <v>6.2200532827410816E-2</v>
      </c>
      <c r="S46" s="109">
        <f t="shared" si="82"/>
        <v>7.4667202089856374E-2</v>
      </c>
      <c r="T46" s="109">
        <f t="shared" si="82"/>
        <v>7.060903402375103E-2</v>
      </c>
      <c r="U46" s="109">
        <f t="shared" si="82"/>
        <v>4.6721805235681764E-2</v>
      </c>
      <c r="V46" s="109">
        <f t="shared" ref="V46:W46" si="83">V32/V$16</f>
        <v>7.4993576956120342E-2</v>
      </c>
      <c r="W46" s="109">
        <f t="shared" si="83"/>
        <v>8.9275636841322434E-2</v>
      </c>
    </row>
    <row r="47" spans="2:23" x14ac:dyDescent="0.25">
      <c r="B47" s="110" t="s">
        <v>396</v>
      </c>
      <c r="C47" s="250">
        <f>C27+C23</f>
        <v>608000</v>
      </c>
      <c r="D47" s="250">
        <f t="shared" ref="D47:W47" si="84">D27+D23</f>
        <v>-2207000</v>
      </c>
      <c r="E47" s="250">
        <f t="shared" si="84"/>
        <v>-8369000</v>
      </c>
      <c r="F47" s="250">
        <f t="shared" si="84"/>
        <v>10607000</v>
      </c>
      <c r="G47" s="250">
        <f t="shared" si="84"/>
        <v>16471000</v>
      </c>
      <c r="H47" s="250">
        <f t="shared" si="84"/>
        <v>14323000</v>
      </c>
      <c r="I47" s="250">
        <f t="shared" si="84"/>
        <v>10757000</v>
      </c>
      <c r="J47" s="250">
        <f t="shared" si="84"/>
        <v>26575000</v>
      </c>
      <c r="K47" s="250">
        <f t="shared" si="84"/>
        <v>29877000</v>
      </c>
      <c r="L47" s="250">
        <f t="shared" si="84"/>
        <v>26767025.222251274</v>
      </c>
      <c r="M47" s="250">
        <f t="shared" si="84"/>
        <v>20773146.994410716</v>
      </c>
      <c r="N47" s="250">
        <f t="shared" si="84"/>
        <v>40614050.788898341</v>
      </c>
      <c r="O47" s="250">
        <f t="shared" si="84"/>
        <v>40591965.882392392</v>
      </c>
      <c r="P47" s="250">
        <f t="shared" si="84"/>
        <v>39701246.818574987</v>
      </c>
      <c r="Q47" s="250">
        <f t="shared" si="84"/>
        <v>30625387.994815968</v>
      </c>
      <c r="R47" s="250">
        <f t="shared" si="84"/>
        <v>55506541.550664611</v>
      </c>
      <c r="S47" s="250">
        <f t="shared" si="84"/>
        <v>54261735.186080717</v>
      </c>
      <c r="T47" s="250">
        <f t="shared" si="84"/>
        <v>53428735.795355529</v>
      </c>
      <c r="U47" s="250">
        <f t="shared" si="84"/>
        <v>41410056.873076245</v>
      </c>
      <c r="V47" s="250">
        <f t="shared" si="84"/>
        <v>72400840.461864352</v>
      </c>
      <c r="W47" s="250">
        <f t="shared" si="84"/>
        <v>69573148.257959574</v>
      </c>
    </row>
    <row r="48" spans="2:23" x14ac:dyDescent="0.25">
      <c r="B48" s="6"/>
      <c r="C48" s="46"/>
      <c r="D48" s="46"/>
      <c r="E48" s="46"/>
      <c r="F48" s="46"/>
      <c r="G48" s="46"/>
      <c r="H48" s="46"/>
      <c r="I48" s="46"/>
      <c r="J48" s="56"/>
      <c r="K48" s="47"/>
    </row>
    <row r="49" spans="2:23" x14ac:dyDescent="0.25">
      <c r="B49" s="111" t="s">
        <v>112</v>
      </c>
      <c r="C49" s="113"/>
      <c r="D49" s="113"/>
      <c r="E49" s="113"/>
      <c r="F49" s="113"/>
      <c r="G49" s="113"/>
      <c r="H49" s="113"/>
      <c r="I49" s="113"/>
      <c r="J49" s="113"/>
      <c r="K49" s="114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</row>
    <row r="50" spans="2:23" x14ac:dyDescent="0.25">
      <c r="B50" s="116" t="s">
        <v>19</v>
      </c>
      <c r="C50" s="109">
        <f>C17/C$16</f>
        <v>0.32182614133833648</v>
      </c>
      <c r="D50" s="109">
        <f t="shared" ref="D50:K50" si="85">D17/D$16</f>
        <v>0.3203909290669118</v>
      </c>
      <c r="E50" s="109">
        <f t="shared" si="85"/>
        <v>0.31343363989687151</v>
      </c>
      <c r="F50" s="109">
        <f t="shared" si="85"/>
        <v>0.29110265261001661</v>
      </c>
      <c r="G50" s="109">
        <f t="shared" si="85"/>
        <v>0.29497842608766067</v>
      </c>
      <c r="H50" s="109">
        <f t="shared" si="85"/>
        <v>0.29517011956503164</v>
      </c>
      <c r="I50" s="109">
        <f t="shared" si="85"/>
        <v>0.29080544110176665</v>
      </c>
      <c r="J50" s="109">
        <f t="shared" si="85"/>
        <v>0.28550303853964776</v>
      </c>
      <c r="K50" s="118">
        <f t="shared" si="85"/>
        <v>0.29482001755926251</v>
      </c>
      <c r="L50" s="117">
        <f>H50-0.0025</f>
        <v>0.29267011956503164</v>
      </c>
      <c r="M50" s="117">
        <f t="shared" ref="M50:U50" si="86">I50-0.0025</f>
        <v>0.28830544110176665</v>
      </c>
      <c r="N50" s="117">
        <f t="shared" si="86"/>
        <v>0.28300303853964776</v>
      </c>
      <c r="O50" s="117">
        <f t="shared" si="86"/>
        <v>0.29232001755926251</v>
      </c>
      <c r="P50" s="117">
        <f t="shared" si="86"/>
        <v>0.29017011956503164</v>
      </c>
      <c r="Q50" s="117">
        <f t="shared" si="86"/>
        <v>0.28580544110176664</v>
      </c>
      <c r="R50" s="117">
        <f t="shared" si="86"/>
        <v>0.28050303853964775</v>
      </c>
      <c r="S50" s="117">
        <f t="shared" si="86"/>
        <v>0.28982001755926251</v>
      </c>
      <c r="T50" s="117">
        <f t="shared" si="86"/>
        <v>0.28767011956503163</v>
      </c>
      <c r="U50" s="117">
        <f t="shared" si="86"/>
        <v>0.28330544110176664</v>
      </c>
      <c r="V50" s="117">
        <f t="shared" ref="V50:V53" si="87">R50-0.0025</f>
        <v>0.27800303853964775</v>
      </c>
      <c r="W50" s="117">
        <f t="shared" ref="W50:W53" si="88">S50-0.0025</f>
        <v>0.28732001755926251</v>
      </c>
    </row>
    <row r="51" spans="2:23" x14ac:dyDescent="0.25">
      <c r="B51" s="116" t="s">
        <v>20</v>
      </c>
      <c r="C51" s="109">
        <f>C18/C$16</f>
        <v>0.27760732810948019</v>
      </c>
      <c r="D51" s="109">
        <f t="shared" ref="D51:K53" si="89">D18/D$16</f>
        <v>0.26707980870039782</v>
      </c>
      <c r="E51" s="109">
        <f t="shared" si="89"/>
        <v>0.27663831915957982</v>
      </c>
      <c r="F51" s="109">
        <f t="shared" si="89"/>
        <v>0.25681125451170211</v>
      </c>
      <c r="G51" s="109">
        <f t="shared" si="89"/>
        <v>0.24533529214431965</v>
      </c>
      <c r="H51" s="109">
        <f t="shared" si="89"/>
        <v>0.25014098306494337</v>
      </c>
      <c r="I51" s="109">
        <f t="shared" si="89"/>
        <v>0.27567872664672349</v>
      </c>
      <c r="J51" s="109">
        <f t="shared" si="89"/>
        <v>0.25680100074901741</v>
      </c>
      <c r="K51" s="115">
        <f t="shared" si="89"/>
        <v>0.25006102914409301</v>
      </c>
      <c r="L51" s="117">
        <f>H51-0.0025</f>
        <v>0.24764098306494337</v>
      </c>
      <c r="M51" s="117">
        <f>I51-0.0025</f>
        <v>0.27317872664672349</v>
      </c>
      <c r="N51" s="117">
        <f t="shared" ref="M51:U53" si="90">J51-0.0025</f>
        <v>0.2543010007490174</v>
      </c>
      <c r="O51" s="117">
        <f t="shared" si="90"/>
        <v>0.247561029144093</v>
      </c>
      <c r="P51" s="117">
        <f t="shared" si="90"/>
        <v>0.24514098306494336</v>
      </c>
      <c r="Q51" s="117">
        <f t="shared" si="90"/>
        <v>0.27067872664672349</v>
      </c>
      <c r="R51" s="117">
        <f t="shared" si="90"/>
        <v>0.2518010007490174</v>
      </c>
      <c r="S51" s="117">
        <f t="shared" si="90"/>
        <v>0.245061029144093</v>
      </c>
      <c r="T51" s="117">
        <f t="shared" si="90"/>
        <v>0.24264098306494336</v>
      </c>
      <c r="U51" s="117">
        <f t="shared" si="90"/>
        <v>0.26817872664672349</v>
      </c>
      <c r="V51" s="117">
        <f t="shared" si="87"/>
        <v>0.2493010007490174</v>
      </c>
      <c r="W51" s="117">
        <f t="shared" si="88"/>
        <v>0.242561029144093</v>
      </c>
    </row>
    <row r="52" spans="2:23" x14ac:dyDescent="0.25">
      <c r="B52" s="116" t="s">
        <v>21</v>
      </c>
      <c r="C52" s="109">
        <f>C19/C$16</f>
        <v>8.9864989147629026E-2</v>
      </c>
      <c r="D52" s="109">
        <f t="shared" si="89"/>
        <v>8.8339628603024606E-2</v>
      </c>
      <c r="E52" s="109">
        <f t="shared" si="89"/>
        <v>9.5532381575403086E-2</v>
      </c>
      <c r="F52" s="109">
        <f t="shared" si="89"/>
        <v>8.1735054140425339E-2</v>
      </c>
      <c r="G52" s="109">
        <f t="shared" si="89"/>
        <v>7.7504135481855932E-2</v>
      </c>
      <c r="H52" s="109">
        <f t="shared" si="89"/>
        <v>7.8506206103000228E-2</v>
      </c>
      <c r="I52" s="109">
        <f t="shared" si="89"/>
        <v>8.2056781622170796E-2</v>
      </c>
      <c r="J52" s="109">
        <f t="shared" si="89"/>
        <v>7.8847594264225537E-2</v>
      </c>
      <c r="K52" s="115">
        <f t="shared" si="89"/>
        <v>6.816848326516628E-2</v>
      </c>
      <c r="L52" s="117">
        <f>H52-0.0025</f>
        <v>7.6006206103000226E-2</v>
      </c>
      <c r="M52" s="117">
        <f t="shared" si="90"/>
        <v>7.9556781622170794E-2</v>
      </c>
      <c r="N52" s="117">
        <f t="shared" si="90"/>
        <v>7.6347594264225535E-2</v>
      </c>
      <c r="O52" s="117">
        <f t="shared" si="90"/>
        <v>6.5668483265166278E-2</v>
      </c>
      <c r="P52" s="117">
        <f t="shared" si="90"/>
        <v>7.3506206103000224E-2</v>
      </c>
      <c r="Q52" s="117">
        <f t="shared" si="90"/>
        <v>7.7056781622170792E-2</v>
      </c>
      <c r="R52" s="117">
        <f t="shared" si="90"/>
        <v>7.3847594264225533E-2</v>
      </c>
      <c r="S52" s="117">
        <f t="shared" si="90"/>
        <v>6.3168483265166275E-2</v>
      </c>
      <c r="T52" s="117">
        <f t="shared" si="90"/>
        <v>7.1006206103000222E-2</v>
      </c>
      <c r="U52" s="117">
        <f t="shared" si="90"/>
        <v>7.455678162217079E-2</v>
      </c>
      <c r="V52" s="117">
        <f t="shared" si="87"/>
        <v>7.1347594264225531E-2</v>
      </c>
      <c r="W52" s="117">
        <f t="shared" si="88"/>
        <v>6.0668483265166273E-2</v>
      </c>
    </row>
    <row r="53" spans="2:23" x14ac:dyDescent="0.25">
      <c r="B53" s="116" t="s">
        <v>22</v>
      </c>
      <c r="C53" s="109">
        <f>C20/C$16</f>
        <v>0.12231173895449361</v>
      </c>
      <c r="D53" s="109">
        <f t="shared" si="89"/>
        <v>0.13455600396386563</v>
      </c>
      <c r="E53" s="109">
        <f t="shared" si="89"/>
        <v>0.13101935583176202</v>
      </c>
      <c r="F53" s="109">
        <f t="shared" si="89"/>
        <v>0.12136909539449388</v>
      </c>
      <c r="G53" s="109">
        <f t="shared" si="89"/>
        <v>0.11941420754913415</v>
      </c>
      <c r="H53" s="109">
        <f t="shared" si="89"/>
        <v>0.12277204035248615</v>
      </c>
      <c r="I53" s="109">
        <f t="shared" si="89"/>
        <v>0.12645481740701023</v>
      </c>
      <c r="J53" s="109">
        <f t="shared" si="89"/>
        <v>0.12647583453665165</v>
      </c>
      <c r="K53" s="115">
        <f t="shared" si="89"/>
        <v>0.11987836998650934</v>
      </c>
      <c r="L53" s="117">
        <f>H53-0.0025</f>
        <v>0.12027204035248615</v>
      </c>
      <c r="M53" s="117">
        <f t="shared" si="90"/>
        <v>0.12395481740701023</v>
      </c>
      <c r="N53" s="117">
        <f t="shared" si="90"/>
        <v>0.12397583453665165</v>
      </c>
      <c r="O53" s="117">
        <f t="shared" si="90"/>
        <v>0.11737836998650934</v>
      </c>
      <c r="P53" s="117">
        <f t="shared" si="90"/>
        <v>0.11777204035248615</v>
      </c>
      <c r="Q53" s="117">
        <f t="shared" si="90"/>
        <v>0.12145481740701022</v>
      </c>
      <c r="R53" s="117">
        <f t="shared" si="90"/>
        <v>0.12147583453665164</v>
      </c>
      <c r="S53" s="117">
        <f t="shared" si="90"/>
        <v>0.11487836998650934</v>
      </c>
      <c r="T53" s="117">
        <f t="shared" si="90"/>
        <v>0.11527204035248614</v>
      </c>
      <c r="U53" s="117">
        <f t="shared" si="90"/>
        <v>0.11895481740701022</v>
      </c>
      <c r="V53" s="117">
        <f t="shared" si="87"/>
        <v>0.11897583453665164</v>
      </c>
      <c r="W53" s="117">
        <f t="shared" si="88"/>
        <v>0.11237836998650934</v>
      </c>
    </row>
    <row r="54" spans="2:23" x14ac:dyDescent="0.25">
      <c r="B54" s="116" t="s">
        <v>24</v>
      </c>
      <c r="C54" s="109">
        <f>C22/C$16</f>
        <v>0.11981017547732038</v>
      </c>
      <c r="D54" s="109">
        <f t="shared" ref="D54:K54" si="91">D22/D$16</f>
        <v>0.11882261701302618</v>
      </c>
      <c r="E54" s="109">
        <f t="shared" si="91"/>
        <v>0.12520875822526648</v>
      </c>
      <c r="F54" s="109">
        <f t="shared" si="91"/>
        <v>0.14291693544018949</v>
      </c>
      <c r="G54" s="109">
        <f t="shared" si="91"/>
        <v>0.13488611519196733</v>
      </c>
      <c r="H54" s="109">
        <f t="shared" si="91"/>
        <v>0.1393994975876231</v>
      </c>
      <c r="I54" s="109">
        <f t="shared" si="91"/>
        <v>0.13926737032228934</v>
      </c>
      <c r="J54" s="109">
        <f t="shared" si="91"/>
        <v>0.13065334393797828</v>
      </c>
      <c r="K54" s="115">
        <f t="shared" si="91"/>
        <v>0.12112036660313925</v>
      </c>
      <c r="L54" s="117">
        <f>AVERAGE(H54:K54)</f>
        <v>0.1326101446127575</v>
      </c>
      <c r="M54" s="117">
        <f t="shared" ref="M54:U54" si="92">AVERAGE(I54:L54)</f>
        <v>0.1309128063690411</v>
      </c>
      <c r="N54" s="117">
        <f t="shared" si="92"/>
        <v>0.12882416538072902</v>
      </c>
      <c r="O54" s="117">
        <f t="shared" si="92"/>
        <v>0.12836687074141673</v>
      </c>
      <c r="P54" s="117">
        <f t="shared" si="92"/>
        <v>0.13017849677598609</v>
      </c>
      <c r="Q54" s="117">
        <f t="shared" si="92"/>
        <v>0.12957058481679323</v>
      </c>
      <c r="R54" s="117">
        <f t="shared" si="92"/>
        <v>0.12923502942873127</v>
      </c>
      <c r="S54" s="117">
        <f t="shared" si="92"/>
        <v>0.12933774544073184</v>
      </c>
      <c r="T54" s="117">
        <f t="shared" si="92"/>
        <v>0.12958046411556062</v>
      </c>
      <c r="U54" s="117">
        <f t="shared" si="92"/>
        <v>0.12943095595045423</v>
      </c>
      <c r="V54" s="117">
        <f t="shared" ref="V54" si="93">AVERAGE(R54:U54)</f>
        <v>0.12939604873386951</v>
      </c>
      <c r="W54" s="117">
        <f t="shared" ref="W54" si="94">AVERAGE(S54:V54)</f>
        <v>0.12943630356015406</v>
      </c>
    </row>
    <row r="55" spans="2:23" x14ac:dyDescent="0.25">
      <c r="B55" s="116" t="s">
        <v>25</v>
      </c>
      <c r="C55" s="109">
        <f>C23/C$16</f>
        <v>6.5820549608211015E-2</v>
      </c>
      <c r="D55" s="109">
        <f t="shared" ref="D55:K57" si="95">D23/D$16</f>
        <v>7.1938416464404201E-2</v>
      </c>
      <c r="E55" s="109">
        <f t="shared" si="95"/>
        <v>8.4203640281679301E-2</v>
      </c>
      <c r="F55" s="109">
        <f t="shared" si="95"/>
        <v>6.331893856206576E-2</v>
      </c>
      <c r="G55" s="109">
        <f t="shared" si="95"/>
        <v>6.1939685587701132E-2</v>
      </c>
      <c r="H55" s="109">
        <f t="shared" si="95"/>
        <v>6.5666778693613898E-2</v>
      </c>
      <c r="I55" s="109">
        <f t="shared" si="95"/>
        <v>6.9633685161144668E-2</v>
      </c>
      <c r="J55" s="109">
        <f t="shared" si="95"/>
        <v>6.6878759565415474E-2</v>
      </c>
      <c r="K55" s="115">
        <f t="shared" si="95"/>
        <v>5.8814963917856913E-2</v>
      </c>
      <c r="L55" s="117">
        <f>K55</f>
        <v>5.8814963917856913E-2</v>
      </c>
      <c r="M55" s="117">
        <f t="shared" ref="M55:U55" si="96">L55</f>
        <v>5.8814963917856913E-2</v>
      </c>
      <c r="N55" s="117">
        <f t="shared" si="96"/>
        <v>5.8814963917856913E-2</v>
      </c>
      <c r="O55" s="117">
        <f t="shared" si="96"/>
        <v>5.8814963917856913E-2</v>
      </c>
      <c r="P55" s="117">
        <f t="shared" si="96"/>
        <v>5.8814963917856913E-2</v>
      </c>
      <c r="Q55" s="117">
        <f t="shared" si="96"/>
        <v>5.8814963917856913E-2</v>
      </c>
      <c r="R55" s="117">
        <f t="shared" si="96"/>
        <v>5.8814963917856913E-2</v>
      </c>
      <c r="S55" s="117">
        <f t="shared" si="96"/>
        <v>5.8814963917856913E-2</v>
      </c>
      <c r="T55" s="117">
        <f t="shared" si="96"/>
        <v>5.8814963917856913E-2</v>
      </c>
      <c r="U55" s="117">
        <f t="shared" si="96"/>
        <v>5.8814963917856913E-2</v>
      </c>
      <c r="V55" s="117">
        <f t="shared" ref="V55" si="97">U55</f>
        <v>5.8814963917856913E-2</v>
      </c>
      <c r="W55" s="117">
        <f t="shared" ref="W55" si="98">V55</f>
        <v>5.8814963917856913E-2</v>
      </c>
    </row>
    <row r="56" spans="2:23" x14ac:dyDescent="0.25">
      <c r="B56" s="116" t="s">
        <v>26</v>
      </c>
      <c r="C56" s="109">
        <f>C24/C$16</f>
        <v>1.2139940403928927E-2</v>
      </c>
      <c r="D56" s="109">
        <f t="shared" si="95"/>
        <v>1.4756782375159776E-2</v>
      </c>
      <c r="E56" s="109">
        <f t="shared" si="95"/>
        <v>7.1882094893600647E-3</v>
      </c>
      <c r="F56" s="109">
        <f t="shared" si="95"/>
        <v>1.090687058985735E-2</v>
      </c>
      <c r="G56" s="109">
        <f t="shared" si="95"/>
        <v>1.0717549481185003E-2</v>
      </c>
      <c r="H56" s="109">
        <f t="shared" si="95"/>
        <v>6.2203437138641888E-3</v>
      </c>
      <c r="I56" s="109">
        <f t="shared" si="95"/>
        <v>5.1927527233730317E-3</v>
      </c>
      <c r="J56" s="109">
        <f t="shared" si="95"/>
        <v>1.0887778661498189E-3</v>
      </c>
      <c r="K56" s="115">
        <f t="shared" si="95"/>
        <v>2.9979228677273604E-4</v>
      </c>
      <c r="L56" s="117">
        <f>AVERAGE(H56:K56)</f>
        <v>3.2004166475399437E-3</v>
      </c>
      <c r="M56" s="117">
        <f t="shared" ref="M56:U57" si="99">AVERAGE(I56:L56)</f>
        <v>2.4454348809588829E-3</v>
      </c>
      <c r="N56" s="117">
        <f t="shared" si="99"/>
        <v>1.7586054203553455E-3</v>
      </c>
      <c r="O56" s="117">
        <f t="shared" si="99"/>
        <v>1.9260623089067271E-3</v>
      </c>
      <c r="P56" s="117">
        <f t="shared" si="99"/>
        <v>2.332629814440225E-3</v>
      </c>
      <c r="Q56" s="117">
        <f t="shared" si="99"/>
        <v>2.115683106165295E-3</v>
      </c>
      <c r="R56" s="117">
        <f t="shared" si="99"/>
        <v>2.0332451624668984E-3</v>
      </c>
      <c r="S56" s="117">
        <f t="shared" si="99"/>
        <v>2.1019050979947866E-3</v>
      </c>
      <c r="T56" s="117">
        <f t="shared" si="99"/>
        <v>2.1458657952668015E-3</v>
      </c>
      <c r="U56" s="117">
        <f t="shared" si="99"/>
        <v>2.099174790473445E-3</v>
      </c>
      <c r="V56" s="117">
        <f t="shared" ref="V56:V57" si="100">AVERAGE(R56:U56)</f>
        <v>2.0950477115504827E-3</v>
      </c>
      <c r="W56" s="117">
        <f t="shared" ref="W56:W57" si="101">AVERAGE(S56:V56)</f>
        <v>2.1104983488213786E-3</v>
      </c>
    </row>
    <row r="57" spans="2:23" x14ac:dyDescent="0.25">
      <c r="B57" s="116" t="s">
        <v>27</v>
      </c>
      <c r="C57" s="109">
        <f>C25/C$16</f>
        <v>3.2991207740131701E-2</v>
      </c>
      <c r="D57" s="109">
        <f t="shared" si="95"/>
        <v>4.4342156285455771E-2</v>
      </c>
      <c r="E57" s="109">
        <f t="shared" si="95"/>
        <v>3.9158040558740906E-2</v>
      </c>
      <c r="F57" s="109">
        <f t="shared" si="95"/>
        <v>2.9539646351491755E-2</v>
      </c>
      <c r="G57" s="109">
        <f t="shared" si="95"/>
        <v>1.9665228405844042E-2</v>
      </c>
      <c r="H57" s="109">
        <f t="shared" si="95"/>
        <v>1.9424333392194949E-2</v>
      </c>
      <c r="I57" s="109">
        <f t="shared" si="95"/>
        <v>1.6419258339447986E-2</v>
      </c>
      <c r="J57" s="109">
        <f t="shared" si="95"/>
        <v>1.3046029821702972E-2</v>
      </c>
      <c r="K57" s="115">
        <f t="shared" si="95"/>
        <v>1.4141630441765349E-2</v>
      </c>
      <c r="L57" s="117">
        <f>AVERAGE(H57:K57)</f>
        <v>1.5757812998777813E-2</v>
      </c>
      <c r="M57" s="117">
        <f t="shared" si="99"/>
        <v>1.4841182900423531E-2</v>
      </c>
      <c r="N57" s="117">
        <f t="shared" si="99"/>
        <v>1.4446664040667415E-2</v>
      </c>
      <c r="O57" s="117">
        <f t="shared" si="99"/>
        <v>1.4796822595408526E-2</v>
      </c>
      <c r="P57" s="117">
        <f t="shared" si="99"/>
        <v>1.4960620633819321E-2</v>
      </c>
      <c r="Q57" s="117">
        <f t="shared" si="99"/>
        <v>1.47613225425797E-2</v>
      </c>
      <c r="R57" s="117">
        <f t="shared" si="99"/>
        <v>1.4741357453118741E-2</v>
      </c>
      <c r="S57" s="117">
        <f t="shared" si="99"/>
        <v>1.4815030806231573E-2</v>
      </c>
      <c r="T57" s="117">
        <f t="shared" si="99"/>
        <v>1.4819582858937334E-2</v>
      </c>
      <c r="U57" s="117">
        <f t="shared" si="99"/>
        <v>1.4784323415216837E-2</v>
      </c>
      <c r="V57" s="117">
        <f t="shared" si="100"/>
        <v>1.4790073633376121E-2</v>
      </c>
      <c r="W57" s="117">
        <f t="shared" si="101"/>
        <v>1.4802252678440467E-2</v>
      </c>
    </row>
    <row r="58" spans="2:23" x14ac:dyDescent="0.25">
      <c r="K58" s="71"/>
    </row>
    <row r="59" spans="2:23" ht="15.05" x14ac:dyDescent="0.3">
      <c r="B59" s="190" t="s">
        <v>101</v>
      </c>
      <c r="C59" s="191"/>
      <c r="D59" s="191"/>
      <c r="E59" s="191"/>
      <c r="F59" s="191"/>
      <c r="G59" s="191"/>
      <c r="H59" s="191"/>
      <c r="I59" s="191"/>
      <c r="J59" s="191"/>
      <c r="K59" s="195"/>
      <c r="L59" s="193" t="s">
        <v>343</v>
      </c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</row>
    <row r="60" spans="2:23" ht="15.05" x14ac:dyDescent="0.3">
      <c r="B60" t="s">
        <v>333</v>
      </c>
      <c r="C60" s="198" t="s">
        <v>334</v>
      </c>
      <c r="D60" s="198" t="s">
        <v>335</v>
      </c>
      <c r="E60" s="198" t="s">
        <v>336</v>
      </c>
      <c r="F60" s="198" t="s">
        <v>337</v>
      </c>
      <c r="G60" s="199" t="s">
        <v>338</v>
      </c>
      <c r="H60" s="199" t="s">
        <v>339</v>
      </c>
      <c r="I60" s="199" t="s">
        <v>340</v>
      </c>
      <c r="J60" s="199" t="s">
        <v>341</v>
      </c>
      <c r="K60" s="200" t="s">
        <v>342</v>
      </c>
      <c r="L60" s="5" t="s">
        <v>344</v>
      </c>
      <c r="M60" s="5" t="s">
        <v>345</v>
      </c>
      <c r="N60" s="5" t="s">
        <v>346</v>
      </c>
      <c r="O60" s="5" t="s">
        <v>347</v>
      </c>
      <c r="P60" s="5" t="s">
        <v>348</v>
      </c>
      <c r="Q60" s="5" t="s">
        <v>349</v>
      </c>
      <c r="R60" s="5" t="s">
        <v>350</v>
      </c>
      <c r="S60" s="5" t="s">
        <v>351</v>
      </c>
      <c r="T60" s="5" t="s">
        <v>352</v>
      </c>
      <c r="U60" s="5" t="s">
        <v>353</v>
      </c>
      <c r="V60" s="5" t="s">
        <v>392</v>
      </c>
      <c r="W60" s="5" t="s">
        <v>393</v>
      </c>
    </row>
    <row r="61" spans="2:23" ht="15.05" x14ac:dyDescent="0.3">
      <c r="B61" s="192" t="s">
        <v>377</v>
      </c>
      <c r="C61" s="201">
        <v>44752</v>
      </c>
      <c r="D61" s="201">
        <v>44836</v>
      </c>
      <c r="E61" s="201">
        <v>44920</v>
      </c>
      <c r="F61" s="201">
        <v>45032</v>
      </c>
      <c r="G61" s="201">
        <v>45116</v>
      </c>
      <c r="H61" s="201">
        <v>45200</v>
      </c>
      <c r="I61" s="201">
        <v>45291</v>
      </c>
      <c r="J61" s="201">
        <v>45403</v>
      </c>
      <c r="K61" s="202">
        <v>45487</v>
      </c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</row>
    <row r="62" spans="2:23" x14ac:dyDescent="0.25">
      <c r="K62" s="197"/>
    </row>
    <row r="63" spans="2:23" x14ac:dyDescent="0.25">
      <c r="B63" s="67" t="s">
        <v>62</v>
      </c>
      <c r="C63" s="203">
        <v>0.13300000000000001</v>
      </c>
      <c r="D63" s="203">
        <v>9.1999999999999998E-2</v>
      </c>
      <c r="E63" s="203"/>
      <c r="F63" s="203">
        <v>0.28399999999999997</v>
      </c>
      <c r="G63" s="203">
        <v>0.182</v>
      </c>
      <c r="H63" s="203">
        <v>0.14099999999999999</v>
      </c>
      <c r="I63" s="203">
        <v>0.114</v>
      </c>
      <c r="J63" s="203">
        <v>2.3E-2</v>
      </c>
      <c r="K63" s="204">
        <v>0.14399999999999999</v>
      </c>
      <c r="L63" s="101">
        <f>Scenarios!G7</f>
        <v>0.15</v>
      </c>
      <c r="M63" s="101">
        <f>Scenarios!H7</f>
        <v>0.14749999999999999</v>
      </c>
      <c r="N63" s="101">
        <f>Scenarios!I7</f>
        <v>0.14499999999999999</v>
      </c>
      <c r="O63" s="101">
        <f>Scenarios!J7</f>
        <v>0.14249999999999999</v>
      </c>
      <c r="P63" s="101">
        <f>Scenarios!K7</f>
        <v>0.13749999999999998</v>
      </c>
      <c r="Q63" s="101">
        <f>Scenarios!L7</f>
        <v>0.13249999999999998</v>
      </c>
      <c r="R63" s="101">
        <f>Scenarios!M7</f>
        <v>0.12749999999999997</v>
      </c>
      <c r="S63" s="101">
        <f>Scenarios!N7</f>
        <v>0.12249999999999997</v>
      </c>
      <c r="T63" s="101">
        <f>Scenarios!O7</f>
        <v>0.11749999999999997</v>
      </c>
      <c r="U63" s="101">
        <f>Scenarios!P7</f>
        <v>0.11249999999999996</v>
      </c>
      <c r="V63" s="101">
        <f>Scenarios!Q7</f>
        <v>0.10749999999999996</v>
      </c>
      <c r="W63" s="101">
        <f>Scenarios!R7</f>
        <v>0.10249999999999995</v>
      </c>
    </row>
    <row r="64" spans="2:23" x14ac:dyDescent="0.25">
      <c r="B64" s="67" t="s">
        <v>59</v>
      </c>
      <c r="C64" s="205"/>
      <c r="D64" s="205">
        <f>D65-C65</f>
        <v>19</v>
      </c>
      <c r="E64" s="205">
        <f>E65-D65</f>
        <v>23</v>
      </c>
      <c r="F64" s="205">
        <v>26</v>
      </c>
      <c r="G64" s="206">
        <v>16</v>
      </c>
      <c r="H64" s="206">
        <v>11</v>
      </c>
      <c r="I64" s="206">
        <v>19</v>
      </c>
      <c r="J64" s="206">
        <v>14</v>
      </c>
      <c r="K64" s="207">
        <f>K65-J65</f>
        <v>18</v>
      </c>
      <c r="L64" s="75">
        <f>Scenarios!G13</f>
        <v>14</v>
      </c>
      <c r="M64" s="75">
        <f>Scenarios!H13</f>
        <v>13</v>
      </c>
      <c r="N64" s="75">
        <f>Scenarios!I13</f>
        <v>12</v>
      </c>
      <c r="O64" s="75">
        <f>Scenarios!J13</f>
        <v>11</v>
      </c>
      <c r="P64" s="75">
        <f>Scenarios!K13</f>
        <v>11</v>
      </c>
      <c r="Q64" s="75">
        <f>Scenarios!L13</f>
        <v>10</v>
      </c>
      <c r="R64" s="75">
        <f>Scenarios!M13</f>
        <v>10</v>
      </c>
      <c r="S64" s="75">
        <f>Scenarios!N13</f>
        <v>9</v>
      </c>
      <c r="T64" s="75">
        <f>Scenarios!O13</f>
        <v>9</v>
      </c>
      <c r="U64" s="75">
        <f>Scenarios!P13</f>
        <v>9</v>
      </c>
      <c r="V64" s="75">
        <f>Scenarios!Q13</f>
        <v>8</v>
      </c>
      <c r="W64" s="75">
        <f>Scenarios!R13</f>
        <v>7</v>
      </c>
    </row>
    <row r="65" spans="2:23" x14ac:dyDescent="0.25">
      <c r="B65" s="67" t="s">
        <v>61</v>
      </c>
      <c r="C65" s="208">
        <v>195</v>
      </c>
      <c r="D65" s="208">
        <v>214</v>
      </c>
      <c r="E65" s="208">
        <v>237</v>
      </c>
      <c r="F65" s="208">
        <v>263</v>
      </c>
      <c r="G65" s="206">
        <v>279</v>
      </c>
      <c r="H65" s="206">
        <v>290</v>
      </c>
      <c r="I65" s="206">
        <v>309</v>
      </c>
      <c r="J65" s="206">
        <v>323</v>
      </c>
      <c r="K65" s="207">
        <v>341</v>
      </c>
      <c r="L65" s="75">
        <f>K65+L64</f>
        <v>355</v>
      </c>
      <c r="M65" s="75">
        <f t="shared" ref="M65:U65" si="102">L65+M64</f>
        <v>368</v>
      </c>
      <c r="N65" s="75">
        <f t="shared" si="102"/>
        <v>380</v>
      </c>
      <c r="O65" s="75">
        <f t="shared" si="102"/>
        <v>391</v>
      </c>
      <c r="P65" s="75">
        <f t="shared" si="102"/>
        <v>402</v>
      </c>
      <c r="Q65" s="75">
        <f t="shared" si="102"/>
        <v>412</v>
      </c>
      <c r="R65" s="75">
        <f t="shared" si="102"/>
        <v>422</v>
      </c>
      <c r="S65" s="75">
        <f t="shared" si="102"/>
        <v>431</v>
      </c>
      <c r="T65" s="75">
        <f t="shared" si="102"/>
        <v>440</v>
      </c>
      <c r="U65" s="75">
        <f t="shared" si="102"/>
        <v>449</v>
      </c>
      <c r="V65" s="75">
        <f t="shared" ref="V65" si="103">U65+V64</f>
        <v>457</v>
      </c>
      <c r="W65" s="75">
        <f t="shared" ref="W65" si="104">V65+W64</f>
        <v>464</v>
      </c>
    </row>
    <row r="66" spans="2:23" x14ac:dyDescent="0.25">
      <c r="B66" s="67"/>
      <c r="C66" s="205"/>
      <c r="D66" s="208"/>
      <c r="E66" s="208"/>
      <c r="F66" s="209"/>
      <c r="G66" s="209"/>
      <c r="H66" s="209"/>
      <c r="I66" s="209"/>
      <c r="J66" s="209"/>
      <c r="K66" s="210"/>
    </row>
    <row r="67" spans="2:23" x14ac:dyDescent="0.25">
      <c r="B67" s="67" t="s">
        <v>102</v>
      </c>
      <c r="C67" s="209"/>
      <c r="D67" s="209">
        <f t="shared" ref="D67:K67" si="105">D70/C65</f>
        <v>714143.58974358975</v>
      </c>
      <c r="E67" s="209">
        <f t="shared" si="105"/>
        <v>607172.89719626168</v>
      </c>
      <c r="F67" s="209">
        <f t="shared" si="105"/>
        <v>856890.2953586498</v>
      </c>
      <c r="G67" s="209">
        <f t="shared" si="105"/>
        <v>657391.63498098857</v>
      </c>
      <c r="H67" s="209">
        <f t="shared" si="105"/>
        <v>629222.22222222225</v>
      </c>
      <c r="I67" s="209">
        <f t="shared" si="105"/>
        <v>610931.03448275861</v>
      </c>
      <c r="J67" s="209">
        <f t="shared" si="105"/>
        <v>838207.11974110035</v>
      </c>
      <c r="K67" s="210">
        <f t="shared" si="105"/>
        <v>722894.73684210528</v>
      </c>
      <c r="L67" s="68">
        <f>H67*(1+L63)</f>
        <v>723605.5555555555</v>
      </c>
      <c r="M67" s="68">
        <f>I67*(1+M63)</f>
        <v>701043.36206896545</v>
      </c>
      <c r="N67" s="68">
        <f t="shared" ref="N67:U67" si="106">J67*(1+N63)</f>
        <v>959747.15210355993</v>
      </c>
      <c r="O67" s="68">
        <f t="shared" si="106"/>
        <v>825907.23684210528</v>
      </c>
      <c r="P67" s="68">
        <f t="shared" si="106"/>
        <v>823101.31944444438</v>
      </c>
      <c r="Q67" s="68">
        <f t="shared" si="106"/>
        <v>793931.6075431034</v>
      </c>
      <c r="R67" s="68">
        <f t="shared" si="106"/>
        <v>1082114.9139967638</v>
      </c>
      <c r="S67" s="68">
        <f t="shared" si="106"/>
        <v>927080.87335526326</v>
      </c>
      <c r="T67" s="68">
        <f t="shared" si="106"/>
        <v>919815.72447916656</v>
      </c>
      <c r="U67" s="68">
        <f t="shared" si="106"/>
        <v>883248.91339170258</v>
      </c>
      <c r="V67" s="68">
        <f t="shared" ref="V67" si="107">R67*(1+V63)</f>
        <v>1198442.2672514159</v>
      </c>
      <c r="W67" s="68">
        <f t="shared" ref="W67" si="108">S67*(1+W63)</f>
        <v>1022106.6628741778</v>
      </c>
    </row>
    <row r="68" spans="2:23" x14ac:dyDescent="0.25">
      <c r="B68" s="67"/>
      <c r="C68" s="209"/>
      <c r="D68" s="209"/>
      <c r="E68" s="209"/>
      <c r="F68" s="209"/>
      <c r="G68" s="209"/>
      <c r="H68" s="209"/>
      <c r="I68" s="209"/>
      <c r="J68" s="209"/>
      <c r="K68" s="210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</row>
    <row r="69" spans="2:23" x14ac:dyDescent="0.25">
      <c r="B69" s="67"/>
      <c r="C69" s="205"/>
      <c r="D69" s="208"/>
      <c r="E69" s="208"/>
      <c r="F69" s="209"/>
      <c r="G69" s="209"/>
      <c r="H69" s="209"/>
      <c r="I69" s="209"/>
      <c r="J69" s="209"/>
      <c r="K69" s="210"/>
    </row>
    <row r="70" spans="2:23" x14ac:dyDescent="0.25">
      <c r="B70" s="8" t="s">
        <v>15</v>
      </c>
      <c r="C70" s="211">
        <v>135915000</v>
      </c>
      <c r="D70" s="211">
        <v>139258000</v>
      </c>
      <c r="E70" s="211">
        <v>129935000</v>
      </c>
      <c r="F70" s="211">
        <v>203083000</v>
      </c>
      <c r="G70" s="211">
        <v>172894000</v>
      </c>
      <c r="H70" s="211">
        <v>175553000</v>
      </c>
      <c r="I70" s="211">
        <v>177170000</v>
      </c>
      <c r="J70" s="211">
        <v>259006000</v>
      </c>
      <c r="K70" s="212">
        <v>233495000</v>
      </c>
      <c r="L70" s="103">
        <f>L67*K65</f>
        <v>246749494.44444442</v>
      </c>
      <c r="M70" s="103">
        <f t="shared" ref="M70:U70" si="109">M67*L65</f>
        <v>248870393.53448275</v>
      </c>
      <c r="N70" s="103">
        <f t="shared" si="109"/>
        <v>353186951.97411007</v>
      </c>
      <c r="O70" s="103">
        <f t="shared" si="109"/>
        <v>313844750</v>
      </c>
      <c r="P70" s="103">
        <f t="shared" si="109"/>
        <v>321832615.90277773</v>
      </c>
      <c r="Q70" s="103">
        <f t="shared" si="109"/>
        <v>319160506.23232758</v>
      </c>
      <c r="R70" s="103">
        <f t="shared" si="109"/>
        <v>445831344.56666666</v>
      </c>
      <c r="S70" s="103">
        <f t="shared" si="109"/>
        <v>391228128.55592108</v>
      </c>
      <c r="T70" s="103">
        <f t="shared" si="109"/>
        <v>396440577.25052077</v>
      </c>
      <c r="U70" s="103">
        <f t="shared" si="109"/>
        <v>388629521.89234912</v>
      </c>
      <c r="V70" s="103">
        <f t="shared" ref="V70" si="110">V67*U65</f>
        <v>538100577.99588573</v>
      </c>
      <c r="W70" s="103">
        <f t="shared" ref="W70" si="111">W67*V65</f>
        <v>467102744.93349928</v>
      </c>
    </row>
    <row r="71" spans="2:23" x14ac:dyDescent="0.25">
      <c r="B71" s="39" t="s">
        <v>51</v>
      </c>
      <c r="C71" s="50"/>
      <c r="D71" s="50"/>
      <c r="E71" s="50"/>
      <c r="F71" s="50"/>
      <c r="G71" s="42">
        <f t="shared" ref="G71:U71" si="112">(G70/C70)-1</f>
        <v>0.27207445830114407</v>
      </c>
      <c r="H71" s="42">
        <f t="shared" si="112"/>
        <v>0.26063134613451289</v>
      </c>
      <c r="I71" s="42">
        <f t="shared" si="112"/>
        <v>0.36352791780505633</v>
      </c>
      <c r="J71" s="55">
        <f t="shared" si="112"/>
        <v>0.2753701688472201</v>
      </c>
      <c r="K71" s="43">
        <f t="shared" si="112"/>
        <v>0.35050956077133977</v>
      </c>
      <c r="L71" s="55">
        <f t="shared" si="112"/>
        <v>0.40555555555555545</v>
      </c>
      <c r="M71" s="55">
        <f t="shared" si="112"/>
        <v>0.40469827586206897</v>
      </c>
      <c r="N71" s="55">
        <f t="shared" si="112"/>
        <v>0.36362459546925585</v>
      </c>
      <c r="O71" s="55">
        <f t="shared" si="112"/>
        <v>0.34411764705882364</v>
      </c>
      <c r="P71" s="55">
        <f t="shared" si="112"/>
        <v>0.30428885630498526</v>
      </c>
      <c r="Q71" s="55">
        <f t="shared" si="112"/>
        <v>0.28243661971830991</v>
      </c>
      <c r="R71" s="55">
        <f t="shared" si="112"/>
        <v>0.26230978260869553</v>
      </c>
      <c r="S71" s="55">
        <f t="shared" si="112"/>
        <v>0.24656578947368435</v>
      </c>
      <c r="T71" s="55">
        <f t="shared" si="112"/>
        <v>0.23182225063938611</v>
      </c>
      <c r="U71" s="55">
        <f t="shared" si="112"/>
        <v>0.21766169154228843</v>
      </c>
      <c r="V71" s="55">
        <f t="shared" ref="V71" si="113">(V70/R70)-1</f>
        <v>0.20695995145631074</v>
      </c>
      <c r="W71" s="55">
        <f t="shared" ref="W71" si="114">(W70/S70)-1</f>
        <v>0.1939395734597158</v>
      </c>
    </row>
    <row r="72" spans="2:23" x14ac:dyDescent="0.25">
      <c r="K72" s="71"/>
    </row>
    <row r="73" spans="2:23" ht="15.05" x14ac:dyDescent="0.3">
      <c r="B73" s="190" t="s">
        <v>355</v>
      </c>
      <c r="C73" s="191"/>
      <c r="D73" s="191"/>
      <c r="E73" s="191"/>
      <c r="F73" s="191"/>
      <c r="G73" s="191"/>
      <c r="H73" s="191"/>
      <c r="I73" s="191"/>
      <c r="J73" s="191"/>
      <c r="K73" s="195"/>
      <c r="L73" s="193" t="s">
        <v>343</v>
      </c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</row>
    <row r="74" spans="2:23" ht="15.05" x14ac:dyDescent="0.3">
      <c r="B74" t="s">
        <v>333</v>
      </c>
      <c r="C74" s="198" t="s">
        <v>334</v>
      </c>
      <c r="D74" s="198" t="s">
        <v>335</v>
      </c>
      <c r="E74" s="198" t="s">
        <v>336</v>
      </c>
      <c r="F74" s="198" t="s">
        <v>337</v>
      </c>
      <c r="G74" s="199" t="s">
        <v>338</v>
      </c>
      <c r="H74" s="199" t="s">
        <v>339</v>
      </c>
      <c r="I74" s="199" t="s">
        <v>340</v>
      </c>
      <c r="J74" s="199" t="s">
        <v>341</v>
      </c>
      <c r="K74" s="200" t="s">
        <v>342</v>
      </c>
      <c r="L74" s="5" t="s">
        <v>344</v>
      </c>
      <c r="M74" s="5" t="s">
        <v>345</v>
      </c>
      <c r="N74" s="5" t="s">
        <v>346</v>
      </c>
      <c r="O74" s="5" t="s">
        <v>347</v>
      </c>
      <c r="P74" s="5" t="s">
        <v>348</v>
      </c>
      <c r="Q74" s="5" t="s">
        <v>349</v>
      </c>
      <c r="R74" s="5" t="s">
        <v>350</v>
      </c>
      <c r="S74" s="5" t="s">
        <v>351</v>
      </c>
      <c r="T74" s="5" t="s">
        <v>352</v>
      </c>
      <c r="U74" s="5" t="s">
        <v>353</v>
      </c>
      <c r="V74" s="5" t="s">
        <v>392</v>
      </c>
      <c r="W74" s="5" t="s">
        <v>393</v>
      </c>
    </row>
    <row r="75" spans="2:23" ht="15.05" x14ac:dyDescent="0.3">
      <c r="B75" s="192" t="s">
        <v>377</v>
      </c>
      <c r="C75" s="201">
        <v>44752</v>
      </c>
      <c r="D75" s="201">
        <v>44836</v>
      </c>
      <c r="E75" s="201">
        <v>44920</v>
      </c>
      <c r="F75" s="201">
        <v>45032</v>
      </c>
      <c r="G75" s="201">
        <v>45116</v>
      </c>
      <c r="H75" s="201">
        <v>45200</v>
      </c>
      <c r="I75" s="201">
        <v>45291</v>
      </c>
      <c r="J75" s="201">
        <v>45403</v>
      </c>
      <c r="K75" s="202">
        <v>45487</v>
      </c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</row>
    <row r="76" spans="2:23" x14ac:dyDescent="0.25">
      <c r="K76" s="71"/>
    </row>
    <row r="77" spans="2:23" x14ac:dyDescent="0.25">
      <c r="B77" t="s">
        <v>357</v>
      </c>
      <c r="C77" s="68">
        <f>C30</f>
        <v>-8570000</v>
      </c>
      <c r="D77" s="68">
        <f t="shared" ref="D77:U77" si="115">D30</f>
        <v>-12298000</v>
      </c>
      <c r="E77" s="68">
        <f t="shared" si="115"/>
        <v>-19370000</v>
      </c>
      <c r="F77" s="68">
        <f t="shared" si="115"/>
        <v>-2451000</v>
      </c>
      <c r="G77" s="68">
        <f t="shared" si="115"/>
        <v>6343000</v>
      </c>
      <c r="H77" s="68">
        <f t="shared" si="115"/>
        <v>6631000</v>
      </c>
      <c r="I77" s="68">
        <f t="shared" si="115"/>
        <v>2583000</v>
      </c>
      <c r="J77" s="68">
        <f t="shared" si="115"/>
        <v>14089000</v>
      </c>
      <c r="K77" s="179">
        <f t="shared" si="115"/>
        <v>19908000</v>
      </c>
      <c r="L77" s="68">
        <f t="shared" si="115"/>
        <v>16404212.609751839</v>
      </c>
      <c r="M77" s="68">
        <f t="shared" si="115"/>
        <v>10364031.278457262</v>
      </c>
      <c r="N77" s="68">
        <f t="shared" si="115"/>
        <v>24085857.327283196</v>
      </c>
      <c r="O77" s="68">
        <f t="shared" si="115"/>
        <v>26229803.704083573</v>
      </c>
      <c r="P77" s="68">
        <f t="shared" si="115"/>
        <v>24952429.96260111</v>
      </c>
      <c r="Q77" s="68">
        <f t="shared" si="115"/>
        <v>16041232.881678551</v>
      </c>
      <c r="R77" s="68">
        <f t="shared" si="115"/>
        <v>33462013.412678823</v>
      </c>
      <c r="S77" s="68">
        <f t="shared" si="115"/>
        <v>35411828.710353963</v>
      </c>
      <c r="T77" s="68">
        <f t="shared" si="115"/>
        <v>34288148.417779818</v>
      </c>
      <c r="U77" s="68">
        <f t="shared" si="115"/>
        <v>22727949.942814417</v>
      </c>
      <c r="V77" s="68">
        <f t="shared" ref="V77:W77" si="116">V30</f>
        <v>44924565.218191251</v>
      </c>
      <c r="W77" s="68">
        <f t="shared" si="116"/>
        <v>46271374.1363919</v>
      </c>
    </row>
    <row r="78" spans="2:23" x14ac:dyDescent="0.25">
      <c r="B78" s="6" t="s">
        <v>359</v>
      </c>
      <c r="C78" s="68">
        <f>C31</f>
        <v>56000</v>
      </c>
      <c r="D78" s="68">
        <f t="shared" ref="D78:K78" si="117">D31</f>
        <v>-29000</v>
      </c>
      <c r="E78" s="68">
        <f t="shared" si="117"/>
        <v>26000</v>
      </c>
      <c r="F78" s="68">
        <f t="shared" si="117"/>
        <v>38000</v>
      </c>
      <c r="G78" s="68">
        <f t="shared" si="117"/>
        <v>40000</v>
      </c>
      <c r="H78" s="68">
        <f t="shared" si="117"/>
        <v>38000</v>
      </c>
      <c r="I78" s="68">
        <f t="shared" si="117"/>
        <v>652000</v>
      </c>
      <c r="J78" s="68">
        <f t="shared" si="117"/>
        <v>252000</v>
      </c>
      <c r="K78" s="179">
        <f t="shared" si="117"/>
        <v>287000</v>
      </c>
      <c r="L78" s="68">
        <f>L77*L79</f>
        <v>563155.60325349378</v>
      </c>
      <c r="M78" s="68">
        <f t="shared" ref="M78:U78" si="118">M77*M79</f>
        <v>563077.17768698395</v>
      </c>
      <c r="N78" s="68">
        <f t="shared" si="118"/>
        <v>1790300.2839015352</v>
      </c>
      <c r="O78" s="68">
        <f t="shared" si="118"/>
        <v>2474255.7594319377</v>
      </c>
      <c r="P78" s="68">
        <f t="shared" si="118"/>
        <v>2852809.7727363706</v>
      </c>
      <c r="Q78" s="68">
        <f t="shared" si="118"/>
        <v>2154817.8198298733</v>
      </c>
      <c r="R78" s="68">
        <f t="shared" si="118"/>
        <v>5164190.4582343325</v>
      </c>
      <c r="S78" s="68">
        <f t="shared" si="118"/>
        <v>6173341.9066120749</v>
      </c>
      <c r="T78" s="68">
        <f t="shared" si="118"/>
        <v>6663213.7591339992</v>
      </c>
      <c r="U78" s="68">
        <f t="shared" si="118"/>
        <v>4871280.1040805448</v>
      </c>
      <c r="V78" s="68">
        <f t="shared" ref="V78" si="119">V77*V79</f>
        <v>9628679.2817858867</v>
      </c>
      <c r="W78" s="68">
        <f t="shared" ref="W78" si="120">W77*W79</f>
        <v>9917340.7538384181</v>
      </c>
    </row>
    <row r="79" spans="2:23" x14ac:dyDescent="0.25">
      <c r="B79" s="6" t="s">
        <v>358</v>
      </c>
      <c r="C79" s="101">
        <f>C78/C77</f>
        <v>-6.5344224037339558E-3</v>
      </c>
      <c r="D79" s="101">
        <f t="shared" ref="D79:K79" si="121">D78/D77</f>
        <v>2.3581070092698001E-3</v>
      </c>
      <c r="E79" s="101">
        <f t="shared" si="121"/>
        <v>-1.3422818791946308E-3</v>
      </c>
      <c r="F79" s="101">
        <f t="shared" si="121"/>
        <v>-1.5503875968992248E-2</v>
      </c>
      <c r="G79" s="101">
        <f t="shared" si="121"/>
        <v>6.3061642755793791E-3</v>
      </c>
      <c r="H79" s="101">
        <f t="shared" si="121"/>
        <v>5.7306590257879654E-3</v>
      </c>
      <c r="I79" s="101">
        <f>I78/I77</f>
        <v>0.25241966705381341</v>
      </c>
      <c r="J79" s="101">
        <f t="shared" si="121"/>
        <v>1.7886294272127193E-2</v>
      </c>
      <c r="K79" s="226">
        <f t="shared" si="121"/>
        <v>1.4416315049226441E-2</v>
      </c>
      <c r="L79" s="101">
        <v>3.4329938086678648E-2</v>
      </c>
      <c r="M79" s="101">
        <v>5.4329938086678645E-2</v>
      </c>
      <c r="N79" s="101">
        <v>7.4329938086678649E-2</v>
      </c>
      <c r="O79" s="101">
        <v>9.4329938086678652E-2</v>
      </c>
      <c r="P79" s="101">
        <v>0.11432993808667866</v>
      </c>
      <c r="Q79" s="101">
        <v>0.13432993808667865</v>
      </c>
      <c r="R79" s="101">
        <v>0.15432993808667864</v>
      </c>
      <c r="S79" s="101">
        <v>0.17432993808667863</v>
      </c>
      <c r="T79" s="101">
        <v>0.19432993808667862</v>
      </c>
      <c r="U79" s="101">
        <v>0.21432993808667861</v>
      </c>
      <c r="V79" s="101">
        <f>U79</f>
        <v>0.21432993808667861</v>
      </c>
      <c r="W79" s="101">
        <f>V79</f>
        <v>0.21432993808667861</v>
      </c>
    </row>
    <row r="80" spans="2:23" x14ac:dyDescent="0.25">
      <c r="K80" s="71"/>
    </row>
    <row r="81" spans="2:23" x14ac:dyDescent="0.25">
      <c r="B81" s="138" t="s">
        <v>360</v>
      </c>
      <c r="C81" s="169">
        <f>C77+C78</f>
        <v>-8514000</v>
      </c>
      <c r="D81" s="169">
        <f t="shared" ref="D81:U81" si="122">D77+D78</f>
        <v>-12327000</v>
      </c>
      <c r="E81" s="169">
        <f t="shared" si="122"/>
        <v>-19344000</v>
      </c>
      <c r="F81" s="169">
        <f t="shared" si="122"/>
        <v>-2413000</v>
      </c>
      <c r="G81" s="169">
        <f t="shared" si="122"/>
        <v>6383000</v>
      </c>
      <c r="H81" s="169">
        <f t="shared" si="122"/>
        <v>6669000</v>
      </c>
      <c r="I81" s="169">
        <f t="shared" si="122"/>
        <v>3235000</v>
      </c>
      <c r="J81" s="169">
        <f t="shared" si="122"/>
        <v>14341000</v>
      </c>
      <c r="K81" s="219">
        <f t="shared" si="122"/>
        <v>20195000</v>
      </c>
      <c r="L81" s="169">
        <f t="shared" si="122"/>
        <v>16967368.213005334</v>
      </c>
      <c r="M81" s="169">
        <f t="shared" si="122"/>
        <v>10927108.456144245</v>
      </c>
      <c r="N81" s="169">
        <f t="shared" si="122"/>
        <v>25876157.611184731</v>
      </c>
      <c r="O81" s="169">
        <f t="shared" si="122"/>
        <v>28704059.463515513</v>
      </c>
      <c r="P81" s="169">
        <f t="shared" si="122"/>
        <v>27805239.735337481</v>
      </c>
      <c r="Q81" s="169">
        <f t="shared" si="122"/>
        <v>18196050.701508425</v>
      </c>
      <c r="R81" s="169">
        <f t="shared" si="122"/>
        <v>38626203.870913155</v>
      </c>
      <c r="S81" s="169">
        <f t="shared" si="122"/>
        <v>41585170.616966039</v>
      </c>
      <c r="T81" s="169">
        <f t="shared" si="122"/>
        <v>40951362.17691382</v>
      </c>
      <c r="U81" s="169">
        <f t="shared" si="122"/>
        <v>27599230.04689496</v>
      </c>
      <c r="V81" s="169">
        <f t="shared" ref="V81:W81" si="123">V77+V78</f>
        <v>54553244.499977142</v>
      </c>
      <c r="W81" s="169">
        <f t="shared" si="123"/>
        <v>56188714.89023032</v>
      </c>
    </row>
    <row r="82" spans="2:23" x14ac:dyDescent="0.25">
      <c r="K82" s="71"/>
    </row>
    <row r="83" spans="2:23" x14ac:dyDescent="0.25">
      <c r="B83" s="138" t="s">
        <v>361</v>
      </c>
      <c r="C83" s="169">
        <f>C23</f>
        <v>8946000</v>
      </c>
      <c r="D83" s="169">
        <f t="shared" ref="D83:K83" si="124">D23</f>
        <v>10018000</v>
      </c>
      <c r="E83" s="169">
        <f t="shared" si="124"/>
        <v>10941000</v>
      </c>
      <c r="F83" s="169">
        <f t="shared" si="124"/>
        <v>12859000</v>
      </c>
      <c r="G83" s="169">
        <f t="shared" si="124"/>
        <v>10709000</v>
      </c>
      <c r="H83" s="169">
        <f t="shared" si="124"/>
        <v>11528000</v>
      </c>
      <c r="I83" s="169">
        <f t="shared" si="124"/>
        <v>12337000</v>
      </c>
      <c r="J83" s="169">
        <f t="shared" si="124"/>
        <v>17322000</v>
      </c>
      <c r="K83" s="219">
        <f t="shared" si="124"/>
        <v>13733000</v>
      </c>
      <c r="L83" s="169">
        <f>L23</f>
        <v>14512562.612499433</v>
      </c>
      <c r="M83" s="169">
        <f t="shared" ref="M83:U83" si="125">M23</f>
        <v>14637303.215953453</v>
      </c>
      <c r="N83" s="169">
        <f t="shared" si="125"/>
        <v>20772677.836615145</v>
      </c>
      <c r="O83" s="169">
        <f t="shared" si="125"/>
        <v>18458767.647058822</v>
      </c>
      <c r="P83" s="169">
        <f t="shared" si="125"/>
        <v>18928573.691911377</v>
      </c>
      <c r="Q83" s="169">
        <f t="shared" si="125"/>
        <v>18771413.658059292</v>
      </c>
      <c r="R83" s="169">
        <f t="shared" si="125"/>
        <v>26221554.444138132</v>
      </c>
      <c r="S83" s="169">
        <f t="shared" si="125"/>
        <v>23010068.264667183</v>
      </c>
      <c r="T83" s="169">
        <f t="shared" si="125"/>
        <v>23316638.246563744</v>
      </c>
      <c r="U83" s="169">
        <f t="shared" si="125"/>
        <v>22857231.307512496</v>
      </c>
      <c r="V83" s="169">
        <f t="shared" ref="V83:W83" si="126">V23</f>
        <v>31648366.079005968</v>
      </c>
      <c r="W83" s="169">
        <f t="shared" si="126"/>
        <v>27472631.08919568</v>
      </c>
    </row>
    <row r="84" spans="2:23" x14ac:dyDescent="0.25">
      <c r="B84" s="138" t="s">
        <v>362</v>
      </c>
      <c r="C84" s="138"/>
      <c r="D84" s="138"/>
      <c r="E84" s="138"/>
      <c r="F84" s="138"/>
      <c r="G84" s="138"/>
      <c r="H84" s="169">
        <f>H85-G85</f>
        <v>3248000</v>
      </c>
      <c r="I84" s="169">
        <f t="shared" ref="I84:K84" si="127">I85-H85</f>
        <v>3129000</v>
      </c>
      <c r="J84" s="169">
        <f t="shared" si="127"/>
        <v>-1859000</v>
      </c>
      <c r="K84" s="169">
        <f t="shared" si="127"/>
        <v>-9172000</v>
      </c>
      <c r="L84" s="169">
        <f t="shared" ref="L84" si="128">L85-K85</f>
        <v>-5539362.0050631613</v>
      </c>
      <c r="M84" s="169">
        <f t="shared" ref="M84" si="129">M85-L85</f>
        <v>-886373.13819657266</v>
      </c>
      <c r="N84" s="169">
        <f>N85-M85</f>
        <v>-43596319.930680126</v>
      </c>
      <c r="O84" s="169">
        <f t="shared" ref="O84" si="130">O85-N85</f>
        <v>16442022.720998675</v>
      </c>
      <c r="P84" s="169">
        <f t="shared" ref="P84" si="131">P85-O85</f>
        <v>-3338315.2461113036</v>
      </c>
      <c r="Q84" s="169">
        <f t="shared" ref="Q84" si="132">Q85-P85</f>
        <v>1116736.8807534873</v>
      </c>
      <c r="R84" s="169">
        <f t="shared" ref="R84" si="133">R85-Q85</f>
        <v>-52938694.264030546</v>
      </c>
      <c r="S84" s="169">
        <f t="shared" ref="S84" si="134">S85-R85</f>
        <v>22819956.00752303</v>
      </c>
      <c r="T84" s="169">
        <f t="shared" ref="T84" si="135">T85-S85</f>
        <v>-2178403.7386887074</v>
      </c>
      <c r="U84" s="169">
        <f t="shared" ref="U84" si="136">U85-T85</f>
        <v>3264422.0005415976</v>
      </c>
      <c r="V84" s="169">
        <f t="shared" ref="V84" si="137">V85-U85</f>
        <v>-62467436.423698217</v>
      </c>
      <c r="W84" s="169">
        <f t="shared" ref="W84" si="138">W85-V85</f>
        <v>29671648.402436286</v>
      </c>
    </row>
    <row r="85" spans="2:23" x14ac:dyDescent="0.25">
      <c r="B85" s="6" t="s">
        <v>368</v>
      </c>
      <c r="G85" s="68">
        <v>-92929000</v>
      </c>
      <c r="H85" s="68">
        <v>-89681000</v>
      </c>
      <c r="I85" s="68">
        <v>-86552000</v>
      </c>
      <c r="J85" s="68">
        <v>-88411000</v>
      </c>
      <c r="K85" s="179">
        <v>-97583000</v>
      </c>
      <c r="L85" s="167">
        <f>L86*L16</f>
        <v>-103122362.00506316</v>
      </c>
      <c r="M85" s="167">
        <f t="shared" ref="M85:U85" si="139">M86*M16</f>
        <v>-104008735.14325973</v>
      </c>
      <c r="N85" s="167">
        <f t="shared" si="139"/>
        <v>-147605055.07393986</v>
      </c>
      <c r="O85" s="167">
        <f t="shared" si="139"/>
        <v>-131163032.35294119</v>
      </c>
      <c r="P85" s="167">
        <f t="shared" si="139"/>
        <v>-134501347.59905249</v>
      </c>
      <c r="Q85" s="167">
        <f t="shared" si="139"/>
        <v>-133384610.718299</v>
      </c>
      <c r="R85" s="167">
        <f t="shared" si="139"/>
        <v>-186323304.98232955</v>
      </c>
      <c r="S85" s="167">
        <f t="shared" si="139"/>
        <v>-163503348.97480652</v>
      </c>
      <c r="T85" s="167">
        <f t="shared" si="139"/>
        <v>-165681752.71349522</v>
      </c>
      <c r="U85" s="167">
        <f t="shared" si="139"/>
        <v>-162417330.71295363</v>
      </c>
      <c r="V85" s="167">
        <f t="shared" ref="V85" si="140">V86*V16</f>
        <v>-224884767.13665184</v>
      </c>
      <c r="W85" s="167">
        <f t="shared" ref="W85" si="141">W86*W16</f>
        <v>-195213118.73421556</v>
      </c>
    </row>
    <row r="86" spans="2:23" x14ac:dyDescent="0.25">
      <c r="B86" s="6" t="s">
        <v>369</v>
      </c>
      <c r="G86" s="101">
        <f>G85/G16</f>
        <v>-0.53749117956667092</v>
      </c>
      <c r="H86" s="101">
        <f t="shared" ref="H86:K86" si="142">H85/H16</f>
        <v>-0.51084857564382269</v>
      </c>
      <c r="I86" s="101">
        <f t="shared" si="142"/>
        <v>-0.48852514534063329</v>
      </c>
      <c r="J86" s="101">
        <f t="shared" si="142"/>
        <v>-0.34134730469564412</v>
      </c>
      <c r="K86" s="101">
        <f t="shared" si="142"/>
        <v>-0.41792329600205574</v>
      </c>
      <c r="L86" s="154">
        <f>K86</f>
        <v>-0.41792329600205574</v>
      </c>
      <c r="M86" s="154">
        <f t="shared" ref="M86:U86" si="143">L86</f>
        <v>-0.41792329600205574</v>
      </c>
      <c r="N86" s="154">
        <f t="shared" si="143"/>
        <v>-0.41792329600205574</v>
      </c>
      <c r="O86" s="154">
        <f t="shared" si="143"/>
        <v>-0.41792329600205574</v>
      </c>
      <c r="P86" s="154">
        <f t="shared" si="143"/>
        <v>-0.41792329600205574</v>
      </c>
      <c r="Q86" s="154">
        <f t="shared" si="143"/>
        <v>-0.41792329600205574</v>
      </c>
      <c r="R86" s="154">
        <f t="shared" si="143"/>
        <v>-0.41792329600205574</v>
      </c>
      <c r="S86" s="154">
        <f t="shared" si="143"/>
        <v>-0.41792329600205574</v>
      </c>
      <c r="T86" s="154">
        <f t="shared" si="143"/>
        <v>-0.41792329600205574</v>
      </c>
      <c r="U86" s="154">
        <f t="shared" si="143"/>
        <v>-0.41792329600205574</v>
      </c>
      <c r="V86" s="154">
        <f t="shared" ref="V86:W86" si="144">U86</f>
        <v>-0.41792329600205574</v>
      </c>
      <c r="W86" s="154">
        <f t="shared" si="144"/>
        <v>-0.41792329600205574</v>
      </c>
    </row>
    <row r="87" spans="2:23" x14ac:dyDescent="0.25">
      <c r="B87" s="138" t="s">
        <v>363</v>
      </c>
      <c r="C87" s="138"/>
      <c r="D87" s="138"/>
      <c r="E87" s="138"/>
      <c r="F87" s="169">
        <v>-39097000</v>
      </c>
      <c r="G87" s="169">
        <v>-33381000</v>
      </c>
      <c r="H87" s="169">
        <v>-35086000</v>
      </c>
      <c r="I87" s="169">
        <v>-31242000</v>
      </c>
      <c r="J87" s="169">
        <v>-33687000</v>
      </c>
      <c r="K87" s="219">
        <v>-26195000</v>
      </c>
      <c r="L87" s="169">
        <f>$K$89*L64</f>
        <v>-28666137.466943387</v>
      </c>
      <c r="M87" s="169">
        <f t="shared" ref="M87:U87" si="145">$K$89*M64</f>
        <v>-26618556.219304577</v>
      </c>
      <c r="N87" s="169">
        <f t="shared" si="145"/>
        <v>-24570974.971665762</v>
      </c>
      <c r="O87" s="169">
        <f t="shared" si="145"/>
        <v>-22523393.724026948</v>
      </c>
      <c r="P87" s="169">
        <f t="shared" si="145"/>
        <v>-22523393.724026948</v>
      </c>
      <c r="Q87" s="169">
        <f t="shared" si="145"/>
        <v>-20475812.476388134</v>
      </c>
      <c r="R87" s="169">
        <f t="shared" si="145"/>
        <v>-20475812.476388134</v>
      </c>
      <c r="S87" s="169">
        <f t="shared" si="145"/>
        <v>-18428231.22874932</v>
      </c>
      <c r="T87" s="169">
        <f t="shared" si="145"/>
        <v>-18428231.22874932</v>
      </c>
      <c r="U87" s="169">
        <f t="shared" si="145"/>
        <v>-18428231.22874932</v>
      </c>
      <c r="V87" s="169">
        <f t="shared" ref="V87:W87" si="146">$K$89*V64</f>
        <v>-16380649.981110508</v>
      </c>
      <c r="W87" s="169">
        <f t="shared" si="146"/>
        <v>-14333068.733471693</v>
      </c>
    </row>
    <row r="88" spans="2:23" x14ac:dyDescent="0.25">
      <c r="B88" s="6" t="s">
        <v>364</v>
      </c>
      <c r="F88" s="68">
        <f t="shared" ref="F88:K88" si="147">F87/F64</f>
        <v>-1503730.7692307692</v>
      </c>
      <c r="G88" s="68">
        <f t="shared" si="147"/>
        <v>-2086312.5</v>
      </c>
      <c r="H88" s="68">
        <f t="shared" si="147"/>
        <v>-3189636.3636363638</v>
      </c>
      <c r="I88" s="68">
        <f t="shared" si="147"/>
        <v>-1644315.7894736843</v>
      </c>
      <c r="J88" s="68">
        <f t="shared" si="147"/>
        <v>-2406214.2857142859</v>
      </c>
      <c r="K88" s="179">
        <f t="shared" si="147"/>
        <v>-1455277.7777777778</v>
      </c>
    </row>
    <row r="89" spans="2:23" x14ac:dyDescent="0.25">
      <c r="B89" s="6" t="s">
        <v>365</v>
      </c>
      <c r="K89" s="179">
        <f>AVERAGE(F88:K88)</f>
        <v>-2047581.2476388135</v>
      </c>
    </row>
    <row r="90" spans="2:23" x14ac:dyDescent="0.25">
      <c r="K90" s="71"/>
    </row>
    <row r="91" spans="2:23" x14ac:dyDescent="0.25">
      <c r="K91" s="71"/>
    </row>
    <row r="92" spans="2:23" ht="15.05" x14ac:dyDescent="0.3">
      <c r="B92" s="224" t="s">
        <v>355</v>
      </c>
      <c r="C92" s="169">
        <f t="shared" ref="C92:U92" si="148">C81+C83+C84+C87</f>
        <v>432000</v>
      </c>
      <c r="D92" s="169">
        <f t="shared" si="148"/>
        <v>-2309000</v>
      </c>
      <c r="E92" s="169">
        <f t="shared" si="148"/>
        <v>-8403000</v>
      </c>
      <c r="F92" s="169">
        <f t="shared" si="148"/>
        <v>-28651000</v>
      </c>
      <c r="G92" s="169">
        <f t="shared" si="148"/>
        <v>-16289000</v>
      </c>
      <c r="H92" s="169">
        <f t="shared" si="148"/>
        <v>-13641000</v>
      </c>
      <c r="I92" s="169">
        <f t="shared" si="148"/>
        <v>-12541000</v>
      </c>
      <c r="J92" s="169">
        <f t="shared" si="148"/>
        <v>-3883000</v>
      </c>
      <c r="K92" s="219">
        <f t="shared" si="148"/>
        <v>-1439000</v>
      </c>
      <c r="L92" s="169">
        <f t="shared" si="148"/>
        <v>-2725568.6465017833</v>
      </c>
      <c r="M92" s="169">
        <f t="shared" si="148"/>
        <v>-1940517.6854034513</v>
      </c>
      <c r="N92" s="169">
        <f t="shared" si="148"/>
        <v>-21518459.454546012</v>
      </c>
      <c r="O92" s="169">
        <f t="shared" si="148"/>
        <v>41081456.107546061</v>
      </c>
      <c r="P92" s="169">
        <f t="shared" si="148"/>
        <v>20872104.457110606</v>
      </c>
      <c r="Q92" s="169">
        <f t="shared" si="148"/>
        <v>17608388.76393307</v>
      </c>
      <c r="R92" s="169">
        <f t="shared" si="148"/>
        <v>-8566748.4253673926</v>
      </c>
      <c r="S92" s="169">
        <f t="shared" si="148"/>
        <v>68986963.660406932</v>
      </c>
      <c r="T92" s="169">
        <f t="shared" si="148"/>
        <v>43661365.456039533</v>
      </c>
      <c r="U92" s="169">
        <f t="shared" si="148"/>
        <v>35292652.126199737</v>
      </c>
      <c r="V92" s="169">
        <f t="shared" ref="V92:W92" si="149">V81+V83+V84+V87</f>
        <v>7353524.1741743889</v>
      </c>
      <c r="W92" s="169">
        <f t="shared" si="149"/>
        <v>98999925.648390591</v>
      </c>
    </row>
    <row r="94" spans="2:23" ht="15.05" x14ac:dyDescent="0.3">
      <c r="B94" s="230" t="str">
        <f>"Present value of UFCF on "&amp;TEXT(F9,"mmm dd, yyyy")&amp;" valuation date"</f>
        <v>Present value of UFCF on Jan 00, 1900 valuation date</v>
      </c>
      <c r="C94" s="191"/>
      <c r="D94" s="191"/>
      <c r="E94" s="191"/>
      <c r="F94" s="191"/>
      <c r="G94" s="191"/>
      <c r="H94" s="191"/>
      <c r="I94" s="191"/>
      <c r="J94" s="191"/>
      <c r="K94" s="195"/>
      <c r="L94" s="193" t="s">
        <v>343</v>
      </c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</row>
    <row r="95" spans="2:23" ht="15.05" x14ac:dyDescent="0.3">
      <c r="B95" t="s">
        <v>333</v>
      </c>
      <c r="C95" s="198" t="s">
        <v>334</v>
      </c>
      <c r="D95" s="198" t="s">
        <v>335</v>
      </c>
      <c r="E95" s="198" t="s">
        <v>336</v>
      </c>
      <c r="F95" s="198" t="s">
        <v>337</v>
      </c>
      <c r="G95" s="199" t="s">
        <v>338</v>
      </c>
      <c r="H95" s="199" t="s">
        <v>339</v>
      </c>
      <c r="I95" s="199" t="s">
        <v>340</v>
      </c>
      <c r="J95" s="199" t="s">
        <v>341</v>
      </c>
      <c r="K95" s="200" t="s">
        <v>342</v>
      </c>
      <c r="L95" s="5" t="s">
        <v>344</v>
      </c>
      <c r="M95" s="5" t="s">
        <v>345</v>
      </c>
      <c r="N95" s="5" t="s">
        <v>346</v>
      </c>
      <c r="O95" s="5" t="s">
        <v>347</v>
      </c>
      <c r="P95" s="5" t="s">
        <v>348</v>
      </c>
      <c r="Q95" s="5" t="s">
        <v>349</v>
      </c>
      <c r="R95" s="5" t="s">
        <v>350</v>
      </c>
      <c r="S95" s="5" t="s">
        <v>351</v>
      </c>
      <c r="T95" s="5" t="s">
        <v>352</v>
      </c>
      <c r="U95" s="5" t="s">
        <v>353</v>
      </c>
      <c r="V95" s="5" t="s">
        <v>392</v>
      </c>
      <c r="W95" s="5" t="s">
        <v>393</v>
      </c>
    </row>
    <row r="96" spans="2:23" ht="15.05" x14ac:dyDescent="0.3">
      <c r="B96" s="192" t="s">
        <v>377</v>
      </c>
      <c r="C96" s="201">
        <v>44752</v>
      </c>
      <c r="D96" s="201">
        <v>44836</v>
      </c>
      <c r="E96" s="201">
        <v>44920</v>
      </c>
      <c r="F96" s="201">
        <v>45032</v>
      </c>
      <c r="G96" s="201">
        <v>45116</v>
      </c>
      <c r="H96" s="201">
        <v>45200</v>
      </c>
      <c r="I96" s="201">
        <v>45291</v>
      </c>
      <c r="J96" s="201">
        <v>45403</v>
      </c>
      <c r="K96" s="202">
        <v>45487</v>
      </c>
      <c r="L96" s="201">
        <f>K96+90</f>
        <v>45577</v>
      </c>
      <c r="M96" s="201">
        <f t="shared" ref="M96:W96" si="150">L96+90</f>
        <v>45667</v>
      </c>
      <c r="N96" s="201">
        <f t="shared" si="150"/>
        <v>45757</v>
      </c>
      <c r="O96" s="201">
        <f t="shared" si="150"/>
        <v>45847</v>
      </c>
      <c r="P96" s="201">
        <f t="shared" si="150"/>
        <v>45937</v>
      </c>
      <c r="Q96" s="201">
        <f t="shared" si="150"/>
        <v>46027</v>
      </c>
      <c r="R96" s="201">
        <f t="shared" si="150"/>
        <v>46117</v>
      </c>
      <c r="S96" s="201">
        <f t="shared" si="150"/>
        <v>46207</v>
      </c>
      <c r="T96" s="201">
        <f t="shared" si="150"/>
        <v>46297</v>
      </c>
      <c r="U96" s="201">
        <f t="shared" si="150"/>
        <v>46387</v>
      </c>
      <c r="V96" s="201">
        <f t="shared" si="150"/>
        <v>46477</v>
      </c>
      <c r="W96" s="201">
        <f t="shared" si="150"/>
        <v>46567</v>
      </c>
    </row>
    <row r="97" spans="2:23" x14ac:dyDescent="0.25">
      <c r="B97" t="s">
        <v>374</v>
      </c>
      <c r="F97" s="225"/>
      <c r="G97" s="225"/>
      <c r="H97" s="225"/>
      <c r="I97" s="225"/>
      <c r="J97" s="225"/>
      <c r="K97" s="231">
        <f ca="1">F4</f>
        <v>45608</v>
      </c>
    </row>
    <row r="98" spans="2:23" x14ac:dyDescent="0.25">
      <c r="B98" t="s">
        <v>378</v>
      </c>
      <c r="F98" s="225"/>
      <c r="G98" s="225"/>
      <c r="H98" s="225"/>
      <c r="I98" s="225"/>
      <c r="J98" s="225"/>
      <c r="K98" s="231">
        <f ca="1">K97</f>
        <v>45608</v>
      </c>
      <c r="L98" s="232">
        <f>L96</f>
        <v>45577</v>
      </c>
      <c r="M98" s="232">
        <f t="shared" ref="M98:W98" si="151">M96</f>
        <v>45667</v>
      </c>
      <c r="N98" s="232">
        <f t="shared" si="151"/>
        <v>45757</v>
      </c>
      <c r="O98" s="232">
        <f t="shared" si="151"/>
        <v>45847</v>
      </c>
      <c r="P98" s="232">
        <f t="shared" si="151"/>
        <v>45937</v>
      </c>
      <c r="Q98" s="232">
        <f t="shared" si="151"/>
        <v>46027</v>
      </c>
      <c r="R98" s="232">
        <f t="shared" si="151"/>
        <v>46117</v>
      </c>
      <c r="S98" s="232">
        <f t="shared" si="151"/>
        <v>46207</v>
      </c>
      <c r="T98" s="232">
        <f t="shared" si="151"/>
        <v>46297</v>
      </c>
      <c r="U98" s="232">
        <f t="shared" si="151"/>
        <v>46387</v>
      </c>
      <c r="V98" s="232">
        <f t="shared" si="151"/>
        <v>46477</v>
      </c>
      <c r="W98" s="232">
        <f t="shared" si="151"/>
        <v>46567</v>
      </c>
    </row>
    <row r="99" spans="2:23" x14ac:dyDescent="0.25">
      <c r="B99" s="73" t="s">
        <v>372</v>
      </c>
      <c r="C99" s="73"/>
      <c r="D99" s="73"/>
      <c r="E99" s="73"/>
      <c r="F99" s="73"/>
      <c r="G99" s="73"/>
      <c r="H99" s="73"/>
      <c r="I99" s="73"/>
      <c r="J99" s="233"/>
      <c r="K99" s="234">
        <f ca="1">YEARFRAC(K98,K96)*4</f>
        <v>1.3111111111111111</v>
      </c>
      <c r="L99" s="68">
        <f ca="1">K99*L92</f>
        <v>-3573523.3365245601</v>
      </c>
      <c r="M99" s="68">
        <f>+M92</f>
        <v>-1940517.6854034513</v>
      </c>
      <c r="N99" s="68">
        <f t="shared" ref="N99:W99" si="152">+N92</f>
        <v>-21518459.454546012</v>
      </c>
      <c r="O99" s="68">
        <f t="shared" si="152"/>
        <v>41081456.107546061</v>
      </c>
      <c r="P99" s="68">
        <f t="shared" si="152"/>
        <v>20872104.457110606</v>
      </c>
      <c r="Q99" s="68">
        <f t="shared" si="152"/>
        <v>17608388.76393307</v>
      </c>
      <c r="R99" s="68">
        <f t="shared" si="152"/>
        <v>-8566748.4253673926</v>
      </c>
      <c r="S99" s="68">
        <f t="shared" si="152"/>
        <v>68986963.660406932</v>
      </c>
      <c r="T99" s="68">
        <f t="shared" si="152"/>
        <v>43661365.456039533</v>
      </c>
      <c r="U99" s="68">
        <f t="shared" si="152"/>
        <v>35292652.126199737</v>
      </c>
      <c r="V99" s="68">
        <f t="shared" si="152"/>
        <v>7353524.1741743889</v>
      </c>
      <c r="W99" s="68">
        <f t="shared" si="152"/>
        <v>98999925.648390591</v>
      </c>
    </row>
    <row r="100" spans="2:23" ht="15.05" x14ac:dyDescent="0.3">
      <c r="B100" s="224" t="s">
        <v>373</v>
      </c>
      <c r="L100" s="235">
        <f t="shared" ref="L100:W100" ca="1" si="153">L99/(1+$F$5)^((L98-$K$98)/365)</f>
        <v>-3602567.8227196261</v>
      </c>
      <c r="M100" s="235">
        <f t="shared" ca="1" si="153"/>
        <v>-1910850.5987555394</v>
      </c>
      <c r="N100" s="235">
        <f t="shared" ca="1" si="153"/>
        <v>-20697309.226910628</v>
      </c>
      <c r="O100" s="235">
        <f t="shared" ca="1" si="153"/>
        <v>38595984.655841641</v>
      </c>
      <c r="P100" s="235">
        <f t="shared" ca="1" si="153"/>
        <v>19153851.703815073</v>
      </c>
      <c r="Q100" s="235">
        <f t="shared" ca="1" si="153"/>
        <v>15783491.607826207</v>
      </c>
      <c r="R100" s="235">
        <f t="shared" ca="1" si="153"/>
        <v>-7500549.1873334823</v>
      </c>
      <c r="S100" s="235">
        <f t="shared" ca="1" si="153"/>
        <v>58998051.02574753</v>
      </c>
      <c r="T100" s="235">
        <f t="shared" ca="1" si="153"/>
        <v>36472164.046504565</v>
      </c>
      <c r="U100" s="235">
        <f t="shared" ca="1" si="153"/>
        <v>28796658.680242777</v>
      </c>
      <c r="V100" s="235">
        <f t="shared" ca="1" si="153"/>
        <v>5860665.2012742143</v>
      </c>
      <c r="W100" s="235">
        <f t="shared" ca="1" si="153"/>
        <v>77069020.756646603</v>
      </c>
    </row>
    <row r="103" spans="2:23" ht="15.05" x14ac:dyDescent="0.3">
      <c r="B103" s="228" t="s">
        <v>379</v>
      </c>
      <c r="C103" s="228"/>
      <c r="E103" s="228" t="s">
        <v>380</v>
      </c>
      <c r="F103" s="236"/>
      <c r="G103" s="236"/>
      <c r="H103" s="236"/>
      <c r="I103" s="236"/>
    </row>
    <row r="104" spans="2:23" ht="15.05" x14ac:dyDescent="0.3">
      <c r="B104" t="s">
        <v>381</v>
      </c>
      <c r="C104" s="237">
        <v>0.03</v>
      </c>
      <c r="E104" t="s">
        <v>382</v>
      </c>
      <c r="I104" s="238">
        <f>SUM(T47:W47)</f>
        <v>236812781.38825569</v>
      </c>
    </row>
    <row r="105" spans="2:23" ht="15.05" x14ac:dyDescent="0.3">
      <c r="B105" s="239" t="s">
        <v>394</v>
      </c>
      <c r="C105" s="238">
        <f ca="1">SUM(T100:W100)*(1+C104)</f>
        <v>152644463.94520819</v>
      </c>
      <c r="E105" t="s">
        <v>383</v>
      </c>
      <c r="I105" s="240">
        <v>12.5</v>
      </c>
      <c r="L105" s="145"/>
    </row>
    <row r="106" spans="2:23" x14ac:dyDescent="0.25">
      <c r="B106" t="s">
        <v>395</v>
      </c>
      <c r="C106" s="238">
        <f ca="1">C105/(F5-C104)</f>
        <v>2180635199.2172599</v>
      </c>
      <c r="E106" t="s">
        <v>395</v>
      </c>
      <c r="I106" s="238">
        <f>I104*I105</f>
        <v>2960159767.3531961</v>
      </c>
    </row>
    <row r="107" spans="2:23" x14ac:dyDescent="0.25">
      <c r="B107" t="s">
        <v>384</v>
      </c>
      <c r="C107" s="238">
        <f ca="1">C106/(1+F5)^((W98-K98)/365)</f>
        <v>1697571168.1646225</v>
      </c>
      <c r="E107" t="s">
        <v>384</v>
      </c>
      <c r="I107" s="238">
        <f ca="1">I106/(1+F5)^((W98-K98)/365)</f>
        <v>2304411978.685586</v>
      </c>
      <c r="L107" s="145"/>
    </row>
    <row r="108" spans="2:23" ht="15.05" x14ac:dyDescent="0.3">
      <c r="B108" t="s">
        <v>385</v>
      </c>
      <c r="C108" s="241">
        <f ca="1">SUM(L100:S100)</f>
        <v>98820102.157511175</v>
      </c>
      <c r="E108" t="s">
        <v>385</v>
      </c>
      <c r="I108" s="238">
        <f ca="1">C108</f>
        <v>98820102.157511175</v>
      </c>
    </row>
    <row r="109" spans="2:23" ht="15.05" x14ac:dyDescent="0.3">
      <c r="B109" s="224" t="s">
        <v>386</v>
      </c>
      <c r="C109" s="242">
        <f ca="1">SUM(C107:C108)</f>
        <v>1796391270.3221338</v>
      </c>
      <c r="D109" s="243"/>
      <c r="E109" s="224" t="s">
        <v>387</v>
      </c>
      <c r="I109" s="242">
        <f ca="1">SUM(I107:I108)</f>
        <v>2403232080.8430972</v>
      </c>
    </row>
    <row r="110" spans="2:23" x14ac:dyDescent="0.25">
      <c r="D110" s="244"/>
    </row>
    <row r="111" spans="2:23" ht="15.05" x14ac:dyDescent="0.3">
      <c r="B111" s="245" t="s">
        <v>388</v>
      </c>
      <c r="C111" s="246">
        <f ca="1">C107/C109</f>
        <v>0.94498965576703642</v>
      </c>
      <c r="E111" s="245" t="s">
        <v>388</v>
      </c>
      <c r="I111" s="246" t="e">
        <f ca="1">I107/$I$48</f>
        <v>#DIV/0!</v>
      </c>
    </row>
    <row r="112" spans="2:23" ht="15.05" x14ac:dyDescent="0.3">
      <c r="B112" s="245" t="s">
        <v>389</v>
      </c>
      <c r="C112" s="246">
        <f ca="1">C108/C109</f>
        <v>5.5010344232963505E-2</v>
      </c>
      <c r="E112" s="245" t="s">
        <v>389</v>
      </c>
      <c r="G112" s="247"/>
      <c r="I112" s="246" t="e">
        <f t="shared" ref="I112" ca="1" si="154">I108/$I$48</f>
        <v>#DIV/0!</v>
      </c>
    </row>
    <row r="113" spans="2:9" ht="15.05" x14ac:dyDescent="0.3">
      <c r="B113" s="245" t="s">
        <v>390</v>
      </c>
      <c r="C113" s="248">
        <f ca="1">C106/(SUM(T47:W47))</f>
        <v>9.2082664898145765</v>
      </c>
      <c r="E113" t="s">
        <v>391</v>
      </c>
      <c r="I113" s="249">
        <f>(H66-I100/I106)/(1+I100/I106)</f>
        <v>0</v>
      </c>
    </row>
    <row r="116" spans="2:9" ht="15.05" x14ac:dyDescent="0.3">
      <c r="B116" s="228" t="s">
        <v>397</v>
      </c>
      <c r="C116" s="236"/>
      <c r="E116" s="228" t="s">
        <v>354</v>
      </c>
      <c r="F116" s="236"/>
      <c r="G116" s="228"/>
      <c r="H116" s="236"/>
      <c r="I116" s="236"/>
    </row>
    <row r="117" spans="2:9" ht="15.05" x14ac:dyDescent="0.3">
      <c r="B117" t="s">
        <v>398</v>
      </c>
      <c r="C117" s="251" t="s">
        <v>416</v>
      </c>
    </row>
    <row r="118" spans="2:9" ht="15.05" x14ac:dyDescent="0.3">
      <c r="B118" s="252" t="s">
        <v>400</v>
      </c>
      <c r="C118" s="253">
        <v>45487</v>
      </c>
      <c r="G118" s="263" t="s">
        <v>398</v>
      </c>
      <c r="H118" s="264" t="s">
        <v>409</v>
      </c>
      <c r="I118" s="264" t="s">
        <v>410</v>
      </c>
    </row>
    <row r="119" spans="2:9" ht="15.05" x14ac:dyDescent="0.3">
      <c r="B119" s="254" t="s">
        <v>401</v>
      </c>
      <c r="C119" s="255"/>
      <c r="E119" t="s">
        <v>411</v>
      </c>
      <c r="G119" s="251" t="s">
        <v>399</v>
      </c>
      <c r="H119" s="251">
        <v>43847</v>
      </c>
      <c r="I119" s="265">
        <v>4375.4799999999996</v>
      </c>
    </row>
    <row r="120" spans="2:9" ht="15.05" x14ac:dyDescent="0.3">
      <c r="B120" s="6" t="s">
        <v>402</v>
      </c>
      <c r="C120" s="256">
        <v>700000</v>
      </c>
      <c r="E120" s="252" t="s">
        <v>412</v>
      </c>
      <c r="G120" s="251" t="s">
        <v>399</v>
      </c>
      <c r="H120" s="251">
        <v>43827</v>
      </c>
      <c r="I120" s="265">
        <v>96.02</v>
      </c>
    </row>
    <row r="121" spans="2:9" ht="15.05" x14ac:dyDescent="0.3">
      <c r="B121" s="6" t="s">
        <v>403</v>
      </c>
      <c r="C121" s="257">
        <f>[1]Shares!E88+[1]Shares!E94</f>
        <v>0</v>
      </c>
      <c r="E121" s="252" t="s">
        <v>413</v>
      </c>
      <c r="G121" s="251"/>
      <c r="H121" s="251"/>
      <c r="I121" s="266">
        <f>[1]Shares!E83</f>
        <v>0</v>
      </c>
    </row>
    <row r="122" spans="2:9" ht="15.05" x14ac:dyDescent="0.3">
      <c r="B122" s="6" t="s">
        <v>404</v>
      </c>
      <c r="C122" s="257">
        <f>[1]Shares!E97+[1]Shares!E104</f>
        <v>0</v>
      </c>
      <c r="E122" t="s">
        <v>403</v>
      </c>
      <c r="G122" s="251"/>
      <c r="H122" s="251"/>
      <c r="I122" s="266">
        <f>[1]Shares!E93</f>
        <v>0</v>
      </c>
    </row>
    <row r="123" spans="2:9" ht="15.05" x14ac:dyDescent="0.3">
      <c r="B123" s="258" t="s">
        <v>405</v>
      </c>
      <c r="C123" s="259">
        <v>0</v>
      </c>
      <c r="E123" t="s">
        <v>414</v>
      </c>
      <c r="G123" s="251"/>
      <c r="H123" s="251"/>
      <c r="I123" s="266">
        <f>[1]Shares!E103</f>
        <v>0</v>
      </c>
    </row>
    <row r="124" spans="2:9" ht="15.05" x14ac:dyDescent="0.3">
      <c r="B124" s="254" t="s">
        <v>406</v>
      </c>
      <c r="E124" s="267" t="s">
        <v>415</v>
      </c>
      <c r="I124" s="268">
        <f>SUM(I119:I123)</f>
        <v>4471.5</v>
      </c>
    </row>
    <row r="125" spans="2:9" ht="15.05" x14ac:dyDescent="0.3">
      <c r="B125" s="260" t="s">
        <v>407</v>
      </c>
      <c r="C125" s="259">
        <v>343748000</v>
      </c>
    </row>
    <row r="126" spans="2:9" ht="15.05" x14ac:dyDescent="0.3">
      <c r="B126" s="260" t="s">
        <v>408</v>
      </c>
      <c r="C126" s="259">
        <v>0</v>
      </c>
    </row>
    <row r="128" spans="2:9" ht="15.05" x14ac:dyDescent="0.3">
      <c r="B128" s="261" t="s">
        <v>397</v>
      </c>
      <c r="C128" s="262">
        <f>SUM(C120:C123)-SUM(C125:C126)</f>
        <v>-343048000</v>
      </c>
    </row>
    <row r="130" spans="2:4" ht="15.05" x14ac:dyDescent="0.3">
      <c r="B130" s="228" t="s">
        <v>417</v>
      </c>
      <c r="C130" s="236"/>
      <c r="D130" s="236"/>
    </row>
    <row r="131" spans="2:4" ht="16.899999999999999" x14ac:dyDescent="0.45">
      <c r="C131" s="269" t="s">
        <v>418</v>
      </c>
      <c r="D131" s="269" t="s">
        <v>396</v>
      </c>
    </row>
    <row r="132" spans="2:4" x14ac:dyDescent="0.25">
      <c r="B132" t="s">
        <v>419</v>
      </c>
      <c r="C132" s="270">
        <f ca="1">C109</f>
        <v>1796391270.3221338</v>
      </c>
      <c r="D132" s="270">
        <f ca="1">I109</f>
        <v>2403232080.8430972</v>
      </c>
    </row>
    <row r="133" spans="2:4" ht="15.05" x14ac:dyDescent="0.3">
      <c r="B133" t="s">
        <v>397</v>
      </c>
      <c r="C133" s="271">
        <f>C128</f>
        <v>-343048000</v>
      </c>
      <c r="D133" s="271">
        <f>C133</f>
        <v>-343048000</v>
      </c>
    </row>
    <row r="134" spans="2:4" x14ac:dyDescent="0.25">
      <c r="B134" t="s">
        <v>420</v>
      </c>
      <c r="C134" s="272">
        <f ca="1">C132-C133</f>
        <v>2139439270.3221338</v>
      </c>
      <c r="D134" s="272">
        <f ca="1">D132-D133</f>
        <v>2746280080.8430972</v>
      </c>
    </row>
    <row r="135" spans="2:4" x14ac:dyDescent="0.25">
      <c r="B135" t="s">
        <v>354</v>
      </c>
      <c r="C135" s="272">
        <f>C10</f>
        <v>114130000</v>
      </c>
      <c r="D135" s="272">
        <f>C135</f>
        <v>114130000</v>
      </c>
    </row>
    <row r="136" spans="2:4" ht="15.05" x14ac:dyDescent="0.3">
      <c r="B136" s="224" t="s">
        <v>421</v>
      </c>
      <c r="C136" s="273">
        <f ca="1">C134/C135</f>
        <v>18.745634542382668</v>
      </c>
      <c r="D136" s="273">
        <f t="shared" ref="D136" ca="1" si="155">D134/D135</f>
        <v>24.062736185429749</v>
      </c>
    </row>
    <row r="137" spans="2:4" ht="15.05" x14ac:dyDescent="0.3">
      <c r="B137" s="224"/>
      <c r="C137" s="273"/>
      <c r="D137" s="273"/>
    </row>
    <row r="138" spans="2:4" ht="15.05" x14ac:dyDescent="0.3">
      <c r="B138" s="263" t="s">
        <v>422</v>
      </c>
      <c r="C138" s="264" t="s">
        <v>418</v>
      </c>
      <c r="D138" s="264" t="s">
        <v>396</v>
      </c>
    </row>
    <row r="139" spans="2:4" x14ac:dyDescent="0.25">
      <c r="B139" t="s">
        <v>423</v>
      </c>
      <c r="C139" s="274">
        <f ca="1">C132/SUM(L16:O16)</f>
        <v>1.5450813346367118</v>
      </c>
      <c r="D139" s="274">
        <f ca="1">D132/$E$14</f>
        <v>53500.2689412978</v>
      </c>
    </row>
    <row r="140" spans="2:4" x14ac:dyDescent="0.25">
      <c r="B140" t="s">
        <v>424</v>
      </c>
      <c r="C140" s="275">
        <f ca="1">C132/$E$16</f>
        <v>13.825307040613644</v>
      </c>
      <c r="D140" s="275">
        <f ca="1">D132/$E$16</f>
        <v>18.495648446093025</v>
      </c>
    </row>
    <row r="141" spans="2:4" ht="15.05" x14ac:dyDescent="0.3">
      <c r="B141" s="241" t="s">
        <v>425</v>
      </c>
      <c r="C141" s="275">
        <f ca="1">C132/$E$18</f>
        <v>49.976109899071744</v>
      </c>
      <c r="D141" s="275">
        <f ca="1">D132/$E$18</f>
        <v>66.858591760831743</v>
      </c>
    </row>
  </sheetData>
  <dataValidations disablePrompts="1" count="1">
    <dataValidation type="list" allowBlank="1" showInputMessage="1" showErrorMessage="1" sqref="C6" xr:uid="{0497892E-B37E-4B8C-80A0-A30F02E300F4}">
      <formula1>"0,1"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7A4B-0379-4E79-B8C1-F7A57D239C30}">
  <dimension ref="A1:S27"/>
  <sheetViews>
    <sheetView showGridLines="0" zoomScale="110" zoomScaleNormal="110" workbookViewId="0">
      <pane ySplit="1" topLeftCell="A2" activePane="bottomLeft" state="frozen"/>
      <selection pane="bottomLeft" activeCell="G16" sqref="G16"/>
    </sheetView>
  </sheetViews>
  <sheetFormatPr defaultRowHeight="13.15" x14ac:dyDescent="0.25"/>
  <cols>
    <col min="1" max="1" width="4.109375" customWidth="1"/>
    <col min="3" max="3" width="11.21875" customWidth="1"/>
    <col min="6" max="6" width="6" customWidth="1"/>
  </cols>
  <sheetData>
    <row r="1" spans="1:18" x14ac:dyDescent="0.25">
      <c r="A1" s="138" t="str">
        <f>Cover!E3</f>
        <v>$CAVA</v>
      </c>
      <c r="G1" s="24" t="s">
        <v>46</v>
      </c>
      <c r="H1" s="24" t="s">
        <v>47</v>
      </c>
      <c r="I1" s="24" t="s">
        <v>48</v>
      </c>
      <c r="J1" s="24" t="s">
        <v>49</v>
      </c>
      <c r="K1" s="24" t="s">
        <v>50</v>
      </c>
      <c r="L1" s="24" t="s">
        <v>58</v>
      </c>
      <c r="M1" s="24" t="s">
        <v>60</v>
      </c>
      <c r="N1" s="24" t="s">
        <v>63</v>
      </c>
      <c r="O1" s="24" t="s">
        <v>99</v>
      </c>
      <c r="P1" s="24" t="s">
        <v>100</v>
      </c>
      <c r="Q1" s="24" t="s">
        <v>375</v>
      </c>
      <c r="R1" s="24" t="s">
        <v>376</v>
      </c>
    </row>
    <row r="2" spans="1:18" x14ac:dyDescent="0.25"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ht="17.55" x14ac:dyDescent="0.3">
      <c r="B3" s="70" t="s">
        <v>109</v>
      </c>
      <c r="D3" s="93">
        <v>2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15.05" x14ac:dyDescent="0.25">
      <c r="B5" s="69" t="s">
        <v>105</v>
      </c>
    </row>
    <row r="7" spans="1:18" x14ac:dyDescent="0.25">
      <c r="B7" s="97" t="s">
        <v>62</v>
      </c>
      <c r="G7" s="94">
        <f>CHOOSE($D$3,G9,G10,G11)</f>
        <v>0.15</v>
      </c>
      <c r="H7" s="95">
        <f t="shared" ref="H7:P7" si="0">CHOOSE($D$3,H9,H10,H11)</f>
        <v>0.14749999999999999</v>
      </c>
      <c r="I7" s="95">
        <f t="shared" si="0"/>
        <v>0.14499999999999999</v>
      </c>
      <c r="J7" s="95">
        <f t="shared" si="0"/>
        <v>0.14249999999999999</v>
      </c>
      <c r="K7" s="95">
        <f t="shared" si="0"/>
        <v>0.13749999999999998</v>
      </c>
      <c r="L7" s="95">
        <f t="shared" si="0"/>
        <v>0.13249999999999998</v>
      </c>
      <c r="M7" s="95">
        <f t="shared" si="0"/>
        <v>0.12749999999999997</v>
      </c>
      <c r="N7" s="95">
        <f t="shared" si="0"/>
        <v>0.12249999999999997</v>
      </c>
      <c r="O7" s="95">
        <f t="shared" si="0"/>
        <v>0.11749999999999997</v>
      </c>
      <c r="P7" s="96">
        <f t="shared" si="0"/>
        <v>0.11249999999999996</v>
      </c>
      <c r="Q7" s="96">
        <f t="shared" ref="Q7:R7" si="1">CHOOSE($D$3,Q9,Q10,Q11)</f>
        <v>0.10749999999999996</v>
      </c>
      <c r="R7" s="96">
        <f t="shared" si="1"/>
        <v>0.10249999999999995</v>
      </c>
    </row>
    <row r="8" spans="1:18" ht="5.05" customHeight="1" x14ac:dyDescent="0.25"/>
    <row r="9" spans="1:18" x14ac:dyDescent="0.25">
      <c r="B9" s="6" t="s">
        <v>106</v>
      </c>
      <c r="G9" s="76">
        <v>9.5000000000000001E-2</v>
      </c>
      <c r="H9" s="77">
        <v>9.5000000000000001E-2</v>
      </c>
      <c r="I9" s="77">
        <v>9.5000000000000001E-2</v>
      </c>
      <c r="J9" s="77">
        <f>I9-0.0025</f>
        <v>9.2499999999999999E-2</v>
      </c>
      <c r="K9" s="77">
        <f t="shared" ref="K9:P11" si="2">J9-0.005</f>
        <v>8.7499999999999994E-2</v>
      </c>
      <c r="L9" s="77">
        <f t="shared" si="2"/>
        <v>8.249999999999999E-2</v>
      </c>
      <c r="M9" s="77">
        <f t="shared" si="2"/>
        <v>7.7499999999999986E-2</v>
      </c>
      <c r="N9" s="77">
        <f t="shared" si="2"/>
        <v>7.2499999999999981E-2</v>
      </c>
      <c r="O9" s="77">
        <f t="shared" si="2"/>
        <v>6.7499999999999977E-2</v>
      </c>
      <c r="P9" s="78">
        <f t="shared" si="2"/>
        <v>6.2499999999999979E-2</v>
      </c>
      <c r="Q9" s="78">
        <f t="shared" ref="Q9:Q11" si="3">P9-0.005</f>
        <v>5.7499999999999982E-2</v>
      </c>
      <c r="R9" s="78">
        <f t="shared" ref="R9:R11" si="4">Q9-0.005</f>
        <v>5.2499999999999984E-2</v>
      </c>
    </row>
    <row r="10" spans="1:18" x14ac:dyDescent="0.25">
      <c r="B10" s="6" t="s">
        <v>107</v>
      </c>
      <c r="G10" s="79">
        <v>0.15</v>
      </c>
      <c r="H10" s="80">
        <f t="shared" ref="H10:I10" si="5">G10-0.0025</f>
        <v>0.14749999999999999</v>
      </c>
      <c r="I10" s="80">
        <f t="shared" si="5"/>
        <v>0.14499999999999999</v>
      </c>
      <c r="J10" s="80">
        <f>I10-0.0025</f>
        <v>0.14249999999999999</v>
      </c>
      <c r="K10" s="80">
        <f t="shared" si="2"/>
        <v>0.13749999999999998</v>
      </c>
      <c r="L10" s="80">
        <f t="shared" si="2"/>
        <v>0.13249999999999998</v>
      </c>
      <c r="M10" s="80">
        <f t="shared" si="2"/>
        <v>0.12749999999999997</v>
      </c>
      <c r="N10" s="80">
        <f t="shared" si="2"/>
        <v>0.12249999999999997</v>
      </c>
      <c r="O10" s="80">
        <f t="shared" si="2"/>
        <v>0.11749999999999997</v>
      </c>
      <c r="P10" s="81">
        <f t="shared" si="2"/>
        <v>0.11249999999999996</v>
      </c>
      <c r="Q10" s="81">
        <f t="shared" si="3"/>
        <v>0.10749999999999996</v>
      </c>
      <c r="R10" s="81">
        <f t="shared" si="4"/>
        <v>0.10249999999999995</v>
      </c>
    </row>
    <row r="11" spans="1:18" x14ac:dyDescent="0.25">
      <c r="B11" s="6" t="s">
        <v>108</v>
      </c>
      <c r="G11" s="82">
        <v>8.5000000000000006E-2</v>
      </c>
      <c r="H11" s="83">
        <v>8.2500000000000004E-2</v>
      </c>
      <c r="I11" s="83">
        <v>0.08</v>
      </c>
      <c r="J11" s="83">
        <f>I11-0.0025</f>
        <v>7.7499999999999999E-2</v>
      </c>
      <c r="K11" s="83">
        <f t="shared" si="2"/>
        <v>7.2499999999999995E-2</v>
      </c>
      <c r="L11" s="83">
        <f t="shared" si="2"/>
        <v>6.7499999999999991E-2</v>
      </c>
      <c r="M11" s="83">
        <f t="shared" si="2"/>
        <v>6.2499999999999993E-2</v>
      </c>
      <c r="N11" s="83">
        <f t="shared" si="2"/>
        <v>5.7499999999999996E-2</v>
      </c>
      <c r="O11" s="83">
        <f t="shared" si="2"/>
        <v>5.2499999999999998E-2</v>
      </c>
      <c r="P11" s="84">
        <f t="shared" si="2"/>
        <v>4.7500000000000001E-2</v>
      </c>
      <c r="Q11" s="84">
        <f t="shared" si="3"/>
        <v>4.2500000000000003E-2</v>
      </c>
      <c r="R11" s="84">
        <f t="shared" si="4"/>
        <v>3.7500000000000006E-2</v>
      </c>
    </row>
    <row r="13" spans="1:18" x14ac:dyDescent="0.25">
      <c r="B13" s="97" t="s">
        <v>110</v>
      </c>
      <c r="G13" s="98">
        <f>CHOOSE($D$3,G15,G16,G17)</f>
        <v>14</v>
      </c>
      <c r="H13" s="99">
        <f t="shared" ref="H13:P13" si="6">CHOOSE($D$3,H15,H16,H17)</f>
        <v>13</v>
      </c>
      <c r="I13" s="99">
        <f t="shared" si="6"/>
        <v>12</v>
      </c>
      <c r="J13" s="99">
        <f t="shared" si="6"/>
        <v>11</v>
      </c>
      <c r="K13" s="99">
        <f t="shared" si="6"/>
        <v>11</v>
      </c>
      <c r="L13" s="99">
        <f t="shared" si="6"/>
        <v>10</v>
      </c>
      <c r="M13" s="99">
        <f t="shared" si="6"/>
        <v>10</v>
      </c>
      <c r="N13" s="99">
        <f t="shared" si="6"/>
        <v>9</v>
      </c>
      <c r="O13" s="99">
        <f t="shared" si="6"/>
        <v>9</v>
      </c>
      <c r="P13" s="100">
        <f t="shared" si="6"/>
        <v>9</v>
      </c>
      <c r="Q13" s="100">
        <f t="shared" ref="Q13:R13" si="7">CHOOSE($D$3,Q15,Q16,Q17)</f>
        <v>8</v>
      </c>
      <c r="R13" s="100">
        <f t="shared" si="7"/>
        <v>7</v>
      </c>
    </row>
    <row r="14" spans="1:18" ht="6.3" customHeight="1" x14ac:dyDescent="0.25"/>
    <row r="15" spans="1:18" x14ac:dyDescent="0.25">
      <c r="B15" s="6" t="s">
        <v>106</v>
      </c>
      <c r="G15" s="85">
        <v>13</v>
      </c>
      <c r="H15" s="86">
        <v>12</v>
      </c>
      <c r="I15" s="86">
        <v>11</v>
      </c>
      <c r="J15" s="86">
        <v>10</v>
      </c>
      <c r="K15" s="86">
        <v>10</v>
      </c>
      <c r="L15" s="86">
        <f>K15-1</f>
        <v>9</v>
      </c>
      <c r="M15" s="86">
        <f>L15-1</f>
        <v>8</v>
      </c>
      <c r="N15" s="86">
        <v>8</v>
      </c>
      <c r="O15" s="86">
        <f>N15-1</f>
        <v>7</v>
      </c>
      <c r="P15" s="108">
        <v>7</v>
      </c>
      <c r="Q15" s="108">
        <v>6</v>
      </c>
      <c r="R15" s="108">
        <v>5</v>
      </c>
    </row>
    <row r="16" spans="1:18" x14ac:dyDescent="0.25">
      <c r="B16" s="6" t="s">
        <v>107</v>
      </c>
      <c r="G16" s="87">
        <v>14</v>
      </c>
      <c r="H16" s="88">
        <v>13</v>
      </c>
      <c r="I16" s="88">
        <v>12</v>
      </c>
      <c r="J16" s="88">
        <v>11</v>
      </c>
      <c r="K16" s="88">
        <v>11</v>
      </c>
      <c r="L16" s="88">
        <v>10</v>
      </c>
      <c r="M16" s="88">
        <v>10</v>
      </c>
      <c r="N16" s="88">
        <v>9</v>
      </c>
      <c r="O16" s="88">
        <v>9</v>
      </c>
      <c r="P16" s="89">
        <v>9</v>
      </c>
      <c r="Q16" s="89">
        <v>8</v>
      </c>
      <c r="R16" s="89">
        <v>7</v>
      </c>
    </row>
    <row r="17" spans="1:19" x14ac:dyDescent="0.25">
      <c r="B17" s="6" t="s">
        <v>108</v>
      </c>
      <c r="G17" s="90">
        <v>12</v>
      </c>
      <c r="H17" s="91">
        <v>12</v>
      </c>
      <c r="I17" s="91">
        <v>11</v>
      </c>
      <c r="J17" s="91">
        <v>10</v>
      </c>
      <c r="K17" s="91">
        <v>9</v>
      </c>
      <c r="L17" s="91">
        <v>8</v>
      </c>
      <c r="M17" s="91">
        <v>7</v>
      </c>
      <c r="N17" s="91">
        <v>6</v>
      </c>
      <c r="O17" s="91">
        <v>5</v>
      </c>
      <c r="P17" s="92">
        <v>4</v>
      </c>
      <c r="Q17" s="92">
        <v>3</v>
      </c>
      <c r="R17" s="92">
        <v>3</v>
      </c>
      <c r="S17" s="88"/>
    </row>
    <row r="18" spans="1:19" ht="13.8" thickBot="1" x14ac:dyDescent="0.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</row>
    <row r="19" spans="1:19" ht="13.8" thickTop="1" x14ac:dyDescent="0.25"/>
    <row r="20" spans="1:19" ht="15.05" x14ac:dyDescent="0.25">
      <c r="B20" s="69" t="s">
        <v>111</v>
      </c>
    </row>
    <row r="21" spans="1:19" ht="15.05" x14ac:dyDescent="0.25">
      <c r="B21" s="69"/>
    </row>
    <row r="22" spans="1:19" x14ac:dyDescent="0.25">
      <c r="B22" s="97" t="s">
        <v>284</v>
      </c>
      <c r="G22" s="94">
        <f>G24</f>
        <v>0.02</v>
      </c>
      <c r="H22" s="94">
        <f t="shared" ref="H22:P22" si="8">H24</f>
        <v>0.02</v>
      </c>
      <c r="I22" s="94">
        <f t="shared" si="8"/>
        <v>0.02</v>
      </c>
      <c r="J22" s="94">
        <f t="shared" si="8"/>
        <v>0.02</v>
      </c>
      <c r="K22" s="94">
        <f t="shared" si="8"/>
        <v>0.02</v>
      </c>
      <c r="L22" s="94">
        <f t="shared" si="8"/>
        <v>0.02</v>
      </c>
      <c r="M22" s="94">
        <f t="shared" si="8"/>
        <v>0.02</v>
      </c>
      <c r="N22" s="94">
        <f t="shared" si="8"/>
        <v>0.02</v>
      </c>
      <c r="O22" s="94">
        <f t="shared" si="8"/>
        <v>0.02</v>
      </c>
      <c r="P22" s="94">
        <f t="shared" si="8"/>
        <v>0.02</v>
      </c>
      <c r="Q22" s="94">
        <f t="shared" ref="Q22:R22" si="9">Q24</f>
        <v>1.02</v>
      </c>
      <c r="R22" s="94">
        <f t="shared" si="9"/>
        <v>2.02</v>
      </c>
    </row>
    <row r="24" spans="1:19" x14ac:dyDescent="0.25">
      <c r="B24" s="6" t="s">
        <v>106</v>
      </c>
      <c r="G24" s="76">
        <v>0.02</v>
      </c>
      <c r="H24" s="76">
        <v>0.02</v>
      </c>
      <c r="I24" s="76">
        <v>0.02</v>
      </c>
      <c r="J24" s="76">
        <v>0.02</v>
      </c>
      <c r="K24" s="76">
        <v>0.02</v>
      </c>
      <c r="L24" s="76">
        <v>0.02</v>
      </c>
      <c r="M24" s="76">
        <v>0.02</v>
      </c>
      <c r="N24" s="76">
        <v>0.02</v>
      </c>
      <c r="O24" s="76">
        <v>0.02</v>
      </c>
      <c r="P24" s="76">
        <v>0.02</v>
      </c>
      <c r="Q24" s="76">
        <v>1.02</v>
      </c>
      <c r="R24" s="76">
        <v>2.02</v>
      </c>
    </row>
    <row r="26" spans="1:19" ht="13.8" thickBot="1" x14ac:dyDescent="0.3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9" ht="13.8" thickTop="1" x14ac:dyDescent="0.25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Drop Down 2">
              <controlPr defaultSize="0" autoLine="0" autoPict="0">
                <anchor moveWithCells="1">
                  <from>
                    <xdr:col>3</xdr:col>
                    <xdr:colOff>47708</xdr:colOff>
                    <xdr:row>1</xdr:row>
                    <xdr:rowOff>159026</xdr:rowOff>
                  </from>
                  <to>
                    <xdr:col>4</xdr:col>
                    <xdr:colOff>492981</xdr:colOff>
                    <xdr:row>3</xdr:row>
                    <xdr:rowOff>23854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CAVA-IncomeStatement-quarterly-</vt:lpstr>
      <vt:lpstr>CAVA-BalanceSheet-quarter (2)</vt:lpstr>
      <vt:lpstr>CAVA-CashFlow-quarterly-a (2)</vt:lpstr>
      <vt:lpstr>Cover</vt:lpstr>
      <vt:lpstr>Summary</vt:lpstr>
      <vt:lpstr>Model</vt:lpstr>
      <vt:lpstr>DCF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 Harper</dc:creator>
  <cp:lastModifiedBy>Grayson  Harper</cp:lastModifiedBy>
  <dcterms:created xsi:type="dcterms:W3CDTF">2024-08-14T18:26:04Z</dcterms:created>
  <dcterms:modified xsi:type="dcterms:W3CDTF">2024-11-12T21:51:11Z</dcterms:modified>
</cp:coreProperties>
</file>