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4439\Documents\Investing\Models\Finished Models\"/>
    </mc:Choice>
  </mc:AlternateContent>
  <xr:revisionPtr revIDLastSave="0" documentId="13_ncr:1_{2AFB65EA-94EE-45B5-BECB-4B3A3E08B016}" xr6:coauthVersionLast="47" xr6:coauthVersionMax="47" xr10:uidLastSave="{00000000-0000-0000-0000-000000000000}"/>
  <bookViews>
    <workbookView xWindow="-113" yWindow="-113" windowWidth="24267" windowHeight="13023" xr2:uid="{60113F9D-5CFD-421A-A8BE-4B75318C79EE}"/>
  </bookViews>
  <sheets>
    <sheet name="COVER" sheetId="10" r:id="rId1"/>
    <sheet name="DCF" sheetId="1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0" l="1"/>
  <c r="K122" i="1"/>
  <c r="L122" i="1" s="1"/>
  <c r="J122" i="1"/>
  <c r="D167" i="1"/>
  <c r="D165" i="1"/>
  <c r="D155" i="1"/>
  <c r="D154" i="1"/>
  <c r="D164" i="1"/>
  <c r="D161" i="1"/>
  <c r="D176" i="1"/>
  <c r="D175" i="1"/>
  <c r="J95" i="1"/>
  <c r="J86" i="1"/>
  <c r="J87" i="1"/>
  <c r="K87" i="1" s="1"/>
  <c r="L87" i="1" s="1"/>
  <c r="K129" i="1"/>
  <c r="L129" i="1"/>
  <c r="M129" i="1"/>
  <c r="N129" i="1"/>
  <c r="O129" i="1"/>
  <c r="J129" i="1"/>
  <c r="N122" i="1" l="1"/>
  <c r="M122" i="1"/>
  <c r="O122" i="1" s="1"/>
  <c r="C4" i="1"/>
  <c r="D177" i="1"/>
  <c r="D178" i="1" s="1"/>
  <c r="D145" i="1" s="1"/>
  <c r="H145" i="1" s="1"/>
  <c r="K86" i="1"/>
  <c r="M130" i="1"/>
  <c r="K95" i="1"/>
  <c r="L95" i="1" s="1"/>
  <c r="M95" i="1" s="1"/>
  <c r="N95" i="1" s="1"/>
  <c r="O95" i="1" s="1"/>
  <c r="M87" i="1"/>
  <c r="N87" i="1" s="1"/>
  <c r="O87" i="1" s="1"/>
  <c r="N131" i="1"/>
  <c r="O131" i="1"/>
  <c r="L131" i="1"/>
  <c r="M131" i="1"/>
  <c r="N130" i="1"/>
  <c r="K131" i="1"/>
  <c r="L130" i="1"/>
  <c r="O130" i="1"/>
  <c r="K130" i="1"/>
  <c r="L86" i="1" l="1"/>
  <c r="M86" i="1" l="1"/>
  <c r="N86" i="1" s="1"/>
  <c r="O86" i="1" s="1"/>
  <c r="I129" i="1" l="1"/>
  <c r="J131" i="1" s="1"/>
  <c r="E117" i="1"/>
  <c r="F117" i="1"/>
  <c r="G117" i="1"/>
  <c r="H117" i="1"/>
  <c r="I117" i="1"/>
  <c r="D117" i="1"/>
  <c r="I118" i="1"/>
  <c r="H118" i="1"/>
  <c r="G118" i="1"/>
  <c r="F118" i="1"/>
  <c r="E118" i="1"/>
  <c r="D118" i="1"/>
  <c r="G115" i="1"/>
  <c r="E122" i="1"/>
  <c r="F122" i="1"/>
  <c r="G122" i="1"/>
  <c r="H122" i="1"/>
  <c r="I122" i="1"/>
  <c r="D122" i="1"/>
  <c r="E112" i="1"/>
  <c r="F112" i="1"/>
  <c r="G112" i="1"/>
  <c r="H112" i="1"/>
  <c r="I112" i="1"/>
  <c r="J112" i="1" s="1"/>
  <c r="D112" i="1"/>
  <c r="I100" i="1"/>
  <c r="J100" i="1" s="1"/>
  <c r="H100" i="1"/>
  <c r="G100" i="1"/>
  <c r="F100" i="1"/>
  <c r="E100" i="1"/>
  <c r="D100" i="1"/>
  <c r="I99" i="1"/>
  <c r="J99" i="1" s="1"/>
  <c r="H99" i="1"/>
  <c r="G99" i="1"/>
  <c r="F99" i="1"/>
  <c r="E99" i="1"/>
  <c r="D99" i="1"/>
  <c r="H82" i="1"/>
  <c r="G82" i="1"/>
  <c r="F82" i="1"/>
  <c r="E82" i="1"/>
  <c r="E97" i="1" s="1"/>
  <c r="D82" i="1"/>
  <c r="J130" i="1" l="1"/>
  <c r="I130" i="1"/>
  <c r="E119" i="1"/>
  <c r="I119" i="1"/>
  <c r="F119" i="1"/>
  <c r="G119" i="1"/>
  <c r="H119" i="1"/>
  <c r="E115" i="1"/>
  <c r="H115" i="1"/>
  <c r="F115" i="1"/>
  <c r="I115" i="1"/>
  <c r="K112" i="1"/>
  <c r="G85" i="1"/>
  <c r="G107" i="1" s="1"/>
  <c r="D85" i="1"/>
  <c r="D107" i="1" s="1"/>
  <c r="D97" i="1"/>
  <c r="F97" i="1"/>
  <c r="F85" i="1"/>
  <c r="F107" i="1" s="1"/>
  <c r="G97" i="1"/>
  <c r="K100" i="1"/>
  <c r="H85" i="1"/>
  <c r="H107" i="1" s="1"/>
  <c r="H97" i="1"/>
  <c r="K99" i="1"/>
  <c r="E85" i="1"/>
  <c r="E107" i="1" s="1"/>
  <c r="I82" i="1"/>
  <c r="I97" i="1" s="1"/>
  <c r="J114" i="1" l="1" a="1"/>
  <c r="J114" i="1" s="1"/>
  <c r="J116" i="1" s="1"/>
  <c r="L112" i="1"/>
  <c r="F98" i="1"/>
  <c r="F88" i="1"/>
  <c r="H98" i="1"/>
  <c r="H88" i="1"/>
  <c r="G98" i="1"/>
  <c r="G88" i="1"/>
  <c r="E98" i="1"/>
  <c r="E88" i="1"/>
  <c r="D98" i="1"/>
  <c r="D88" i="1"/>
  <c r="I85" i="1"/>
  <c r="I107" i="1" s="1"/>
  <c r="J97" i="1"/>
  <c r="L100" i="1"/>
  <c r="L99" i="1"/>
  <c r="K114" i="1" l="1" a="1"/>
  <c r="K114" i="1" s="1"/>
  <c r="K116" i="1" s="1"/>
  <c r="J118" i="1"/>
  <c r="J119" i="1" s="1"/>
  <c r="M112" i="1"/>
  <c r="E90" i="1"/>
  <c r="E93" i="1" s="1"/>
  <c r="E94" i="1" s="1"/>
  <c r="H90" i="1"/>
  <c r="H93" i="1" s="1"/>
  <c r="H94" i="1" s="1"/>
  <c r="D90" i="1"/>
  <c r="D93" i="1" s="1"/>
  <c r="D94" i="1" s="1"/>
  <c r="F90" i="1"/>
  <c r="F93" i="1" s="1"/>
  <c r="F94" i="1" s="1"/>
  <c r="G90" i="1"/>
  <c r="G93" i="1" s="1"/>
  <c r="G94" i="1" s="1"/>
  <c r="I98" i="1"/>
  <c r="I88" i="1"/>
  <c r="M99" i="1"/>
  <c r="M100" i="1"/>
  <c r="K97" i="1"/>
  <c r="L114" i="1" l="1" a="1"/>
  <c r="L114" i="1" s="1"/>
  <c r="L116" i="1" s="1"/>
  <c r="K118" i="1"/>
  <c r="K119" i="1" s="1"/>
  <c r="N112" i="1"/>
  <c r="I90" i="1"/>
  <c r="I93" i="1" s="1"/>
  <c r="I94" i="1" s="1"/>
  <c r="L97" i="1"/>
  <c r="N100" i="1"/>
  <c r="N99" i="1"/>
  <c r="M114" i="1" l="1" a="1"/>
  <c r="M114" i="1" s="1"/>
  <c r="M116" i="1" s="1"/>
  <c r="L118" i="1"/>
  <c r="L119" i="1" s="1"/>
  <c r="O112" i="1"/>
  <c r="O100" i="1"/>
  <c r="M97" i="1"/>
  <c r="O99" i="1"/>
  <c r="N114" i="1" l="1" a="1"/>
  <c r="N114" i="1" s="1"/>
  <c r="N116" i="1" s="1"/>
  <c r="M118" i="1"/>
  <c r="M119" i="1" s="1"/>
  <c r="N97" i="1"/>
  <c r="N118" i="1" l="1"/>
  <c r="N119" i="1" s="1"/>
  <c r="O114" i="1" a="1"/>
  <c r="O114" i="1" s="1"/>
  <c r="O116" i="1" s="1"/>
  <c r="O118" i="1" s="1"/>
  <c r="O97" i="1"/>
  <c r="O119" i="1" l="1"/>
  <c r="K43" i="1"/>
  <c r="K40" i="1" s="1"/>
  <c r="L43" i="1"/>
  <c r="L40" i="1" s="1"/>
  <c r="M43" i="1"/>
  <c r="M40" i="1" s="1"/>
  <c r="N43" i="1"/>
  <c r="N40" i="1" s="1"/>
  <c r="O43" i="1"/>
  <c r="O40" i="1" s="1"/>
  <c r="J43" i="1"/>
  <c r="K23" i="1"/>
  <c r="L23" i="1" s="1"/>
  <c r="M23" i="1" s="1"/>
  <c r="N23" i="1" s="1"/>
  <c r="O23" i="1" s="1"/>
  <c r="J24" i="1"/>
  <c r="J25" i="1" s="1"/>
  <c r="K25" i="1" s="1"/>
  <c r="L25" i="1" s="1"/>
  <c r="M25" i="1" s="1"/>
  <c r="N25" i="1" s="1"/>
  <c r="O25" i="1" s="1"/>
  <c r="K34" i="1"/>
  <c r="L34" i="1"/>
  <c r="M34" i="1"/>
  <c r="N34" i="1"/>
  <c r="O34" i="1"/>
  <c r="J34" i="1"/>
  <c r="H30" i="1"/>
  <c r="J67" i="1"/>
  <c r="K67" i="1" s="1"/>
  <c r="K79" i="1" s="1"/>
  <c r="J40" i="1"/>
  <c r="K31" i="1"/>
  <c r="L31" i="1"/>
  <c r="M31" i="1"/>
  <c r="N31" i="1"/>
  <c r="O31" i="1"/>
  <c r="J31" i="1"/>
  <c r="J22" i="1" l="1"/>
  <c r="K24" i="1" s="1"/>
  <c r="J79" i="1"/>
  <c r="L67" i="1"/>
  <c r="L79" i="1" s="1"/>
  <c r="K22" i="1" l="1"/>
  <c r="L24" i="1" s="1"/>
  <c r="L22" i="1" s="1"/>
  <c r="M24" i="1" s="1"/>
  <c r="M22" i="1" s="1"/>
  <c r="N24" i="1" s="1"/>
  <c r="M67" i="1"/>
  <c r="M79" i="1" s="1"/>
  <c r="N67" i="1" l="1"/>
  <c r="N22" i="1"/>
  <c r="O24" i="1" s="1"/>
  <c r="O67" i="1" l="1"/>
  <c r="O79" i="1" s="1"/>
  <c r="N79" i="1"/>
  <c r="O22" i="1"/>
  <c r="E70" i="1" l="1"/>
  <c r="G70" i="1"/>
  <c r="H70" i="1"/>
  <c r="E62" i="1"/>
  <c r="F62" i="1"/>
  <c r="H62" i="1"/>
  <c r="I62" i="1"/>
  <c r="J56" i="1"/>
  <c r="F52" i="1"/>
  <c r="G52" i="1"/>
  <c r="H52" i="1"/>
  <c r="I52" i="1"/>
  <c r="E52" i="1"/>
  <c r="F47" i="1"/>
  <c r="G47" i="1"/>
  <c r="H47" i="1"/>
  <c r="I47" i="1"/>
  <c r="E47" i="1"/>
  <c r="I53" i="1"/>
  <c r="I48" i="1"/>
  <c r="D53" i="1"/>
  <c r="E53" i="1"/>
  <c r="F53" i="1"/>
  <c r="G53" i="1"/>
  <c r="H53" i="1"/>
  <c r="D48" i="1"/>
  <c r="E48" i="1"/>
  <c r="F48" i="1"/>
  <c r="G48" i="1"/>
  <c r="J38" i="1"/>
  <c r="K41" i="1"/>
  <c r="L41" i="1" s="1"/>
  <c r="M41" i="1" s="1"/>
  <c r="N41" i="1" s="1"/>
  <c r="O41" i="1" s="1"/>
  <c r="J29" i="1"/>
  <c r="J20" i="1"/>
  <c r="K20" i="1" s="1"/>
  <c r="I39" i="1"/>
  <c r="H39" i="1"/>
  <c r="G39" i="1"/>
  <c r="F39" i="1"/>
  <c r="E39" i="1"/>
  <c r="I30" i="1"/>
  <c r="G30" i="1"/>
  <c r="F30" i="1"/>
  <c r="E30" i="1"/>
  <c r="E21" i="1"/>
  <c r="F21" i="1"/>
  <c r="H21" i="1"/>
  <c r="I21" i="1"/>
  <c r="G21" i="1"/>
  <c r="H48" i="1"/>
  <c r="G54" i="1" l="1"/>
  <c r="D62" i="1"/>
  <c r="E63" i="1" s="1"/>
  <c r="G62" i="1"/>
  <c r="G63" i="1" s="1"/>
  <c r="G49" i="1"/>
  <c r="F63" i="1"/>
  <c r="E54" i="1"/>
  <c r="F70" i="1"/>
  <c r="I63" i="1"/>
  <c r="I70" i="1"/>
  <c r="F49" i="1"/>
  <c r="Q49" i="1"/>
  <c r="E49" i="1"/>
  <c r="H49" i="1"/>
  <c r="F54" i="1"/>
  <c r="I49" i="1"/>
  <c r="K56" i="1"/>
  <c r="Q54" i="1"/>
  <c r="H54" i="1"/>
  <c r="I54" i="1"/>
  <c r="J37" i="1"/>
  <c r="J28" i="1"/>
  <c r="K38" i="1"/>
  <c r="K29" i="1"/>
  <c r="K19" i="1"/>
  <c r="J19" i="1"/>
  <c r="L20" i="1"/>
  <c r="J49" i="1" l="1"/>
  <c r="K49" i="1" s="1"/>
  <c r="L49" i="1" s="1"/>
  <c r="M49" i="1" s="1"/>
  <c r="N49" i="1" s="1"/>
  <c r="O49" i="1" s="1"/>
  <c r="J54" i="1"/>
  <c r="K54" i="1" s="1"/>
  <c r="L54" i="1" s="1"/>
  <c r="M54" i="1" s="1"/>
  <c r="N54" i="1" s="1"/>
  <c r="O54" i="1" s="1"/>
  <c r="Q62" i="1"/>
  <c r="H63" i="1"/>
  <c r="J61" i="1"/>
  <c r="L56" i="1"/>
  <c r="L38" i="1"/>
  <c r="K37" i="1"/>
  <c r="K28" i="1"/>
  <c r="L29" i="1"/>
  <c r="M20" i="1"/>
  <c r="L19" i="1"/>
  <c r="J63" i="1" l="1"/>
  <c r="K63" i="1" s="1"/>
  <c r="L63" i="1" s="1"/>
  <c r="M63" i="1" s="1"/>
  <c r="N63" i="1" s="1"/>
  <c r="O63" i="1" s="1"/>
  <c r="J48" i="1"/>
  <c r="J46" i="1" s="1"/>
  <c r="J47" i="1" s="1"/>
  <c r="K61" i="1"/>
  <c r="M56" i="1"/>
  <c r="L37" i="1"/>
  <c r="M38" i="1"/>
  <c r="L28" i="1"/>
  <c r="M29" i="1"/>
  <c r="N20" i="1"/>
  <c r="M19" i="1"/>
  <c r="J62" i="1" l="1"/>
  <c r="J60" i="1" s="1"/>
  <c r="J77" i="1" s="1"/>
  <c r="K48" i="1"/>
  <c r="L48" i="1" s="1"/>
  <c r="M48" i="1" s="1"/>
  <c r="N48" i="1" s="1"/>
  <c r="O48" i="1" s="1"/>
  <c r="R49" i="1" s="1"/>
  <c r="L61" i="1"/>
  <c r="N56" i="1"/>
  <c r="M37" i="1"/>
  <c r="N38" i="1"/>
  <c r="M28" i="1"/>
  <c r="N29" i="1"/>
  <c r="O20" i="1"/>
  <c r="O19" i="1" s="1"/>
  <c r="N19" i="1"/>
  <c r="K62" i="1" l="1"/>
  <c r="L62" i="1" s="1"/>
  <c r="M62" i="1" s="1"/>
  <c r="N62" i="1" s="1"/>
  <c r="O62" i="1" s="1"/>
  <c r="R62" i="1" s="1"/>
  <c r="M46" i="1"/>
  <c r="L46" i="1"/>
  <c r="K46" i="1"/>
  <c r="K47" i="1" s="1"/>
  <c r="L47" i="1"/>
  <c r="M61" i="1"/>
  <c r="N46" i="1"/>
  <c r="O46" i="1"/>
  <c r="O56" i="1"/>
  <c r="N37" i="1"/>
  <c r="O38" i="1"/>
  <c r="O37" i="1" s="1"/>
  <c r="O29" i="1"/>
  <c r="O28" i="1" s="1"/>
  <c r="N28" i="1"/>
  <c r="M47" i="1" l="1"/>
  <c r="N47" i="1"/>
  <c r="M60" i="1"/>
  <c r="M77" i="1" s="1"/>
  <c r="K60" i="1"/>
  <c r="K77" i="1" s="1"/>
  <c r="L60" i="1"/>
  <c r="L77" i="1" s="1"/>
  <c r="N61" i="1"/>
  <c r="N60" i="1" s="1"/>
  <c r="N77" i="1" s="1"/>
  <c r="O61" i="1"/>
  <c r="O60" i="1" s="1"/>
  <c r="O77" i="1" s="1"/>
  <c r="O47" i="1"/>
  <c r="J53" i="1" l="1"/>
  <c r="J51" i="1" s="1"/>
  <c r="J58" i="1" s="1"/>
  <c r="J76" i="1" s="1"/>
  <c r="K53" i="1" l="1"/>
  <c r="J52" i="1"/>
  <c r="K51" i="1" l="1"/>
  <c r="L53" i="1"/>
  <c r="K52" i="1" l="1"/>
  <c r="K58" i="1"/>
  <c r="K76" i="1" s="1"/>
  <c r="M53" i="1"/>
  <c r="L51" i="1"/>
  <c r="L52" i="1" l="1"/>
  <c r="L58" i="1"/>
  <c r="L76" i="1" s="1"/>
  <c r="N53" i="1"/>
  <c r="M51" i="1"/>
  <c r="M52" i="1" l="1"/>
  <c r="M58" i="1"/>
  <c r="M76" i="1" s="1"/>
  <c r="O53" i="1"/>
  <c r="N51" i="1"/>
  <c r="N52" i="1" l="1"/>
  <c r="N58" i="1"/>
  <c r="N76" i="1" s="1"/>
  <c r="R54" i="1"/>
  <c r="O51" i="1"/>
  <c r="O52" i="1" l="1"/>
  <c r="O58" i="1"/>
  <c r="O76" i="1" s="1"/>
  <c r="J65" i="1" l="1"/>
  <c r="K65" i="1"/>
  <c r="L65" i="1"/>
  <c r="M65" i="1"/>
  <c r="N65" i="1"/>
  <c r="O65" i="1"/>
  <c r="J69" i="1"/>
  <c r="K69" i="1"/>
  <c r="L69" i="1"/>
  <c r="M69" i="1"/>
  <c r="N69" i="1"/>
  <c r="O69" i="1"/>
  <c r="J70" i="1"/>
  <c r="K70" i="1"/>
  <c r="L70" i="1"/>
  <c r="M70" i="1"/>
  <c r="N70" i="1"/>
  <c r="O70" i="1"/>
  <c r="J78" i="1"/>
  <c r="K78" i="1"/>
  <c r="L78" i="1"/>
  <c r="M78" i="1"/>
  <c r="N78" i="1"/>
  <c r="O78" i="1"/>
  <c r="J80" i="1"/>
  <c r="K80" i="1"/>
  <c r="L80" i="1"/>
  <c r="M80" i="1"/>
  <c r="N80" i="1"/>
  <c r="O80" i="1"/>
  <c r="J81" i="1"/>
  <c r="K81" i="1"/>
  <c r="L81" i="1"/>
  <c r="M81" i="1"/>
  <c r="N81" i="1"/>
  <c r="O81" i="1"/>
  <c r="J82" i="1"/>
  <c r="K82" i="1"/>
  <c r="L82" i="1"/>
  <c r="M82" i="1"/>
  <c r="N82" i="1"/>
  <c r="O82" i="1"/>
  <c r="J83" i="1"/>
  <c r="K83" i="1"/>
  <c r="L83" i="1"/>
  <c r="M83" i="1"/>
  <c r="N83" i="1"/>
  <c r="O83" i="1"/>
  <c r="J84" i="1"/>
  <c r="K84" i="1"/>
  <c r="L84" i="1"/>
  <c r="M84" i="1"/>
  <c r="N84" i="1"/>
  <c r="O84" i="1"/>
  <c r="J85" i="1"/>
  <c r="K85" i="1"/>
  <c r="L85" i="1"/>
  <c r="M85" i="1"/>
  <c r="N85" i="1"/>
  <c r="O85" i="1"/>
  <c r="J88" i="1"/>
  <c r="K88" i="1"/>
  <c r="L88" i="1"/>
  <c r="M88" i="1"/>
  <c r="N88" i="1"/>
  <c r="O88" i="1"/>
  <c r="J89" i="1"/>
  <c r="K89" i="1"/>
  <c r="L89" i="1"/>
  <c r="M89" i="1"/>
  <c r="N89" i="1"/>
  <c r="O89" i="1"/>
  <c r="J90" i="1"/>
  <c r="K90" i="1"/>
  <c r="L90" i="1"/>
  <c r="M90" i="1"/>
  <c r="N90" i="1"/>
  <c r="O90" i="1"/>
  <c r="J93" i="1"/>
  <c r="K93" i="1"/>
  <c r="L93" i="1"/>
  <c r="M93" i="1"/>
  <c r="N93" i="1"/>
  <c r="O93" i="1"/>
  <c r="J94" i="1"/>
  <c r="K94" i="1"/>
  <c r="L94" i="1"/>
  <c r="M94" i="1"/>
  <c r="N94" i="1"/>
  <c r="O94" i="1"/>
  <c r="J98" i="1"/>
  <c r="K98" i="1"/>
  <c r="L98" i="1"/>
  <c r="M98" i="1"/>
  <c r="N98" i="1"/>
  <c r="O98" i="1"/>
  <c r="J107" i="1"/>
  <c r="K107" i="1"/>
  <c r="L107" i="1"/>
  <c r="M107" i="1"/>
  <c r="N107" i="1"/>
  <c r="O107" i="1"/>
  <c r="J108" i="1"/>
  <c r="K108" i="1"/>
  <c r="L108" i="1"/>
  <c r="M108" i="1"/>
  <c r="N108" i="1"/>
  <c r="O108" i="1"/>
  <c r="J109" i="1"/>
  <c r="K109" i="1"/>
  <c r="L109" i="1"/>
  <c r="M109" i="1"/>
  <c r="N109" i="1"/>
  <c r="O109" i="1"/>
  <c r="J111" i="1"/>
  <c r="K111" i="1"/>
  <c r="L111" i="1"/>
  <c r="M111" i="1"/>
  <c r="N111" i="1"/>
  <c r="O111" i="1"/>
  <c r="J121" i="1"/>
  <c r="K121" i="1"/>
  <c r="L121" i="1"/>
  <c r="M121" i="1"/>
  <c r="N121" i="1"/>
  <c r="O121" i="1"/>
  <c r="J124" i="1"/>
  <c r="K124" i="1"/>
  <c r="L124" i="1"/>
  <c r="M124" i="1"/>
  <c r="N124" i="1"/>
  <c r="O124" i="1"/>
  <c r="J133" i="1"/>
  <c r="K133" i="1"/>
  <c r="L133" i="1"/>
  <c r="M133" i="1"/>
  <c r="N133" i="1"/>
  <c r="O133" i="1"/>
  <c r="O134" i="1"/>
  <c r="O136" i="1"/>
  <c r="D140" i="1"/>
  <c r="H140" i="1"/>
  <c r="D141" i="1"/>
  <c r="H141" i="1"/>
  <c r="D142" i="1"/>
  <c r="H142" i="1"/>
  <c r="D144" i="1"/>
  <c r="H144" i="1"/>
  <c r="D146" i="1"/>
  <c r="H146" i="1"/>
  <c r="D148" i="1"/>
  <c r="H14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Grayson Harper</author>
  </authors>
  <commentList>
    <comment ref="J21" authorId="0" shapeId="0" xr:uid="{2BE7F7E4-C6FF-4E0A-8F21-FC39544C042F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Expected increase in NA vehicle sales for 2025
</t>
        </r>
      </text>
    </comment>
    <comment ref="J30" authorId="0" shapeId="0" xr:uid="{71AD2758-776E-4ADB-9E4B-B8004C855449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Expected increase in NA vehicle sales for 2025
</t>
        </r>
      </text>
    </comment>
    <comment ref="J39" authorId="0" shapeId="0" xr:uid="{44A95748-558E-4760-B4B6-7A1E7035A06C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Expected increase in NA vehicle sales for 2025
</t>
        </r>
      </text>
    </comment>
    <comment ref="D159" authorId="0" shapeId="0" xr:uid="{5E9B26DC-A500-4C51-BBBF-CC8CFA9124A4}">
      <text>
        <r>
          <rPr>
            <b/>
            <sz val="9"/>
            <color indexed="81"/>
            <rFont val="Tahoma"/>
            <family val="2"/>
          </rPr>
          <t>Grayson Harper:</t>
        </r>
        <r>
          <rPr>
            <sz val="9"/>
            <color indexed="81"/>
            <rFont val="Tahoma"/>
            <family val="2"/>
          </rPr>
          <t xml:space="preserve">
US T 10yr yield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<sst xmlns="http://schemas.openxmlformats.org/spreadsheetml/2006/main" count="220" uniqueCount="135">
  <si>
    <t>Fiscal Year</t>
  </si>
  <si>
    <t>2019A</t>
  </si>
  <si>
    <t>2020A</t>
  </si>
  <si>
    <t>2021A</t>
  </si>
  <si>
    <t>2022A</t>
  </si>
  <si>
    <t>2023A</t>
  </si>
  <si>
    <t>2024A</t>
  </si>
  <si>
    <t>2025F</t>
  </si>
  <si>
    <t>2026F</t>
  </si>
  <si>
    <t>2027F</t>
  </si>
  <si>
    <t>2028F</t>
  </si>
  <si>
    <t>2029F</t>
  </si>
  <si>
    <t>2030F</t>
  </si>
  <si>
    <t>Period Ending</t>
  </si>
  <si>
    <t>North America</t>
  </si>
  <si>
    <t>APAC</t>
  </si>
  <si>
    <t>South America</t>
  </si>
  <si>
    <t xml:space="preserve">Market share </t>
  </si>
  <si>
    <t>GM</t>
  </si>
  <si>
    <t>Total</t>
  </si>
  <si>
    <t>Growth rate</t>
  </si>
  <si>
    <t>Amounts in Millions</t>
  </si>
  <si>
    <t>GMNA total revenue</t>
  </si>
  <si>
    <t>GMI (APAC + South America) total revenue</t>
  </si>
  <si>
    <t>Total Vehicle Sales (thousands)</t>
  </si>
  <si>
    <t>CAGR (2019 -2024)</t>
  </si>
  <si>
    <t>Pricing (total revenue/vehicles sold)</t>
  </si>
  <si>
    <t>CAGR (2024-2030)</t>
  </si>
  <si>
    <t>Corporate total revenue</t>
  </si>
  <si>
    <t>Total Automotive Revenue</t>
  </si>
  <si>
    <t>GM Financial total revenue</t>
  </si>
  <si>
    <t>Total vehicle sales</t>
  </si>
  <si>
    <t>GM Financial revenue/total vehicle sales</t>
  </si>
  <si>
    <t>Total Revenue</t>
  </si>
  <si>
    <t>North America Scenario</t>
  </si>
  <si>
    <t>APAC Scenario</t>
  </si>
  <si>
    <t>Soutth America Scenario</t>
  </si>
  <si>
    <t>Upside</t>
  </si>
  <si>
    <t>Base</t>
  </si>
  <si>
    <t>Downside</t>
  </si>
  <si>
    <t>Cruise revenue</t>
  </si>
  <si>
    <t>Eliminations/Reclassifications</t>
  </si>
  <si>
    <t>REVENUE BUILD</t>
  </si>
  <si>
    <t>INCOME STATEMENT</t>
  </si>
  <si>
    <t xml:space="preserve">Automotive </t>
  </si>
  <si>
    <t xml:space="preserve">GM Financial </t>
  </si>
  <si>
    <t xml:space="preserve">Cruise </t>
  </si>
  <si>
    <t>Cost of Sales</t>
  </si>
  <si>
    <t>Gross margin %</t>
  </si>
  <si>
    <t>GM Financial interest, operating, other expenses</t>
  </si>
  <si>
    <t>SG&amp;A</t>
  </si>
  <si>
    <t>Operating Income (EBIT)</t>
  </si>
  <si>
    <t>Operating margin %</t>
  </si>
  <si>
    <t>Gross Margin</t>
  </si>
  <si>
    <t>GM Financial operating % of rev</t>
  </si>
  <si>
    <t>SG&amp;A % of rev</t>
  </si>
  <si>
    <t>Interest income (expense)</t>
  </si>
  <si>
    <t>EBT</t>
  </si>
  <si>
    <t>Equity income (loss)</t>
  </si>
  <si>
    <t xml:space="preserve">Income tax </t>
  </si>
  <si>
    <t>Net Income</t>
  </si>
  <si>
    <t>EPS</t>
  </si>
  <si>
    <t>Shares outstanding</t>
  </si>
  <si>
    <t>Net income to common shareholders</t>
  </si>
  <si>
    <t>Net loss (income) attributable to NCI</t>
  </si>
  <si>
    <t>Adjustments</t>
  </si>
  <si>
    <t>Free Cash Flow to the Firm (FCFF) (Unlevered FCF)</t>
  </si>
  <si>
    <t>Tax rate</t>
  </si>
  <si>
    <t>Income tax</t>
  </si>
  <si>
    <t>NOPAT</t>
  </si>
  <si>
    <t>D&amp;A</t>
  </si>
  <si>
    <t>CAPEX</t>
  </si>
  <si>
    <t>EBIT</t>
  </si>
  <si>
    <t>% of revenue</t>
  </si>
  <si>
    <t>Changes in NWC</t>
  </si>
  <si>
    <t>FCFF</t>
  </si>
  <si>
    <t>Current assets</t>
  </si>
  <si>
    <t>Current liabilities</t>
  </si>
  <si>
    <t>growth rate</t>
  </si>
  <si>
    <t>WC</t>
  </si>
  <si>
    <t>ratio</t>
  </si>
  <si>
    <t>Valuation Date</t>
  </si>
  <si>
    <t>Share price</t>
  </si>
  <si>
    <t>Date for NPV calc</t>
  </si>
  <si>
    <t>Year Frac</t>
  </si>
  <si>
    <t>Terminal value</t>
  </si>
  <si>
    <t>Valuation</t>
  </si>
  <si>
    <t>Discount Rate (WACC)</t>
  </si>
  <si>
    <t>Long term growth rate (g)</t>
  </si>
  <si>
    <t>NPV - Future Cash Flows</t>
  </si>
  <si>
    <t>NPV - Terminal Value</t>
  </si>
  <si>
    <t>Enterprise Value</t>
  </si>
  <si>
    <t>Less: Net Debt</t>
  </si>
  <si>
    <t>Equity Value</t>
  </si>
  <si>
    <t>Shares Outstanding (MM)</t>
  </si>
  <si>
    <t>Equity Value per Share</t>
  </si>
  <si>
    <t>Shares Outstanding</t>
  </si>
  <si>
    <t>Total shares outstanding</t>
  </si>
  <si>
    <t>RSUs outstanding</t>
  </si>
  <si>
    <t>RSU avg value</t>
  </si>
  <si>
    <t>Treasury stock method</t>
  </si>
  <si>
    <t>Proceeds from RSU</t>
  </si>
  <si>
    <t>Current share price</t>
  </si>
  <si>
    <t>Dilutive shares</t>
  </si>
  <si>
    <t>Total dilutive shares outstanding</t>
  </si>
  <si>
    <t>Premium/Discount</t>
  </si>
  <si>
    <t>WACC</t>
  </si>
  <si>
    <t>% Debt</t>
  </si>
  <si>
    <t>% Equity</t>
  </si>
  <si>
    <t>Beta</t>
  </si>
  <si>
    <t>Risk Free Rate</t>
  </si>
  <si>
    <t>Equity Risk Premium</t>
  </si>
  <si>
    <t>Cost of Equity</t>
  </si>
  <si>
    <t>Cost of Debt</t>
  </si>
  <si>
    <t>Pre-Tax Cost of Debt</t>
  </si>
  <si>
    <t>Tax Rate</t>
  </si>
  <si>
    <t>Mkt val Equity</t>
  </si>
  <si>
    <t>Total Debt</t>
  </si>
  <si>
    <t>Exit Multiple</t>
  </si>
  <si>
    <t>EBITDA Terminal Value</t>
  </si>
  <si>
    <t>EV/EBITDA Exit Multiple</t>
  </si>
  <si>
    <t>Company:</t>
  </si>
  <si>
    <t>Ticker:</t>
  </si>
  <si>
    <t>Last Price:</t>
  </si>
  <si>
    <t>Valuation Date:</t>
  </si>
  <si>
    <t>Font Guide</t>
  </si>
  <si>
    <t>Color</t>
  </si>
  <si>
    <t>Meaning</t>
  </si>
  <si>
    <t>Blue</t>
  </si>
  <si>
    <t>Hardcoded values</t>
  </si>
  <si>
    <t>Black</t>
  </si>
  <si>
    <t>Calculations or cell references</t>
  </si>
  <si>
    <t>DCF Model</t>
  </si>
  <si>
    <t>General Motors</t>
  </si>
  <si>
    <t>$GM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</si>
</sst>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0.0%"/>
    <numFmt numFmtId="167" formatCode="_(* #,##0_);_(* \(#,##0\);_(* &quot;-&quot;??_);_(@_)"/>
    <numFmt numFmtId="168" formatCode="#,##0.0_);\(#,##0.0\)"/>
  </numFmts>
  <fonts count="29" x14ac:knownFonts="1">
    <font>
      <sz val="10"/>
      <color theme="1"/>
      <name val="Arial Nova"/>
      <family val="2"/>
    </font>
    <font>
      <sz val="10"/>
      <color theme="1"/>
      <name val="Arial Nova"/>
      <family val="2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0"/>
      <name val="Aptos Narrow"/>
      <family val="2"/>
      <scheme val="minor"/>
    </font>
    <font>
      <b/>
      <sz val="10"/>
      <color theme="0"/>
      <name val="Aptos Narrow"/>
      <family val="2"/>
      <scheme val="minor"/>
    </font>
    <font>
      <i/>
      <sz val="10"/>
      <color theme="1"/>
      <name val="Aptos Narrow"/>
      <family val="2"/>
      <scheme val="minor"/>
    </font>
    <font>
      <sz val="10"/>
      <color rgb="FF000000"/>
      <name val="Aptos Narrow"/>
      <family val="2"/>
      <scheme val="minor"/>
    </font>
    <font>
      <sz val="10"/>
      <color rgb="FF0000FF"/>
      <name val="Aptos Narrow"/>
      <family val="2"/>
      <scheme val="minor"/>
    </font>
    <font>
      <i/>
      <sz val="10"/>
      <color rgb="FF0000FF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Aptos Narrow"/>
      <family val="2"/>
      <scheme val="minor"/>
    </font>
    <font>
      <b/>
      <sz val="10"/>
      <color rgb="FF000000"/>
      <name val="Aptos Narrow"/>
      <family val="2"/>
      <scheme val="minor"/>
    </font>
    <font>
      <i/>
      <sz val="10"/>
      <color rgb="FF000000"/>
      <name val="Aptos Narrow"/>
      <family val="2"/>
      <scheme val="minor"/>
    </font>
    <font>
      <b/>
      <sz val="10"/>
      <color rgb="FF0000FF"/>
      <name val="Aptos Narrow"/>
      <family val="2"/>
      <scheme val="minor"/>
    </font>
    <font>
      <i/>
      <sz val="10"/>
      <name val="Aptos Narrow"/>
      <family val="2"/>
      <scheme val="minor"/>
    </font>
    <font>
      <u/>
      <sz val="10"/>
      <color theme="1"/>
      <name val="Aptos Narrow"/>
      <family val="2"/>
      <scheme val="minor"/>
    </font>
    <font>
      <sz val="10"/>
      <name val="Aptos Narrow"/>
      <family val="2"/>
      <scheme val="minor"/>
    </font>
    <font>
      <b/>
      <sz val="10"/>
      <name val="Aptos Narrow"/>
      <family val="2"/>
      <scheme val="minor"/>
    </font>
    <font>
      <sz val="16"/>
      <name val="Aptos Narrow"/>
      <family val="2"/>
      <scheme val="minor"/>
    </font>
    <font>
      <b/>
      <sz val="20"/>
      <name val="Aptos Narrow"/>
      <family val="2"/>
      <scheme val="minor"/>
    </font>
    <font>
      <b/>
      <sz val="16"/>
      <name val="Aptos Narrow"/>
      <family val="2"/>
      <scheme val="minor"/>
    </font>
    <font>
      <sz val="14"/>
      <color theme="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4"/>
      <name val="Aptos Narrow"/>
      <family val="2"/>
      <scheme val="minor"/>
    </font>
    <font>
      <b/>
      <sz val="14"/>
      <color rgb="FF0000FF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2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1" tint="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1" tint="0.249977111117893"/>
      </bottom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/>
      <diagonal/>
    </border>
    <border>
      <left/>
      <right style="thin">
        <color theme="0" tint="-0.34998626667073579"/>
      </right>
      <top/>
      <bottom style="thin">
        <color theme="0" tint="-0.249977111117893"/>
      </bottom>
      <diagonal/>
    </border>
    <border>
      <left/>
      <right style="thin">
        <color theme="0" tint="-0.34998626667073579"/>
      </right>
      <top style="thin">
        <color theme="0" tint="-0.249977111117893"/>
      </top>
      <bottom/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/>
      <bottom style="thin">
        <color theme="1" tint="0.249977111117893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2" tint="-0.499984740745262"/>
      </bottom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44" fontId="1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/>
    <xf numFmtId="0" fontId="3" fillId="0" borderId="0" xfId="0" applyFont="1"/>
    <xf numFmtId="0" fontId="5" fillId="2" borderId="0" xfId="3" quotePrefix="1" applyFont="1" applyFill="1" applyAlignment="1">
      <alignment vertical="top"/>
    </xf>
    <xf numFmtId="0" fontId="6" fillId="2" borderId="0" xfId="3" applyFont="1" applyFill="1" applyAlignment="1">
      <alignment horizontal="center" vertical="center" wrapText="1"/>
    </xf>
    <xf numFmtId="0" fontId="6" fillId="2" borderId="1" xfId="3" applyFont="1" applyFill="1" applyBorder="1" applyAlignment="1">
      <alignment horizontal="center" vertical="center" wrapText="1"/>
    </xf>
    <xf numFmtId="0" fontId="6" fillId="2" borderId="2" xfId="3" applyFont="1" applyFill="1" applyBorder="1" applyAlignment="1">
      <alignment horizontal="center" vertical="center" wrapText="1"/>
    </xf>
    <xf numFmtId="0" fontId="6" fillId="3" borderId="0" xfId="3" applyFont="1" applyFill="1" applyAlignment="1">
      <alignment horizontal="center" vertical="center" wrapText="1"/>
    </xf>
    <xf numFmtId="0" fontId="3" fillId="0" borderId="3" xfId="0" applyFont="1" applyBorder="1"/>
    <xf numFmtId="14" fontId="7" fillId="0" borderId="3" xfId="0" applyNumberFormat="1" applyFont="1" applyBorder="1" applyAlignment="1">
      <alignment horizontal="right"/>
    </xf>
    <xf numFmtId="0" fontId="7" fillId="0" borderId="0" xfId="0" applyFont="1"/>
    <xf numFmtId="9" fontId="7" fillId="0" borderId="0" xfId="2" applyFont="1"/>
    <xf numFmtId="166" fontId="7" fillId="0" borderId="0" xfId="2" applyNumberFormat="1" applyFont="1"/>
    <xf numFmtId="37" fontId="8" fillId="0" borderId="0" xfId="0" applyNumberFormat="1" applyFont="1"/>
    <xf numFmtId="37" fontId="3" fillId="0" borderId="0" xfId="0" applyNumberFormat="1" applyFont="1"/>
    <xf numFmtId="166" fontId="9" fillId="0" borderId="4" xfId="2" applyNumberFormat="1" applyFont="1" applyBorder="1"/>
    <xf numFmtId="0" fontId="3" fillId="0" borderId="0" xfId="0" applyFont="1" applyAlignment="1">
      <alignment horizontal="left" indent="1"/>
    </xf>
    <xf numFmtId="0" fontId="7" fillId="0" borderId="0" xfId="0" applyFont="1" applyAlignment="1">
      <alignment horizontal="left" indent="1"/>
    </xf>
    <xf numFmtId="166" fontId="3" fillId="0" borderId="0" xfId="0" applyNumberFormat="1" applyFont="1"/>
    <xf numFmtId="167" fontId="3" fillId="0" borderId="0" xfId="1" applyNumberFormat="1" applyFont="1"/>
    <xf numFmtId="37" fontId="9" fillId="0" borderId="0" xfId="0" applyNumberFormat="1" applyFont="1"/>
    <xf numFmtId="166" fontId="10" fillId="0" borderId="0" xfId="2" applyNumberFormat="1" applyFont="1"/>
    <xf numFmtId="9" fontId="10" fillId="0" borderId="0" xfId="2" applyFont="1"/>
    <xf numFmtId="167" fontId="3" fillId="0" borderId="0" xfId="0" applyNumberFormat="1" applyFont="1"/>
    <xf numFmtId="43" fontId="3" fillId="0" borderId="0" xfId="0" applyNumberFormat="1" applyFont="1"/>
    <xf numFmtId="0" fontId="13" fillId="0" borderId="0" xfId="0" applyFont="1" applyAlignment="1">
      <alignment horizontal="left"/>
    </xf>
    <xf numFmtId="37" fontId="2" fillId="0" borderId="0" xfId="0" applyNumberFormat="1" applyFont="1"/>
    <xf numFmtId="168" fontId="8" fillId="0" borderId="0" xfId="0" applyNumberFormat="1" applyFont="1"/>
    <xf numFmtId="168" fontId="3" fillId="0" borderId="0" xfId="0" applyNumberFormat="1" applyFont="1"/>
    <xf numFmtId="37" fontId="14" fillId="0" borderId="0" xfId="0" applyNumberFormat="1" applyFont="1"/>
    <xf numFmtId="166" fontId="3" fillId="0" borderId="0" xfId="2" applyNumberFormat="1" applyFont="1"/>
    <xf numFmtId="39" fontId="8" fillId="0" borderId="0" xfId="0" applyNumberFormat="1" applyFont="1"/>
    <xf numFmtId="166" fontId="8" fillId="0" borderId="0" xfId="2" applyNumberFormat="1" applyFont="1"/>
    <xf numFmtId="166" fontId="15" fillId="0" borderId="0" xfId="2" applyNumberFormat="1" applyFont="1"/>
    <xf numFmtId="0" fontId="3" fillId="0" borderId="0" xfId="0" applyFont="1" applyAlignment="1">
      <alignment horizontal="left"/>
    </xf>
    <xf numFmtId="166" fontId="9" fillId="0" borderId="0" xfId="2" applyNumberFormat="1" applyFont="1" applyBorder="1"/>
    <xf numFmtId="2" fontId="3" fillId="0" borderId="0" xfId="0" applyNumberFormat="1" applyFont="1"/>
    <xf numFmtId="0" fontId="7" fillId="0" borderId="0" xfId="0" applyFont="1" applyAlignment="1">
      <alignment horizontal="left" indent="2"/>
    </xf>
    <xf numFmtId="166" fontId="9" fillId="0" borderId="5" xfId="2" applyNumberFormat="1" applyFont="1" applyBorder="1"/>
    <xf numFmtId="14" fontId="7" fillId="0" borderId="6" xfId="0" applyNumberFormat="1" applyFont="1" applyBorder="1" applyAlignment="1">
      <alignment horizontal="right"/>
    </xf>
    <xf numFmtId="0" fontId="3" fillId="0" borderId="2" xfId="0" applyFont="1" applyBorder="1"/>
    <xf numFmtId="37" fontId="9" fillId="0" borderId="2" xfId="0" applyNumberFormat="1" applyFont="1" applyBorder="1"/>
    <xf numFmtId="166" fontId="7" fillId="0" borderId="2" xfId="2" applyNumberFormat="1" applyFont="1" applyBorder="1"/>
    <xf numFmtId="166" fontId="10" fillId="0" borderId="2" xfId="2" applyNumberFormat="1" applyFont="1" applyBorder="1"/>
    <xf numFmtId="9" fontId="7" fillId="0" borderId="2" xfId="2" applyFont="1" applyBorder="1"/>
    <xf numFmtId="37" fontId="8" fillId="0" borderId="2" xfId="0" applyNumberFormat="1" applyFont="1" applyBorder="1"/>
    <xf numFmtId="166" fontId="15" fillId="0" borderId="2" xfId="2" applyNumberFormat="1" applyFont="1" applyBorder="1"/>
    <xf numFmtId="168" fontId="8" fillId="0" borderId="2" xfId="0" applyNumberFormat="1" applyFont="1" applyBorder="1"/>
    <xf numFmtId="39" fontId="8" fillId="0" borderId="2" xfId="0" applyNumberFormat="1" applyFont="1" applyBorder="1"/>
    <xf numFmtId="37" fontId="16" fillId="0" borderId="0" xfId="0" applyNumberFormat="1" applyFont="1"/>
    <xf numFmtId="37" fontId="16" fillId="0" borderId="2" xfId="0" applyNumberFormat="1" applyFont="1" applyBorder="1"/>
    <xf numFmtId="0" fontId="3" fillId="0" borderId="7" xfId="0" applyFont="1" applyBorder="1"/>
    <xf numFmtId="37" fontId="8" fillId="0" borderId="7" xfId="0" applyNumberFormat="1" applyFont="1" applyBorder="1"/>
    <xf numFmtId="37" fontId="8" fillId="0" borderId="8" xfId="0" applyNumberFormat="1" applyFont="1" applyBorder="1"/>
    <xf numFmtId="0" fontId="7" fillId="0" borderId="7" xfId="0" applyFont="1" applyBorder="1" applyAlignment="1">
      <alignment horizontal="left" indent="1"/>
    </xf>
    <xf numFmtId="166" fontId="10" fillId="0" borderId="7" xfId="2" applyNumberFormat="1" applyFont="1" applyBorder="1"/>
    <xf numFmtId="166" fontId="10" fillId="0" borderId="8" xfId="2" applyNumberFormat="1" applyFont="1" applyBorder="1"/>
    <xf numFmtId="166" fontId="9" fillId="0" borderId="7" xfId="2" applyNumberFormat="1" applyFont="1" applyBorder="1"/>
    <xf numFmtId="166" fontId="10" fillId="4" borderId="0" xfId="2" applyNumberFormat="1" applyFont="1" applyFill="1"/>
    <xf numFmtId="166" fontId="17" fillId="0" borderId="0" xfId="2" applyNumberFormat="1" applyFont="1"/>
    <xf numFmtId="166" fontId="7" fillId="0" borderId="0" xfId="0" applyNumberFormat="1" applyFont="1"/>
    <xf numFmtId="0" fontId="7" fillId="0" borderId="0" xfId="0" applyFont="1" applyAlignment="1">
      <alignment horizontal="left"/>
    </xf>
    <xf numFmtId="37" fontId="9" fillId="0" borderId="7" xfId="0" applyNumberFormat="1" applyFont="1" applyBorder="1"/>
    <xf numFmtId="0" fontId="3" fillId="0" borderId="7" xfId="0" applyFont="1" applyBorder="1" applyAlignment="1">
      <alignment horizontal="left"/>
    </xf>
    <xf numFmtId="37" fontId="3" fillId="0" borderId="7" xfId="0" applyNumberFormat="1" applyFont="1" applyBorder="1"/>
    <xf numFmtId="0" fontId="3" fillId="0" borderId="9" xfId="0" applyFont="1" applyBorder="1"/>
    <xf numFmtId="37" fontId="9" fillId="0" borderId="9" xfId="0" applyNumberFormat="1" applyFont="1" applyBorder="1"/>
    <xf numFmtId="37" fontId="9" fillId="0" borderId="11" xfId="0" applyNumberFormat="1" applyFont="1" applyBorder="1"/>
    <xf numFmtId="37" fontId="16" fillId="0" borderId="10" xfId="0" applyNumberFormat="1" applyFont="1" applyBorder="1"/>
    <xf numFmtId="37" fontId="2" fillId="0" borderId="10" xfId="0" applyNumberFormat="1" applyFont="1" applyBorder="1"/>
    <xf numFmtId="37" fontId="9" fillId="0" borderId="10" xfId="0" applyNumberFormat="1" applyFont="1" applyBorder="1"/>
    <xf numFmtId="37" fontId="2" fillId="0" borderId="12" xfId="0" applyNumberFormat="1" applyFont="1" applyBorder="1"/>
    <xf numFmtId="37" fontId="9" fillId="0" borderId="13" xfId="0" applyNumberFormat="1" applyFont="1" applyBorder="1"/>
    <xf numFmtId="0" fontId="3" fillId="0" borderId="10" xfId="0" applyFont="1" applyBorder="1"/>
    <xf numFmtId="37" fontId="2" fillId="0" borderId="15" xfId="0" applyNumberFormat="1" applyFont="1" applyBorder="1"/>
    <xf numFmtId="43" fontId="3" fillId="0" borderId="0" xfId="1" applyFont="1"/>
    <xf numFmtId="37" fontId="3" fillId="0" borderId="9" xfId="0" applyNumberFormat="1" applyFont="1" applyBorder="1"/>
    <xf numFmtId="37" fontId="3" fillId="0" borderId="10" xfId="0" applyNumberFormat="1" applyFont="1" applyBorder="1"/>
    <xf numFmtId="39" fontId="2" fillId="0" borderId="0" xfId="0" applyNumberFormat="1" applyFont="1"/>
    <xf numFmtId="39" fontId="2" fillId="0" borderId="10" xfId="0" applyNumberFormat="1" applyFont="1" applyBorder="1"/>
    <xf numFmtId="166" fontId="9" fillId="5" borderId="0" xfId="2" applyNumberFormat="1" applyFont="1" applyFill="1"/>
    <xf numFmtId="166" fontId="17" fillId="0" borderId="10" xfId="2" applyNumberFormat="1" applyFont="1" applyBorder="1"/>
    <xf numFmtId="166" fontId="3" fillId="0" borderId="10" xfId="2" applyNumberFormat="1" applyFont="1" applyBorder="1"/>
    <xf numFmtId="0" fontId="6" fillId="2" borderId="10" xfId="3" applyFont="1" applyFill="1" applyBorder="1" applyAlignment="1">
      <alignment horizontal="center" vertical="center" wrapText="1"/>
    </xf>
    <xf numFmtId="14" fontId="7" fillId="0" borderId="16" xfId="0" applyNumberFormat="1" applyFont="1" applyBorder="1" applyAlignment="1">
      <alignment horizontal="right"/>
    </xf>
    <xf numFmtId="37" fontId="3" fillId="0" borderId="13" xfId="0" applyNumberFormat="1" applyFont="1" applyBorder="1"/>
    <xf numFmtId="166" fontId="7" fillId="0" borderId="0" xfId="2" applyNumberFormat="1" applyFont="1" applyBorder="1"/>
    <xf numFmtId="166" fontId="7" fillId="0" borderId="10" xfId="2" applyNumberFormat="1" applyFont="1" applyBorder="1"/>
    <xf numFmtId="0" fontId="7" fillId="0" borderId="9" xfId="0" applyFont="1" applyBorder="1"/>
    <xf numFmtId="166" fontId="7" fillId="0" borderId="9" xfId="2" applyNumberFormat="1" applyFont="1" applyBorder="1"/>
    <xf numFmtId="166" fontId="7" fillId="0" borderId="13" xfId="2" applyNumberFormat="1" applyFont="1" applyBorder="1"/>
    <xf numFmtId="9" fontId="3" fillId="0" borderId="10" xfId="2" applyFont="1" applyBorder="1"/>
    <xf numFmtId="166" fontId="3" fillId="0" borderId="0" xfId="2" applyNumberFormat="1" applyFont="1" applyBorder="1"/>
    <xf numFmtId="9" fontId="3" fillId="0" borderId="0" xfId="2" applyFont="1" applyBorder="1"/>
    <xf numFmtId="0" fontId="3" fillId="0" borderId="13" xfId="0" applyFont="1" applyBorder="1"/>
    <xf numFmtId="0" fontId="3" fillId="0" borderId="4" xfId="0" applyFont="1" applyBorder="1"/>
    <xf numFmtId="14" fontId="3" fillId="0" borderId="10" xfId="0" applyNumberFormat="1" applyFont="1" applyBorder="1"/>
    <xf numFmtId="14" fontId="7" fillId="0" borderId="3" xfId="0" applyNumberFormat="1" applyFont="1" applyBorder="1"/>
    <xf numFmtId="14" fontId="3" fillId="0" borderId="0" xfId="0" applyNumberFormat="1" applyFont="1"/>
    <xf numFmtId="166" fontId="3" fillId="4" borderId="4" xfId="2" applyNumberFormat="1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2" fillId="0" borderId="9" xfId="0" applyFont="1" applyBorder="1"/>
    <xf numFmtId="0" fontId="3" fillId="0" borderId="17" xfId="0" applyFont="1" applyBorder="1"/>
    <xf numFmtId="37" fontId="3" fillId="0" borderId="17" xfId="0" applyNumberFormat="1" applyFont="1" applyBorder="1"/>
    <xf numFmtId="0" fontId="2" fillId="0" borderId="17" xfId="0" applyFont="1" applyBorder="1"/>
    <xf numFmtId="37" fontId="2" fillId="0" borderId="17" xfId="0" applyNumberFormat="1" applyFont="1" applyBorder="1"/>
    <xf numFmtId="44" fontId="2" fillId="0" borderId="0" xfId="4" applyFont="1" applyBorder="1"/>
    <xf numFmtId="37" fontId="3" fillId="0" borderId="14" xfId="0" applyNumberFormat="1" applyFont="1" applyBorder="1"/>
    <xf numFmtId="0" fontId="2" fillId="0" borderId="9" xfId="0" applyFont="1" applyFill="1" applyBorder="1"/>
    <xf numFmtId="37" fontId="3" fillId="0" borderId="9" xfId="0" applyNumberFormat="1" applyFont="1" applyFill="1" applyBorder="1"/>
    <xf numFmtId="37" fontId="3" fillId="0" borderId="0" xfId="0" applyNumberFormat="1" applyFont="1" applyBorder="1"/>
    <xf numFmtId="37" fontId="3" fillId="0" borderId="0" xfId="0" applyNumberFormat="1" applyFont="1" applyFill="1" applyBorder="1"/>
    <xf numFmtId="0" fontId="3" fillId="0" borderId="0" xfId="0" applyFont="1" applyBorder="1"/>
    <xf numFmtId="0" fontId="18" fillId="0" borderId="0" xfId="0" applyFont="1"/>
    <xf numFmtId="168" fontId="3" fillId="0" borderId="9" xfId="0" applyNumberFormat="1" applyFont="1" applyBorder="1"/>
    <xf numFmtId="9" fontId="3" fillId="0" borderId="0" xfId="2" applyFont="1"/>
    <xf numFmtId="44" fontId="3" fillId="0" borderId="0" xfId="4" applyFont="1" applyBorder="1"/>
    <xf numFmtId="37" fontId="2" fillId="0" borderId="9" xfId="0" applyNumberFormat="1" applyFont="1" applyBorder="1"/>
    <xf numFmtId="166" fontId="9" fillId="0" borderId="0" xfId="2" applyNumberFormat="1" applyFont="1"/>
    <xf numFmtId="0" fontId="3" fillId="0" borderId="18" xfId="0" applyFont="1" applyBorder="1"/>
    <xf numFmtId="166" fontId="9" fillId="0" borderId="18" xfId="2" applyNumberFormat="1" applyFont="1" applyBorder="1"/>
    <xf numFmtId="0" fontId="3" fillId="0" borderId="1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39" fontId="9" fillId="0" borderId="0" xfId="0" applyNumberFormat="1" applyFont="1"/>
    <xf numFmtId="166" fontId="19" fillId="0" borderId="9" xfId="2" applyNumberFormat="1" applyFont="1" applyBorder="1"/>
    <xf numFmtId="9" fontId="3" fillId="0" borderId="0" xfId="2" applyNumberFormat="1" applyFont="1"/>
    <xf numFmtId="166" fontId="20" fillId="0" borderId="0" xfId="2" applyNumberFormat="1" applyFont="1" applyBorder="1"/>
    <xf numFmtId="166" fontId="2" fillId="0" borderId="0" xfId="2" applyNumberFormat="1" applyFont="1"/>
    <xf numFmtId="10" fontId="2" fillId="5" borderId="19" xfId="2" applyNumberFormat="1" applyFont="1" applyFill="1" applyBorder="1"/>
    <xf numFmtId="44" fontId="3" fillId="0" borderId="4" xfId="4" applyFont="1" applyBorder="1" applyAlignment="1">
      <alignment horizontal="left"/>
    </xf>
    <xf numFmtId="14" fontId="3" fillId="0" borderId="4" xfId="0" applyNumberFormat="1" applyFont="1" applyBorder="1" applyAlignment="1">
      <alignment horizontal="center"/>
    </xf>
    <xf numFmtId="0" fontId="2" fillId="5" borderId="19" xfId="0" applyFont="1" applyFill="1" applyBorder="1"/>
    <xf numFmtId="0" fontId="21" fillId="6" borderId="20" xfId="0" applyFont="1" applyFill="1" applyBorder="1"/>
    <xf numFmtId="0" fontId="21" fillId="6" borderId="21" xfId="0" applyFont="1" applyFill="1" applyBorder="1"/>
    <xf numFmtId="0" fontId="21" fillId="6" borderId="22" xfId="0" applyFont="1" applyFill="1" applyBorder="1"/>
    <xf numFmtId="0" fontId="21" fillId="6" borderId="23" xfId="0" applyFont="1" applyFill="1" applyBorder="1"/>
    <xf numFmtId="0" fontId="22" fillId="6" borderId="0" xfId="0" applyFont="1" applyFill="1"/>
    <xf numFmtId="0" fontId="21" fillId="6" borderId="0" xfId="0" applyFont="1" applyFill="1"/>
    <xf numFmtId="0" fontId="21" fillId="6" borderId="24" xfId="0" applyFont="1" applyFill="1" applyBorder="1"/>
    <xf numFmtId="0" fontId="23" fillId="6" borderId="0" xfId="0" applyFont="1" applyFill="1" applyAlignment="1">
      <alignment horizontal="center"/>
    </xf>
    <xf numFmtId="0" fontId="23" fillId="6" borderId="0" xfId="0" applyFont="1" applyFill="1"/>
    <xf numFmtId="44" fontId="21" fillId="6" borderId="0" xfId="4" applyFont="1" applyFill="1" applyBorder="1" applyAlignment="1">
      <alignment horizontal="left"/>
    </xf>
    <xf numFmtId="14" fontId="21" fillId="6" borderId="0" xfId="0" applyNumberFormat="1" applyFont="1" applyFill="1" applyAlignment="1">
      <alignment horizontal="left"/>
    </xf>
    <xf numFmtId="0" fontId="24" fillId="7" borderId="25" xfId="0" applyFont="1" applyFill="1" applyBorder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5" fillId="5" borderId="25" xfId="0" applyFont="1" applyFill="1" applyBorder="1" applyAlignment="1">
      <alignment horizontal="center"/>
    </xf>
    <xf numFmtId="0" fontId="26" fillId="6" borderId="0" xfId="0" applyFont="1" applyFill="1"/>
    <xf numFmtId="37" fontId="27" fillId="0" borderId="25" xfId="0" applyNumberFormat="1" applyFont="1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28" fillId="0" borderId="25" xfId="0" applyFont="1" applyBorder="1" applyAlignment="1">
      <alignment horizontal="center"/>
    </xf>
    <xf numFmtId="0" fontId="21" fillId="6" borderId="26" xfId="0" applyFont="1" applyFill="1" applyBorder="1"/>
    <xf numFmtId="0" fontId="26" fillId="6" borderId="27" xfId="0" applyFont="1" applyFill="1" applyBorder="1"/>
    <xf numFmtId="0" fontId="21" fillId="6" borderId="27" xfId="0" applyFont="1" applyFill="1" applyBorder="1"/>
    <xf numFmtId="0" fontId="21" fillId="6" borderId="28" xfId="0" applyFont="1" applyFill="1" applyBorder="1"/>
  </cellXfs>
  <cellStyles count="5">
    <cellStyle name="Comma" xfId="1" builtinId="3"/>
    <cellStyle name="Currency" xfId="4" builtinId="4"/>
    <cellStyle name="Normal" xfId="0" builtinId="0"/>
    <cellStyle name="Normal 2" xfId="3" xr:uid="{78B42935-BB2E-4833-A2D0-E5AAAB280F63}"/>
    <cellStyle name="Percent" xfId="2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B3682-6BDD-478F-AFEF-7196DB35CDEC}">
  <dimension ref="B2:H19"/>
  <sheetViews>
    <sheetView showGridLines="0" tabSelected="1" workbookViewId="0">
      <selection activeCell="H21" sqref="H21"/>
    </sheetView>
  </sheetViews>
  <sheetFormatPr defaultRowHeight="13.15" x14ac:dyDescent="0.25"/>
  <cols>
    <col min="3" max="3" width="14.5546875" customWidth="1"/>
    <col min="5" max="5" width="13.109375" bestFit="1" customWidth="1"/>
  </cols>
  <sheetData>
    <row r="2" spans="2:8" ht="21.3" x14ac:dyDescent="0.4">
      <c r="B2" s="133"/>
      <c r="C2" s="134"/>
      <c r="D2" s="134"/>
      <c r="E2" s="134"/>
      <c r="F2" s="134"/>
      <c r="G2" s="134"/>
      <c r="H2" s="135"/>
    </row>
    <row r="3" spans="2:8" ht="26.3" x14ac:dyDescent="0.5">
      <c r="B3" s="136"/>
      <c r="C3" s="137" t="s">
        <v>132</v>
      </c>
      <c r="D3" s="138"/>
      <c r="E3" s="138"/>
      <c r="F3" s="138"/>
      <c r="G3" s="138"/>
      <c r="H3" s="139"/>
    </row>
    <row r="4" spans="2:8" ht="21.3" x14ac:dyDescent="0.4">
      <c r="B4" s="136"/>
      <c r="C4" s="138"/>
      <c r="D4" s="138"/>
      <c r="E4" s="138"/>
      <c r="F4" s="138"/>
      <c r="G4" s="138"/>
      <c r="H4" s="139"/>
    </row>
    <row r="5" spans="2:8" ht="21.3" x14ac:dyDescent="0.4">
      <c r="B5" s="136"/>
      <c r="C5" s="140" t="s">
        <v>121</v>
      </c>
      <c r="D5" s="140"/>
      <c r="E5" s="138" t="s">
        <v>133</v>
      </c>
      <c r="F5" s="138"/>
      <c r="G5" s="138"/>
      <c r="H5" s="139"/>
    </row>
    <row r="6" spans="2:8" ht="21.3" x14ac:dyDescent="0.4">
      <c r="B6" s="136"/>
      <c r="C6" s="141"/>
      <c r="D6" s="141"/>
      <c r="E6" s="138"/>
      <c r="F6" s="138"/>
      <c r="G6" s="138"/>
      <c r="H6" s="139"/>
    </row>
    <row r="7" spans="2:8" ht="21.3" x14ac:dyDescent="0.4">
      <c r="B7" s="136"/>
      <c r="C7" s="140" t="s">
        <v>122</v>
      </c>
      <c r="D7" s="140"/>
      <c r="E7" s="138" t="s">
        <v>134</v>
      </c>
      <c r="F7" s="138"/>
      <c r="G7" s="138"/>
      <c r="H7" s="139"/>
    </row>
    <row r="8" spans="2:8" ht="21.3" x14ac:dyDescent="0.4">
      <c r="B8" s="136"/>
      <c r="C8" s="141"/>
      <c r="D8" s="141"/>
      <c r="E8" s="138"/>
      <c r="F8" s="138"/>
      <c r="G8" s="138"/>
      <c r="H8" s="139"/>
    </row>
    <row r="9" spans="2:8" ht="21.3" x14ac:dyDescent="0.4">
      <c r="B9" s="136"/>
      <c r="C9" s="140" t="s">
        <v>123</v>
      </c>
      <c r="D9" s="140"/>
      <c r="E9" s="142">
        <f>DCF!C2</f>
        <v>48.67</v>
      </c>
      <c r="F9" s="138"/>
      <c r="G9" s="138"/>
      <c r="H9" s="139"/>
    </row>
    <row r="10" spans="2:8" ht="21.3" x14ac:dyDescent="0.4">
      <c r="B10" s="136"/>
      <c r="C10" s="138"/>
      <c r="D10" s="138"/>
      <c r="E10" s="138"/>
      <c r="F10" s="138"/>
      <c r="G10" s="138"/>
      <c r="H10" s="139"/>
    </row>
    <row r="11" spans="2:8" ht="21.3" x14ac:dyDescent="0.4">
      <c r="B11" s="136"/>
      <c r="C11" s="140" t="s">
        <v>124</v>
      </c>
      <c r="D11" s="140"/>
      <c r="E11" s="143">
        <v>45734</v>
      </c>
      <c r="F11" s="138"/>
      <c r="G11" s="138"/>
      <c r="H11" s="139"/>
    </row>
    <row r="12" spans="2:8" ht="21.3" x14ac:dyDescent="0.4">
      <c r="B12" s="136"/>
      <c r="C12" s="138"/>
      <c r="D12" s="138"/>
      <c r="E12" s="138"/>
      <c r="F12" s="138"/>
      <c r="G12" s="138"/>
      <c r="H12" s="139"/>
    </row>
    <row r="13" spans="2:8" ht="21.3" x14ac:dyDescent="0.4">
      <c r="B13" s="136"/>
      <c r="C13" s="147"/>
      <c r="D13" s="138"/>
      <c r="E13" s="138"/>
      <c r="F13" s="138"/>
      <c r="G13" s="138"/>
      <c r="H13" s="139"/>
    </row>
    <row r="14" spans="2:8" ht="21.3" x14ac:dyDescent="0.4">
      <c r="B14" s="136"/>
      <c r="C14" s="144" t="s">
        <v>125</v>
      </c>
      <c r="D14" s="144"/>
      <c r="E14" s="144"/>
      <c r="F14" s="144"/>
      <c r="G14" s="144"/>
      <c r="H14" s="139"/>
    </row>
    <row r="15" spans="2:8" ht="21.3" x14ac:dyDescent="0.4">
      <c r="B15" s="136"/>
      <c r="C15" s="145" t="s">
        <v>126</v>
      </c>
      <c r="D15" s="146" t="s">
        <v>127</v>
      </c>
      <c r="E15" s="146"/>
      <c r="F15" s="146"/>
      <c r="G15" s="146"/>
      <c r="H15" s="139"/>
    </row>
    <row r="16" spans="2:8" ht="21.3" x14ac:dyDescent="0.4">
      <c r="B16" s="136"/>
      <c r="C16" s="148" t="s">
        <v>128</v>
      </c>
      <c r="D16" s="149" t="s">
        <v>129</v>
      </c>
      <c r="E16" s="149"/>
      <c r="F16" s="149"/>
      <c r="G16" s="149"/>
      <c r="H16" s="139"/>
    </row>
    <row r="17" spans="2:8" ht="21.3" x14ac:dyDescent="0.4">
      <c r="B17" s="136"/>
      <c r="C17" s="150" t="s">
        <v>130</v>
      </c>
      <c r="D17" s="149" t="s">
        <v>131</v>
      </c>
      <c r="E17" s="149"/>
      <c r="F17" s="149"/>
      <c r="G17" s="149"/>
      <c r="H17" s="139"/>
    </row>
    <row r="18" spans="2:8" ht="21.3" x14ac:dyDescent="0.4">
      <c r="B18" s="136"/>
      <c r="C18" s="147"/>
      <c r="D18" s="138"/>
      <c r="E18" s="138"/>
      <c r="F18" s="138"/>
      <c r="G18" s="138"/>
      <c r="H18" s="139"/>
    </row>
    <row r="19" spans="2:8" ht="21.3" x14ac:dyDescent="0.4">
      <c r="B19" s="151"/>
      <c r="C19" s="152"/>
      <c r="D19" s="153"/>
      <c r="E19" s="153"/>
      <c r="F19" s="153"/>
      <c r="G19" s="153"/>
      <c r="H19" s="154"/>
    </row>
  </sheetData>
  <mergeCells count="8">
    <mergeCell ref="D17:G17"/>
    <mergeCell ref="C14:G14"/>
    <mergeCell ref="D15:G15"/>
    <mergeCell ref="D16:G16"/>
    <mergeCell ref="C5:D5"/>
    <mergeCell ref="C7:D7"/>
    <mergeCell ref="C9:D9"/>
    <mergeCell ref="C11:D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94A73-3626-4965-8A8D-E6AAC566CE98}">
  <dimension ref="B2:R179"/>
  <sheetViews>
    <sheetView showGridLines="0" zoomScale="90" zoomScaleNormal="90" workbookViewId="0">
      <selection activeCell="C4" sqref="C4"/>
    </sheetView>
  </sheetViews>
  <sheetFormatPr defaultRowHeight="13.15" outlineLevelRow="1" x14ac:dyDescent="0.25"/>
  <cols>
    <col min="1" max="1" width="2.21875" style="2" customWidth="1"/>
    <col min="2" max="2" width="23.5546875" style="2" customWidth="1"/>
    <col min="3" max="3" width="12.109375" style="2" bestFit="1" customWidth="1"/>
    <col min="4" max="5" width="10.77734375" style="2" customWidth="1"/>
    <col min="6" max="8" width="12" style="2" customWidth="1"/>
    <col min="9" max="15" width="10.77734375" style="2" customWidth="1"/>
    <col min="16" max="16" width="8.88671875" style="2"/>
    <col min="17" max="18" width="14.5546875" style="2" bestFit="1" customWidth="1"/>
    <col min="19" max="16384" width="8.88671875" style="2"/>
  </cols>
  <sheetData>
    <row r="2" spans="2:15" x14ac:dyDescent="0.25">
      <c r="B2" s="95" t="s">
        <v>82</v>
      </c>
      <c r="C2" s="130">
        <v>48.67</v>
      </c>
    </row>
    <row r="3" spans="2:15" x14ac:dyDescent="0.25">
      <c r="B3" s="95" t="s">
        <v>81</v>
      </c>
      <c r="C3" s="131">
        <v>45734</v>
      </c>
    </row>
    <row r="4" spans="2:15" x14ac:dyDescent="0.25">
      <c r="B4" s="95" t="s">
        <v>87</v>
      </c>
      <c r="C4" s="99">
        <f>D167</f>
        <v>6.3995136671343961E-2</v>
      </c>
    </row>
    <row r="5" spans="2:15" x14ac:dyDescent="0.25">
      <c r="B5" s="95" t="s">
        <v>88</v>
      </c>
      <c r="C5" s="99">
        <v>0.02</v>
      </c>
    </row>
    <row r="6" spans="2:15" x14ac:dyDescent="0.25">
      <c r="B6" s="95" t="s">
        <v>34</v>
      </c>
      <c r="C6" s="100" t="s">
        <v>38</v>
      </c>
    </row>
    <row r="7" spans="2:15" x14ac:dyDescent="0.25">
      <c r="B7" s="95" t="s">
        <v>35</v>
      </c>
      <c r="C7" s="100" t="s">
        <v>38</v>
      </c>
    </row>
    <row r="8" spans="2:15" x14ac:dyDescent="0.25">
      <c r="B8" s="95" t="s">
        <v>36</v>
      </c>
      <c r="C8" s="100" t="s">
        <v>38</v>
      </c>
    </row>
    <row r="10" spans="2:15" ht="15.05" x14ac:dyDescent="0.3">
      <c r="B10" s="25" t="s">
        <v>21</v>
      </c>
      <c r="C10" s="25"/>
    </row>
    <row r="12" spans="2:15" x14ac:dyDescent="0.25">
      <c r="B12" s="1" t="s">
        <v>42</v>
      </c>
      <c r="C12" s="1"/>
    </row>
    <row r="13" spans="2:15" outlineLevel="1" x14ac:dyDescent="0.25">
      <c r="B13" s="3" t="s">
        <v>0</v>
      </c>
      <c r="C13" s="3"/>
      <c r="D13" s="4" t="s">
        <v>1</v>
      </c>
      <c r="E13" s="5" t="s">
        <v>2</v>
      </c>
      <c r="F13" s="5" t="s">
        <v>3</v>
      </c>
      <c r="G13" s="4" t="s">
        <v>4</v>
      </c>
      <c r="H13" s="4" t="s">
        <v>5</v>
      </c>
      <c r="I13" s="6" t="s">
        <v>6</v>
      </c>
      <c r="J13" s="7" t="s">
        <v>7</v>
      </c>
      <c r="K13" s="7" t="s">
        <v>8</v>
      </c>
      <c r="L13" s="7" t="s">
        <v>9</v>
      </c>
      <c r="M13" s="7" t="s">
        <v>10</v>
      </c>
      <c r="N13" s="7" t="s">
        <v>11</v>
      </c>
      <c r="O13" s="7" t="s">
        <v>12</v>
      </c>
    </row>
    <row r="14" spans="2:15" outlineLevel="1" x14ac:dyDescent="0.25">
      <c r="B14" s="8" t="s">
        <v>13</v>
      </c>
      <c r="C14" s="8"/>
      <c r="D14" s="9">
        <v>43830</v>
      </c>
      <c r="E14" s="9">
        <v>44196</v>
      </c>
      <c r="F14" s="9">
        <v>44561</v>
      </c>
      <c r="G14" s="9">
        <v>44926</v>
      </c>
      <c r="H14" s="9">
        <v>45291</v>
      </c>
      <c r="I14" s="39">
        <v>45657</v>
      </c>
      <c r="J14" s="8"/>
      <c r="K14" s="8"/>
      <c r="L14" s="8"/>
      <c r="M14" s="8"/>
      <c r="N14" s="8"/>
      <c r="O14" s="8"/>
    </row>
    <row r="15" spans="2:15" outlineLevel="1" x14ac:dyDescent="0.25">
      <c r="I15" s="40"/>
    </row>
    <row r="16" spans="2:15" outlineLevel="1" x14ac:dyDescent="0.25">
      <c r="B16" s="1" t="s">
        <v>24</v>
      </c>
      <c r="C16" s="1"/>
      <c r="I16" s="40"/>
    </row>
    <row r="17" spans="2:16" ht="4.55" customHeight="1" outlineLevel="1" x14ac:dyDescent="0.25">
      <c r="I17" s="40"/>
    </row>
    <row r="18" spans="2:16" outlineLevel="1" x14ac:dyDescent="0.25">
      <c r="B18" s="2" t="s">
        <v>14</v>
      </c>
      <c r="C18" s="1"/>
      <c r="I18" s="40"/>
    </row>
    <row r="19" spans="2:16" outlineLevel="1" x14ac:dyDescent="0.25">
      <c r="B19" s="16" t="s">
        <v>18</v>
      </c>
      <c r="C19" s="16"/>
      <c r="D19" s="20">
        <v>3367</v>
      </c>
      <c r="E19" s="20">
        <v>2924</v>
      </c>
      <c r="F19" s="20">
        <v>2574</v>
      </c>
      <c r="G19" s="20">
        <v>2680</v>
      </c>
      <c r="H19" s="20">
        <v>3055</v>
      </c>
      <c r="I19" s="41">
        <v>3215</v>
      </c>
      <c r="J19" s="19">
        <f>+J20*J22</f>
        <v>3238.5165199999997</v>
      </c>
      <c r="K19" s="19">
        <f t="shared" ref="K19:O19" si="0">+K20*K22</f>
        <v>3270.9016852</v>
      </c>
      <c r="L19" s="19">
        <f t="shared" si="0"/>
        <v>3303.6107020519999</v>
      </c>
      <c r="M19" s="19">
        <f t="shared" si="0"/>
        <v>3336.6468090725202</v>
      </c>
      <c r="N19" s="19">
        <f t="shared" si="0"/>
        <v>3370.0132771632452</v>
      </c>
      <c r="O19" s="19">
        <f t="shared" si="0"/>
        <v>3403.7134099348777</v>
      </c>
    </row>
    <row r="20" spans="2:16" outlineLevel="1" x14ac:dyDescent="0.25">
      <c r="B20" s="16" t="s">
        <v>19</v>
      </c>
      <c r="C20" s="16"/>
      <c r="D20" s="20">
        <v>21144</v>
      </c>
      <c r="E20" s="20">
        <v>17686</v>
      </c>
      <c r="F20" s="20">
        <v>18491</v>
      </c>
      <c r="G20" s="20">
        <v>17308</v>
      </c>
      <c r="H20" s="20">
        <v>19612</v>
      </c>
      <c r="I20" s="41">
        <v>20294</v>
      </c>
      <c r="J20" s="19">
        <f>+I20*(1+J21)</f>
        <v>20496.939999999999</v>
      </c>
      <c r="K20" s="19">
        <f t="shared" ref="K20:O20" si="1">+J20*(1+K21)</f>
        <v>20701.9094</v>
      </c>
      <c r="L20" s="19">
        <f t="shared" si="1"/>
        <v>20908.928494</v>
      </c>
      <c r="M20" s="19">
        <f t="shared" si="1"/>
        <v>21118.01777894</v>
      </c>
      <c r="N20" s="19">
        <f t="shared" si="1"/>
        <v>21329.1979567294</v>
      </c>
      <c r="O20" s="19">
        <f t="shared" si="1"/>
        <v>21542.489936296693</v>
      </c>
    </row>
    <row r="21" spans="2:16" outlineLevel="1" x14ac:dyDescent="0.25">
      <c r="B21" s="17" t="s">
        <v>20</v>
      </c>
      <c r="C21" s="17"/>
      <c r="D21" s="12"/>
      <c r="E21" s="12">
        <f>E20/D20-1</f>
        <v>-0.16354521377222853</v>
      </c>
      <c r="F21" s="12">
        <f>F20/E20-1</f>
        <v>4.551622752459572E-2</v>
      </c>
      <c r="G21" s="12">
        <f>G20/F20-1</f>
        <v>-6.3977069925909902E-2</v>
      </c>
      <c r="H21" s="12">
        <f t="shared" ref="H21:I21" si="2">H20/G20-1</f>
        <v>0.13311763346429406</v>
      </c>
      <c r="I21" s="42">
        <f t="shared" si="2"/>
        <v>3.4774627778910938E-2</v>
      </c>
      <c r="J21" s="58">
        <v>0.01</v>
      </c>
      <c r="K21" s="58">
        <v>0.01</v>
      </c>
      <c r="L21" s="58">
        <v>0.01</v>
      </c>
      <c r="M21" s="58">
        <v>0.01</v>
      </c>
      <c r="N21" s="58">
        <v>0.01</v>
      </c>
      <c r="O21" s="58">
        <v>0.01</v>
      </c>
    </row>
    <row r="22" spans="2:16" outlineLevel="1" x14ac:dyDescent="0.25">
      <c r="B22" s="17" t="s">
        <v>17</v>
      </c>
      <c r="C22" s="17"/>
      <c r="D22" s="21">
        <v>0.159</v>
      </c>
      <c r="E22" s="21">
        <v>0.16500000000000001</v>
      </c>
      <c r="F22" s="21">
        <v>0.13900000000000001</v>
      </c>
      <c r="G22" s="21">
        <v>0.155</v>
      </c>
      <c r="H22" s="21">
        <v>0.156</v>
      </c>
      <c r="I22" s="43">
        <v>0.158</v>
      </c>
      <c r="J22" s="18">
        <f>INDEX(J23:J25,MATCH($C$6,$B$23:$B$25,0))</f>
        <v>0.158</v>
      </c>
      <c r="K22" s="18">
        <f t="shared" ref="K22:O22" si="3">INDEX(K23:K25,MATCH($C$6,$B$23:$B$25,0))</f>
        <v>0.158</v>
      </c>
      <c r="L22" s="18">
        <f t="shared" si="3"/>
        <v>0.158</v>
      </c>
      <c r="M22" s="18">
        <f t="shared" si="3"/>
        <v>0.158</v>
      </c>
      <c r="N22" s="18">
        <f t="shared" si="3"/>
        <v>0.158</v>
      </c>
      <c r="O22" s="18">
        <f t="shared" si="3"/>
        <v>0.158</v>
      </c>
    </row>
    <row r="23" spans="2:16" outlineLevel="1" x14ac:dyDescent="0.25">
      <c r="B23" s="37" t="s">
        <v>37</v>
      </c>
      <c r="C23" s="10"/>
      <c r="D23" s="12"/>
      <c r="E23" s="12"/>
      <c r="F23" s="12"/>
      <c r="G23" s="12"/>
      <c r="H23" s="12"/>
      <c r="I23" s="42"/>
      <c r="J23" s="38">
        <v>0.16</v>
      </c>
      <c r="K23" s="15">
        <f>+J23+0.001</f>
        <v>0.161</v>
      </c>
      <c r="L23" s="15">
        <f t="shared" ref="L23:O23" si="4">+K23+0.001</f>
        <v>0.16200000000000001</v>
      </c>
      <c r="M23" s="15">
        <f t="shared" si="4"/>
        <v>0.16300000000000001</v>
      </c>
      <c r="N23" s="15">
        <f t="shared" si="4"/>
        <v>0.16400000000000001</v>
      </c>
      <c r="O23" s="15">
        <f t="shared" si="4"/>
        <v>0.16500000000000001</v>
      </c>
    </row>
    <row r="24" spans="2:16" outlineLevel="1" x14ac:dyDescent="0.25">
      <c r="B24" s="37" t="s">
        <v>38</v>
      </c>
      <c r="C24" s="10"/>
      <c r="D24" s="12"/>
      <c r="E24" s="12"/>
      <c r="F24" s="12"/>
      <c r="G24" s="12"/>
      <c r="H24" s="12"/>
      <c r="I24" s="42"/>
      <c r="J24" s="38">
        <f>+I22</f>
        <v>0.158</v>
      </c>
      <c r="K24" s="38">
        <f t="shared" ref="K24:O24" si="5">+J22</f>
        <v>0.158</v>
      </c>
      <c r="L24" s="38">
        <f t="shared" si="5"/>
        <v>0.158</v>
      </c>
      <c r="M24" s="38">
        <f t="shared" si="5"/>
        <v>0.158</v>
      </c>
      <c r="N24" s="38">
        <f t="shared" si="5"/>
        <v>0.158</v>
      </c>
      <c r="O24" s="38">
        <f t="shared" si="5"/>
        <v>0.158</v>
      </c>
    </row>
    <row r="25" spans="2:16" outlineLevel="1" x14ac:dyDescent="0.25">
      <c r="B25" s="37" t="s">
        <v>39</v>
      </c>
      <c r="C25" s="10"/>
      <c r="D25" s="12"/>
      <c r="E25" s="12"/>
      <c r="F25" s="12"/>
      <c r="G25" s="12"/>
      <c r="H25" s="12"/>
      <c r="I25" s="42"/>
      <c r="J25" s="38">
        <f>+J24-0.0015</f>
        <v>0.1565</v>
      </c>
      <c r="K25" s="38">
        <f>+J25-0.001</f>
        <v>0.1555</v>
      </c>
      <c r="L25" s="38">
        <f t="shared" ref="L25:O25" si="6">+K25-0.001</f>
        <v>0.1545</v>
      </c>
      <c r="M25" s="38">
        <f t="shared" si="6"/>
        <v>0.1535</v>
      </c>
      <c r="N25" s="38">
        <f t="shared" si="6"/>
        <v>0.1525</v>
      </c>
      <c r="O25" s="38">
        <f t="shared" si="6"/>
        <v>0.1515</v>
      </c>
    </row>
    <row r="26" spans="2:16" outlineLevel="1" x14ac:dyDescent="0.25">
      <c r="B26" s="37"/>
      <c r="C26" s="10"/>
      <c r="D26" s="12"/>
      <c r="E26" s="12"/>
      <c r="F26" s="12"/>
      <c r="G26" s="12"/>
      <c r="H26" s="12"/>
      <c r="I26" s="42"/>
      <c r="J26" s="35"/>
      <c r="K26" s="35"/>
      <c r="L26" s="35"/>
      <c r="M26" s="35"/>
      <c r="N26" s="35"/>
      <c r="O26" s="35"/>
    </row>
    <row r="27" spans="2:16" outlineLevel="1" x14ac:dyDescent="0.25">
      <c r="B27" s="2" t="s">
        <v>15</v>
      </c>
      <c r="C27" s="1"/>
      <c r="D27" s="11"/>
      <c r="E27" s="11"/>
      <c r="F27" s="11"/>
      <c r="G27" s="11"/>
      <c r="H27" s="11"/>
      <c r="I27" s="44"/>
    </row>
    <row r="28" spans="2:16" outlineLevel="1" x14ac:dyDescent="0.25">
      <c r="B28" s="16" t="s">
        <v>18</v>
      </c>
      <c r="C28" s="16"/>
      <c r="D28" s="20">
        <v>3678</v>
      </c>
      <c r="E28" s="20">
        <v>3431</v>
      </c>
      <c r="F28" s="20">
        <v>3323</v>
      </c>
      <c r="G28" s="20">
        <v>2808</v>
      </c>
      <c r="H28" s="20">
        <v>2676</v>
      </c>
      <c r="I28" s="41">
        <v>2359</v>
      </c>
      <c r="J28" s="19">
        <f>+J29*J31</f>
        <v>2303.8175649999998</v>
      </c>
      <c r="K28" s="19">
        <f t="shared" ref="K28" si="7">+K29*K31</f>
        <v>2238.8695166249995</v>
      </c>
      <c r="L28" s="19">
        <f t="shared" ref="L28" si="8">+L29*L31</f>
        <v>2171.4546678466245</v>
      </c>
      <c r="M28" s="19">
        <f t="shared" ref="M28" si="9">+M29*M31</f>
        <v>2101.5136279636572</v>
      </c>
      <c r="N28" s="19">
        <f t="shared" ref="N28" si="10">+N29*N31</f>
        <v>2028.9857795839357</v>
      </c>
      <c r="O28" s="19">
        <f t="shared" ref="O28" si="11">+O29*O31</f>
        <v>2006.6149107321125</v>
      </c>
    </row>
    <row r="29" spans="2:16" outlineLevel="1" x14ac:dyDescent="0.25">
      <c r="B29" s="16" t="s">
        <v>19</v>
      </c>
      <c r="C29" s="16"/>
      <c r="D29" s="20">
        <v>46855</v>
      </c>
      <c r="E29" s="20">
        <v>43020</v>
      </c>
      <c r="F29" s="20">
        <v>45267</v>
      </c>
      <c r="G29" s="20">
        <v>43748</v>
      </c>
      <c r="H29" s="20">
        <v>47025</v>
      </c>
      <c r="I29" s="41">
        <v>48293</v>
      </c>
      <c r="J29" s="19">
        <f>+I29*(1+J30)</f>
        <v>49017.394999999997</v>
      </c>
      <c r="K29" s="19">
        <f t="shared" ref="K29" si="12">+J29*(1+K30)</f>
        <v>49752.655924999992</v>
      </c>
      <c r="L29" s="19">
        <f t="shared" ref="L29" si="13">+K29*(1+L30)</f>
        <v>50498.945763874988</v>
      </c>
      <c r="M29" s="19">
        <f t="shared" ref="M29" si="14">+L29*(1+M30)</f>
        <v>51256.429950333106</v>
      </c>
      <c r="N29" s="19">
        <f t="shared" ref="N29" si="15">+M29*(1+N30)</f>
        <v>52025.276399588096</v>
      </c>
      <c r="O29" s="19">
        <f t="shared" ref="O29" si="16">+N29*(1+O30)</f>
        <v>52805.655545581911</v>
      </c>
      <c r="P29" s="24"/>
    </row>
    <row r="30" spans="2:16" outlineLevel="1" x14ac:dyDescent="0.25">
      <c r="B30" s="17" t="s">
        <v>20</v>
      </c>
      <c r="C30" s="17"/>
      <c r="D30" s="12"/>
      <c r="E30" s="12">
        <f t="shared" ref="E30" si="17">E29/D29-1</f>
        <v>-8.1848255255575708E-2</v>
      </c>
      <c r="F30" s="12">
        <f t="shared" ref="F30" si="18">F29/E29-1</f>
        <v>5.2231520223152028E-2</v>
      </c>
      <c r="G30" s="12">
        <f t="shared" ref="G30" si="19">G29/F29-1</f>
        <v>-3.3556453928910712E-2</v>
      </c>
      <c r="H30" s="12">
        <f>H29/G29-1</f>
        <v>7.4906281430008326E-2</v>
      </c>
      <c r="I30" s="42">
        <f t="shared" ref="I30" si="20">I29/H29-1</f>
        <v>2.696438064859108E-2</v>
      </c>
      <c r="J30" s="58">
        <v>1.4999999999999999E-2</v>
      </c>
      <c r="K30" s="58">
        <v>1.4999999999999999E-2</v>
      </c>
      <c r="L30" s="58">
        <v>1.4999999999999999E-2</v>
      </c>
      <c r="M30" s="58">
        <v>1.4999999999999999E-2</v>
      </c>
      <c r="N30" s="58">
        <v>1.4999999999999999E-2</v>
      </c>
      <c r="O30" s="58">
        <v>1.4999999999999999E-2</v>
      </c>
    </row>
    <row r="31" spans="2:16" outlineLevel="1" x14ac:dyDescent="0.25">
      <c r="B31" s="17" t="s">
        <v>17</v>
      </c>
      <c r="C31" s="17"/>
      <c r="D31" s="22">
        <v>7.9000000000000001E-2</v>
      </c>
      <c r="E31" s="22">
        <v>0.08</v>
      </c>
      <c r="F31" s="22">
        <v>7.2999999999999995E-2</v>
      </c>
      <c r="G31" s="21">
        <v>6.4000000000000001E-2</v>
      </c>
      <c r="H31" s="21">
        <v>5.7000000000000002E-2</v>
      </c>
      <c r="I31" s="43">
        <v>4.9000000000000002E-2</v>
      </c>
      <c r="J31" s="18">
        <f>INDEX(J32:J34,MATCH($C$7,$B$32:$B$34,0))</f>
        <v>4.7E-2</v>
      </c>
      <c r="K31" s="18">
        <f t="shared" ref="K31:O31" si="21">INDEX(K32:K34,MATCH($C$7,$B$32:$B$34,0))</f>
        <v>4.4999999999999998E-2</v>
      </c>
      <c r="L31" s="18">
        <f t="shared" si="21"/>
        <v>4.2999999999999997E-2</v>
      </c>
      <c r="M31" s="18">
        <f t="shared" si="21"/>
        <v>4.1000000000000002E-2</v>
      </c>
      <c r="N31" s="18">
        <f t="shared" si="21"/>
        <v>3.9E-2</v>
      </c>
      <c r="O31" s="18">
        <f t="shared" si="21"/>
        <v>3.7999999999999999E-2</v>
      </c>
    </row>
    <row r="32" spans="2:16" outlineLevel="1" x14ac:dyDescent="0.25">
      <c r="B32" s="37" t="s">
        <v>37</v>
      </c>
      <c r="C32" s="17"/>
      <c r="D32" s="11"/>
      <c r="E32" s="11"/>
      <c r="F32" s="11"/>
      <c r="G32" s="11"/>
      <c r="H32" s="11"/>
      <c r="I32" s="44"/>
      <c r="J32" s="38">
        <v>4.9000000000000002E-2</v>
      </c>
      <c r="K32" s="38">
        <v>4.9000000000000002E-2</v>
      </c>
      <c r="L32" s="38">
        <v>4.9000000000000002E-2</v>
      </c>
      <c r="M32" s="38">
        <v>4.9000000000000002E-2</v>
      </c>
      <c r="N32" s="38">
        <v>4.9000000000000002E-2</v>
      </c>
      <c r="O32" s="38">
        <v>4.9000000000000002E-2</v>
      </c>
    </row>
    <row r="33" spans="2:18" outlineLevel="1" x14ac:dyDescent="0.25">
      <c r="B33" s="37" t="s">
        <v>38</v>
      </c>
      <c r="C33" s="17"/>
      <c r="D33" s="11"/>
      <c r="E33" s="11"/>
      <c r="F33" s="11"/>
      <c r="G33" s="11"/>
      <c r="H33" s="11"/>
      <c r="I33" s="44"/>
      <c r="J33" s="38">
        <v>4.7E-2</v>
      </c>
      <c r="K33" s="15">
        <v>4.4999999999999998E-2</v>
      </c>
      <c r="L33" s="15">
        <v>4.2999999999999997E-2</v>
      </c>
      <c r="M33" s="15">
        <v>4.1000000000000002E-2</v>
      </c>
      <c r="N33" s="15">
        <v>3.9E-2</v>
      </c>
      <c r="O33" s="15">
        <v>3.7999999999999999E-2</v>
      </c>
    </row>
    <row r="34" spans="2:18" outlineLevel="1" x14ac:dyDescent="0.25">
      <c r="B34" s="37" t="s">
        <v>39</v>
      </c>
      <c r="C34" s="17"/>
      <c r="D34" s="11"/>
      <c r="E34" s="11"/>
      <c r="F34" s="11"/>
      <c r="G34" s="11"/>
      <c r="H34" s="11"/>
      <c r="I34" s="44"/>
      <c r="J34" s="38">
        <f>+J33-0.0025</f>
        <v>4.4499999999999998E-2</v>
      </c>
      <c r="K34" s="38">
        <f t="shared" ref="K34:O34" si="22">+K33-0.0025</f>
        <v>4.2499999999999996E-2</v>
      </c>
      <c r="L34" s="38">
        <f t="shared" si="22"/>
        <v>4.0499999999999994E-2</v>
      </c>
      <c r="M34" s="38">
        <f t="shared" si="22"/>
        <v>3.85E-2</v>
      </c>
      <c r="N34" s="38">
        <f t="shared" si="22"/>
        <v>3.6499999999999998E-2</v>
      </c>
      <c r="O34" s="38">
        <f t="shared" si="22"/>
        <v>3.5499999999999997E-2</v>
      </c>
    </row>
    <row r="35" spans="2:18" outlineLevel="1" x14ac:dyDescent="0.25">
      <c r="B35" s="37"/>
      <c r="C35" s="17"/>
      <c r="D35" s="11"/>
      <c r="E35" s="11"/>
      <c r="F35" s="11"/>
      <c r="G35" s="11"/>
      <c r="H35" s="11"/>
      <c r="I35" s="44"/>
      <c r="J35" s="35"/>
      <c r="K35" s="35"/>
      <c r="L35" s="35"/>
      <c r="M35" s="35"/>
      <c r="N35" s="35"/>
      <c r="O35" s="35"/>
    </row>
    <row r="36" spans="2:18" outlineLevel="1" x14ac:dyDescent="0.25">
      <c r="B36" s="2" t="s">
        <v>16</v>
      </c>
      <c r="C36" s="1"/>
      <c r="D36" s="11"/>
      <c r="E36" s="11"/>
      <c r="F36" s="11"/>
      <c r="G36" s="11"/>
      <c r="H36" s="11"/>
      <c r="I36" s="44"/>
    </row>
    <row r="37" spans="2:18" outlineLevel="1" x14ac:dyDescent="0.25">
      <c r="B37" s="16" t="s">
        <v>18</v>
      </c>
      <c r="C37" s="16"/>
      <c r="D37" s="20">
        <v>669</v>
      </c>
      <c r="E37" s="20">
        <v>470</v>
      </c>
      <c r="F37" s="20">
        <v>393</v>
      </c>
      <c r="G37" s="20">
        <v>451</v>
      </c>
      <c r="H37" s="20">
        <v>456</v>
      </c>
      <c r="I37" s="41">
        <v>424</v>
      </c>
      <c r="J37" s="19">
        <f>+J38*J40</f>
        <v>434.37719999999996</v>
      </c>
      <c r="K37" s="19">
        <f t="shared" ref="K37" si="23">+K38*K40</f>
        <v>443.06474400000002</v>
      </c>
      <c r="L37" s="19">
        <f t="shared" ref="L37" si="24">+L38*L40</f>
        <v>451.92603888000008</v>
      </c>
      <c r="M37" s="19">
        <f t="shared" ref="M37" si="25">+M38*M40</f>
        <v>460.96455965760009</v>
      </c>
      <c r="N37" s="19">
        <f t="shared" ref="N37" si="26">+N38*N40</f>
        <v>470.18385085075209</v>
      </c>
      <c r="O37" s="19">
        <f t="shared" ref="O37" si="27">+O38*O40</f>
        <v>479.58752786776716</v>
      </c>
    </row>
    <row r="38" spans="2:18" outlineLevel="1" x14ac:dyDescent="0.25">
      <c r="B38" s="16" t="s">
        <v>19</v>
      </c>
      <c r="C38" s="16"/>
      <c r="D38" s="20">
        <v>4318</v>
      </c>
      <c r="E38" s="20">
        <v>3160</v>
      </c>
      <c r="F38" s="20">
        <v>3607</v>
      </c>
      <c r="G38" s="20">
        <v>3666</v>
      </c>
      <c r="H38" s="20">
        <v>3726</v>
      </c>
      <c r="I38" s="41">
        <v>3980</v>
      </c>
      <c r="J38" s="19">
        <f>+I38*(1+J39)</f>
        <v>4059.6</v>
      </c>
      <c r="K38" s="19">
        <f t="shared" ref="K38" si="28">+J38*(1+K39)</f>
        <v>4140.7920000000004</v>
      </c>
      <c r="L38" s="19">
        <f t="shared" ref="L38" si="29">+K38*(1+L39)</f>
        <v>4223.6078400000006</v>
      </c>
      <c r="M38" s="19">
        <f t="shared" ref="M38" si="30">+L38*(1+M39)</f>
        <v>4308.079996800001</v>
      </c>
      <c r="N38" s="19">
        <f t="shared" ref="N38" si="31">+M38*(1+N39)</f>
        <v>4394.2415967360012</v>
      </c>
      <c r="O38" s="19">
        <f t="shared" ref="O38" si="32">+N38*(1+O39)</f>
        <v>4482.126428670721</v>
      </c>
    </row>
    <row r="39" spans="2:18" outlineLevel="1" x14ac:dyDescent="0.25">
      <c r="B39" s="17" t="s">
        <v>20</v>
      </c>
      <c r="C39" s="17"/>
      <c r="D39" s="13"/>
      <c r="E39" s="12">
        <f t="shared" ref="E39" si="33">E38/D38-1</f>
        <v>-0.26817971283001385</v>
      </c>
      <c r="F39" s="12">
        <f t="shared" ref="F39" si="34">F38/E38-1</f>
        <v>0.14145569620253173</v>
      </c>
      <c r="G39" s="12">
        <f t="shared" ref="G39" si="35">G38/F38-1</f>
        <v>1.6357083448849563E-2</v>
      </c>
      <c r="H39" s="12">
        <f t="shared" ref="H39" si="36">H38/G38-1</f>
        <v>1.6366612111292866E-2</v>
      </c>
      <c r="I39" s="42">
        <f t="shared" ref="I39" si="37">I38/H38-1</f>
        <v>6.8169618894256656E-2</v>
      </c>
      <c r="J39" s="58">
        <v>0.02</v>
      </c>
      <c r="K39" s="58">
        <v>0.02</v>
      </c>
      <c r="L39" s="58">
        <v>0.02</v>
      </c>
      <c r="M39" s="58">
        <v>0.02</v>
      </c>
      <c r="N39" s="58">
        <v>0.02</v>
      </c>
      <c r="O39" s="58">
        <v>0.02</v>
      </c>
    </row>
    <row r="40" spans="2:18" outlineLevel="1" x14ac:dyDescent="0.25">
      <c r="B40" s="17" t="s">
        <v>17</v>
      </c>
      <c r="C40" s="17"/>
      <c r="D40" s="21">
        <v>0.155</v>
      </c>
      <c r="E40" s="21">
        <v>0.14899999999999999</v>
      </c>
      <c r="F40" s="21">
        <v>0.109</v>
      </c>
      <c r="G40" s="21">
        <v>0.123</v>
      </c>
      <c r="H40" s="21">
        <v>0.122</v>
      </c>
      <c r="I40" s="43">
        <v>0.107</v>
      </c>
      <c r="J40" s="18">
        <f>INDEX(J41:J43,MATCH($C$8,$B$41:$B$43,0))</f>
        <v>0.107</v>
      </c>
      <c r="K40" s="18">
        <f t="shared" ref="K40:O40" si="38">INDEX(K41:K43,MATCH($C$8,$B$41:$B$43,0))</f>
        <v>0.107</v>
      </c>
      <c r="L40" s="18">
        <f t="shared" si="38"/>
        <v>0.107</v>
      </c>
      <c r="M40" s="18">
        <f t="shared" si="38"/>
        <v>0.107</v>
      </c>
      <c r="N40" s="18">
        <f t="shared" si="38"/>
        <v>0.107</v>
      </c>
      <c r="O40" s="18">
        <f t="shared" si="38"/>
        <v>0.107</v>
      </c>
    </row>
    <row r="41" spans="2:18" outlineLevel="1" x14ac:dyDescent="0.25">
      <c r="B41" s="37" t="s">
        <v>37</v>
      </c>
      <c r="C41" s="17"/>
      <c r="D41" s="21"/>
      <c r="E41" s="21"/>
      <c r="F41" s="21"/>
      <c r="G41" s="21"/>
      <c r="H41" s="21"/>
      <c r="I41" s="43"/>
      <c r="J41" s="38">
        <v>0.109</v>
      </c>
      <c r="K41" s="15">
        <f>+J41+0.0015</f>
        <v>0.1105</v>
      </c>
      <c r="L41" s="15">
        <f t="shared" ref="L41:O41" si="39">+K41+0.0015</f>
        <v>0.112</v>
      </c>
      <c r="M41" s="15">
        <f t="shared" si="39"/>
        <v>0.1135</v>
      </c>
      <c r="N41" s="15">
        <f t="shared" si="39"/>
        <v>0.115</v>
      </c>
      <c r="O41" s="15">
        <f t="shared" si="39"/>
        <v>0.11650000000000001</v>
      </c>
    </row>
    <row r="42" spans="2:18" outlineLevel="1" x14ac:dyDescent="0.25">
      <c r="B42" s="37" t="s">
        <v>38</v>
      </c>
      <c r="C42" s="17"/>
      <c r="D42" s="21"/>
      <c r="E42" s="21"/>
      <c r="F42" s="21"/>
      <c r="G42" s="21"/>
      <c r="H42" s="21"/>
      <c r="I42" s="43"/>
      <c r="J42" s="38">
        <v>0.107</v>
      </c>
      <c r="K42" s="15">
        <v>0.107</v>
      </c>
      <c r="L42" s="15">
        <v>0.107</v>
      </c>
      <c r="M42" s="15">
        <v>0.107</v>
      </c>
      <c r="N42" s="15">
        <v>0.107</v>
      </c>
      <c r="O42" s="15">
        <v>0.107</v>
      </c>
    </row>
    <row r="43" spans="2:18" outlineLevel="1" x14ac:dyDescent="0.25">
      <c r="B43" s="37" t="s">
        <v>39</v>
      </c>
      <c r="C43" s="17"/>
      <c r="D43" s="21"/>
      <c r="E43" s="21"/>
      <c r="F43" s="21"/>
      <c r="G43" s="21"/>
      <c r="H43" s="21"/>
      <c r="I43" s="43"/>
      <c r="J43" s="38">
        <f>+J42-0.0015</f>
        <v>0.1055</v>
      </c>
      <c r="K43" s="38">
        <f t="shared" ref="K43:O43" si="40">+K42-0.0015</f>
        <v>0.1055</v>
      </c>
      <c r="L43" s="38">
        <f t="shared" si="40"/>
        <v>0.1055</v>
      </c>
      <c r="M43" s="38">
        <f t="shared" si="40"/>
        <v>0.1055</v>
      </c>
      <c r="N43" s="38">
        <f t="shared" si="40"/>
        <v>0.1055</v>
      </c>
      <c r="O43" s="38">
        <f t="shared" si="40"/>
        <v>0.1055</v>
      </c>
    </row>
    <row r="44" spans="2:18" outlineLevel="1" x14ac:dyDescent="0.25">
      <c r="B44" s="54"/>
      <c r="C44" s="54"/>
      <c r="D44" s="55"/>
      <c r="E44" s="55"/>
      <c r="F44" s="55"/>
      <c r="G44" s="55"/>
      <c r="H44" s="55"/>
      <c r="I44" s="56"/>
      <c r="J44" s="57"/>
      <c r="K44" s="57"/>
      <c r="L44" s="57"/>
      <c r="M44" s="57"/>
      <c r="N44" s="57"/>
      <c r="O44" s="57"/>
    </row>
    <row r="45" spans="2:18" outlineLevel="1" x14ac:dyDescent="0.25">
      <c r="B45" s="17"/>
      <c r="C45" s="17"/>
      <c r="D45" s="21"/>
      <c r="E45" s="21"/>
      <c r="F45" s="21"/>
      <c r="G45" s="21"/>
      <c r="H45" s="21"/>
      <c r="I45" s="43"/>
    </row>
    <row r="46" spans="2:18" outlineLevel="1" x14ac:dyDescent="0.25">
      <c r="B46" s="2" t="s">
        <v>22</v>
      </c>
      <c r="C46" s="1"/>
      <c r="D46" s="20">
        <v>106366</v>
      </c>
      <c r="E46" s="20">
        <v>96733</v>
      </c>
      <c r="F46" s="20">
        <v>101308</v>
      </c>
      <c r="G46" s="20">
        <v>128378</v>
      </c>
      <c r="H46" s="20">
        <v>141445</v>
      </c>
      <c r="I46" s="41">
        <v>157509</v>
      </c>
      <c r="J46" s="13">
        <f>+J19*J48</f>
        <v>172262.21676768694</v>
      </c>
      <c r="K46" s="13">
        <f t="shared" ref="J46:O46" si="41">+K19*K48</f>
        <v>187855.64097115654</v>
      </c>
      <c r="L46" s="13">
        <f t="shared" si="41"/>
        <v>203722.1992294839</v>
      </c>
      <c r="M46" s="13">
        <f t="shared" si="41"/>
        <v>219694.31334498734</v>
      </c>
      <c r="N46" s="13">
        <f t="shared" si="41"/>
        <v>235587.31669445851</v>
      </c>
      <c r="O46" s="13">
        <f t="shared" si="41"/>
        <v>251202.38367919496</v>
      </c>
    </row>
    <row r="47" spans="2:18" outlineLevel="1" x14ac:dyDescent="0.25">
      <c r="B47" s="17" t="s">
        <v>20</v>
      </c>
      <c r="C47" s="17"/>
      <c r="D47" s="27"/>
      <c r="E47" s="33">
        <f>+E46/D46-1</f>
        <v>-9.0564654118797328E-2</v>
      </c>
      <c r="F47" s="33">
        <f t="shared" ref="F47:O47" si="42">+F46/E46-1</f>
        <v>4.729513196117141E-2</v>
      </c>
      <c r="G47" s="33">
        <f t="shared" si="42"/>
        <v>0.26720495913452047</v>
      </c>
      <c r="H47" s="33">
        <f t="shared" si="42"/>
        <v>0.10178535263051303</v>
      </c>
      <c r="I47" s="46">
        <f t="shared" si="42"/>
        <v>0.11357064583406973</v>
      </c>
      <c r="J47" s="33">
        <f>+J46/I46-1</f>
        <v>9.3665865237459123E-2</v>
      </c>
      <c r="K47" s="33">
        <f t="shared" si="42"/>
        <v>9.0521441649034973E-2</v>
      </c>
      <c r="L47" s="33">
        <f t="shared" si="42"/>
        <v>8.4461441649034796E-2</v>
      </c>
      <c r="M47" s="33">
        <f t="shared" si="42"/>
        <v>7.8401441649034842E-2</v>
      </c>
      <c r="N47" s="33">
        <f t="shared" si="42"/>
        <v>7.2341441649034888E-2</v>
      </c>
      <c r="O47" s="33">
        <f t="shared" si="42"/>
        <v>6.6281441649034933E-2</v>
      </c>
    </row>
    <row r="48" spans="2:18" outlineLevel="1" x14ac:dyDescent="0.25">
      <c r="B48" s="34" t="s">
        <v>26</v>
      </c>
      <c r="C48" s="34"/>
      <c r="D48" s="27">
        <f t="shared" ref="D48:I48" si="43">D46/D19</f>
        <v>31.590733590733592</v>
      </c>
      <c r="E48" s="27">
        <f t="shared" si="43"/>
        <v>33.082421340629274</v>
      </c>
      <c r="F48" s="27">
        <f t="shared" si="43"/>
        <v>39.358197358197359</v>
      </c>
      <c r="G48" s="27">
        <f t="shared" si="43"/>
        <v>47.90223880597015</v>
      </c>
      <c r="H48" s="27">
        <f t="shared" si="43"/>
        <v>46.299509001636665</v>
      </c>
      <c r="I48" s="47">
        <f t="shared" si="43"/>
        <v>48.991912908242611</v>
      </c>
      <c r="J48" s="28">
        <f>I48*(1+J49)</f>
        <v>53.191705431747174</v>
      </c>
      <c r="K48" s="28">
        <f t="shared" ref="K48:O48" si="44">J48*(1+K49)</f>
        <v>57.432371575445273</v>
      </c>
      <c r="L48" s="28">
        <f t="shared" si="44"/>
        <v>61.666527203990526</v>
      </c>
      <c r="M48" s="28">
        <f t="shared" si="44"/>
        <v>65.842843404230507</v>
      </c>
      <c r="N48" s="28">
        <f t="shared" si="44"/>
        <v>69.906940216202159</v>
      </c>
      <c r="O48" s="28">
        <f t="shared" si="44"/>
        <v>73.802448509905872</v>
      </c>
      <c r="Q48" s="2" t="s">
        <v>25</v>
      </c>
      <c r="R48" s="2" t="s">
        <v>27</v>
      </c>
    </row>
    <row r="49" spans="2:18" outlineLevel="1" x14ac:dyDescent="0.25">
      <c r="B49" s="17" t="s">
        <v>20</v>
      </c>
      <c r="C49" s="17"/>
      <c r="D49" s="32"/>
      <c r="E49" s="33">
        <f>+E48/D48-1</f>
        <v>4.7219155123806145E-2</v>
      </c>
      <c r="F49" s="33">
        <f t="shared" ref="F49:I49" si="45">+F48/E48-1</f>
        <v>0.18970122993568972</v>
      </c>
      <c r="G49" s="33">
        <f t="shared" si="45"/>
        <v>0.21708416597472224</v>
      </c>
      <c r="H49" s="33">
        <f t="shared" si="45"/>
        <v>-3.345834859254504E-2</v>
      </c>
      <c r="I49" s="46">
        <f t="shared" si="45"/>
        <v>5.815188896518908E-2</v>
      </c>
      <c r="J49" s="33">
        <f>+Q49-0.006</f>
        <v>8.5724199652509769E-2</v>
      </c>
      <c r="K49" s="33">
        <f>+J49-0.006</f>
        <v>7.9724199652509764E-2</v>
      </c>
      <c r="L49" s="33">
        <f t="shared" ref="L49:O49" si="46">+K49-0.006</f>
        <v>7.3724199652509759E-2</v>
      </c>
      <c r="M49" s="33">
        <f t="shared" si="46"/>
        <v>6.7724199652509753E-2</v>
      </c>
      <c r="N49" s="33">
        <f t="shared" si="46"/>
        <v>6.1724199652509755E-2</v>
      </c>
      <c r="O49" s="33">
        <f t="shared" si="46"/>
        <v>5.5724199652509757E-2</v>
      </c>
      <c r="Q49" s="30">
        <f>(I48/D48)^(1/5)-1</f>
        <v>9.1724199652509775E-2</v>
      </c>
      <c r="R49" s="30">
        <f>(O48/I48)^(1/6)-1</f>
        <v>7.0675164652740374E-2</v>
      </c>
    </row>
    <row r="50" spans="2:18" outlineLevel="1" x14ac:dyDescent="0.25">
      <c r="D50" s="13"/>
      <c r="E50" s="13"/>
      <c r="F50" s="13"/>
      <c r="G50" s="13"/>
      <c r="H50" s="13"/>
      <c r="I50" s="45"/>
    </row>
    <row r="51" spans="2:18" outlineLevel="1" x14ac:dyDescent="0.25">
      <c r="B51" s="2" t="s">
        <v>23</v>
      </c>
      <c r="C51" s="1"/>
      <c r="D51" s="20">
        <v>16111</v>
      </c>
      <c r="E51" s="20">
        <v>11586</v>
      </c>
      <c r="F51" s="20">
        <v>12172</v>
      </c>
      <c r="G51" s="20">
        <v>15420</v>
      </c>
      <c r="H51" s="20">
        <v>15949</v>
      </c>
      <c r="I51" s="41">
        <v>13890</v>
      </c>
      <c r="J51" s="23">
        <f t="shared" ref="J51:O51" si="47">(J37+J28)*J53</f>
        <v>14422.563502910962</v>
      </c>
      <c r="K51" s="23">
        <f t="shared" si="47"/>
        <v>14823.103697201643</v>
      </c>
      <c r="L51" s="23">
        <f t="shared" si="47"/>
        <v>15127.767593893379</v>
      </c>
      <c r="M51" s="23">
        <f t="shared" si="47"/>
        <v>15328.210411883365</v>
      </c>
      <c r="N51" s="23">
        <f t="shared" si="47"/>
        <v>15417.90910579115</v>
      </c>
      <c r="O51" s="23">
        <f t="shared" si="47"/>
        <v>15726.450882882353</v>
      </c>
    </row>
    <row r="52" spans="2:18" outlineLevel="1" x14ac:dyDescent="0.25">
      <c r="B52" s="17" t="s">
        <v>20</v>
      </c>
      <c r="C52" s="17"/>
      <c r="E52" s="33">
        <f>+E51/D51-1</f>
        <v>-0.28086400595866179</v>
      </c>
      <c r="F52" s="33">
        <f t="shared" ref="F52:O52" si="48">+F51/E51-1</f>
        <v>5.0578284136026275E-2</v>
      </c>
      <c r="G52" s="33">
        <f t="shared" si="48"/>
        <v>0.26684193230364772</v>
      </c>
      <c r="H52" s="33">
        <f t="shared" si="48"/>
        <v>3.430609597924783E-2</v>
      </c>
      <c r="I52" s="46">
        <f t="shared" si="48"/>
        <v>-0.12909900307229294</v>
      </c>
      <c r="J52" s="33">
        <f>+J51/I51-1</f>
        <v>3.8341504889198186E-2</v>
      </c>
      <c r="K52" s="33">
        <f t="shared" si="48"/>
        <v>2.7771775399694887E-2</v>
      </c>
      <c r="L52" s="33">
        <f t="shared" si="48"/>
        <v>2.0553313456833644E-2</v>
      </c>
      <c r="M52" s="33">
        <f t="shared" si="48"/>
        <v>1.3249993215846301E-2</v>
      </c>
      <c r="N52" s="33">
        <f t="shared" si="48"/>
        <v>5.851869950731281E-3</v>
      </c>
      <c r="O52" s="33">
        <f t="shared" si="48"/>
        <v>2.00119079036023E-2</v>
      </c>
    </row>
    <row r="53" spans="2:18" outlineLevel="1" x14ac:dyDescent="0.25">
      <c r="B53" s="34" t="s">
        <v>26</v>
      </c>
      <c r="C53" s="34"/>
      <c r="D53" s="27">
        <f t="shared" ref="D53:I53" si="49">D51/(D28+D37)</f>
        <v>3.7062341844950542</v>
      </c>
      <c r="E53" s="27">
        <f t="shared" si="49"/>
        <v>2.9700076903358115</v>
      </c>
      <c r="F53" s="27">
        <f t="shared" si="49"/>
        <v>3.2755651237890206</v>
      </c>
      <c r="G53" s="27">
        <f t="shared" si="49"/>
        <v>4.7315127339674747</v>
      </c>
      <c r="H53" s="27">
        <f t="shared" si="49"/>
        <v>5.0922733077905491</v>
      </c>
      <c r="I53" s="47">
        <f t="shared" si="49"/>
        <v>4.9910168882500896</v>
      </c>
      <c r="J53" s="28">
        <f>I53*(1+J54)</f>
        <v>5.2671795619735482</v>
      </c>
      <c r="K53" s="28">
        <f t="shared" ref="K53:O53" si="50">J53*(1+K54)</f>
        <v>5.5270197762965525</v>
      </c>
      <c r="L53" s="28">
        <f t="shared" si="50"/>
        <v>5.7665162952156317</v>
      </c>
      <c r="M53" s="28">
        <f t="shared" si="50"/>
        <v>5.9817915664337837</v>
      </c>
      <c r="N53" s="28">
        <f t="shared" si="50"/>
        <v>6.1692127329145992</v>
      </c>
      <c r="O53" s="28">
        <f t="shared" si="50"/>
        <v>6.3254908927443578</v>
      </c>
      <c r="Q53" s="2" t="s">
        <v>25</v>
      </c>
      <c r="R53" s="2" t="s">
        <v>27</v>
      </c>
    </row>
    <row r="54" spans="2:18" outlineLevel="1" x14ac:dyDescent="0.25">
      <c r="B54" s="17" t="s">
        <v>20</v>
      </c>
      <c r="C54" s="17"/>
      <c r="E54" s="33">
        <f>+E53/D53-1</f>
        <v>-0.19864543294086201</v>
      </c>
      <c r="F54" s="33">
        <f t="shared" ref="F54:I54" si="51">+F53/E53-1</f>
        <v>0.10288102433117285</v>
      </c>
      <c r="G54" s="33">
        <f t="shared" si="51"/>
        <v>0.4444874564100505</v>
      </c>
      <c r="H54" s="33">
        <f t="shared" si="51"/>
        <v>7.624634955184173E-2</v>
      </c>
      <c r="I54" s="46">
        <f t="shared" si="51"/>
        <v>-1.9884325412296677E-2</v>
      </c>
      <c r="J54" s="33">
        <f>+Q54-0.006</f>
        <v>5.5331945354383467E-2</v>
      </c>
      <c r="K54" s="33">
        <f>+J54-0.006</f>
        <v>4.9331945354383469E-2</v>
      </c>
      <c r="L54" s="33">
        <f t="shared" ref="L54:O54" si="52">+K54-0.006</f>
        <v>4.3331945354383471E-2</v>
      </c>
      <c r="M54" s="33">
        <f t="shared" si="52"/>
        <v>3.7331945354383472E-2</v>
      </c>
      <c r="N54" s="33">
        <f t="shared" si="52"/>
        <v>3.1331945354383474E-2</v>
      </c>
      <c r="O54" s="33">
        <f t="shared" si="52"/>
        <v>2.5331945354383475E-2</v>
      </c>
      <c r="Q54" s="30">
        <f>(I53/D53)^(1/5)-1</f>
        <v>6.1331945354383466E-2</v>
      </c>
      <c r="R54" s="30">
        <f>(O53/I53)^(1/6)-1</f>
        <v>4.0281477677538646E-2</v>
      </c>
    </row>
    <row r="55" spans="2:18" outlineLevel="1" x14ac:dyDescent="0.25">
      <c r="I55" s="40"/>
    </row>
    <row r="56" spans="2:18" outlineLevel="1" x14ac:dyDescent="0.25">
      <c r="B56" s="2" t="s">
        <v>28</v>
      </c>
      <c r="D56" s="20">
        <v>220</v>
      </c>
      <c r="E56" s="20">
        <v>350</v>
      </c>
      <c r="F56" s="20">
        <v>104</v>
      </c>
      <c r="G56" s="20">
        <v>177</v>
      </c>
      <c r="H56" s="20">
        <v>273</v>
      </c>
      <c r="I56" s="41">
        <v>206</v>
      </c>
      <c r="J56" s="14">
        <f>AVERAGE(D56:I56)</f>
        <v>221.66666666666666</v>
      </c>
      <c r="K56" s="14">
        <f>+J56</f>
        <v>221.66666666666666</v>
      </c>
      <c r="L56" s="14">
        <f t="shared" ref="L56:O56" si="53">+K56</f>
        <v>221.66666666666666</v>
      </c>
      <c r="M56" s="14">
        <f t="shared" si="53"/>
        <v>221.66666666666666</v>
      </c>
      <c r="N56" s="14">
        <f t="shared" si="53"/>
        <v>221.66666666666666</v>
      </c>
      <c r="O56" s="14">
        <f t="shared" si="53"/>
        <v>221.66666666666666</v>
      </c>
    </row>
    <row r="57" spans="2:18" outlineLevel="1" x14ac:dyDescent="0.25">
      <c r="B57" s="51"/>
      <c r="C57" s="51"/>
      <c r="D57" s="52"/>
      <c r="E57" s="52"/>
      <c r="F57" s="52"/>
      <c r="G57" s="52"/>
      <c r="H57" s="52"/>
      <c r="I57" s="53"/>
      <c r="J57" s="51"/>
      <c r="K57" s="51"/>
      <c r="L57" s="51"/>
      <c r="M57" s="51"/>
      <c r="N57" s="51"/>
      <c r="O57" s="51"/>
    </row>
    <row r="58" spans="2:18" outlineLevel="1" x14ac:dyDescent="0.25">
      <c r="B58" s="1" t="s">
        <v>29</v>
      </c>
      <c r="D58" s="49">
        <v>122697</v>
      </c>
      <c r="E58" s="49">
        <v>108669</v>
      </c>
      <c r="F58" s="49">
        <v>113584</v>
      </c>
      <c r="G58" s="49">
        <v>143975</v>
      </c>
      <c r="H58" s="49">
        <v>157667</v>
      </c>
      <c r="I58" s="50">
        <v>171605</v>
      </c>
      <c r="J58" s="29">
        <f t="shared" ref="J58:O58" si="54">+J56+J51+J46</f>
        <v>186906.44693726458</v>
      </c>
      <c r="K58" s="29">
        <f t="shared" si="54"/>
        <v>202900.41133502484</v>
      </c>
      <c r="L58" s="29">
        <f t="shared" si="54"/>
        <v>219071.63349004395</v>
      </c>
      <c r="M58" s="29">
        <f t="shared" si="54"/>
        <v>235244.19042353737</v>
      </c>
      <c r="N58" s="29">
        <f t="shared" si="54"/>
        <v>251226.89246691632</v>
      </c>
      <c r="O58" s="29">
        <f t="shared" si="54"/>
        <v>267150.50122874399</v>
      </c>
    </row>
    <row r="59" spans="2:18" outlineLevel="1" x14ac:dyDescent="0.25">
      <c r="D59" s="13"/>
      <c r="E59" s="13"/>
      <c r="F59" s="13"/>
      <c r="G59" s="13"/>
      <c r="H59" s="13"/>
      <c r="I59" s="45"/>
    </row>
    <row r="60" spans="2:18" outlineLevel="1" x14ac:dyDescent="0.25">
      <c r="B60" s="1" t="s">
        <v>30</v>
      </c>
      <c r="D60" s="49">
        <v>14554</v>
      </c>
      <c r="E60" s="49">
        <v>13831</v>
      </c>
      <c r="F60" s="49">
        <v>13419</v>
      </c>
      <c r="G60" s="49">
        <v>12766</v>
      </c>
      <c r="H60" s="49">
        <v>14225</v>
      </c>
      <c r="I60" s="50">
        <v>15875</v>
      </c>
      <c r="J60" s="29">
        <f>+J61*J62</f>
        <v>16831.716348888367</v>
      </c>
      <c r="K60" s="29">
        <f t="shared" ref="K60:O60" si="55">+K61*K62</f>
        <v>17737.525478570435</v>
      </c>
      <c r="L60" s="29">
        <f t="shared" si="55"/>
        <v>18579.609356384302</v>
      </c>
      <c r="M60" s="29">
        <f t="shared" si="55"/>
        <v>19343.67943989253</v>
      </c>
      <c r="N60" s="29">
        <f t="shared" si="55"/>
        <v>20016.12917561784</v>
      </c>
      <c r="O60" s="29">
        <f t="shared" si="55"/>
        <v>20770.636514202324</v>
      </c>
    </row>
    <row r="61" spans="2:18" outlineLevel="1" x14ac:dyDescent="0.25">
      <c r="B61" s="2" t="s">
        <v>31</v>
      </c>
      <c r="D61" s="20">
        <v>7714</v>
      </c>
      <c r="E61" s="20">
        <v>6825</v>
      </c>
      <c r="F61" s="20">
        <v>6290</v>
      </c>
      <c r="G61" s="20">
        <v>5939</v>
      </c>
      <c r="H61" s="20">
        <v>6187</v>
      </c>
      <c r="I61" s="41">
        <v>5998</v>
      </c>
      <c r="J61" s="23">
        <f>+J19+J28+J37</f>
        <v>5976.7112849999994</v>
      </c>
      <c r="K61" s="23">
        <f t="shared" ref="K61:O61" si="56">+K19+K28+K37</f>
        <v>5952.8359458249997</v>
      </c>
      <c r="L61" s="23">
        <f t="shared" si="56"/>
        <v>5926.9914087786246</v>
      </c>
      <c r="M61" s="23">
        <f t="shared" si="56"/>
        <v>5899.1249966937776</v>
      </c>
      <c r="N61" s="23">
        <f t="shared" si="56"/>
        <v>5869.1829075979331</v>
      </c>
      <c r="O61" s="23">
        <f t="shared" si="56"/>
        <v>5889.9158485347571</v>
      </c>
      <c r="Q61" s="2" t="s">
        <v>25</v>
      </c>
      <c r="R61" s="2" t="s">
        <v>27</v>
      </c>
    </row>
    <row r="62" spans="2:18" outlineLevel="1" x14ac:dyDescent="0.25">
      <c r="B62" s="2" t="s">
        <v>32</v>
      </c>
      <c r="D62" s="31">
        <f>D60/D61</f>
        <v>1.8866995073891626</v>
      </c>
      <c r="E62" s="31">
        <f t="shared" ref="E62:I62" si="57">E60/E61</f>
        <v>2.0265201465201463</v>
      </c>
      <c r="F62" s="31">
        <f t="shared" si="57"/>
        <v>2.1333863275039744</v>
      </c>
      <c r="G62" s="31">
        <f t="shared" si="57"/>
        <v>2.1495201212325306</v>
      </c>
      <c r="H62" s="31">
        <f t="shared" si="57"/>
        <v>2.2991756909649266</v>
      </c>
      <c r="I62" s="48">
        <f t="shared" si="57"/>
        <v>2.6467155718572859</v>
      </c>
      <c r="J62" s="36">
        <f>+I62*(1+J63)</f>
        <v>2.816217070938599</v>
      </c>
      <c r="K62" s="36">
        <f t="shared" ref="K62:O62" si="58">+J62*(1+K63)</f>
        <v>2.9796765172086737</v>
      </c>
      <c r="L62" s="36">
        <f t="shared" si="58"/>
        <v>3.1347454509324155</v>
      </c>
      <c r="M62" s="36">
        <f t="shared" si="58"/>
        <v>3.2790760410626802</v>
      </c>
      <c r="N62" s="36">
        <f t="shared" si="58"/>
        <v>3.4103774734479684</v>
      </c>
      <c r="O62" s="36">
        <f t="shared" si="58"/>
        <v>3.5264742397583602</v>
      </c>
      <c r="Q62" s="30">
        <f>(I62/D62)^(1/5)-1</f>
        <v>7.0042204188328627E-2</v>
      </c>
      <c r="R62" s="30">
        <f>(O62/I62)^(1/6)-1</f>
        <v>4.8992155597007869E-2</v>
      </c>
    </row>
    <row r="63" spans="2:18" outlineLevel="1" x14ac:dyDescent="0.25">
      <c r="B63" s="17" t="s">
        <v>20</v>
      </c>
      <c r="D63" s="13"/>
      <c r="E63" s="33">
        <f>+E62/D62-1</f>
        <v>7.4108589408850456E-2</v>
      </c>
      <c r="F63" s="33">
        <f t="shared" ref="F63:I63" si="59">+F62/E62-1</f>
        <v>5.273383596374992E-2</v>
      </c>
      <c r="G63" s="33">
        <f t="shared" si="59"/>
        <v>7.5625279493716224E-3</v>
      </c>
      <c r="H63" s="33">
        <f t="shared" si="59"/>
        <v>6.9622781500916497E-2</v>
      </c>
      <c r="I63" s="46">
        <f t="shared" si="59"/>
        <v>0.15115847051536213</v>
      </c>
      <c r="J63" s="18">
        <f>+Q62-0.006</f>
        <v>6.4042204188328622E-2</v>
      </c>
      <c r="K63" s="18">
        <f>+J63-0.006</f>
        <v>5.8042204188328624E-2</v>
      </c>
      <c r="L63" s="18">
        <f t="shared" ref="L63:O63" si="60">+K63-0.006</f>
        <v>5.2042204188328625E-2</v>
      </c>
      <c r="M63" s="18">
        <f t="shared" si="60"/>
        <v>4.6042204188328627E-2</v>
      </c>
      <c r="N63" s="18">
        <f t="shared" si="60"/>
        <v>4.0042204188328628E-2</v>
      </c>
      <c r="O63" s="18">
        <f t="shared" si="60"/>
        <v>3.404220418832863E-2</v>
      </c>
    </row>
    <row r="64" spans="2:18" outlineLevel="1" x14ac:dyDescent="0.25">
      <c r="D64" s="13"/>
      <c r="E64" s="13"/>
      <c r="F64" s="13"/>
      <c r="G64" s="13"/>
      <c r="H64" s="13"/>
      <c r="I64" s="45"/>
    </row>
    <row r="65" spans="2:15" outlineLevel="1" x14ac:dyDescent="0.25">
      <c r="B65" s="1" t="s">
        <v>40</v>
      </c>
      <c r="D65" s="49">
        <v>100</v>
      </c>
      <c r="E65" s="49">
        <v>103</v>
      </c>
      <c r="F65" s="49">
        <v>106</v>
      </c>
      <c r="G65" s="49">
        <v>102</v>
      </c>
      <c r="H65" s="49">
        <v>102</v>
      </c>
      <c r="I65" s="50">
        <v>257</v>
      </c>
      <c r="J65" s="14">
        <f ca="1">AVERAGE(D65:J65)</f>
        <v>128.33333333333331</v>
      </c>
      <c r="K65" s="14">
        <f t="shared" ref="K65:O65" ca="1" si="61">J65</f>
        <v>128.33333333333331</v>
      </c>
      <c r="L65" s="14">
        <f t="shared" ca="1" si="61"/>
        <v>128.33333333333331</v>
      </c>
      <c r="M65" s="14">
        <f t="shared" ca="1" si="61"/>
        <v>128.33333333333331</v>
      </c>
      <c r="N65" s="14">
        <f t="shared" ca="1" si="61"/>
        <v>128.33333333333331</v>
      </c>
      <c r="O65" s="14">
        <f t="shared" ca="1" si="61"/>
        <v>128.33333333333331</v>
      </c>
    </row>
    <row r="66" spans="2:15" outlineLevel="1" x14ac:dyDescent="0.25">
      <c r="D66" s="13"/>
      <c r="E66" s="13"/>
      <c r="F66" s="13"/>
      <c r="G66" s="13"/>
      <c r="H66" s="13"/>
      <c r="I66" s="45"/>
    </row>
    <row r="67" spans="2:15" outlineLevel="1" x14ac:dyDescent="0.25">
      <c r="B67" s="1" t="s">
        <v>41</v>
      </c>
      <c r="D67" s="49">
        <v>-114</v>
      </c>
      <c r="E67" s="49">
        <v>-118</v>
      </c>
      <c r="F67" s="49">
        <v>-105</v>
      </c>
      <c r="G67" s="49">
        <v>-107</v>
      </c>
      <c r="H67" s="49">
        <v>-151</v>
      </c>
      <c r="I67" s="50">
        <v>-296</v>
      </c>
      <c r="J67" s="26">
        <f>AVERAGE(D67:I67)</f>
        <v>-148.5</v>
      </c>
      <c r="K67" s="26">
        <f t="shared" ref="K67:O67" si="62">AVERAGE(E67:J67)</f>
        <v>-154.25</v>
      </c>
      <c r="L67" s="26">
        <f t="shared" si="62"/>
        <v>-160.29166666666666</v>
      </c>
      <c r="M67" s="26">
        <f t="shared" si="62"/>
        <v>-169.50694444444443</v>
      </c>
      <c r="N67" s="26">
        <f t="shared" si="62"/>
        <v>-179.9247685185185</v>
      </c>
      <c r="O67" s="26">
        <f t="shared" si="62"/>
        <v>-184.74556327160494</v>
      </c>
    </row>
    <row r="68" spans="2:15" outlineLevel="1" x14ac:dyDescent="0.25">
      <c r="B68" s="51"/>
      <c r="C68" s="51"/>
      <c r="D68" s="52"/>
      <c r="E68" s="52"/>
      <c r="F68" s="52"/>
      <c r="G68" s="52"/>
      <c r="H68" s="52"/>
      <c r="I68" s="53"/>
      <c r="J68" s="51"/>
      <c r="K68" s="51"/>
      <c r="L68" s="51"/>
      <c r="M68" s="51"/>
      <c r="N68" s="51"/>
      <c r="O68" s="51"/>
    </row>
    <row r="69" spans="2:15" outlineLevel="1" x14ac:dyDescent="0.25">
      <c r="B69" s="1" t="s">
        <v>33</v>
      </c>
      <c r="D69" s="49">
        <v>137237</v>
      </c>
      <c r="E69" s="49">
        <v>122485</v>
      </c>
      <c r="F69" s="49">
        <v>127004</v>
      </c>
      <c r="G69" s="49">
        <v>156735</v>
      </c>
      <c r="H69" s="49">
        <v>171842</v>
      </c>
      <c r="I69" s="50">
        <v>187442</v>
      </c>
      <c r="J69" s="29">
        <f ca="1">J60+J58+J65+J67</f>
        <v>203717.99661948628</v>
      </c>
      <c r="K69" s="29">
        <f t="shared" ref="K69:O69" ca="1" si="63">K60+K58+K65+K67</f>
        <v>220612.02014692861</v>
      </c>
      <c r="L69" s="29">
        <f t="shared" ca="1" si="63"/>
        <v>237619.28451309493</v>
      </c>
      <c r="M69" s="29">
        <f t="shared" ca="1" si="63"/>
        <v>254546.6962523188</v>
      </c>
      <c r="N69" s="29">
        <f t="shared" ca="1" si="63"/>
        <v>271191.43020734895</v>
      </c>
      <c r="O69" s="29">
        <f t="shared" ca="1" si="63"/>
        <v>287864.72551300802</v>
      </c>
    </row>
    <row r="70" spans="2:15" outlineLevel="1" x14ac:dyDescent="0.25">
      <c r="B70" s="17" t="s">
        <v>20</v>
      </c>
      <c r="D70" s="13"/>
      <c r="E70" s="33">
        <f>+E69/D69-1</f>
        <v>-0.10749287728528023</v>
      </c>
      <c r="F70" s="33">
        <f t="shared" ref="F70:O70" si="64">+F69/E69-1</f>
        <v>3.6894313589419081E-2</v>
      </c>
      <c r="G70" s="33">
        <f t="shared" si="64"/>
        <v>0.23409498913420057</v>
      </c>
      <c r="H70" s="33">
        <f t="shared" si="64"/>
        <v>9.63856190385044E-2</v>
      </c>
      <c r="I70" s="46">
        <f t="shared" si="64"/>
        <v>9.0781066328371463E-2</v>
      </c>
      <c r="J70" s="33">
        <f ca="1">+J69/I69-1</f>
        <v>8.6832175390180844E-2</v>
      </c>
      <c r="K70" s="33">
        <f t="shared" ca="1" si="64"/>
        <v>8.2928478621345114E-2</v>
      </c>
      <c r="L70" s="33">
        <f t="shared" ca="1" si="64"/>
        <v>7.709128611777083E-2</v>
      </c>
      <c r="M70" s="33">
        <f t="shared" ca="1" si="64"/>
        <v>7.1237533493587302E-2</v>
      </c>
      <c r="N70" s="33">
        <f t="shared" ca="1" si="64"/>
        <v>6.5389707272142772E-2</v>
      </c>
      <c r="O70" s="33">
        <f t="shared" ca="1" si="64"/>
        <v>6.1481645245614613E-2</v>
      </c>
    </row>
    <row r="72" spans="2:15" x14ac:dyDescent="0.25">
      <c r="B72" s="1" t="s">
        <v>43</v>
      </c>
      <c r="C72" s="1"/>
    </row>
    <row r="73" spans="2:15" outlineLevel="1" x14ac:dyDescent="0.25">
      <c r="B73" s="3" t="s">
        <v>0</v>
      </c>
      <c r="C73" s="3"/>
      <c r="D73" s="4" t="s">
        <v>1</v>
      </c>
      <c r="E73" s="5" t="s">
        <v>2</v>
      </c>
      <c r="F73" s="5" t="s">
        <v>3</v>
      </c>
      <c r="G73" s="4" t="s">
        <v>4</v>
      </c>
      <c r="H73" s="4" t="s">
        <v>5</v>
      </c>
      <c r="I73" s="6" t="s">
        <v>6</v>
      </c>
      <c r="J73" s="7" t="s">
        <v>7</v>
      </c>
      <c r="K73" s="7" t="s">
        <v>8</v>
      </c>
      <c r="L73" s="7" t="s">
        <v>9</v>
      </c>
      <c r="M73" s="7" t="s">
        <v>10</v>
      </c>
      <c r="N73" s="7" t="s">
        <v>11</v>
      </c>
      <c r="O73" s="7" t="s">
        <v>12</v>
      </c>
    </row>
    <row r="74" spans="2:15" outlineLevel="1" x14ac:dyDescent="0.25">
      <c r="B74" s="8" t="s">
        <v>13</v>
      </c>
      <c r="C74" s="8"/>
      <c r="D74" s="9">
        <v>43830</v>
      </c>
      <c r="E74" s="9">
        <v>44196</v>
      </c>
      <c r="F74" s="9">
        <v>44561</v>
      </c>
      <c r="G74" s="9">
        <v>44926</v>
      </c>
      <c r="H74" s="9">
        <v>45291</v>
      </c>
      <c r="I74" s="39">
        <v>45657</v>
      </c>
      <c r="J74" s="8"/>
      <c r="K74" s="8"/>
      <c r="L74" s="8"/>
      <c r="M74" s="8"/>
      <c r="N74" s="8"/>
      <c r="O74" s="8"/>
    </row>
    <row r="75" spans="2:15" outlineLevel="1" x14ac:dyDescent="0.25">
      <c r="I75" s="40"/>
    </row>
    <row r="76" spans="2:15" outlineLevel="1" x14ac:dyDescent="0.25">
      <c r="B76" s="34" t="s">
        <v>44</v>
      </c>
      <c r="D76" s="20">
        <v>122697</v>
      </c>
      <c r="E76" s="20">
        <v>108669</v>
      </c>
      <c r="F76" s="20">
        <v>113584</v>
      </c>
      <c r="G76" s="20">
        <v>143975</v>
      </c>
      <c r="H76" s="20">
        <v>157667</v>
      </c>
      <c r="I76" s="41">
        <v>171605</v>
      </c>
      <c r="J76" s="14">
        <f>J58</f>
        <v>186906.44693726458</v>
      </c>
      <c r="K76" s="14">
        <f t="shared" ref="K76:O76" si="65">K58</f>
        <v>202900.41133502484</v>
      </c>
      <c r="L76" s="14">
        <f t="shared" si="65"/>
        <v>219071.63349004395</v>
      </c>
      <c r="M76" s="14">
        <f t="shared" si="65"/>
        <v>235244.19042353737</v>
      </c>
      <c r="N76" s="14">
        <f t="shared" si="65"/>
        <v>251226.89246691632</v>
      </c>
      <c r="O76" s="14">
        <f t="shared" si="65"/>
        <v>267150.50122874399</v>
      </c>
    </row>
    <row r="77" spans="2:15" outlineLevel="1" x14ac:dyDescent="0.25">
      <c r="B77" s="34" t="s">
        <v>45</v>
      </c>
      <c r="D77" s="20">
        <v>14554</v>
      </c>
      <c r="E77" s="20">
        <v>13831</v>
      </c>
      <c r="F77" s="20">
        <v>13419</v>
      </c>
      <c r="G77" s="20">
        <v>12766</v>
      </c>
      <c r="H77" s="20">
        <v>14225</v>
      </c>
      <c r="I77" s="41">
        <v>15875</v>
      </c>
      <c r="J77" s="14">
        <f>J60</f>
        <v>16831.716348888367</v>
      </c>
      <c r="K77" s="14">
        <f t="shared" ref="K77:O77" si="66">K60</f>
        <v>17737.525478570435</v>
      </c>
      <c r="L77" s="14">
        <f t="shared" si="66"/>
        <v>18579.609356384302</v>
      </c>
      <c r="M77" s="14">
        <f t="shared" si="66"/>
        <v>19343.67943989253</v>
      </c>
      <c r="N77" s="14">
        <f t="shared" si="66"/>
        <v>20016.12917561784</v>
      </c>
      <c r="O77" s="14">
        <f t="shared" si="66"/>
        <v>20770.636514202324</v>
      </c>
    </row>
    <row r="78" spans="2:15" outlineLevel="1" x14ac:dyDescent="0.25">
      <c r="B78" s="34" t="s">
        <v>46</v>
      </c>
      <c r="D78" s="20">
        <v>100</v>
      </c>
      <c r="E78" s="20">
        <v>103</v>
      </c>
      <c r="F78" s="20">
        <v>106</v>
      </c>
      <c r="G78" s="20">
        <v>102</v>
      </c>
      <c r="H78" s="20">
        <v>102</v>
      </c>
      <c r="I78" s="41">
        <v>257</v>
      </c>
      <c r="J78" s="14">
        <f ca="1">J65</f>
        <v>128.33333333333331</v>
      </c>
      <c r="K78" s="14">
        <f t="shared" ref="K78:O78" ca="1" si="67">K65</f>
        <v>128.33333333333331</v>
      </c>
      <c r="L78" s="14">
        <f t="shared" ca="1" si="67"/>
        <v>128.33333333333331</v>
      </c>
      <c r="M78" s="14">
        <f t="shared" ca="1" si="67"/>
        <v>128.33333333333331</v>
      </c>
      <c r="N78" s="14">
        <f t="shared" ca="1" si="67"/>
        <v>128.33333333333331</v>
      </c>
      <c r="O78" s="14">
        <f t="shared" ca="1" si="67"/>
        <v>128.33333333333331</v>
      </c>
    </row>
    <row r="79" spans="2:15" outlineLevel="1" x14ac:dyDescent="0.25">
      <c r="B79" s="63" t="s">
        <v>41</v>
      </c>
      <c r="C79" s="51"/>
      <c r="D79" s="62">
        <v>-114</v>
      </c>
      <c r="E79" s="62">
        <v>-118</v>
      </c>
      <c r="F79" s="62">
        <v>-105</v>
      </c>
      <c r="G79" s="62">
        <v>-107</v>
      </c>
      <c r="H79" s="62">
        <v>-151</v>
      </c>
      <c r="I79" s="67">
        <v>-296</v>
      </c>
      <c r="J79" s="64">
        <f>J67</f>
        <v>-148.5</v>
      </c>
      <c r="K79" s="64">
        <f t="shared" ref="K79:O79" si="68">K67</f>
        <v>-154.25</v>
      </c>
      <c r="L79" s="64">
        <f t="shared" si="68"/>
        <v>-160.29166666666666</v>
      </c>
      <c r="M79" s="64">
        <f t="shared" si="68"/>
        <v>-169.50694444444443</v>
      </c>
      <c r="N79" s="64">
        <f t="shared" si="68"/>
        <v>-179.9247685185185</v>
      </c>
      <c r="O79" s="64">
        <f t="shared" si="68"/>
        <v>-184.74556327160494</v>
      </c>
    </row>
    <row r="80" spans="2:15" outlineLevel="1" x14ac:dyDescent="0.25">
      <c r="B80" s="1" t="s">
        <v>33</v>
      </c>
      <c r="D80" s="49">
        <v>137237</v>
      </c>
      <c r="E80" s="49">
        <v>122485</v>
      </c>
      <c r="F80" s="49">
        <v>127004</v>
      </c>
      <c r="G80" s="49">
        <v>156735</v>
      </c>
      <c r="H80" s="49">
        <v>171842</v>
      </c>
      <c r="I80" s="68">
        <v>187442</v>
      </c>
      <c r="J80" s="26">
        <f t="shared" ref="J80:O80" ca="1" si="69">SUM(J76:J79)</f>
        <v>203717.99661948628</v>
      </c>
      <c r="K80" s="26">
        <f t="shared" ca="1" si="69"/>
        <v>220612.02014692861</v>
      </c>
      <c r="L80" s="26">
        <f t="shared" ca="1" si="69"/>
        <v>237619.28451309493</v>
      </c>
      <c r="M80" s="26">
        <f t="shared" ca="1" si="69"/>
        <v>254546.6962523188</v>
      </c>
      <c r="N80" s="26">
        <f t="shared" ca="1" si="69"/>
        <v>271191.43020734895</v>
      </c>
      <c r="O80" s="26">
        <f t="shared" ca="1" si="69"/>
        <v>287864.72551300802</v>
      </c>
    </row>
    <row r="81" spans="2:15" outlineLevel="1" x14ac:dyDescent="0.25">
      <c r="B81" s="51" t="s">
        <v>47</v>
      </c>
      <c r="C81" s="51"/>
      <c r="D81" s="62">
        <v>-110651</v>
      </c>
      <c r="E81" s="62">
        <v>-97539</v>
      </c>
      <c r="F81" s="62">
        <v>-100544</v>
      </c>
      <c r="G81" s="62">
        <v>-126892</v>
      </c>
      <c r="H81" s="62">
        <v>-141330</v>
      </c>
      <c r="I81" s="67">
        <v>-151065</v>
      </c>
      <c r="J81" s="64">
        <f ca="1">(1-J97)*-J80</f>
        <v>-164182.30257531765</v>
      </c>
      <c r="K81" s="64">
        <f t="shared" ref="K81:O81" ca="1" si="70">(1-K97)*-K80</f>
        <v>-177797.69114443811</v>
      </c>
      <c r="L81" s="64">
        <f t="shared" ca="1" si="70"/>
        <v>-191504.34382353307</v>
      </c>
      <c r="M81" s="64">
        <f t="shared" ca="1" si="70"/>
        <v>-205146.64093082945</v>
      </c>
      <c r="N81" s="64">
        <f t="shared" ca="1" si="70"/>
        <v>-218561.11972915978</v>
      </c>
      <c r="O81" s="64">
        <f t="shared" ca="1" si="70"/>
        <v>-231998.61695683227</v>
      </c>
    </row>
    <row r="82" spans="2:15" outlineLevel="1" x14ac:dyDescent="0.25">
      <c r="B82" s="1" t="s">
        <v>53</v>
      </c>
      <c r="D82" s="26">
        <f>SUM(D80:D81)</f>
        <v>26586</v>
      </c>
      <c r="E82" s="26">
        <f t="shared" ref="E82:O82" si="71">SUM(E80:E81)</f>
        <v>24946</v>
      </c>
      <c r="F82" s="26">
        <f t="shared" si="71"/>
        <v>26460</v>
      </c>
      <c r="G82" s="26">
        <f t="shared" si="71"/>
        <v>29843</v>
      </c>
      <c r="H82" s="26">
        <f t="shared" si="71"/>
        <v>30512</v>
      </c>
      <c r="I82" s="69">
        <f t="shared" si="71"/>
        <v>36377</v>
      </c>
      <c r="J82" s="26">
        <f ca="1">SUM(J80:J81)</f>
        <v>39535.694044168631</v>
      </c>
      <c r="K82" s="26">
        <f t="shared" ca="1" si="71"/>
        <v>42814.3290024905</v>
      </c>
      <c r="L82" s="26">
        <f t="shared" ca="1" si="71"/>
        <v>46114.940689561859</v>
      </c>
      <c r="M82" s="26">
        <f t="shared" ca="1" si="71"/>
        <v>49400.055321489344</v>
      </c>
      <c r="N82" s="26">
        <f t="shared" ca="1" si="71"/>
        <v>52630.310478189174</v>
      </c>
      <c r="O82" s="26">
        <f t="shared" ca="1" si="71"/>
        <v>55866.10855617575</v>
      </c>
    </row>
    <row r="83" spans="2:15" outlineLevel="1" x14ac:dyDescent="0.25">
      <c r="B83" s="2" t="s">
        <v>49</v>
      </c>
      <c r="D83" s="20">
        <v>-12614</v>
      </c>
      <c r="E83" s="20">
        <v>-11274</v>
      </c>
      <c r="F83" s="20">
        <v>-8582</v>
      </c>
      <c r="G83" s="20">
        <v>-8862</v>
      </c>
      <c r="H83" s="20">
        <v>-11374</v>
      </c>
      <c r="I83" s="70">
        <v>-12972</v>
      </c>
      <c r="J83" s="14">
        <f ca="1">+J99*-J80</f>
        <v>-14098.386979161427</v>
      </c>
      <c r="K83" s="14">
        <f t="shared" ref="J83:O83" ca="1" si="72">+K99*-K80</f>
        <v>-15267.544762358266</v>
      </c>
      <c r="L83" s="14">
        <f t="shared" ca="1" si="72"/>
        <v>-16444.5394239491</v>
      </c>
      <c r="M83" s="14">
        <f t="shared" ca="1" si="72"/>
        <v>-17616.007851949293</v>
      </c>
      <c r="N83" s="14">
        <f t="shared" ca="1" si="72"/>
        <v>-18767.913448692027</v>
      </c>
      <c r="O83" s="14">
        <f t="shared" ca="1" si="72"/>
        <v>-19921.795645344908</v>
      </c>
    </row>
    <row r="84" spans="2:15" outlineLevel="1" x14ac:dyDescent="0.25">
      <c r="B84" s="51" t="s">
        <v>50</v>
      </c>
      <c r="C84" s="51"/>
      <c r="D84" s="62">
        <v>-8491</v>
      </c>
      <c r="E84" s="62">
        <v>-7038</v>
      </c>
      <c r="F84" s="62">
        <v>-8554</v>
      </c>
      <c r="G84" s="62">
        <v>-10667</v>
      </c>
      <c r="H84" s="62">
        <v>-9840</v>
      </c>
      <c r="I84" s="67">
        <v>-10621</v>
      </c>
      <c r="J84" s="64">
        <f t="shared" ref="J84:O84" ca="1" si="73">+J100*-J80</f>
        <v>-11543.24453481911</v>
      </c>
      <c r="K84" s="64">
        <f t="shared" ca="1" si="73"/>
        <v>-12500.508242445816</v>
      </c>
      <c r="L84" s="64">
        <f t="shared" ca="1" si="73"/>
        <v>-13464.188499981761</v>
      </c>
      <c r="M84" s="64">
        <f t="shared" ca="1" si="73"/>
        <v>-14423.344079213186</v>
      </c>
      <c r="N84" s="64">
        <f t="shared" ca="1" si="73"/>
        <v>-15366.482326438329</v>
      </c>
      <c r="O84" s="64">
        <f t="shared" ca="1" si="73"/>
        <v>-16311.238941505415</v>
      </c>
    </row>
    <row r="85" spans="2:15" outlineLevel="1" x14ac:dyDescent="0.25">
      <c r="B85" s="1" t="s">
        <v>51</v>
      </c>
      <c r="D85" s="26">
        <f>SUM(D82:D84)</f>
        <v>5481</v>
      </c>
      <c r="E85" s="26">
        <f t="shared" ref="E85:O85" si="74">SUM(E82:E84)</f>
        <v>6634</v>
      </c>
      <c r="F85" s="26">
        <f t="shared" si="74"/>
        <v>9324</v>
      </c>
      <c r="G85" s="26">
        <f>SUM(G82:G84)</f>
        <v>10314</v>
      </c>
      <c r="H85" s="26">
        <f t="shared" si="74"/>
        <v>9298</v>
      </c>
      <c r="I85" s="71">
        <f t="shared" si="74"/>
        <v>12784</v>
      </c>
      <c r="J85" s="26">
        <f t="shared" ca="1" si="74"/>
        <v>13894.062530188094</v>
      </c>
      <c r="K85" s="26">
        <f t="shared" ca="1" si="74"/>
        <v>15046.275997686418</v>
      </c>
      <c r="L85" s="26">
        <f t="shared" ca="1" si="74"/>
        <v>16206.212765630999</v>
      </c>
      <c r="M85" s="26">
        <f t="shared" ca="1" si="74"/>
        <v>17360.703390326868</v>
      </c>
      <c r="N85" s="26">
        <f t="shared" ca="1" si="74"/>
        <v>18495.914703058821</v>
      </c>
      <c r="O85" s="26">
        <f t="shared" ca="1" si="74"/>
        <v>19633.073969325429</v>
      </c>
    </row>
    <row r="86" spans="2:15" outlineLevel="1" x14ac:dyDescent="0.25">
      <c r="B86" s="2" t="s">
        <v>56</v>
      </c>
      <c r="D86" s="20">
        <v>687</v>
      </c>
      <c r="E86" s="20">
        <v>787</v>
      </c>
      <c r="F86" s="20">
        <v>2091</v>
      </c>
      <c r="G86" s="20">
        <v>445</v>
      </c>
      <c r="H86" s="20">
        <v>626</v>
      </c>
      <c r="I86" s="70">
        <v>411</v>
      </c>
      <c r="J86" s="14">
        <f>MEDIAN(D86:I86)</f>
        <v>656.5</v>
      </c>
      <c r="K86" s="14">
        <f t="shared" ref="K86:O86" si="75">MEDIAN(E86:J86)</f>
        <v>641.25</v>
      </c>
      <c r="L86" s="14">
        <f t="shared" si="75"/>
        <v>633.625</v>
      </c>
      <c r="M86" s="14">
        <f t="shared" si="75"/>
        <v>629.8125</v>
      </c>
      <c r="N86" s="14">
        <f t="shared" si="75"/>
        <v>631.71875</v>
      </c>
      <c r="O86" s="14">
        <f t="shared" si="75"/>
        <v>632.671875</v>
      </c>
    </row>
    <row r="87" spans="2:15" outlineLevel="1" x14ac:dyDescent="0.25">
      <c r="B87" s="65" t="s">
        <v>58</v>
      </c>
      <c r="C87" s="65"/>
      <c r="D87" s="66">
        <v>1268</v>
      </c>
      <c r="E87" s="66">
        <v>674</v>
      </c>
      <c r="F87" s="66">
        <v>1301</v>
      </c>
      <c r="G87" s="66">
        <v>837</v>
      </c>
      <c r="H87" s="66">
        <v>480</v>
      </c>
      <c r="I87" s="72">
        <v>-4675</v>
      </c>
      <c r="J87" s="76">
        <f>MEDIAN(D87:I87)</f>
        <v>755.5</v>
      </c>
      <c r="K87" s="76">
        <f t="shared" ref="K87:O87" si="76">MEDIAN(E87:J87)</f>
        <v>714.75</v>
      </c>
      <c r="L87" s="76">
        <f t="shared" si="76"/>
        <v>735.125</v>
      </c>
      <c r="M87" s="76">
        <f t="shared" si="76"/>
        <v>724.9375</v>
      </c>
      <c r="N87" s="76">
        <f t="shared" si="76"/>
        <v>719.84375</v>
      </c>
      <c r="O87" s="76">
        <f t="shared" si="76"/>
        <v>722.390625</v>
      </c>
    </row>
    <row r="88" spans="2:15" outlineLevel="1" x14ac:dyDescent="0.25">
      <c r="B88" s="1" t="s">
        <v>57</v>
      </c>
      <c r="D88" s="26">
        <f>+D85+D86+D87</f>
        <v>7436</v>
      </c>
      <c r="E88" s="26">
        <f t="shared" ref="E88:I88" si="77">+E85+E86+E87</f>
        <v>8095</v>
      </c>
      <c r="F88" s="26">
        <f t="shared" si="77"/>
        <v>12716</v>
      </c>
      <c r="G88" s="26">
        <f t="shared" si="77"/>
        <v>11596</v>
      </c>
      <c r="H88" s="26">
        <f t="shared" si="77"/>
        <v>10404</v>
      </c>
      <c r="I88" s="74">
        <f t="shared" si="77"/>
        <v>8520</v>
      </c>
      <c r="J88" s="26">
        <f t="shared" ref="J88" ca="1" si="78">+J85+J86+J87</f>
        <v>15306.062530188094</v>
      </c>
      <c r="K88" s="26">
        <f t="shared" ref="K88" ca="1" si="79">+K85+K86+K87</f>
        <v>16402.275997686418</v>
      </c>
      <c r="L88" s="26">
        <f t="shared" ref="L88" ca="1" si="80">+L85+L86+L87</f>
        <v>17574.962765630997</v>
      </c>
      <c r="M88" s="26">
        <f t="shared" ref="M88" ca="1" si="81">+M85+M86+M87</f>
        <v>18715.453390326868</v>
      </c>
      <c r="N88" s="26">
        <f t="shared" ref="N88" ca="1" si="82">+N85+N86+N87</f>
        <v>19847.477203058821</v>
      </c>
      <c r="O88" s="26">
        <f t="shared" ref="O88" ca="1" si="83">+O85+O86+O87</f>
        <v>20988.136469325429</v>
      </c>
    </row>
    <row r="89" spans="2:15" outlineLevel="1" x14ac:dyDescent="0.25">
      <c r="B89" s="65" t="s">
        <v>59</v>
      </c>
      <c r="C89" s="65"/>
      <c r="D89" s="66">
        <v>-769</v>
      </c>
      <c r="E89" s="66">
        <v>-1774</v>
      </c>
      <c r="F89" s="66">
        <v>-2771</v>
      </c>
      <c r="G89" s="66">
        <v>-1888</v>
      </c>
      <c r="H89" s="66">
        <v>-563</v>
      </c>
      <c r="I89" s="72">
        <v>-2556</v>
      </c>
      <c r="J89" s="107">
        <f ca="1">-J88*$C$106</f>
        <v>-3076.5185685678071</v>
      </c>
      <c r="K89" s="76">
        <f t="shared" ref="K89:O89" ca="1" si="84">-K88*$C$106</f>
        <v>-3296.85747553497</v>
      </c>
      <c r="L89" s="76">
        <f t="shared" ca="1" si="84"/>
        <v>-3532.5675158918307</v>
      </c>
      <c r="M89" s="76">
        <f t="shared" ca="1" si="84"/>
        <v>-3761.8061314557008</v>
      </c>
      <c r="N89" s="76">
        <f t="shared" ca="1" si="84"/>
        <v>-3989.3429178148231</v>
      </c>
      <c r="O89" s="76">
        <f t="shared" ca="1" si="84"/>
        <v>-4218.6154303344119</v>
      </c>
    </row>
    <row r="90" spans="2:15" outlineLevel="1" x14ac:dyDescent="0.25">
      <c r="B90" s="1" t="s">
        <v>60</v>
      </c>
      <c r="C90" s="1"/>
      <c r="D90" s="26">
        <f>D88+D89</f>
        <v>6667</v>
      </c>
      <c r="E90" s="26">
        <f t="shared" ref="E90:O90" si="85">E88+E89</f>
        <v>6321</v>
      </c>
      <c r="F90" s="26">
        <f t="shared" si="85"/>
        <v>9945</v>
      </c>
      <c r="G90" s="26">
        <f t="shared" si="85"/>
        <v>9708</v>
      </c>
      <c r="H90" s="26">
        <f t="shared" si="85"/>
        <v>9841</v>
      </c>
      <c r="I90" s="74">
        <f t="shared" si="85"/>
        <v>5964</v>
      </c>
      <c r="J90" s="26">
        <f t="shared" ca="1" si="85"/>
        <v>12229.543961620286</v>
      </c>
      <c r="K90" s="26">
        <f t="shared" ca="1" si="85"/>
        <v>13105.418522151449</v>
      </c>
      <c r="L90" s="26">
        <f t="shared" ca="1" si="85"/>
        <v>14042.395249739166</v>
      </c>
      <c r="M90" s="26">
        <f t="shared" ca="1" si="85"/>
        <v>14953.647258871166</v>
      </c>
      <c r="N90" s="26">
        <f t="shared" ca="1" si="85"/>
        <v>15858.134285243998</v>
      </c>
      <c r="O90" s="26">
        <f t="shared" ca="1" si="85"/>
        <v>16769.521038991017</v>
      </c>
    </row>
    <row r="91" spans="2:15" outlineLevel="1" x14ac:dyDescent="0.25">
      <c r="B91" s="2" t="s">
        <v>64</v>
      </c>
      <c r="D91" s="20">
        <v>65</v>
      </c>
      <c r="E91" s="20">
        <v>106</v>
      </c>
      <c r="F91" s="20">
        <v>74</v>
      </c>
      <c r="G91" s="20">
        <v>226</v>
      </c>
      <c r="H91" s="20">
        <v>287</v>
      </c>
      <c r="I91" s="70">
        <v>45</v>
      </c>
      <c r="J91" s="14"/>
      <c r="K91" s="14"/>
      <c r="L91" s="14"/>
      <c r="M91" s="14"/>
      <c r="N91" s="14"/>
      <c r="O91" s="14"/>
    </row>
    <row r="92" spans="2:15" outlineLevel="1" x14ac:dyDescent="0.25">
      <c r="B92" s="2" t="s">
        <v>65</v>
      </c>
      <c r="D92" s="20">
        <v>-151</v>
      </c>
      <c r="E92" s="20">
        <v>-180</v>
      </c>
      <c r="F92" s="20">
        <v>-182</v>
      </c>
      <c r="G92" s="20">
        <v>-1019</v>
      </c>
      <c r="H92" s="20">
        <v>-106</v>
      </c>
      <c r="I92" s="70">
        <v>1181</v>
      </c>
    </row>
    <row r="93" spans="2:15" outlineLevel="1" x14ac:dyDescent="0.25">
      <c r="B93" s="1" t="s">
        <v>63</v>
      </c>
      <c r="C93" s="1"/>
      <c r="D93" s="26">
        <f t="shared" ref="D93:H93" si="86">+D90+D91+D92</f>
        <v>6581</v>
      </c>
      <c r="E93" s="26">
        <f t="shared" si="86"/>
        <v>6247</v>
      </c>
      <c r="F93" s="26">
        <f>+F90+F91+F92</f>
        <v>9837</v>
      </c>
      <c r="G93" s="26">
        <f t="shared" si="86"/>
        <v>8915</v>
      </c>
      <c r="H93" s="26">
        <f t="shared" si="86"/>
        <v>10022</v>
      </c>
      <c r="I93" s="69">
        <f>+I90+I91+I92</f>
        <v>7190</v>
      </c>
      <c r="J93" s="26">
        <f t="shared" ref="J93:O93" ca="1" si="87">+J90+J91</f>
        <v>12229.543961620286</v>
      </c>
      <c r="K93" s="26">
        <f t="shared" ca="1" si="87"/>
        <v>13105.418522151449</v>
      </c>
      <c r="L93" s="26">
        <f t="shared" ca="1" si="87"/>
        <v>14042.395249739166</v>
      </c>
      <c r="M93" s="26">
        <f t="shared" ca="1" si="87"/>
        <v>14953.647258871166</v>
      </c>
      <c r="N93" s="26">
        <f t="shared" ca="1" si="87"/>
        <v>15858.134285243998</v>
      </c>
      <c r="O93" s="26">
        <f t="shared" ca="1" si="87"/>
        <v>16769.521038991017</v>
      </c>
    </row>
    <row r="94" spans="2:15" outlineLevel="1" x14ac:dyDescent="0.25">
      <c r="B94" s="1" t="s">
        <v>61</v>
      </c>
      <c r="D94" s="78">
        <f t="shared" ref="D94:H94" si="88">D93/D95</f>
        <v>4.621488764044944</v>
      </c>
      <c r="E94" s="78">
        <f t="shared" si="88"/>
        <v>4.3593859036985343</v>
      </c>
      <c r="F94" s="78">
        <f t="shared" si="88"/>
        <v>6.7794624396967604</v>
      </c>
      <c r="G94" s="78">
        <f t="shared" si="88"/>
        <v>6.1695501730103803</v>
      </c>
      <c r="H94" s="78">
        <f t="shared" si="88"/>
        <v>7.3475073313782993</v>
      </c>
      <c r="I94" s="79">
        <f>I93/I95</f>
        <v>6.448430493273543</v>
      </c>
      <c r="J94" s="78">
        <f ca="1">J93/J95</f>
        <v>10.968200862439717</v>
      </c>
      <c r="K94" s="78">
        <f t="shared" ref="K94" ca="1" si="89">K93/K95</f>
        <v>11.753738584889192</v>
      </c>
      <c r="L94" s="78">
        <f t="shared" ref="L94" ca="1" si="90">L93/L95</f>
        <v>12.594076457165171</v>
      </c>
      <c r="M94" s="78">
        <f t="shared" ref="M94" ca="1" si="91">M93/M95</f>
        <v>13.411342833068311</v>
      </c>
      <c r="N94" s="78">
        <f t="shared" ref="N94" ca="1" si="92">N93/N95</f>
        <v>14.222541959860088</v>
      </c>
      <c r="O94" s="78">
        <f t="shared" ref="O94" ca="1" si="93">O93/O95</f>
        <v>15.039929182951585</v>
      </c>
    </row>
    <row r="95" spans="2:15" outlineLevel="1" x14ac:dyDescent="0.25">
      <c r="B95" s="2" t="s">
        <v>62</v>
      </c>
      <c r="D95" s="20">
        <v>1424</v>
      </c>
      <c r="E95" s="20">
        <v>1433</v>
      </c>
      <c r="F95" s="20">
        <v>1451</v>
      </c>
      <c r="G95" s="20">
        <v>1445</v>
      </c>
      <c r="H95" s="20">
        <v>1364</v>
      </c>
      <c r="I95" s="70">
        <v>1115</v>
      </c>
      <c r="J95" s="23">
        <f>I95</f>
        <v>1115</v>
      </c>
      <c r="K95" s="23">
        <f t="shared" ref="K95:O95" si="94">J95</f>
        <v>1115</v>
      </c>
      <c r="L95" s="23">
        <f t="shared" si="94"/>
        <v>1115</v>
      </c>
      <c r="M95" s="23">
        <f t="shared" si="94"/>
        <v>1115</v>
      </c>
      <c r="N95" s="23">
        <f t="shared" si="94"/>
        <v>1115</v>
      </c>
      <c r="O95" s="23">
        <f t="shared" si="94"/>
        <v>1115</v>
      </c>
    </row>
    <row r="96" spans="2:15" outlineLevel="1" x14ac:dyDescent="0.25">
      <c r="I96" s="73"/>
    </row>
    <row r="97" spans="2:15" outlineLevel="1" x14ac:dyDescent="0.25">
      <c r="B97" s="61" t="s">
        <v>48</v>
      </c>
      <c r="C97" s="1"/>
      <c r="D97" s="59">
        <f t="shared" ref="D97:I97" si="95">+D82/D80</f>
        <v>0.19372326704897366</v>
      </c>
      <c r="E97" s="59">
        <f t="shared" si="95"/>
        <v>0.20366575499040698</v>
      </c>
      <c r="F97" s="59">
        <f t="shared" si="95"/>
        <v>0.20833989480646278</v>
      </c>
      <c r="G97" s="59">
        <f t="shared" si="95"/>
        <v>0.19040418540849205</v>
      </c>
      <c r="H97" s="59">
        <f t="shared" si="95"/>
        <v>0.17755845485969671</v>
      </c>
      <c r="I97" s="81">
        <f>+I82/I80</f>
        <v>0.19407069920295345</v>
      </c>
      <c r="J97" s="60">
        <f>I97</f>
        <v>0.19407069920295345</v>
      </c>
      <c r="K97" s="60">
        <f t="shared" ref="K97:O97" si="96">J97</f>
        <v>0.19407069920295345</v>
      </c>
      <c r="L97" s="60">
        <f t="shared" si="96"/>
        <v>0.19407069920295345</v>
      </c>
      <c r="M97" s="60">
        <f t="shared" si="96"/>
        <v>0.19407069920295345</v>
      </c>
      <c r="N97" s="60">
        <f t="shared" si="96"/>
        <v>0.19407069920295345</v>
      </c>
      <c r="O97" s="60">
        <f t="shared" si="96"/>
        <v>0.19407069920295345</v>
      </c>
    </row>
    <row r="98" spans="2:15" outlineLevel="1" x14ac:dyDescent="0.25">
      <c r="B98" s="2" t="s">
        <v>52</v>
      </c>
      <c r="D98" s="59">
        <f t="shared" ref="D98:O98" si="97">D85/D80</f>
        <v>3.9938209083556185E-2</v>
      </c>
      <c r="E98" s="59">
        <f t="shared" si="97"/>
        <v>5.4161734089888558E-2</v>
      </c>
      <c r="F98" s="59">
        <f t="shared" si="97"/>
        <v>7.3415010550848786E-2</v>
      </c>
      <c r="G98" s="59">
        <f t="shared" si="97"/>
        <v>6.580534022394488E-2</v>
      </c>
      <c r="H98" s="59">
        <f t="shared" si="97"/>
        <v>5.4107843251358805E-2</v>
      </c>
      <c r="I98" s="81">
        <f t="shared" si="97"/>
        <v>6.8202430618538007E-2</v>
      </c>
      <c r="J98" s="59">
        <f t="shared" ca="1" si="97"/>
        <v>6.8202430618538104E-2</v>
      </c>
      <c r="K98" s="59">
        <f t="shared" ca="1" si="97"/>
        <v>6.8202430618538049E-2</v>
      </c>
      <c r="L98" s="59">
        <f t="shared" ca="1" si="97"/>
        <v>6.8202430618538007E-2</v>
      </c>
      <c r="M98" s="59">
        <f t="shared" ca="1" si="97"/>
        <v>6.8202430618538104E-2</v>
      </c>
      <c r="N98" s="59">
        <f t="shared" ca="1" si="97"/>
        <v>6.8202430618538049E-2</v>
      </c>
      <c r="O98" s="59">
        <f t="shared" ca="1" si="97"/>
        <v>6.8202430618538049E-2</v>
      </c>
    </row>
    <row r="99" spans="2:15" outlineLevel="1" x14ac:dyDescent="0.25">
      <c r="B99" s="2" t="s">
        <v>54</v>
      </c>
      <c r="D99" s="30">
        <f t="shared" ref="D99:I99" si="98">-D83/D80</f>
        <v>9.1913988210176559E-2</v>
      </c>
      <c r="E99" s="30">
        <f t="shared" si="98"/>
        <v>9.2043923745764783E-2</v>
      </c>
      <c r="F99" s="30">
        <f t="shared" si="98"/>
        <v>6.7572674876381841E-2</v>
      </c>
      <c r="G99" s="30">
        <f t="shared" si="98"/>
        <v>5.6541295817781605E-2</v>
      </c>
      <c r="H99" s="30">
        <f t="shared" si="98"/>
        <v>6.6188708231980545E-2</v>
      </c>
      <c r="I99" s="82">
        <f t="shared" si="98"/>
        <v>6.9205407539398855E-2</v>
      </c>
      <c r="J99" s="18">
        <f>+I99</f>
        <v>6.9205407539398855E-2</v>
      </c>
      <c r="K99" s="18">
        <f t="shared" ref="K99:O99" si="99">+J99</f>
        <v>6.9205407539398855E-2</v>
      </c>
      <c r="L99" s="18">
        <f t="shared" si="99"/>
        <v>6.9205407539398855E-2</v>
      </c>
      <c r="M99" s="18">
        <f t="shared" si="99"/>
        <v>6.9205407539398855E-2</v>
      </c>
      <c r="N99" s="18">
        <f t="shared" si="99"/>
        <v>6.9205407539398855E-2</v>
      </c>
      <c r="O99" s="18">
        <f t="shared" si="99"/>
        <v>6.9205407539398855E-2</v>
      </c>
    </row>
    <row r="100" spans="2:15" outlineLevel="1" x14ac:dyDescent="0.25">
      <c r="B100" s="2" t="s">
        <v>55</v>
      </c>
      <c r="D100" s="30">
        <f t="shared" ref="D100:I100" si="100">-D84/D80</f>
        <v>6.1871069755240933E-2</v>
      </c>
      <c r="E100" s="30">
        <f t="shared" si="100"/>
        <v>5.7460097154753642E-2</v>
      </c>
      <c r="F100" s="30">
        <f t="shared" si="100"/>
        <v>6.7352209379232156E-2</v>
      </c>
      <c r="G100" s="30">
        <f t="shared" si="100"/>
        <v>6.8057549366765557E-2</v>
      </c>
      <c r="H100" s="30">
        <f t="shared" si="100"/>
        <v>5.7261903376357351E-2</v>
      </c>
      <c r="I100" s="82">
        <f t="shared" si="100"/>
        <v>5.666286104501659E-2</v>
      </c>
      <c r="J100" s="18">
        <f>+I100</f>
        <v>5.666286104501659E-2</v>
      </c>
      <c r="K100" s="18">
        <f t="shared" ref="K100:O100" si="101">+J100</f>
        <v>5.666286104501659E-2</v>
      </c>
      <c r="L100" s="18">
        <f t="shared" si="101"/>
        <v>5.666286104501659E-2</v>
      </c>
      <c r="M100" s="18">
        <f t="shared" si="101"/>
        <v>5.666286104501659E-2</v>
      </c>
      <c r="N100" s="18">
        <f t="shared" si="101"/>
        <v>5.666286104501659E-2</v>
      </c>
      <c r="O100" s="18">
        <f t="shared" si="101"/>
        <v>5.666286104501659E-2</v>
      </c>
    </row>
    <row r="101" spans="2:15" x14ac:dyDescent="0.25">
      <c r="I101" s="73"/>
    </row>
    <row r="102" spans="2:15" x14ac:dyDescent="0.25">
      <c r="B102" s="1" t="s">
        <v>66</v>
      </c>
      <c r="C102" s="1"/>
      <c r="I102" s="73"/>
    </row>
    <row r="103" spans="2:15" outlineLevel="1" x14ac:dyDescent="0.25">
      <c r="B103" s="3" t="s">
        <v>0</v>
      </c>
      <c r="C103" s="3"/>
      <c r="D103" s="4" t="s">
        <v>1</v>
      </c>
      <c r="E103" s="5" t="s">
        <v>2</v>
      </c>
      <c r="F103" s="5" t="s">
        <v>3</v>
      </c>
      <c r="G103" s="4" t="s">
        <v>4</v>
      </c>
      <c r="H103" s="4" t="s">
        <v>5</v>
      </c>
      <c r="I103" s="83" t="s">
        <v>6</v>
      </c>
      <c r="J103" s="7" t="s">
        <v>7</v>
      </c>
      <c r="K103" s="7" t="s">
        <v>8</v>
      </c>
      <c r="L103" s="7" t="s">
        <v>9</v>
      </c>
      <c r="M103" s="7" t="s">
        <v>10</v>
      </c>
      <c r="N103" s="7" t="s">
        <v>11</v>
      </c>
      <c r="O103" s="7" t="s">
        <v>12</v>
      </c>
    </row>
    <row r="104" spans="2:15" outlineLevel="1" x14ac:dyDescent="0.25">
      <c r="B104" s="8" t="s">
        <v>13</v>
      </c>
      <c r="C104" s="8"/>
      <c r="D104" s="9">
        <v>43830</v>
      </c>
      <c r="E104" s="9">
        <v>44196</v>
      </c>
      <c r="F104" s="9">
        <v>44561</v>
      </c>
      <c r="G104" s="9">
        <v>44926</v>
      </c>
      <c r="H104" s="9">
        <v>45291</v>
      </c>
      <c r="I104" s="84">
        <v>45657</v>
      </c>
      <c r="J104" s="8"/>
      <c r="K104" s="8"/>
      <c r="L104" s="8"/>
      <c r="M104" s="8"/>
      <c r="N104" s="8"/>
      <c r="O104" s="8"/>
    </row>
    <row r="105" spans="2:15" outlineLevel="1" x14ac:dyDescent="0.25">
      <c r="I105" s="73"/>
    </row>
    <row r="106" spans="2:15" outlineLevel="1" x14ac:dyDescent="0.25">
      <c r="B106" s="2" t="s">
        <v>67</v>
      </c>
      <c r="C106" s="80">
        <v>0.20100000000000001</v>
      </c>
      <c r="I106" s="73"/>
    </row>
    <row r="107" spans="2:15" outlineLevel="1" x14ac:dyDescent="0.25">
      <c r="B107" s="2" t="s">
        <v>72</v>
      </c>
      <c r="D107" s="14">
        <f t="shared" ref="D107:O107" si="102">D85</f>
        <v>5481</v>
      </c>
      <c r="E107" s="14">
        <f t="shared" si="102"/>
        <v>6634</v>
      </c>
      <c r="F107" s="14">
        <f t="shared" si="102"/>
        <v>9324</v>
      </c>
      <c r="G107" s="14">
        <f t="shared" si="102"/>
        <v>10314</v>
      </c>
      <c r="H107" s="14">
        <f t="shared" si="102"/>
        <v>9298</v>
      </c>
      <c r="I107" s="77">
        <f t="shared" si="102"/>
        <v>12784</v>
      </c>
      <c r="J107" s="14">
        <f ca="1">J85</f>
        <v>13894.062530188094</v>
      </c>
      <c r="K107" s="14">
        <f t="shared" ca="1" si="102"/>
        <v>15046.275997686418</v>
      </c>
      <c r="L107" s="14">
        <f t="shared" ca="1" si="102"/>
        <v>16206.212765630999</v>
      </c>
      <c r="M107" s="14">
        <f t="shared" ca="1" si="102"/>
        <v>17360.703390326868</v>
      </c>
      <c r="N107" s="14">
        <f t="shared" ca="1" si="102"/>
        <v>18495.914703058821</v>
      </c>
      <c r="O107" s="14">
        <f t="shared" ca="1" si="102"/>
        <v>19633.073969325429</v>
      </c>
    </row>
    <row r="108" spans="2:15" outlineLevel="1" x14ac:dyDescent="0.25">
      <c r="B108" s="65" t="s">
        <v>68</v>
      </c>
      <c r="C108" s="65"/>
      <c r="D108" s="76"/>
      <c r="E108" s="76"/>
      <c r="F108" s="76"/>
      <c r="G108" s="76"/>
      <c r="H108" s="76"/>
      <c r="I108" s="85"/>
      <c r="J108" s="76">
        <f ca="1">J107*-$C$106</f>
        <v>-2792.7065685678072</v>
      </c>
      <c r="K108" s="76">
        <f t="shared" ref="K108:O108" ca="1" si="103">K107*-$C$106</f>
        <v>-3024.3014755349705</v>
      </c>
      <c r="L108" s="76">
        <f t="shared" ca="1" si="103"/>
        <v>-3257.448765891831</v>
      </c>
      <c r="M108" s="76">
        <f t="shared" ca="1" si="103"/>
        <v>-3489.5013814557005</v>
      </c>
      <c r="N108" s="76">
        <f t="shared" ca="1" si="103"/>
        <v>-3717.6788553148231</v>
      </c>
      <c r="O108" s="76">
        <f t="shared" ca="1" si="103"/>
        <v>-3946.2478678344114</v>
      </c>
    </row>
    <row r="109" spans="2:15" outlineLevel="1" x14ac:dyDescent="0.25">
      <c r="B109" s="1" t="s">
        <v>69</v>
      </c>
      <c r="D109" s="26"/>
      <c r="E109" s="26"/>
      <c r="F109" s="26"/>
      <c r="G109" s="26"/>
      <c r="H109" s="26"/>
      <c r="I109" s="74"/>
      <c r="J109" s="26">
        <f ca="1">J107+J108</f>
        <v>11101.355961620287</v>
      </c>
      <c r="K109" s="26">
        <f t="shared" ref="K109:O109" ca="1" si="104">K107+K108</f>
        <v>12021.974522151448</v>
      </c>
      <c r="L109" s="26">
        <f t="shared" ca="1" si="104"/>
        <v>12948.763999739167</v>
      </c>
      <c r="M109" s="26">
        <f t="shared" ca="1" si="104"/>
        <v>13871.202008871167</v>
      </c>
      <c r="N109" s="26">
        <f t="shared" ca="1" si="104"/>
        <v>14778.235847743998</v>
      </c>
      <c r="O109" s="26">
        <f t="shared" ca="1" si="104"/>
        <v>15686.826101491017</v>
      </c>
    </row>
    <row r="110" spans="2:15" outlineLevel="1" x14ac:dyDescent="0.25">
      <c r="D110" s="14"/>
      <c r="E110" s="14"/>
      <c r="F110" s="14"/>
      <c r="G110" s="14"/>
      <c r="H110" s="14"/>
      <c r="I110" s="77"/>
      <c r="J110" s="14"/>
      <c r="K110" s="14"/>
      <c r="L110" s="14"/>
      <c r="M110" s="14"/>
      <c r="N110" s="14"/>
      <c r="O110" s="14"/>
    </row>
    <row r="111" spans="2:15" outlineLevel="1" x14ac:dyDescent="0.25">
      <c r="B111" s="1" t="s">
        <v>70</v>
      </c>
      <c r="C111" s="1"/>
      <c r="D111" s="49">
        <v>6786</v>
      </c>
      <c r="E111" s="49">
        <v>5637</v>
      </c>
      <c r="F111" s="49">
        <v>5975</v>
      </c>
      <c r="G111" s="49">
        <v>6451</v>
      </c>
      <c r="H111" s="49">
        <v>6984</v>
      </c>
      <c r="I111" s="68">
        <v>7545</v>
      </c>
      <c r="J111" s="26">
        <f t="shared" ref="J111:O111" ca="1" si="105">+J112*J80</f>
        <v>8200.1487633189154</v>
      </c>
      <c r="K111" s="26">
        <f t="shared" ca="1" si="105"/>
        <v>8880.1746247296578</v>
      </c>
      <c r="L111" s="26">
        <f t="shared" ca="1" si="105"/>
        <v>9564.7587075004612</v>
      </c>
      <c r="M111" s="26">
        <f t="shared" ca="1" si="105"/>
        <v>10246.128526284107</v>
      </c>
      <c r="N111" s="26">
        <f t="shared" ca="1" si="105"/>
        <v>10916.119871290575</v>
      </c>
      <c r="O111" s="26">
        <f t="shared" ca="1" si="105"/>
        <v>11587.260880675865</v>
      </c>
    </row>
    <row r="112" spans="2:15" outlineLevel="1" x14ac:dyDescent="0.25">
      <c r="B112" s="10" t="s">
        <v>73</v>
      </c>
      <c r="C112" s="10"/>
      <c r="D112" s="86">
        <f t="shared" ref="D112:I112" si="106">D111/D80</f>
        <v>4.9447306484402896E-2</v>
      </c>
      <c r="E112" s="86">
        <f t="shared" si="106"/>
        <v>4.6021961872882391E-2</v>
      </c>
      <c r="F112" s="86">
        <f t="shared" si="106"/>
        <v>4.7045762338194075E-2</v>
      </c>
      <c r="G112" s="86">
        <f t="shared" si="106"/>
        <v>4.115864357035761E-2</v>
      </c>
      <c r="H112" s="86">
        <f t="shared" si="106"/>
        <v>4.0641985079317045E-2</v>
      </c>
      <c r="I112" s="87">
        <f t="shared" si="106"/>
        <v>4.0252451424974127E-2</v>
      </c>
      <c r="J112" s="12">
        <f>+I112</f>
        <v>4.0252451424974127E-2</v>
      </c>
      <c r="K112" s="12">
        <f t="shared" ref="K112:O112" si="107">+J112</f>
        <v>4.0252451424974127E-2</v>
      </c>
      <c r="L112" s="12">
        <f t="shared" si="107"/>
        <v>4.0252451424974127E-2</v>
      </c>
      <c r="M112" s="12">
        <f t="shared" si="107"/>
        <v>4.0252451424974127E-2</v>
      </c>
      <c r="N112" s="12">
        <f t="shared" si="107"/>
        <v>4.0252451424974127E-2</v>
      </c>
      <c r="O112" s="12">
        <f t="shared" si="107"/>
        <v>4.0252451424974127E-2</v>
      </c>
    </row>
    <row r="113" spans="2:15" outlineLevel="1" x14ac:dyDescent="0.25">
      <c r="D113" s="14"/>
      <c r="E113" s="14"/>
      <c r="F113" s="14"/>
      <c r="G113" s="14"/>
      <c r="H113" s="14"/>
      <c r="I113" s="77"/>
      <c r="J113" s="14"/>
      <c r="K113" s="14"/>
      <c r="L113" s="14"/>
      <c r="M113" s="14"/>
      <c r="N113" s="14"/>
      <c r="O113" s="14"/>
    </row>
    <row r="114" spans="2:15" outlineLevel="1" x14ac:dyDescent="0.25">
      <c r="B114" s="34" t="s">
        <v>76</v>
      </c>
      <c r="D114" s="20">
        <v>74992</v>
      </c>
      <c r="E114" s="20">
        <v>80924</v>
      </c>
      <c r="F114" s="20">
        <v>82103</v>
      </c>
      <c r="G114" s="20">
        <v>100451</v>
      </c>
      <c r="H114" s="20">
        <v>101618</v>
      </c>
      <c r="I114" s="70">
        <v>108545</v>
      </c>
      <c r="J114" s="14" cm="1">
        <f t="array" ref="J114">I114*AVERAGE($E$115:$I$115+1)</f>
        <v>117161.97613384404</v>
      </c>
      <c r="K114" s="14" cm="1">
        <f t="array" ref="K114">J114*AVERAGE($E$115:$I$115+1)</f>
        <v>126463.02134218473</v>
      </c>
      <c r="L114" s="14" cm="1">
        <f t="array" ref="L114">K114*AVERAGE($E$115:$I$115+1)</f>
        <v>136502.44127603166</v>
      </c>
      <c r="M114" s="14" cm="1">
        <f t="array" ref="M114">L114*AVERAGE($E$115:$I$115+1)</f>
        <v>147338.85270619439</v>
      </c>
      <c r="N114" s="14" cm="1">
        <f t="array" ref="N114">M114*AVERAGE($E$115:$I$115+1)</f>
        <v>159035.52576674294</v>
      </c>
      <c r="O114" s="14" cm="1">
        <f t="array" ref="O114">N114*AVERAGE($E$115:$I$115+1)</f>
        <v>171660.75336787946</v>
      </c>
    </row>
    <row r="115" spans="2:15" outlineLevel="1" x14ac:dyDescent="0.25">
      <c r="B115" s="61" t="s">
        <v>78</v>
      </c>
      <c r="D115" s="14"/>
      <c r="E115" s="92">
        <f>+E114/D114-1</f>
        <v>7.9101770855557918E-2</v>
      </c>
      <c r="F115" s="92">
        <f t="shared" ref="F115:I115" si="108">+F114/E114-1</f>
        <v>1.4569225446097622E-2</v>
      </c>
      <c r="G115" s="92">
        <f t="shared" si="108"/>
        <v>0.22347539066781974</v>
      </c>
      <c r="H115" s="92">
        <f t="shared" si="108"/>
        <v>1.1617604603239462E-2</v>
      </c>
      <c r="I115" s="82">
        <f t="shared" si="108"/>
        <v>6.8167057017457511E-2</v>
      </c>
      <c r="J115" s="14"/>
      <c r="K115" s="14"/>
      <c r="L115" s="14"/>
      <c r="M115" s="14"/>
      <c r="N115" s="14"/>
      <c r="O115" s="14"/>
    </row>
    <row r="116" spans="2:15" outlineLevel="1" x14ac:dyDescent="0.25">
      <c r="B116" s="34" t="s">
        <v>77</v>
      </c>
      <c r="D116" s="20">
        <v>84905</v>
      </c>
      <c r="E116" s="20">
        <v>79910</v>
      </c>
      <c r="F116" s="20">
        <v>74408</v>
      </c>
      <c r="G116" s="20">
        <v>91173</v>
      </c>
      <c r="H116" s="20">
        <v>94445</v>
      </c>
      <c r="I116" s="70">
        <v>96265</v>
      </c>
      <c r="J116" s="14">
        <f>J114*AVERAGE($E$117:$I$117)</f>
        <v>108202.87764520482</v>
      </c>
      <c r="K116" s="14">
        <f t="shared" ref="K116:O116" si="109">K114*AVERAGE($E$117:$I$117)</f>
        <v>116792.69398204188</v>
      </c>
      <c r="L116" s="14">
        <f t="shared" si="109"/>
        <v>126064.42328003446</v>
      </c>
      <c r="M116" s="14">
        <f t="shared" si="109"/>
        <v>136072.20002452633</v>
      </c>
      <c r="N116" s="14">
        <f t="shared" si="109"/>
        <v>146874.45623246772</v>
      </c>
      <c r="O116" s="14">
        <f t="shared" si="109"/>
        <v>158534.26261716068</v>
      </c>
    </row>
    <row r="117" spans="2:15" outlineLevel="1" x14ac:dyDescent="0.25">
      <c r="B117" s="61" t="s">
        <v>80</v>
      </c>
      <c r="D117" s="93">
        <f>+D116/D114</f>
        <v>1.1321874333262214</v>
      </c>
      <c r="E117" s="93">
        <f t="shared" ref="E117:I117" si="110">+E116/E114</f>
        <v>0.98746972467994665</v>
      </c>
      <c r="F117" s="93">
        <f t="shared" si="110"/>
        <v>0.90627626274313966</v>
      </c>
      <c r="G117" s="93">
        <f t="shared" si="110"/>
        <v>0.90763655911837615</v>
      </c>
      <c r="H117" s="93">
        <f t="shared" si="110"/>
        <v>0.92941211202739671</v>
      </c>
      <c r="I117" s="91">
        <f t="shared" si="110"/>
        <v>0.88686719793633972</v>
      </c>
      <c r="J117" s="14"/>
      <c r="K117" s="14"/>
      <c r="L117" s="14"/>
      <c r="M117" s="14"/>
      <c r="N117" s="14"/>
      <c r="O117" s="14"/>
    </row>
    <row r="118" spans="2:15" outlineLevel="1" x14ac:dyDescent="0.25">
      <c r="B118" s="65" t="s">
        <v>79</v>
      </c>
      <c r="C118" s="65"/>
      <c r="D118" s="76">
        <f>D114-D116</f>
        <v>-9913</v>
      </c>
      <c r="E118" s="76">
        <f t="shared" ref="E118:O118" si="111">E114-E116</f>
        <v>1014</v>
      </c>
      <c r="F118" s="76">
        <f t="shared" si="111"/>
        <v>7695</v>
      </c>
      <c r="G118" s="76">
        <f t="shared" si="111"/>
        <v>9278</v>
      </c>
      <c r="H118" s="76">
        <f t="shared" si="111"/>
        <v>7173</v>
      </c>
      <c r="I118" s="85">
        <f t="shared" si="111"/>
        <v>12280</v>
      </c>
      <c r="J118" s="76">
        <f t="shared" si="111"/>
        <v>8959.0984886392253</v>
      </c>
      <c r="K118" s="76">
        <f t="shared" si="111"/>
        <v>9670.3273601428518</v>
      </c>
      <c r="L118" s="76">
        <f t="shared" si="111"/>
        <v>10438.017995997201</v>
      </c>
      <c r="M118" s="76">
        <f t="shared" si="111"/>
        <v>11266.652681668056</v>
      </c>
      <c r="N118" s="76">
        <f t="shared" si="111"/>
        <v>12161.069534275215</v>
      </c>
      <c r="O118" s="76">
        <f t="shared" si="111"/>
        <v>13126.490750718775</v>
      </c>
    </row>
    <row r="119" spans="2:15" outlineLevel="1" x14ac:dyDescent="0.25">
      <c r="B119" s="1" t="s">
        <v>74</v>
      </c>
      <c r="C119" s="1"/>
      <c r="D119" s="26"/>
      <c r="E119" s="26">
        <f>+E118-D118</f>
        <v>10927</v>
      </c>
      <c r="F119" s="26">
        <f t="shared" ref="F119:O119" si="112">+F118-E118</f>
        <v>6681</v>
      </c>
      <c r="G119" s="26">
        <f t="shared" si="112"/>
        <v>1583</v>
      </c>
      <c r="H119" s="26">
        <f t="shared" si="112"/>
        <v>-2105</v>
      </c>
      <c r="I119" s="69">
        <f t="shared" si="112"/>
        <v>5107</v>
      </c>
      <c r="J119" s="26">
        <f t="shared" si="112"/>
        <v>-3320.9015113607747</v>
      </c>
      <c r="K119" s="26">
        <f t="shared" si="112"/>
        <v>711.22887150362658</v>
      </c>
      <c r="L119" s="26">
        <f t="shared" si="112"/>
        <v>767.69063585434924</v>
      </c>
      <c r="M119" s="26">
        <f t="shared" si="112"/>
        <v>828.63468567085511</v>
      </c>
      <c r="N119" s="26">
        <f t="shared" si="112"/>
        <v>894.41685260715894</v>
      </c>
      <c r="O119" s="26">
        <f t="shared" si="112"/>
        <v>965.42121644355939</v>
      </c>
    </row>
    <row r="120" spans="2:15" outlineLevel="1" x14ac:dyDescent="0.25">
      <c r="B120" s="1"/>
      <c r="C120" s="1"/>
      <c r="D120" s="26"/>
      <c r="E120" s="26"/>
      <c r="F120" s="26"/>
      <c r="G120" s="26"/>
      <c r="H120" s="26"/>
      <c r="I120" s="69"/>
      <c r="J120" s="26"/>
      <c r="K120" s="26"/>
      <c r="L120" s="26"/>
      <c r="M120" s="26"/>
      <c r="N120" s="26"/>
      <c r="O120" s="26"/>
    </row>
    <row r="121" spans="2:15" outlineLevel="1" x14ac:dyDescent="0.25">
      <c r="B121" s="1" t="s">
        <v>71</v>
      </c>
      <c r="C121" s="1"/>
      <c r="D121" s="14">
        <v>-7592</v>
      </c>
      <c r="E121" s="14">
        <v>-5300</v>
      </c>
      <c r="F121" s="14">
        <v>-7509</v>
      </c>
      <c r="G121" s="14">
        <v>-9238</v>
      </c>
      <c r="H121" s="14">
        <v>-10970</v>
      </c>
      <c r="I121" s="77">
        <v>-10830</v>
      </c>
      <c r="J121" s="26">
        <f ca="1">+J80*-J122</f>
        <v>-11485.312299293184</v>
      </c>
      <c r="K121" s="26">
        <f ca="1">+K80*-K122</f>
        <v>-12476.677740475838</v>
      </c>
      <c r="L121" s="26">
        <f ca="1">+L80*-L122</f>
        <v>-13964.619336809606</v>
      </c>
      <c r="M121" s="26">
        <f ca="1">+M80*-M122</f>
        <v>-14944.353446467008</v>
      </c>
      <c r="N121" s="26">
        <f ca="1">+N80*-N122</f>
        <v>-15911.138642758431</v>
      </c>
      <c r="O121" s="26">
        <f ca="1">+O80*-O122</f>
        <v>-16641.507684033808</v>
      </c>
    </row>
    <row r="122" spans="2:15" outlineLevel="1" x14ac:dyDescent="0.25">
      <c r="B122" s="10" t="s">
        <v>73</v>
      </c>
      <c r="D122" s="86">
        <f>-D121/D80</f>
        <v>5.5320358212435423E-2</v>
      </c>
      <c r="E122" s="86">
        <f>-E121/E80</f>
        <v>4.3270604563824144E-2</v>
      </c>
      <c r="F122" s="86">
        <f>-F121/F80</f>
        <v>5.9124122074895279E-2</v>
      </c>
      <c r="G122" s="86">
        <f>-G121/G80</f>
        <v>5.8940249465658595E-2</v>
      </c>
      <c r="H122" s="86">
        <f>-H121/H80</f>
        <v>6.3837711386040663E-2</v>
      </c>
      <c r="I122" s="87">
        <f>-I121/I80</f>
        <v>5.7777872621931049E-2</v>
      </c>
      <c r="J122" s="86">
        <f>AVERAGE(D122,E122,F122,H122,I122,G122)</f>
        <v>5.6378486387464198E-2</v>
      </c>
      <c r="K122" s="86">
        <f t="shared" ref="K122:O122" si="113">AVERAGE(E122,F122,G122,I122,J122,H122)</f>
        <v>5.6554841083302325E-2</v>
      </c>
      <c r="L122" s="86">
        <f t="shared" si="113"/>
        <v>5.8768880503215354E-2</v>
      </c>
      <c r="M122" s="86">
        <f t="shared" si="113"/>
        <v>5.8709673574602023E-2</v>
      </c>
      <c r="N122" s="86">
        <f t="shared" si="113"/>
        <v>5.8671244259425936E-2</v>
      </c>
      <c r="O122" s="86">
        <f t="shared" si="113"/>
        <v>5.7810166404990149E-2</v>
      </c>
    </row>
    <row r="123" spans="2:15" outlineLevel="1" x14ac:dyDescent="0.25">
      <c r="B123" s="88"/>
      <c r="C123" s="65"/>
      <c r="D123" s="89"/>
      <c r="E123" s="89"/>
      <c r="F123" s="89"/>
      <c r="G123" s="89"/>
      <c r="H123" s="89"/>
      <c r="I123" s="90"/>
      <c r="J123" s="89"/>
      <c r="K123" s="89"/>
      <c r="L123" s="89"/>
      <c r="M123" s="89"/>
      <c r="N123" s="89"/>
      <c r="O123" s="89"/>
    </row>
    <row r="124" spans="2:15" outlineLevel="1" x14ac:dyDescent="0.25">
      <c r="B124" s="1" t="s">
        <v>75</v>
      </c>
      <c r="D124" s="14"/>
      <c r="E124" s="14"/>
      <c r="F124" s="14"/>
      <c r="G124" s="14"/>
      <c r="H124" s="14"/>
      <c r="I124" s="77"/>
      <c r="J124" s="26">
        <f ca="1">J109+J111-J119+J121</f>
        <v>11137.093937006792</v>
      </c>
      <c r="K124" s="26">
        <f ca="1">K109+K111-K119+K121</f>
        <v>7714.242534901643</v>
      </c>
      <c r="L124" s="26">
        <f ca="1">L109+L111-L119+L121</f>
        <v>7781.2127345756744</v>
      </c>
      <c r="M124" s="26">
        <f ca="1">M109+M111-M119+M121</f>
        <v>8344.3424030174101</v>
      </c>
      <c r="N124" s="26">
        <f ca="1">N109+N111-N119+N121</f>
        <v>8888.8002236689845</v>
      </c>
      <c r="O124" s="26">
        <f ca="1">O109+O111-O119+O121</f>
        <v>9667.1580816895148</v>
      </c>
    </row>
    <row r="125" spans="2:15" x14ac:dyDescent="0.25">
      <c r="I125" s="73"/>
    </row>
    <row r="126" spans="2:15" x14ac:dyDescent="0.25">
      <c r="B126" s="1" t="s">
        <v>86</v>
      </c>
      <c r="C126" s="1"/>
      <c r="I126" s="73"/>
    </row>
    <row r="127" spans="2:15" outlineLevel="1" x14ac:dyDescent="0.25">
      <c r="B127" s="3" t="s">
        <v>0</v>
      </c>
      <c r="C127" s="3"/>
      <c r="D127" s="4" t="s">
        <v>1</v>
      </c>
      <c r="E127" s="5" t="s">
        <v>2</v>
      </c>
      <c r="F127" s="5" t="s">
        <v>3</v>
      </c>
      <c r="G127" s="4" t="s">
        <v>4</v>
      </c>
      <c r="H127" s="4" t="s">
        <v>5</v>
      </c>
      <c r="I127" s="83" t="s">
        <v>6</v>
      </c>
      <c r="J127" s="7" t="s">
        <v>7</v>
      </c>
      <c r="K127" s="7" t="s">
        <v>8</v>
      </c>
      <c r="L127" s="7" t="s">
        <v>9</v>
      </c>
      <c r="M127" s="7" t="s">
        <v>10</v>
      </c>
      <c r="N127" s="7" t="s">
        <v>11</v>
      </c>
      <c r="O127" s="7" t="s">
        <v>12</v>
      </c>
    </row>
    <row r="128" spans="2:15" outlineLevel="1" x14ac:dyDescent="0.25">
      <c r="B128" s="8" t="s">
        <v>13</v>
      </c>
      <c r="C128" s="8"/>
      <c r="D128" s="9">
        <v>43830</v>
      </c>
      <c r="E128" s="9">
        <v>44196</v>
      </c>
      <c r="F128" s="9">
        <v>44561</v>
      </c>
      <c r="G128" s="9">
        <v>44926</v>
      </c>
      <c r="H128" s="9">
        <v>45291</v>
      </c>
      <c r="I128" s="84">
        <v>45657</v>
      </c>
      <c r="J128" s="97">
        <v>46022</v>
      </c>
      <c r="K128" s="97">
        <v>46387</v>
      </c>
      <c r="L128" s="97">
        <v>46752</v>
      </c>
      <c r="M128" s="97">
        <v>47118</v>
      </c>
      <c r="N128" s="97">
        <v>47483</v>
      </c>
      <c r="O128" s="97">
        <v>47848</v>
      </c>
    </row>
    <row r="129" spans="2:16" outlineLevel="1" x14ac:dyDescent="0.25">
      <c r="B129" s="2" t="s">
        <v>81</v>
      </c>
      <c r="I129" s="96">
        <f>+C3</f>
        <v>45734</v>
      </c>
      <c r="J129" s="98">
        <f>+J128</f>
        <v>46022</v>
      </c>
      <c r="K129" s="98">
        <f t="shared" ref="K129:O129" si="114">+K128</f>
        <v>46387</v>
      </c>
      <c r="L129" s="98">
        <f t="shared" si="114"/>
        <v>46752</v>
      </c>
      <c r="M129" s="98">
        <f t="shared" si="114"/>
        <v>47118</v>
      </c>
      <c r="N129" s="98">
        <f t="shared" si="114"/>
        <v>47483</v>
      </c>
      <c r="O129" s="98">
        <f t="shared" si="114"/>
        <v>47848</v>
      </c>
    </row>
    <row r="130" spans="2:16" outlineLevel="1" x14ac:dyDescent="0.25">
      <c r="B130" s="2" t="s">
        <v>83</v>
      </c>
      <c r="I130" s="96">
        <f>+I129</f>
        <v>45734</v>
      </c>
      <c r="J130" s="98">
        <f>AVERAGE(I129:J129)</f>
        <v>45878</v>
      </c>
      <c r="K130" s="98">
        <f t="shared" ref="K130:O130" si="115">AVERAGE(J129:K129)</f>
        <v>46204.5</v>
      </c>
      <c r="L130" s="98">
        <f t="shared" si="115"/>
        <v>46569.5</v>
      </c>
      <c r="M130" s="98">
        <f t="shared" si="115"/>
        <v>46935</v>
      </c>
      <c r="N130" s="98">
        <f t="shared" si="115"/>
        <v>47300.5</v>
      </c>
      <c r="O130" s="98">
        <f t="shared" si="115"/>
        <v>47665.5</v>
      </c>
    </row>
    <row r="131" spans="2:16" outlineLevel="1" x14ac:dyDescent="0.25">
      <c r="B131" s="2" t="s">
        <v>84</v>
      </c>
      <c r="I131" s="96"/>
      <c r="J131" s="75">
        <f>YEARFRAC(I129,J129)</f>
        <v>0.78611111111111109</v>
      </c>
      <c r="K131" s="75">
        <f t="shared" ref="K131:O131" si="116">YEARFRAC(J129,K129)</f>
        <v>1</v>
      </c>
      <c r="L131" s="75">
        <f t="shared" si="116"/>
        <v>1</v>
      </c>
      <c r="M131" s="75">
        <f t="shared" si="116"/>
        <v>1</v>
      </c>
      <c r="N131" s="75">
        <f t="shared" si="116"/>
        <v>1</v>
      </c>
      <c r="O131" s="75">
        <f t="shared" si="116"/>
        <v>1</v>
      </c>
    </row>
    <row r="132" spans="2:16" outlineLevel="1" x14ac:dyDescent="0.25">
      <c r="I132" s="96"/>
      <c r="J132" s="75"/>
      <c r="K132" s="75"/>
      <c r="L132" s="75"/>
      <c r="M132" s="75"/>
      <c r="N132" s="75"/>
      <c r="O132" s="75"/>
    </row>
    <row r="133" spans="2:16" outlineLevel="1" x14ac:dyDescent="0.25">
      <c r="B133" s="2" t="s">
        <v>75</v>
      </c>
      <c r="I133" s="73">
        <v>0</v>
      </c>
      <c r="J133" s="14">
        <f ca="1">+J124*J131</f>
        <v>8754.9932893692276</v>
      </c>
      <c r="K133" s="14">
        <f t="shared" ref="K133:O133" ca="1" si="117">+K124*K131</f>
        <v>7714.242534901643</v>
      </c>
      <c r="L133" s="14">
        <f t="shared" ca="1" si="117"/>
        <v>7781.2127345756744</v>
      </c>
      <c r="M133" s="14">
        <f t="shared" ca="1" si="117"/>
        <v>8344.3424030174101</v>
      </c>
      <c r="N133" s="14">
        <f t="shared" ca="1" si="117"/>
        <v>8888.8002236689845</v>
      </c>
      <c r="O133" s="14">
        <f t="shared" ca="1" si="117"/>
        <v>9667.1580816895148</v>
      </c>
    </row>
    <row r="134" spans="2:16" outlineLevel="1" x14ac:dyDescent="0.25">
      <c r="B134" s="2" t="s">
        <v>85</v>
      </c>
      <c r="I134" s="73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14">
        <f ca="1">O133*(1+C5)/(C4-C5)</f>
        <v>224127.07379417919</v>
      </c>
    </row>
    <row r="135" spans="2:16" outlineLevel="1" x14ac:dyDescent="0.25">
      <c r="I135" s="73"/>
      <c r="O135" s="14"/>
    </row>
    <row r="136" spans="2:16" outlineLevel="1" x14ac:dyDescent="0.25">
      <c r="B136" s="2" t="s">
        <v>119</v>
      </c>
      <c r="I136" s="73">
        <v>0</v>
      </c>
      <c r="J136" s="14">
        <v>0</v>
      </c>
      <c r="K136" s="14">
        <v>0</v>
      </c>
      <c r="L136" s="14">
        <v>0</v>
      </c>
      <c r="M136" s="14">
        <v>0</v>
      </c>
      <c r="N136" s="14">
        <v>0</v>
      </c>
      <c r="O136" s="14">
        <f ca="1">(O85+O111)*H151</f>
        <v>202932.1765250084</v>
      </c>
      <c r="P136" s="14"/>
    </row>
    <row r="137" spans="2:16" outlineLevel="1" x14ac:dyDescent="0.25">
      <c r="B137" s="65"/>
      <c r="C137" s="65"/>
      <c r="D137" s="65"/>
      <c r="E137" s="65"/>
      <c r="F137" s="65"/>
      <c r="G137" s="65"/>
      <c r="H137" s="65"/>
      <c r="I137" s="94"/>
      <c r="J137" s="76"/>
      <c r="K137" s="76"/>
      <c r="L137" s="76"/>
      <c r="M137" s="76"/>
      <c r="N137" s="76"/>
      <c r="O137" s="76"/>
      <c r="P137" s="14"/>
    </row>
    <row r="138" spans="2:16" outlineLevel="1" x14ac:dyDescent="0.25">
      <c r="F138" s="14"/>
      <c r="G138" s="14"/>
      <c r="H138" s="14"/>
      <c r="I138" s="110"/>
      <c r="J138" s="14"/>
      <c r="K138" s="14"/>
      <c r="L138" s="14"/>
      <c r="M138" s="14"/>
    </row>
    <row r="139" spans="2:16" outlineLevel="1" x14ac:dyDescent="0.25">
      <c r="B139" s="101" t="s">
        <v>75</v>
      </c>
      <c r="C139" s="65"/>
      <c r="D139" s="65"/>
      <c r="F139" s="101" t="s">
        <v>118</v>
      </c>
      <c r="G139" s="65"/>
      <c r="H139" s="65"/>
      <c r="I139" s="111"/>
      <c r="K139" s="14"/>
      <c r="L139" s="14"/>
      <c r="M139" s="14"/>
    </row>
    <row r="140" spans="2:16" outlineLevel="1" x14ac:dyDescent="0.25">
      <c r="B140" s="102" t="s">
        <v>89</v>
      </c>
      <c r="C140" s="102"/>
      <c r="D140" s="103">
        <f ca="1">XNPV($C$4,I133:O133,I130:O130)</f>
        <v>42995.394313000594</v>
      </c>
      <c r="F140" s="102" t="s">
        <v>89</v>
      </c>
      <c r="G140" s="102"/>
      <c r="H140" s="103">
        <f ca="1">XNPV($C$4,I133:O133,I130:O130)</f>
        <v>42995.394313000594</v>
      </c>
      <c r="I140" s="110"/>
      <c r="J140" s="14"/>
      <c r="K140" s="14"/>
      <c r="L140" s="14"/>
      <c r="M140" s="14"/>
    </row>
    <row r="141" spans="2:16" outlineLevel="1" x14ac:dyDescent="0.25">
      <c r="B141" s="65" t="s">
        <v>90</v>
      </c>
      <c r="C141" s="65"/>
      <c r="D141" s="76">
        <f ca="1">XNPV($C$4,I134:O134,I130:O130)</f>
        <v>161425.64823714655</v>
      </c>
      <c r="F141" s="65" t="s">
        <v>90</v>
      </c>
      <c r="G141" s="65"/>
      <c r="H141" s="76">
        <f ca="1">XNPV($C$4,I136:O136,I130:O130)</f>
        <v>146160.20094835729</v>
      </c>
      <c r="I141" s="112"/>
    </row>
    <row r="142" spans="2:16" outlineLevel="1" x14ac:dyDescent="0.25">
      <c r="B142" s="104" t="s">
        <v>91</v>
      </c>
      <c r="C142" s="104"/>
      <c r="D142" s="105">
        <f ca="1">SUM(D140:D141)</f>
        <v>204421.04255014716</v>
      </c>
      <c r="F142" s="104" t="s">
        <v>91</v>
      </c>
      <c r="G142" s="104"/>
      <c r="H142" s="105">
        <f ca="1">SUM(H140:H141)</f>
        <v>189155.5952613579</v>
      </c>
      <c r="I142" s="112"/>
    </row>
    <row r="143" spans="2:16" outlineLevel="1" x14ac:dyDescent="0.25">
      <c r="B143" s="65" t="s">
        <v>92</v>
      </c>
      <c r="C143" s="65"/>
      <c r="D143" s="76">
        <v>-102595</v>
      </c>
      <c r="F143" s="65" t="s">
        <v>92</v>
      </c>
      <c r="G143" s="65"/>
      <c r="H143" s="76">
        <v>-102595</v>
      </c>
      <c r="I143" s="112"/>
    </row>
    <row r="144" spans="2:16" outlineLevel="1" x14ac:dyDescent="0.25">
      <c r="B144" s="104" t="s">
        <v>93</v>
      </c>
      <c r="C144" s="104"/>
      <c r="D144" s="105">
        <f ca="1">SUM(D142:D143)</f>
        <v>101826.04255014716</v>
      </c>
      <c r="F144" s="104" t="s">
        <v>93</v>
      </c>
      <c r="G144" s="104"/>
      <c r="H144" s="105">
        <f ca="1">SUM(H142:H143)</f>
        <v>86560.595261357899</v>
      </c>
      <c r="I144" s="112"/>
    </row>
    <row r="145" spans="2:9" outlineLevel="1" x14ac:dyDescent="0.25">
      <c r="B145" s="65" t="s">
        <v>94</v>
      </c>
      <c r="C145" s="65"/>
      <c r="D145" s="76">
        <f>+D178</f>
        <v>1017.5878364495583</v>
      </c>
      <c r="F145" s="65" t="s">
        <v>94</v>
      </c>
      <c r="G145" s="65"/>
      <c r="H145" s="76">
        <f>+D145</f>
        <v>1017.5878364495583</v>
      </c>
      <c r="I145" s="112"/>
    </row>
    <row r="146" spans="2:9" outlineLevel="1" x14ac:dyDescent="0.25">
      <c r="B146" s="1" t="s">
        <v>95</v>
      </c>
      <c r="C146" s="1"/>
      <c r="D146" s="106">
        <f ca="1">D144/D145</f>
        <v>100.06609641230187</v>
      </c>
      <c r="F146" s="1" t="s">
        <v>95</v>
      </c>
      <c r="G146" s="1"/>
      <c r="H146" s="106">
        <f ca="1">H144/H145</f>
        <v>85.064494838474516</v>
      </c>
      <c r="I146" s="112"/>
    </row>
    <row r="147" spans="2:9" outlineLevel="1" x14ac:dyDescent="0.25">
      <c r="D147" s="14"/>
      <c r="H147" s="14"/>
      <c r="I147" s="112"/>
    </row>
    <row r="148" spans="2:9" outlineLevel="1" x14ac:dyDescent="0.25">
      <c r="B148" s="2" t="s">
        <v>105</v>
      </c>
      <c r="D148" s="115">
        <f ca="1">D146/C2-1</f>
        <v>1.0560118432772114</v>
      </c>
      <c r="F148" s="2" t="s">
        <v>105</v>
      </c>
      <c r="H148" s="115">
        <f ca="1">H146/C2-1</f>
        <v>0.74778086785441777</v>
      </c>
    </row>
    <row r="149" spans="2:9" outlineLevel="1" x14ac:dyDescent="0.25"/>
    <row r="150" spans="2:9" ht="13.8" outlineLevel="1" thickBot="1" x14ac:dyDescent="0.3"/>
    <row r="151" spans="2:9" ht="13.8" outlineLevel="1" thickBot="1" x14ac:dyDescent="0.3">
      <c r="B151" s="117" t="s">
        <v>106</v>
      </c>
      <c r="C151" s="65"/>
      <c r="D151" s="65"/>
      <c r="F151" s="1" t="s">
        <v>120</v>
      </c>
      <c r="H151" s="132">
        <v>6.5</v>
      </c>
    </row>
    <row r="152" spans="2:9" outlineLevel="1" x14ac:dyDescent="0.25">
      <c r="B152" s="2" t="s">
        <v>117</v>
      </c>
      <c r="D152" s="103">
        <v>130947</v>
      </c>
    </row>
    <row r="153" spans="2:9" outlineLevel="1" x14ac:dyDescent="0.25">
      <c r="B153" s="2" t="s">
        <v>116</v>
      </c>
      <c r="D153" s="110">
        <v>48260</v>
      </c>
    </row>
    <row r="154" spans="2:9" outlineLevel="1" x14ac:dyDescent="0.25">
      <c r="B154" s="2" t="s">
        <v>107</v>
      </c>
      <c r="D154" s="115">
        <f>D152/(D152+D153)</f>
        <v>0.73070248371994395</v>
      </c>
    </row>
    <row r="155" spans="2:9" outlineLevel="1" x14ac:dyDescent="0.25">
      <c r="B155" s="2" t="s">
        <v>108</v>
      </c>
      <c r="D155" s="126">
        <f>D153/(D152+D153)</f>
        <v>0.26929751628005605</v>
      </c>
    </row>
    <row r="156" spans="2:9" outlineLevel="1" x14ac:dyDescent="0.25"/>
    <row r="157" spans="2:9" outlineLevel="1" x14ac:dyDescent="0.25">
      <c r="B157" s="65" t="s">
        <v>112</v>
      </c>
      <c r="C157" s="65"/>
      <c r="D157" s="65"/>
    </row>
    <row r="158" spans="2:9" outlineLevel="1" x14ac:dyDescent="0.25">
      <c r="B158" s="2" t="s">
        <v>109</v>
      </c>
      <c r="D158" s="124">
        <v>1.43</v>
      </c>
    </row>
    <row r="159" spans="2:9" outlineLevel="1" x14ac:dyDescent="0.25">
      <c r="B159" s="34" t="s">
        <v>110</v>
      </c>
      <c r="D159" s="118">
        <v>4.2900000000000001E-2</v>
      </c>
    </row>
    <row r="160" spans="2:9" outlineLevel="1" x14ac:dyDescent="0.25">
      <c r="B160" s="121" t="s">
        <v>111</v>
      </c>
      <c r="C160" s="119"/>
      <c r="D160" s="120">
        <v>4.2999999999999997E-2</v>
      </c>
    </row>
    <row r="161" spans="2:5" outlineLevel="1" x14ac:dyDescent="0.25">
      <c r="B161" s="123"/>
      <c r="C161" s="112"/>
      <c r="D161" s="127">
        <f>+D159+(D158*D160)</f>
        <v>0.10438999999999998</v>
      </c>
    </row>
    <row r="162" spans="2:5" outlineLevel="1" x14ac:dyDescent="0.25">
      <c r="B162" s="65" t="s">
        <v>113</v>
      </c>
      <c r="C162" s="65"/>
      <c r="D162" s="65"/>
    </row>
    <row r="163" spans="2:5" outlineLevel="1" x14ac:dyDescent="0.25">
      <c r="B163" s="2" t="s">
        <v>114</v>
      </c>
      <c r="D163" s="118">
        <v>6.146153846153847E-2</v>
      </c>
    </row>
    <row r="164" spans="2:5" outlineLevel="1" x14ac:dyDescent="0.25">
      <c r="B164" s="122" t="s">
        <v>115</v>
      </c>
      <c r="C164" s="65"/>
      <c r="D164" s="125">
        <f>C106</f>
        <v>0.20100000000000001</v>
      </c>
    </row>
    <row r="165" spans="2:5" outlineLevel="1" x14ac:dyDescent="0.25">
      <c r="D165" s="128">
        <f>(1-D164)*D163</f>
        <v>4.9107769230769233E-2</v>
      </c>
    </row>
    <row r="166" spans="2:5" ht="13.8" outlineLevel="1" thickBot="1" x14ac:dyDescent="0.3"/>
    <row r="167" spans="2:5" ht="13.8" outlineLevel="1" thickBot="1" x14ac:dyDescent="0.3">
      <c r="B167" s="1" t="s">
        <v>106</v>
      </c>
      <c r="D167" s="129">
        <f>(D154*D165)+(D155*D161)</f>
        <v>6.3995136671343961E-2</v>
      </c>
    </row>
    <row r="168" spans="2:5" outlineLevel="1" x14ac:dyDescent="0.25"/>
    <row r="169" spans="2:5" outlineLevel="1" x14ac:dyDescent="0.25">
      <c r="B169" s="108" t="s">
        <v>96</v>
      </c>
      <c r="C169" s="109"/>
      <c r="D169" s="109"/>
    </row>
    <row r="170" spans="2:5" outlineLevel="1" x14ac:dyDescent="0.25">
      <c r="B170" s="14" t="s">
        <v>97</v>
      </c>
      <c r="C170" s="14"/>
      <c r="D170" s="110">
        <v>995</v>
      </c>
      <c r="E170" s="30"/>
    </row>
    <row r="171" spans="2:5" outlineLevel="1" x14ac:dyDescent="0.25">
      <c r="B171" s="2" t="s">
        <v>98</v>
      </c>
      <c r="D171" s="110">
        <v>34.9</v>
      </c>
    </row>
    <row r="172" spans="2:5" outlineLevel="1" x14ac:dyDescent="0.25">
      <c r="B172" s="2" t="s">
        <v>99</v>
      </c>
      <c r="D172" s="116">
        <v>31.5</v>
      </c>
    </row>
    <row r="173" spans="2:5" outlineLevel="1" x14ac:dyDescent="0.25">
      <c r="D173" s="112"/>
    </row>
    <row r="174" spans="2:5" outlineLevel="1" x14ac:dyDescent="0.25">
      <c r="B174" s="113" t="s">
        <v>100</v>
      </c>
      <c r="D174" s="112"/>
    </row>
    <row r="175" spans="2:5" outlineLevel="1" x14ac:dyDescent="0.25">
      <c r="B175" s="2" t="s">
        <v>101</v>
      </c>
      <c r="D175" s="110">
        <f>+D171*D172</f>
        <v>1099.3499999999999</v>
      </c>
    </row>
    <row r="176" spans="2:5" outlineLevel="1" x14ac:dyDescent="0.25">
      <c r="B176" s="2" t="s">
        <v>102</v>
      </c>
      <c r="D176" s="116">
        <f>+C2</f>
        <v>48.67</v>
      </c>
    </row>
    <row r="177" spans="2:4" outlineLevel="1" x14ac:dyDescent="0.25">
      <c r="B177" s="65" t="s">
        <v>103</v>
      </c>
      <c r="C177" s="65"/>
      <c r="D177" s="114">
        <f>+D175/D176</f>
        <v>22.587836449558246</v>
      </c>
    </row>
    <row r="178" spans="2:4" outlineLevel="1" x14ac:dyDescent="0.25">
      <c r="B178" s="2" t="s">
        <v>104</v>
      </c>
      <c r="D178" s="14">
        <f>+D177+D170</f>
        <v>1017.5878364495583</v>
      </c>
    </row>
    <row r="179" spans="2:4" outlineLevel="1" x14ac:dyDescent="0.25"/>
  </sheetData>
  <dataValidations count="1">
    <dataValidation type="list" allowBlank="1" showInputMessage="1" showErrorMessage="1" sqref="C6:C8" xr:uid="{4B50ECFC-3477-4A2D-88EF-23D6D8CFC889}">
      <formula1>$B$23:$B$25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</vt:lpstr>
      <vt:lpstr>DCF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Grayson Harper</dc:creator>
  <cp:lastModifiedBy>Grayson Harper</cp:lastModifiedBy>
  <dcterms:created xsi:type="dcterms:W3CDTF">2025-03-09T20:46:56Z</dcterms:created>
  <dcterms:modified xsi:type="dcterms:W3CDTF">2025-03-19T02:03:15Z</dcterms:modified>
</cp:coreProperties>
</file>