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fakhrehosseini\Desktop\New folder (2)\"/>
    </mc:Choice>
  </mc:AlternateContent>
  <xr:revisionPtr revIDLastSave="0" documentId="8_{5F6FA544-7D91-4E52-9FA7-010AD1E32F52}" xr6:coauthVersionLast="47" xr6:coauthVersionMax="47" xr10:uidLastSave="{00000000-0000-0000-0000-000000000000}"/>
  <bookViews>
    <workbookView xWindow="-120" yWindow="-120" windowWidth="29040" windowHeight="15840" activeTab="6" xr2:uid="{00000000-000D-0000-FFFF-FFFF00000000}"/>
  </bookViews>
  <sheets>
    <sheet name="مفروضات" sheetId="2" r:id="rId1"/>
    <sheet name="بیوسان فارمد" sheetId="1" r:id="rId2"/>
    <sheet name="ترازنامه فارمد" sheetId="3" r:id="rId3"/>
    <sheet name="NAV برکت" sheetId="4" r:id="rId4"/>
    <sheet name="ترازنامه برکت" sheetId="5" r:id="rId5"/>
    <sheet name="ارزش والبر" sheetId="6" r:id="rId6"/>
    <sheet name="ارزشگذاری نسبی" sheetId="8" r:id="rId7"/>
    <sheet name="جدول PNAV" sheetId="9" r:id="rId8"/>
  </sheets>
  <definedNames>
    <definedName name="_xlnm._FilterDatabase" localSheetId="7" hidden="1">'جدول PNAV'!$B$2:$K$78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8" i="9" l="1"/>
  <c r="K69" i="9"/>
  <c r="K66" i="9"/>
  <c r="K21" i="9"/>
  <c r="K27" i="9"/>
  <c r="K65" i="9"/>
  <c r="K5" i="9"/>
  <c r="K6" i="9"/>
  <c r="K67" i="9"/>
  <c r="K11" i="9"/>
  <c r="K58" i="9"/>
  <c r="K47" i="9"/>
  <c r="K31" i="9"/>
  <c r="K73" i="9"/>
  <c r="K33" i="9"/>
  <c r="K16" i="9"/>
  <c r="K15" i="9"/>
  <c r="K59" i="9"/>
  <c r="K62" i="9"/>
  <c r="K23" i="9"/>
  <c r="K12" i="9"/>
  <c r="K13" i="9"/>
  <c r="K39" i="9"/>
  <c r="K61" i="9"/>
  <c r="K8" i="9"/>
  <c r="K10" i="9"/>
  <c r="K37" i="9"/>
  <c r="K53" i="9"/>
  <c r="K40" i="9"/>
  <c r="K51" i="9"/>
  <c r="K17" i="9"/>
  <c r="K46" i="9"/>
  <c r="K26" i="9"/>
  <c r="K55" i="9"/>
  <c r="K30" i="9"/>
  <c r="K36" i="9"/>
  <c r="K44" i="9"/>
  <c r="K50" i="9"/>
  <c r="K34" i="9"/>
  <c r="K56" i="9"/>
  <c r="K4" i="9"/>
  <c r="K29" i="9"/>
  <c r="K28" i="9"/>
  <c r="K3" i="9"/>
  <c r="K7" i="9"/>
  <c r="K70" i="9"/>
  <c r="K18" i="9"/>
  <c r="K41" i="9"/>
  <c r="K9" i="9"/>
  <c r="K25" i="9"/>
  <c r="K54" i="9"/>
  <c r="K14" i="9"/>
  <c r="K19" i="9"/>
  <c r="K22" i="9"/>
  <c r="K64" i="9"/>
  <c r="K20" i="9"/>
  <c r="K76" i="9"/>
  <c r="K45" i="9"/>
  <c r="K52" i="9"/>
  <c r="K72" i="9"/>
  <c r="K32" i="9"/>
  <c r="K57" i="9"/>
  <c r="K63" i="9"/>
  <c r="K49" i="9"/>
  <c r="K78" i="9"/>
  <c r="K60" i="9"/>
  <c r="K24" i="9"/>
  <c r="K43" i="9"/>
  <c r="K75" i="9"/>
  <c r="K71" i="9"/>
  <c r="K74" i="9"/>
  <c r="K77" i="9"/>
  <c r="K35" i="9"/>
  <c r="K68" i="9"/>
  <c r="K48" i="9"/>
  <c r="K42" i="9"/>
  <c r="G42" i="9"/>
  <c r="G38" i="9"/>
  <c r="G69" i="9"/>
  <c r="G66" i="9"/>
  <c r="G21" i="9"/>
  <c r="G27" i="9"/>
  <c r="G65" i="9"/>
  <c r="G5" i="9"/>
  <c r="G6" i="9"/>
  <c r="G67" i="9"/>
  <c r="G11" i="9"/>
  <c r="G58" i="9"/>
  <c r="G47" i="9"/>
  <c r="G31" i="9"/>
  <c r="G73" i="9"/>
  <c r="G33" i="9"/>
  <c r="G16" i="9"/>
  <c r="G15" i="9"/>
  <c r="G59" i="9"/>
  <c r="G62" i="9"/>
  <c r="G23" i="9"/>
  <c r="G12" i="9"/>
  <c r="G13" i="9"/>
  <c r="G39" i="9"/>
  <c r="G61" i="9"/>
  <c r="G8" i="9"/>
  <c r="G10" i="9"/>
  <c r="G37" i="9"/>
  <c r="G53" i="9"/>
  <c r="G40" i="9"/>
  <c r="G51" i="9"/>
  <c r="G17" i="9"/>
  <c r="G46" i="9"/>
  <c r="G26" i="9"/>
  <c r="G55" i="9"/>
  <c r="G30" i="9"/>
  <c r="G36" i="9"/>
  <c r="G44" i="9"/>
  <c r="G50" i="9"/>
  <c r="G34" i="9"/>
  <c r="G56" i="9"/>
  <c r="G4" i="9"/>
  <c r="G29" i="9"/>
  <c r="G28" i="9"/>
  <c r="G3" i="9"/>
  <c r="G7" i="9"/>
  <c r="G70" i="9"/>
  <c r="G18" i="9"/>
  <c r="G41" i="9"/>
  <c r="G9" i="9"/>
  <c r="G25" i="9"/>
  <c r="G54" i="9"/>
  <c r="G14" i="9"/>
  <c r="G19" i="9"/>
  <c r="G22" i="9"/>
  <c r="G64" i="9"/>
  <c r="G20" i="9"/>
  <c r="G76" i="9"/>
  <c r="G45" i="9"/>
  <c r="G52" i="9"/>
  <c r="G72" i="9"/>
  <c r="G32" i="9"/>
  <c r="G57" i="9"/>
  <c r="G63" i="9"/>
  <c r="G49" i="9"/>
  <c r="G78" i="9"/>
  <c r="G60" i="9"/>
  <c r="G24" i="9"/>
  <c r="G43" i="9"/>
  <c r="G75" i="9"/>
  <c r="G71" i="9"/>
  <c r="G74" i="9"/>
  <c r="G77" i="9"/>
  <c r="G35" i="9"/>
  <c r="G68" i="9"/>
  <c r="G48" i="9"/>
  <c r="H4" i="8"/>
  <c r="G4" i="8"/>
  <c r="H3" i="8"/>
  <c r="G3" i="8"/>
  <c r="K19" i="6"/>
  <c r="K5" i="6"/>
  <c r="K6" i="6"/>
  <c r="K7" i="6"/>
  <c r="K8" i="6"/>
  <c r="K9" i="6"/>
  <c r="K10" i="6"/>
  <c r="K11" i="6"/>
  <c r="K12" i="6"/>
  <c r="K13" i="6"/>
  <c r="K14" i="6"/>
  <c r="K15" i="6"/>
  <c r="K4" i="6"/>
  <c r="K18" i="6" s="1"/>
  <c r="D16" i="6"/>
  <c r="G16" i="6" s="1"/>
  <c r="D17" i="6"/>
  <c r="G17" i="6" s="1"/>
  <c r="G11" i="6"/>
  <c r="G12" i="6"/>
  <c r="G14" i="6"/>
  <c r="G8" i="6"/>
  <c r="G5" i="6"/>
  <c r="G7" i="6"/>
  <c r="G6" i="6"/>
  <c r="G13" i="6"/>
  <c r="G9" i="6"/>
  <c r="G15" i="6"/>
  <c r="G10" i="6"/>
  <c r="G4" i="6"/>
  <c r="I4" i="6" s="1"/>
  <c r="D3" i="4"/>
  <c r="F3" i="4" s="1"/>
  <c r="E34" i="4"/>
  <c r="D6" i="4" s="1"/>
  <c r="D5" i="4"/>
  <c r="F5" i="4" s="1"/>
  <c r="E7" i="5"/>
  <c r="B39" i="4"/>
  <c r="D37" i="4"/>
  <c r="E37" i="4" s="1"/>
  <c r="E39" i="4" s="1"/>
  <c r="E36" i="4"/>
  <c r="E7" i="4"/>
  <c r="F7" i="4" s="1"/>
  <c r="E14" i="5"/>
  <c r="E18" i="5" s="1"/>
  <c r="E32" i="4"/>
  <c r="D31" i="4"/>
  <c r="D36" i="4" s="1"/>
  <c r="E31" i="4"/>
  <c r="C31" i="4"/>
  <c r="C36" i="4" s="1"/>
  <c r="I23" i="5"/>
  <c r="I19" i="5"/>
  <c r="I5" i="5"/>
  <c r="D16" i="4"/>
  <c r="E16" i="4" s="1"/>
  <c r="C14" i="4"/>
  <c r="E14" i="4" s="1"/>
  <c r="E24" i="4"/>
  <c r="E25" i="4"/>
  <c r="E26" i="4"/>
  <c r="E27" i="4"/>
  <c r="E23" i="4"/>
  <c r="C15" i="4"/>
  <c r="E15" i="4" s="1"/>
  <c r="I5" i="3"/>
  <c r="I20" i="3"/>
  <c r="I16" i="3"/>
  <c r="E16" i="3"/>
  <c r="I117" i="1"/>
  <c r="J117" i="1" s="1"/>
  <c r="K30" i="1"/>
  <c r="K9" i="2"/>
  <c r="J9" i="2"/>
  <c r="I7" i="1"/>
  <c r="J118" i="1"/>
  <c r="H118" i="1"/>
  <c r="D124" i="1"/>
  <c r="D125" i="1" s="1"/>
  <c r="E124" i="1"/>
  <c r="E125" i="1" s="1"/>
  <c r="F124" i="1"/>
  <c r="F125" i="1" s="1"/>
  <c r="G124" i="1"/>
  <c r="G125" i="1" s="1"/>
  <c r="H125" i="1"/>
  <c r="E116" i="1"/>
  <c r="F116" i="1"/>
  <c r="G116" i="1"/>
  <c r="H116" i="1"/>
  <c r="D116" i="1"/>
  <c r="E110" i="1"/>
  <c r="F110" i="1"/>
  <c r="G110" i="1"/>
  <c r="H110" i="1"/>
  <c r="I110" i="1"/>
  <c r="J110" i="1"/>
  <c r="J7" i="1" s="1"/>
  <c r="D110" i="1"/>
  <c r="I95" i="1"/>
  <c r="J95" i="1" s="1"/>
  <c r="E99" i="1"/>
  <c r="F99" i="1"/>
  <c r="G99" i="1"/>
  <c r="H99" i="1"/>
  <c r="D99" i="1"/>
  <c r="D97" i="1"/>
  <c r="E97" i="1"/>
  <c r="F97" i="1"/>
  <c r="G94" i="1"/>
  <c r="G97" i="1" s="1"/>
  <c r="H94" i="1"/>
  <c r="H97" i="1" s="1"/>
  <c r="I97" i="1" s="1"/>
  <c r="J97" i="1" s="1"/>
  <c r="I80" i="1"/>
  <c r="J80" i="1" s="1"/>
  <c r="J84" i="1"/>
  <c r="J85" i="1"/>
  <c r="D85" i="1"/>
  <c r="E85" i="1"/>
  <c r="F85" i="1"/>
  <c r="G85" i="1"/>
  <c r="H85" i="1"/>
  <c r="G77" i="1"/>
  <c r="G81" i="1" s="1"/>
  <c r="E75" i="1"/>
  <c r="F75" i="1"/>
  <c r="G75" i="1"/>
  <c r="H75" i="1"/>
  <c r="D75" i="1"/>
  <c r="D76" i="1"/>
  <c r="E76" i="1"/>
  <c r="F76" i="1"/>
  <c r="G76" i="1"/>
  <c r="H76" i="1"/>
  <c r="J27" i="1"/>
  <c r="J26" i="1"/>
  <c r="J25" i="1"/>
  <c r="J24" i="1"/>
  <c r="J23" i="1"/>
  <c r="J22" i="1"/>
  <c r="J21" i="1"/>
  <c r="J20" i="1"/>
  <c r="J19" i="1"/>
  <c r="J18" i="1"/>
  <c r="J16" i="1"/>
  <c r="J17" i="1"/>
  <c r="E7" i="3" l="1"/>
  <c r="E11" i="3" s="1"/>
  <c r="D4" i="4"/>
  <c r="F4" i="4" s="1"/>
  <c r="D77" i="1"/>
  <c r="D81" i="1" s="1"/>
  <c r="I94" i="1"/>
  <c r="J94" i="1" s="1"/>
  <c r="H77" i="1"/>
  <c r="H81" i="1" s="1"/>
  <c r="F77" i="1"/>
  <c r="F81" i="1" s="1"/>
  <c r="E77" i="1"/>
  <c r="E81" i="1" s="1"/>
  <c r="K20" i="6"/>
  <c r="H17" i="6"/>
  <c r="I17" i="6" s="1"/>
  <c r="H16" i="6"/>
  <c r="I10" i="6"/>
  <c r="I6" i="6"/>
  <c r="I12" i="6"/>
  <c r="I11" i="6"/>
  <c r="I9" i="6"/>
  <c r="I7" i="6"/>
  <c r="I8" i="6"/>
  <c r="I5" i="6"/>
  <c r="E17" i="3"/>
  <c r="I22" i="3" s="1"/>
  <c r="I10" i="3" s="1"/>
  <c r="I11" i="3" s="1"/>
  <c r="E8" i="4"/>
  <c r="E28" i="4"/>
  <c r="C18" i="4" s="1"/>
  <c r="E18" i="4" s="1"/>
  <c r="E19" i="4" s="1"/>
  <c r="I24" i="5"/>
  <c r="I21" i="3"/>
  <c r="I124" i="1"/>
  <c r="I60" i="1"/>
  <c r="I18" i="6" l="1"/>
  <c r="I20" i="6" s="1"/>
  <c r="D8" i="4"/>
  <c r="F6" i="4"/>
  <c r="F8" i="4" s="1"/>
  <c r="I125" i="1"/>
  <c r="I10" i="1" s="1"/>
  <c r="J124" i="1"/>
  <c r="J125" i="1" s="1"/>
  <c r="J10" i="1" s="1"/>
  <c r="I73" i="1"/>
  <c r="I78" i="1"/>
  <c r="E9" i="5" l="1"/>
  <c r="E12" i="5" s="1"/>
  <c r="E19" i="5" s="1"/>
  <c r="I25" i="5" s="1"/>
  <c r="I12" i="5" s="1"/>
  <c r="I13" i="5" s="1"/>
  <c r="F3" i="2"/>
  <c r="J60" i="1" s="1"/>
  <c r="J73" i="1" s="1"/>
  <c r="E28" i="5" l="1"/>
  <c r="E30" i="5" s="1"/>
  <c r="J78" i="1"/>
  <c r="D3" i="2"/>
  <c r="I96" i="1" s="1"/>
  <c r="C3" i="2"/>
  <c r="J96" i="1" l="1"/>
  <c r="J98" i="1" s="1"/>
  <c r="I98" i="1"/>
  <c r="I34" i="1"/>
  <c r="J34" i="1"/>
  <c r="D50" i="1"/>
  <c r="E50" i="1"/>
  <c r="H50" i="1"/>
  <c r="I50" i="1" l="1"/>
  <c r="J50" i="1" s="1"/>
  <c r="J33" i="1" s="1"/>
  <c r="I33" i="1"/>
  <c r="I99" i="1"/>
  <c r="J99" i="1" s="1"/>
  <c r="J100" i="1" s="1"/>
  <c r="J6" i="1" s="1"/>
  <c r="E44" i="1"/>
  <c r="E82" i="1" s="1"/>
  <c r="F44" i="1"/>
  <c r="F82" i="1" s="1"/>
  <c r="G44" i="1"/>
  <c r="G82" i="1" s="1"/>
  <c r="H44" i="1"/>
  <c r="K31" i="1" s="1"/>
  <c r="D44" i="1"/>
  <c r="D82" i="1" s="1"/>
  <c r="E47" i="1"/>
  <c r="F47" i="1"/>
  <c r="G47" i="1"/>
  <c r="G62" i="1" s="1"/>
  <c r="H47" i="1"/>
  <c r="E48" i="1"/>
  <c r="F48" i="1"/>
  <c r="F63" i="1" s="1"/>
  <c r="G48" i="1"/>
  <c r="G63" i="1" s="1"/>
  <c r="H48" i="1"/>
  <c r="E49" i="1"/>
  <c r="F49" i="1"/>
  <c r="G49" i="1"/>
  <c r="H49" i="1"/>
  <c r="I49" i="1" s="1"/>
  <c r="J49" i="1" s="1"/>
  <c r="F50" i="1"/>
  <c r="G50" i="1"/>
  <c r="E51" i="1"/>
  <c r="F51" i="1"/>
  <c r="G51" i="1"/>
  <c r="H51" i="1"/>
  <c r="E52" i="1"/>
  <c r="F52" i="1"/>
  <c r="G52" i="1"/>
  <c r="G64" i="1" s="1"/>
  <c r="H52" i="1"/>
  <c r="E53" i="1"/>
  <c r="F53" i="1"/>
  <c r="G53" i="1"/>
  <c r="G65" i="1" s="1"/>
  <c r="H53" i="1"/>
  <c r="E54" i="1"/>
  <c r="F54" i="1"/>
  <c r="G54" i="1"/>
  <c r="G68" i="1" s="1"/>
  <c r="H54" i="1"/>
  <c r="E55" i="1"/>
  <c r="F55" i="1"/>
  <c r="G55" i="1"/>
  <c r="G66" i="1" s="1"/>
  <c r="H55" i="1"/>
  <c r="E56" i="1"/>
  <c r="F56" i="1"/>
  <c r="G56" i="1"/>
  <c r="G67" i="1" s="1"/>
  <c r="H56" i="1"/>
  <c r="E57" i="1"/>
  <c r="F57" i="1"/>
  <c r="G57" i="1"/>
  <c r="G69" i="1" s="1"/>
  <c r="H57" i="1"/>
  <c r="E58" i="1"/>
  <c r="F58" i="1"/>
  <c r="G58" i="1"/>
  <c r="H58" i="1"/>
  <c r="I58" i="1" s="1"/>
  <c r="D48" i="1"/>
  <c r="D49" i="1"/>
  <c r="D51" i="1"/>
  <c r="D52" i="1"/>
  <c r="D53" i="1"/>
  <c r="D54" i="1"/>
  <c r="D55" i="1"/>
  <c r="D56" i="1"/>
  <c r="D57" i="1"/>
  <c r="D58" i="1"/>
  <c r="D47" i="1"/>
  <c r="C41" i="1"/>
  <c r="C58" i="1" s="1"/>
  <c r="C31" i="1"/>
  <c r="C48" i="1" s="1"/>
  <c r="C32" i="1"/>
  <c r="C49" i="1" s="1"/>
  <c r="C33" i="1"/>
  <c r="C50" i="1" s="1"/>
  <c r="C34" i="1"/>
  <c r="C51" i="1" s="1"/>
  <c r="C35" i="1"/>
  <c r="C52" i="1" s="1"/>
  <c r="C36" i="1"/>
  <c r="C53" i="1" s="1"/>
  <c r="C37" i="1"/>
  <c r="C54" i="1" s="1"/>
  <c r="C38" i="1"/>
  <c r="C55" i="1" s="1"/>
  <c r="C39" i="1"/>
  <c r="C56" i="1" s="1"/>
  <c r="C40" i="1"/>
  <c r="C57" i="1" s="1"/>
  <c r="C30" i="1"/>
  <c r="C47" i="1" s="1"/>
  <c r="E15" i="1"/>
  <c r="E29" i="1" s="1"/>
  <c r="E46" i="1" s="1"/>
  <c r="E71" i="1" s="1"/>
  <c r="E87" i="1" s="1"/>
  <c r="E93" i="1" s="1"/>
  <c r="E102" i="1" s="1"/>
  <c r="E112" i="1" s="1"/>
  <c r="E119" i="1" s="1"/>
  <c r="F15" i="1"/>
  <c r="F29" i="1" s="1"/>
  <c r="F46" i="1" s="1"/>
  <c r="F71" i="1" s="1"/>
  <c r="F87" i="1" s="1"/>
  <c r="F93" i="1" s="1"/>
  <c r="F102" i="1" s="1"/>
  <c r="F112" i="1" s="1"/>
  <c r="F119" i="1" s="1"/>
  <c r="G15" i="1"/>
  <c r="G29" i="1" s="1"/>
  <c r="G46" i="1" s="1"/>
  <c r="G71" i="1" s="1"/>
  <c r="G87" i="1" s="1"/>
  <c r="G93" i="1" s="1"/>
  <c r="G102" i="1" s="1"/>
  <c r="G112" i="1" s="1"/>
  <c r="G119" i="1" s="1"/>
  <c r="H15" i="1"/>
  <c r="H29" i="1" s="1"/>
  <c r="H46" i="1" s="1"/>
  <c r="H71" i="1" s="1"/>
  <c r="H87" i="1" s="1"/>
  <c r="H93" i="1" s="1"/>
  <c r="H102" i="1" s="1"/>
  <c r="H112" i="1" s="1"/>
  <c r="H119" i="1" s="1"/>
  <c r="I15" i="1"/>
  <c r="I29" i="1" s="1"/>
  <c r="I46" i="1" s="1"/>
  <c r="I71" i="1" s="1"/>
  <c r="I87" i="1" s="1"/>
  <c r="I93" i="1" s="1"/>
  <c r="I102" i="1" s="1"/>
  <c r="I112" i="1" s="1"/>
  <c r="I119" i="1" s="1"/>
  <c r="J15" i="1"/>
  <c r="J29" i="1" s="1"/>
  <c r="J46" i="1" s="1"/>
  <c r="J71" i="1" s="1"/>
  <c r="J87" i="1" s="1"/>
  <c r="J93" i="1" s="1"/>
  <c r="J102" i="1" s="1"/>
  <c r="J112" i="1" s="1"/>
  <c r="J119" i="1" s="1"/>
  <c r="D15" i="1"/>
  <c r="D29" i="1" s="1"/>
  <c r="D46" i="1" s="1"/>
  <c r="D71" i="1" s="1"/>
  <c r="D87" i="1" s="1"/>
  <c r="D93" i="1" s="1"/>
  <c r="D102" i="1" s="1"/>
  <c r="D112" i="1" s="1"/>
  <c r="D119" i="1" s="1"/>
  <c r="D12" i="1"/>
  <c r="D7" i="1"/>
  <c r="E12" i="1"/>
  <c r="F12" i="1"/>
  <c r="H5" i="1"/>
  <c r="H8" i="1" s="1"/>
  <c r="H11" i="1" s="1"/>
  <c r="H13" i="1" s="1"/>
  <c r="D5" i="1"/>
  <c r="E5" i="1"/>
  <c r="E8" i="1" s="1"/>
  <c r="E11" i="1" s="1"/>
  <c r="F5" i="1"/>
  <c r="F8" i="1" s="1"/>
  <c r="F11" i="1" s="1"/>
  <c r="G5" i="1"/>
  <c r="G8" i="1" s="1"/>
  <c r="G11" i="1" s="1"/>
  <c r="G13" i="1" s="1"/>
  <c r="I100" i="1" l="1"/>
  <c r="I6" i="1" s="1"/>
  <c r="K6" i="1" s="1"/>
  <c r="E13" i="1"/>
  <c r="H82" i="1"/>
  <c r="I82" i="1" s="1"/>
  <c r="D8" i="1"/>
  <c r="D11" i="1" s="1"/>
  <c r="J32" i="1"/>
  <c r="I32" i="1"/>
  <c r="H63" i="1"/>
  <c r="I63" i="1"/>
  <c r="I48" i="1" s="1"/>
  <c r="I62" i="1"/>
  <c r="I47" i="1" s="1"/>
  <c r="I30" i="1" s="1"/>
  <c r="H62" i="1"/>
  <c r="J58" i="1"/>
  <c r="J41" i="1" s="1"/>
  <c r="I41" i="1"/>
  <c r="H69" i="1"/>
  <c r="I69" i="1"/>
  <c r="I57" i="1" s="1"/>
  <c r="I67" i="1"/>
  <c r="I56" i="1" s="1"/>
  <c r="H67" i="1"/>
  <c r="H66" i="1"/>
  <c r="I66" i="1"/>
  <c r="I55" i="1" s="1"/>
  <c r="H68" i="1"/>
  <c r="I68" i="1"/>
  <c r="I54" i="1" s="1"/>
  <c r="I65" i="1"/>
  <c r="I53" i="1" s="1"/>
  <c r="H65" i="1"/>
  <c r="H64" i="1"/>
  <c r="I64" i="1"/>
  <c r="I52" i="1" s="1"/>
  <c r="D13" i="1"/>
  <c r="F13" i="1"/>
  <c r="J62" i="1" l="1"/>
  <c r="J47" i="1" s="1"/>
  <c r="J30" i="1" s="1"/>
  <c r="J68" i="1"/>
  <c r="J54" i="1" s="1"/>
  <c r="J37" i="1" s="1"/>
  <c r="I37" i="1"/>
  <c r="I31" i="1"/>
  <c r="J63" i="1"/>
  <c r="J48" i="1" s="1"/>
  <c r="J31" i="1" s="1"/>
  <c r="J67" i="1"/>
  <c r="J56" i="1" s="1"/>
  <c r="J39" i="1" s="1"/>
  <c r="I39" i="1"/>
  <c r="I36" i="1"/>
  <c r="J65" i="1"/>
  <c r="J53" i="1" s="1"/>
  <c r="J36" i="1" s="1"/>
  <c r="I35" i="1"/>
  <c r="J64" i="1"/>
  <c r="J52" i="1" s="1"/>
  <c r="J35" i="1" s="1"/>
  <c r="J66" i="1"/>
  <c r="J55" i="1" s="1"/>
  <c r="J38" i="1" s="1"/>
  <c r="I38" i="1"/>
  <c r="I40" i="1"/>
  <c r="J69" i="1"/>
  <c r="J57" i="1" s="1"/>
  <c r="J40" i="1" s="1"/>
  <c r="J82" i="1"/>
  <c r="I42" i="1" l="1"/>
  <c r="J42" i="1" s="1"/>
  <c r="I43" i="1"/>
  <c r="J43" i="1" s="1"/>
  <c r="J44" i="1" l="1"/>
  <c r="J3" i="1" s="1"/>
  <c r="I44" i="1"/>
  <c r="I72" i="1" s="1"/>
  <c r="J72" i="1" l="1"/>
  <c r="I3" i="1"/>
  <c r="K3" i="1" s="1"/>
  <c r="I74" i="1"/>
  <c r="J74" i="1" s="1"/>
  <c r="J75" i="1" s="1"/>
  <c r="I79" i="1"/>
  <c r="J79" i="1" s="1"/>
  <c r="I75" i="1" l="1"/>
  <c r="I76" i="1" s="1"/>
  <c r="J76" i="1" s="1"/>
  <c r="J77" i="1" s="1"/>
  <c r="J81" i="1" s="1"/>
  <c r="J4" i="1" s="1"/>
  <c r="J5" i="1" s="1"/>
  <c r="J8" i="1" s="1"/>
  <c r="I77" i="1" l="1"/>
  <c r="I81" i="1" s="1"/>
  <c r="I4" i="1" l="1"/>
  <c r="J113" i="1" l="1"/>
  <c r="J116" i="1" s="1"/>
  <c r="J9" i="1" s="1"/>
  <c r="J11" i="1" s="1"/>
  <c r="J13" i="1" s="1"/>
  <c r="I113" i="1"/>
  <c r="I116" i="1" s="1"/>
  <c r="I9" i="1" s="1"/>
  <c r="I5" i="1"/>
  <c r="K4" i="1"/>
  <c r="I8" i="1" l="1"/>
  <c r="I11" i="1" s="1"/>
  <c r="I13" i="1" s="1"/>
  <c r="K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hosein saber</author>
  </authors>
  <commentList>
    <comment ref="I62" authorId="0" shapeId="0" xr:uid="{B0EEC682-4BA9-4EA7-8F9A-C53563562E9B}">
      <text>
        <r>
          <rPr>
            <b/>
            <sz val="9"/>
            <color indexed="81"/>
            <rFont val="Tahoma"/>
            <family val="2"/>
          </rPr>
          <t>hosein saber:</t>
        </r>
        <r>
          <rPr>
            <sz val="9"/>
            <color indexed="81"/>
            <rFont val="Tahoma"/>
            <family val="2"/>
          </rPr>
          <t xml:space="preserve">
نرخ ها با فرض آزاد شدن دلار- با دلار 28500 بالاتر از چیزی که بود قیمت گذاری میشدن</t>
        </r>
      </text>
    </comment>
  </commentList>
</comments>
</file>

<file path=xl/sharedStrings.xml><?xml version="1.0" encoding="utf-8"?>
<sst xmlns="http://schemas.openxmlformats.org/spreadsheetml/2006/main" count="433" uniqueCount="368">
  <si>
    <t>صورت سود و زیان</t>
  </si>
  <si>
    <t>کارشناسی 1403</t>
  </si>
  <si>
    <t>کارشناسی 1404</t>
  </si>
  <si>
    <t>درآمد های عملیاتی</t>
  </si>
  <si>
    <t>بهای تمام شده درآمدهای عملیاتی</t>
  </si>
  <si>
    <t>سود ناخالص</t>
  </si>
  <si>
    <t>هزینه های اداری، عمومی و فروش</t>
  </si>
  <si>
    <t>سود عملیاتی</t>
  </si>
  <si>
    <t>هزینه مالی</t>
  </si>
  <si>
    <t>سود(زیان) قبل از مالیات</t>
  </si>
  <si>
    <t>هزینه مالیات بر درآمد</t>
  </si>
  <si>
    <t>سود(زیان) خالص</t>
  </si>
  <si>
    <t>سایر درآمد(هزینه)های غیرعملیاتی</t>
  </si>
  <si>
    <t>خالص سایر درآمد(هزینه)های عملیاتی</t>
  </si>
  <si>
    <t>مقدار فروش</t>
  </si>
  <si>
    <t>واکسن سانوپنت تک دوزی</t>
  </si>
  <si>
    <t>واکسن سانوپنت ده دوزی</t>
  </si>
  <si>
    <t>واکسن فلج اطفال</t>
  </si>
  <si>
    <t>اپتی فیباتاید (سانتی گریلین 2 میلی گرم)</t>
  </si>
  <si>
    <t>اپتی فیباتاید (سانتی گریلین 0.75 میلی گرم)</t>
  </si>
  <si>
    <t>سترورلیکس تزریقی 250 میلی گرمی - گانی هوپ تزریقی</t>
  </si>
  <si>
    <t>اکترئوتاید 20 میلی گرمی تزریقی</t>
  </si>
  <si>
    <t>اکترئوتاید 30 میلی گرمی تزریقی</t>
  </si>
  <si>
    <t>لئوپرولید استات 7.5 میلی گرمی - لئوپرولین استات 7.5 میلی گرمی</t>
  </si>
  <si>
    <t>سایر</t>
  </si>
  <si>
    <t>مبلغ فروش</t>
  </si>
  <si>
    <t>برگشت از فروش</t>
  </si>
  <si>
    <t>تخفیفات</t>
  </si>
  <si>
    <t>فروش خالص</t>
  </si>
  <si>
    <t>نرخ فروش</t>
  </si>
  <si>
    <t>تریپتورلین 3.75</t>
  </si>
  <si>
    <t>تریپتورلین 11.25</t>
  </si>
  <si>
    <t>نرخ دلار</t>
  </si>
  <si>
    <t>دلار</t>
  </si>
  <si>
    <t>تورم</t>
  </si>
  <si>
    <t>ترپ 3.75</t>
  </si>
  <si>
    <t>ترپ 11.25</t>
  </si>
  <si>
    <t>نرخ دلاری</t>
  </si>
  <si>
    <t>-</t>
  </si>
  <si>
    <t>چرا قیمتش تغییر نمیکنه به مرور؟</t>
  </si>
  <si>
    <t>توی آمارنامه دارو ببینش</t>
  </si>
  <si>
    <t>اپتی 2 میل</t>
  </si>
  <si>
    <t>اپتی 0.75 میل</t>
  </si>
  <si>
    <t>اکتر 20 میل</t>
  </si>
  <si>
    <t>اکتر 30 میل</t>
  </si>
  <si>
    <t>سترورلیکس</t>
  </si>
  <si>
    <t>لئوپرولید استات</t>
  </si>
  <si>
    <t>بهای تمام شده کالای ساخته شده</t>
  </si>
  <si>
    <t>مواد مستقیم</t>
  </si>
  <si>
    <t>دستمزد مستقیم</t>
  </si>
  <si>
    <t>سربار ساخت</t>
  </si>
  <si>
    <t>جمع هزینه های ساخت</t>
  </si>
  <si>
    <t>بهای تمام شده ساخت</t>
  </si>
  <si>
    <t>خرید کالای بازرگانی</t>
  </si>
  <si>
    <t>تغییرات موجودی کالای ساخته شده</t>
  </si>
  <si>
    <t>تغییرات موجودی در جریان</t>
  </si>
  <si>
    <t>جمع کل</t>
  </si>
  <si>
    <t>تعداد کارکنان</t>
  </si>
  <si>
    <t>سرانه دلاری به ازای هر شخص</t>
  </si>
  <si>
    <t>تریپترلین 3.75</t>
  </si>
  <si>
    <t>تریپترلین 11.25</t>
  </si>
  <si>
    <t>اکتروتاید 30 میل</t>
  </si>
  <si>
    <t>اکتروتاید 20 میل</t>
  </si>
  <si>
    <t>لئوپرولید 7.5 میل</t>
  </si>
  <si>
    <t>مبلغ مواد اولیه شرکت</t>
  </si>
  <si>
    <t>بالک واکسن سانوینت</t>
  </si>
  <si>
    <t>پیرازین کربوکسیلیک اسید</t>
  </si>
  <si>
    <t>ماده موثره اکترنوتاید استات</t>
  </si>
  <si>
    <t>ماده موثره اپتی فیباتاید استات</t>
  </si>
  <si>
    <t>هزینه اداری، عمومی و فروش</t>
  </si>
  <si>
    <t>حقوق، دستمزد و مزایا</t>
  </si>
  <si>
    <t>استهلاک</t>
  </si>
  <si>
    <t>تعمیر و نگهداری</t>
  </si>
  <si>
    <t>انتقال به دارایی در جریان و بهای تمام شده</t>
  </si>
  <si>
    <t>جمع اقلام بالا</t>
  </si>
  <si>
    <t>تورم حقوق و دستمزد</t>
  </si>
  <si>
    <t>سایر درآمدها(هزینه) عملیاتی</t>
  </si>
  <si>
    <t>درآمد ارائه خدمات مشاوره فنی و تخصصی</t>
  </si>
  <si>
    <t>بهای تمام شده بالایی</t>
  </si>
  <si>
    <t>کارمزد خدمات آزمایشگاهی</t>
  </si>
  <si>
    <t>فروش میمون رزوس</t>
  </si>
  <si>
    <t>فروش باتل شیشه ای</t>
  </si>
  <si>
    <t>فروش سلول WCB</t>
  </si>
  <si>
    <t>زیان کاهش موجودی ها</t>
  </si>
  <si>
    <t>بانک ها</t>
  </si>
  <si>
    <t>انتقال به دارایی در جریان</t>
  </si>
  <si>
    <t>تهاتر با سود صندوق سرمایه گذاری</t>
  </si>
  <si>
    <t>جمع</t>
  </si>
  <si>
    <t>سایر درآمدها(هزینه) غیرعملیاتی</t>
  </si>
  <si>
    <t>سود سپرده</t>
  </si>
  <si>
    <t>سود ناشی از فروش دارایی</t>
  </si>
  <si>
    <t>سود اوراق بهادار</t>
  </si>
  <si>
    <t>سود (زیان) تسعیر ارز</t>
  </si>
  <si>
    <t>علتش عدم انتقال به پروژه در جریان ساخت بوده. احتمالا برای سرمایه در گردش میخواسته</t>
  </si>
  <si>
    <t>شرکت گروه دارویی برکت (سهامی عام)</t>
  </si>
  <si>
    <t>شرکت سرمایه گذاری البرز (سهامی عام)</t>
  </si>
  <si>
    <t>شرکت گروه دارویی سبحان</t>
  </si>
  <si>
    <t>شرکت سرمایه گذاری اعتلای البرز</t>
  </si>
  <si>
    <t>سهامداران</t>
  </si>
  <si>
    <t>تعداد سهام</t>
  </si>
  <si>
    <t>درصد مالکیت</t>
  </si>
  <si>
    <t>منتهی به 1402/09/30</t>
  </si>
  <si>
    <t>دارایی ها</t>
  </si>
  <si>
    <t>دارایی های غیرجاری</t>
  </si>
  <si>
    <t>دارایی های ثابت مشهود</t>
  </si>
  <si>
    <t>دارایی های نامشهود</t>
  </si>
  <si>
    <t>سرمایه گذاری های بلندمدت</t>
  </si>
  <si>
    <t>دریافتنی های بلندمدت</t>
  </si>
  <si>
    <t>جمع دارایی های غیرجاری</t>
  </si>
  <si>
    <t>دارایی های جاری</t>
  </si>
  <si>
    <t>پیش پرداخت ها</t>
  </si>
  <si>
    <t>موجودی مواد و کالا</t>
  </si>
  <si>
    <t>دریافتنی های تجاری و سایر دریافتنی ها</t>
  </si>
  <si>
    <t>موجودی نقد</t>
  </si>
  <si>
    <t>جمع دارایی های جاری</t>
  </si>
  <si>
    <t>جمع دارایی ها</t>
  </si>
  <si>
    <t>حقوق مالکانه</t>
  </si>
  <si>
    <t>سرمایه</t>
  </si>
  <si>
    <t>اندوخته قانونی</t>
  </si>
  <si>
    <t>سود انباشته</t>
  </si>
  <si>
    <t>جمع حقوق مالکانه</t>
  </si>
  <si>
    <t>بدهی ها</t>
  </si>
  <si>
    <t>بدهی های غیرجاری</t>
  </si>
  <si>
    <t>پرداختنی های بلندمدت</t>
  </si>
  <si>
    <t>تسهیلات مالی بلندمدت</t>
  </si>
  <si>
    <t>ذخیره مزایای پایان خدمت کارکنان</t>
  </si>
  <si>
    <t>جمع بدهی های غیرجاری</t>
  </si>
  <si>
    <t>بدهی های جاری</t>
  </si>
  <si>
    <t>پرداختنی های تجاری و سایر پرداختنی ها</t>
  </si>
  <si>
    <t>مالیات پرداختنی</t>
  </si>
  <si>
    <t>تسهیلات مالی</t>
  </si>
  <si>
    <t>جمع بدهی های جاری</t>
  </si>
  <si>
    <t>جمع بدهی ها</t>
  </si>
  <si>
    <t>جمع حقوق مالکانه و بدهی ها</t>
  </si>
  <si>
    <t>1402/09/30</t>
  </si>
  <si>
    <t xml:space="preserve">                ترازنامه شرکت بیوسان فارمد</t>
  </si>
  <si>
    <t>شرکت های تابعه</t>
  </si>
  <si>
    <t>ارزش روز دارایی ها</t>
  </si>
  <si>
    <t>ارزش روز بدهی ها</t>
  </si>
  <si>
    <t>بیوسان فارمد</t>
  </si>
  <si>
    <t>شهرک صنعتی دارویی برکت</t>
  </si>
  <si>
    <t>گروه صنایع شفا فارمد</t>
  </si>
  <si>
    <t>خالص ارزش دارایی ها</t>
  </si>
  <si>
    <t>گروه دارویی سبحان</t>
  </si>
  <si>
    <t>پخش البرز</t>
  </si>
  <si>
    <t>سایر سهام بورسی</t>
  </si>
  <si>
    <t>سایر سهام غیربورسی</t>
  </si>
  <si>
    <t>زمین و ساختمان</t>
  </si>
  <si>
    <t>گروه سرمایه گذاری البرز</t>
  </si>
  <si>
    <t>ساختمان ویلا</t>
  </si>
  <si>
    <t>دارایی های ثابت</t>
  </si>
  <si>
    <t>زمین دماوند</t>
  </si>
  <si>
    <t>زمین شهرک صنعتی برکت</t>
  </si>
  <si>
    <t>درکه</t>
  </si>
  <si>
    <t>جاده فریمان مشهد</t>
  </si>
  <si>
    <t>جمع ارزش روز دارایی ها</t>
  </si>
  <si>
    <t>متراژ</t>
  </si>
  <si>
    <t>ارزش هر متر مربع</t>
  </si>
  <si>
    <t>ارزش جاری ( میلیون ریال)</t>
  </si>
  <si>
    <t>بهای تمام شده</t>
  </si>
  <si>
    <t>سرمایه گذاری های کوتاه مدت</t>
  </si>
  <si>
    <t>سایر دارایی ها</t>
  </si>
  <si>
    <t>سهام خزانه</t>
  </si>
  <si>
    <t>سایر اندوخته ها</t>
  </si>
  <si>
    <t>سود سهام پرداختنی</t>
  </si>
  <si>
    <t xml:space="preserve">                ترازنامه گروه دارویی برکت</t>
  </si>
  <si>
    <t>زمین شفا</t>
  </si>
  <si>
    <t>خالص افزایش در حساب دارایی های ثابت</t>
  </si>
  <si>
    <t>دریافتنی های غیرتجاری</t>
  </si>
  <si>
    <t>ذخیره تجدید ارزیابی دارایی ها</t>
  </si>
  <si>
    <t>خالص ارزش دارایی ها به ازای هر سهم</t>
  </si>
  <si>
    <t>نسبت قیمت به خالص ارزش دارایی ها</t>
  </si>
  <si>
    <t>ارزش هر سهم</t>
  </si>
  <si>
    <t>مازاد ارزش دارایی ها</t>
  </si>
  <si>
    <t>زمین های شفا فارمد</t>
  </si>
  <si>
    <t>زمین بیوسان فارمد</t>
  </si>
  <si>
    <t>زمین کردان</t>
  </si>
  <si>
    <t>گروه دارويي سبحان</t>
  </si>
  <si>
    <t>ايران دارو</t>
  </si>
  <si>
    <t>البرز دارو</t>
  </si>
  <si>
    <t>لابراتوارهاي داروئي رازک</t>
  </si>
  <si>
    <t>سبحان دارو</t>
  </si>
  <si>
    <t>دارو سازي توليد دارو</t>
  </si>
  <si>
    <t>سرمايه گذاري اعتلا البرز</t>
  </si>
  <si>
    <t>کي بي سي</t>
  </si>
  <si>
    <t>توليد مواد اوليه دارويي البرز بالک</t>
  </si>
  <si>
    <t>داروسازي سبحان آنکولوژي</t>
  </si>
  <si>
    <t>گروه دارويي برکت</t>
  </si>
  <si>
    <t>نام شرکت</t>
  </si>
  <si>
    <t>EPS(ttm)</t>
  </si>
  <si>
    <t>P/E صنعت</t>
  </si>
  <si>
    <t>جمع کل ارزش برآوردی سهام بورسی والبر</t>
  </si>
  <si>
    <t>قیمت تابلو به ارزش سهام والبر</t>
  </si>
  <si>
    <t>تولید دارو</t>
  </si>
  <si>
    <t>بورسی</t>
  </si>
  <si>
    <t>غیر بورسی</t>
  </si>
  <si>
    <t>ارزش بازار والبر</t>
  </si>
  <si>
    <t>مبلغ سود(زیان)</t>
  </si>
  <si>
    <t>ارزش برآوردی شرکت</t>
  </si>
  <si>
    <t>سهم از ارزش روز دارایی</t>
  </si>
  <si>
    <t>ارزش روز دارایی</t>
  </si>
  <si>
    <t>در بورس اوراق بهادار تهران</t>
  </si>
  <si>
    <t>قیمت والبر به ارزش تابلو پرتفو</t>
  </si>
  <si>
    <t>گروه داروئی برکت</t>
  </si>
  <si>
    <t>P/E صنعت دارویی</t>
  </si>
  <si>
    <t>P/E صنعت سرمایه گذاری</t>
  </si>
  <si>
    <t>در جدول فوق به برآورد حدودی ارزش شرکت های زیرمجموعه سرمایه گذاری البرز روی آورده ایم. در این جدول مطابق روش های ارزشگذاری نسبی، به آخرین سود شرکت های پرتفوی سرمایه گذاری البرز ضریب P/E حدودا 6.3 واحدی برای سرمایه گذاری ها و 9 برای دارویی ها اختصاص داده ایم. این عدد بر مبنای ضریب فوق برای صنعت دارو برگرفته از سامانه بورس ویو اعمال شده است. با توجه به زیانده بودن برخی شرکت های گروه، ارزش آنها در این بخش صفر درنظر گرفته شده است. لذا بطور کلی ارزش برآوردی سهام والبر را 7.4 همت محاسبه نموده ایم. با توجه به ارزش بازار 5.4 همتی سرمایه گذاری البرز در تاریخ 11 شهریور 1403، نسبت ارزش تابلو به ارزش محاسبه شده را برابر 73 درصد تخمین زده ایم. با توجه به ضریب بدست آمده، ما در برآورد خود برای ارزش خالص دارایی های نماد برکت، از ارزش بازار والبر استفاده نموده ایم. همچنین  در ستونی دیگر از جدول ارزش روز تابلو دارایی های بورسی والبر را آورده ایم که با توجه به درصد مالکیت والبر در هر شرکت، در نهایت جمع ارزش تابلو پرتفوی والبر برابر 7 همت بدست آمد. با توجه به ارزش بازار والبر میتوان گفت قیمت والبر به ارزش تابلو پرتفوی آن در محدوده 78 درصد می باشد.</t>
  </si>
  <si>
    <t>ارزش برآوردی سهام بر اساس</t>
  </si>
  <si>
    <t>1403/12/29</t>
  </si>
  <si>
    <t>سهم</t>
  </si>
  <si>
    <t>ارزش بازار</t>
  </si>
  <si>
    <t>قیمت</t>
  </si>
  <si>
    <t>والبر</t>
  </si>
  <si>
    <t>سرمایه‌ گذاری‌ البرز(هلدینگ‌</t>
  </si>
  <si>
    <t>واتی</t>
  </si>
  <si>
    <t>سرمایه‌ گذاری‌ آتیه‌ دماوند</t>
  </si>
  <si>
    <t>پردیس</t>
  </si>
  <si>
    <t>سرمایه گذاری پردیس</t>
  </si>
  <si>
    <t>وبوعلی</t>
  </si>
  <si>
    <t>سرمایه‌گذاری‌بوعلی‌</t>
  </si>
  <si>
    <t>وبانک</t>
  </si>
  <si>
    <t>سرمایه گذاری گروه توسعه ملی</t>
  </si>
  <si>
    <t>خبهمن</t>
  </si>
  <si>
    <t>گروه‌بهمن‌</t>
  </si>
  <si>
    <t>وبیمه</t>
  </si>
  <si>
    <t>سرمایه‌ گذاری‌ صنعت‌ بیمه‌</t>
  </si>
  <si>
    <t>وپخش</t>
  </si>
  <si>
    <t>داروپخش‌ (هلدینگ‌</t>
  </si>
  <si>
    <t>دسبحا</t>
  </si>
  <si>
    <t>وصنا</t>
  </si>
  <si>
    <t>گروه‌صنایع‌بهشهرایران‌</t>
  </si>
  <si>
    <t>وغدیر</t>
  </si>
  <si>
    <t>سرمایه‌گذاری‌غدیر(هلدینگ‌</t>
  </si>
  <si>
    <t>ختوقا</t>
  </si>
  <si>
    <t>قطعات‌ اتومبیل‌ ایران‌</t>
  </si>
  <si>
    <t>وملی</t>
  </si>
  <si>
    <t>گروه‌ صنعتی‌ ملی‌ (هلدینگ‌</t>
  </si>
  <si>
    <t>خگستر</t>
  </si>
  <si>
    <t>گسترش‌سرمایه‌گذاری‌ایران‌خودرو</t>
  </si>
  <si>
    <t>واعتبار</t>
  </si>
  <si>
    <t>سرمایه گذاری اعتبار ایران</t>
  </si>
  <si>
    <t>وخارزم</t>
  </si>
  <si>
    <t>سرمایه گذاری خوارزمی</t>
  </si>
  <si>
    <t>حکشتی</t>
  </si>
  <si>
    <t>کشتیرانی جمهوری اسلامی ایران</t>
  </si>
  <si>
    <t>ومعادن</t>
  </si>
  <si>
    <t>توسعه‌معادن‌وفلزات‌</t>
  </si>
  <si>
    <t>ثمسکن</t>
  </si>
  <si>
    <t>سرمایه‌گذاری‌ مسکن‌</t>
  </si>
  <si>
    <t>ونفت</t>
  </si>
  <si>
    <t>سرمایه‌گذاری‌ صنعت‌ نفت‌</t>
  </si>
  <si>
    <t>ونیکی</t>
  </si>
  <si>
    <t>سرمایه‌گذاری‌ ملی‌ایران‌</t>
  </si>
  <si>
    <t>وامید</t>
  </si>
  <si>
    <t>گروه مدیریت سرمایه گذاری امید</t>
  </si>
  <si>
    <t>پارسان</t>
  </si>
  <si>
    <t>گسترش نفت و گاز پارسیان</t>
  </si>
  <si>
    <t>وپترو</t>
  </si>
  <si>
    <t>سرمایه‌گذاری صنایع پتروشیمی‌</t>
  </si>
  <si>
    <t>تپمپی</t>
  </si>
  <si>
    <t>پمپ‌ سازی‌ ایران‌</t>
  </si>
  <si>
    <t>فارس</t>
  </si>
  <si>
    <t>صنایع پتروشیمی خلیج فارس</t>
  </si>
  <si>
    <t>تاپیکو</t>
  </si>
  <si>
    <t>س. نفت و گاز و پتروشیمی تامین</t>
  </si>
  <si>
    <t>ورنا</t>
  </si>
  <si>
    <t>سرمایه‌گذاری‌ رنا(هلدینگ‌</t>
  </si>
  <si>
    <t>کروی</t>
  </si>
  <si>
    <t>توسعه‌ معادن‌ روی‌ ایران‌</t>
  </si>
  <si>
    <t>ثشاهد</t>
  </si>
  <si>
    <t>سرمایه‌ گذاری‌ شاهد</t>
  </si>
  <si>
    <t>وساخت</t>
  </si>
  <si>
    <t>سرمایه‌ گذاری‌ ساختمان‌ایران‌</t>
  </si>
  <si>
    <t>وصندوق</t>
  </si>
  <si>
    <t>سرمایه‌گذاری‌صندوق‌بازنشستگی‌</t>
  </si>
  <si>
    <t>وبهمن</t>
  </si>
  <si>
    <t>سرمایه‌گذاری‌بهمن‌</t>
  </si>
  <si>
    <t>سفارس</t>
  </si>
  <si>
    <t>سیمان فارس و خوزستان</t>
  </si>
  <si>
    <t>وسکاب</t>
  </si>
  <si>
    <t>س.ص.بازنشستگی کارکنان بانکها</t>
  </si>
  <si>
    <t>ونیرو</t>
  </si>
  <si>
    <t>سرمایه‌گذاری‌نیرو</t>
  </si>
  <si>
    <t>وسپه</t>
  </si>
  <si>
    <t>سرمایه‌گذاری‌ سپه‌</t>
  </si>
  <si>
    <t>وساپا</t>
  </si>
  <si>
    <t>سرمایه‌گذاری‌ سایپا</t>
  </si>
  <si>
    <t>وتوسم</t>
  </si>
  <si>
    <t>سرمایه‌گذاری‌توسعه‌ملی‌</t>
  </si>
  <si>
    <t>وتوکا</t>
  </si>
  <si>
    <t>سرمایه‌گذاری‌توکافولاد(هلدینگ</t>
  </si>
  <si>
    <t>وبشهر</t>
  </si>
  <si>
    <t>توسعه‌ صنایع‌ بهشهر(هلدینگ</t>
  </si>
  <si>
    <t>وتوشه</t>
  </si>
  <si>
    <t>سرمایه‌ گذاری‌ پارس‌ توشه‌</t>
  </si>
  <si>
    <t>تیپیکو</t>
  </si>
  <si>
    <t>سرمایه گذاری دارویی تامین</t>
  </si>
  <si>
    <t>سیدکو</t>
  </si>
  <si>
    <t>سرمایه گذاری توسعه صنایع سیمان</t>
  </si>
  <si>
    <t>پترول</t>
  </si>
  <si>
    <t>گ.س.وت.ص.پتروشیمی خلیج فارس</t>
  </si>
  <si>
    <t>برکت</t>
  </si>
  <si>
    <t>گروه دارویی برکت</t>
  </si>
  <si>
    <t>شفا</t>
  </si>
  <si>
    <t>سرمایه گذاری شفادارو</t>
  </si>
  <si>
    <t>شوینده</t>
  </si>
  <si>
    <t>مدیریت صنعت شوینده ت.ص.بهشهر</t>
  </si>
  <si>
    <t>تاصیکو</t>
  </si>
  <si>
    <t>سرمایه گذاری صدرتامین</t>
  </si>
  <si>
    <t>زکوثر</t>
  </si>
  <si>
    <t>سرمایه گذاری کشاورزی کوثر</t>
  </si>
  <si>
    <t>شستا</t>
  </si>
  <si>
    <t>سرمایه گذاری تامین اجتماعی</t>
  </si>
  <si>
    <t>سیتا</t>
  </si>
  <si>
    <t>سرمایه گذاری سیمان تامین</t>
  </si>
  <si>
    <t>ومدیر</t>
  </si>
  <si>
    <t>گ.مدیریت ارزش سرمایه ص ب کشوری</t>
  </si>
  <si>
    <t>میدکو</t>
  </si>
  <si>
    <t>توسعه معادن وص.معدنی خاورمیانه</t>
  </si>
  <si>
    <t>وکغدیر</t>
  </si>
  <si>
    <t>بین المللی توسعه ص. معادن غدیر</t>
  </si>
  <si>
    <t>ومهان</t>
  </si>
  <si>
    <t>گروه توسعه مالی مهرآیندگان</t>
  </si>
  <si>
    <t>داتام</t>
  </si>
  <si>
    <t>گروه مالی داتام</t>
  </si>
  <si>
    <t>صبا</t>
  </si>
  <si>
    <t>گروه مالی صبا تامین</t>
  </si>
  <si>
    <t>سدبیر</t>
  </si>
  <si>
    <t>س. تدبیرگران فارس وخوزستان</t>
  </si>
  <si>
    <t>سمگا</t>
  </si>
  <si>
    <t>گروه سرمایه گذاری میراث فرهنگی</t>
  </si>
  <si>
    <t>کرمان</t>
  </si>
  <si>
    <t>س. توسعه و عمران استان کرمان</t>
  </si>
  <si>
    <t>اعتلا</t>
  </si>
  <si>
    <t>شرکت سرمایه گذاری اعتلاء البرز</t>
  </si>
  <si>
    <t>وهور</t>
  </si>
  <si>
    <t>مدیریت انرژی امید  تابان هور</t>
  </si>
  <si>
    <t>گوهران</t>
  </si>
  <si>
    <t>سرمایه گذاری توسعه گوهران امید</t>
  </si>
  <si>
    <t>وپویا</t>
  </si>
  <si>
    <t>سرمایه گذاری پویا</t>
  </si>
  <si>
    <t>سرچشمه</t>
  </si>
  <si>
    <t>سرمایه گذاری مس سرچشمه</t>
  </si>
  <si>
    <t>وآوا</t>
  </si>
  <si>
    <t>سرمایه گذاری آوا نوین</t>
  </si>
  <si>
    <t>وکبهمن</t>
  </si>
  <si>
    <t>مدیریت سرمایه گذاری کوثربهمن</t>
  </si>
  <si>
    <t>وسپهر</t>
  </si>
  <si>
    <t>سرمایه گذاری مالی سپهرصادرات</t>
  </si>
  <si>
    <t>سغدیر</t>
  </si>
  <si>
    <t>توسعه سرمایه و صنعت غدیر</t>
  </si>
  <si>
    <t>مدیریت</t>
  </si>
  <si>
    <t>س. و خدمات مدیریت صند. ب کشوری</t>
  </si>
  <si>
    <t>وهامون</t>
  </si>
  <si>
    <t>سرمایه گذاری هامون صبا</t>
  </si>
  <si>
    <t>والماس</t>
  </si>
  <si>
    <t>س. الماس حکمت ایرانیان</t>
  </si>
  <si>
    <t>ومشان</t>
  </si>
  <si>
    <t>س. فنی و مهندسی مشانیر</t>
  </si>
  <si>
    <t>وکادو</t>
  </si>
  <si>
    <t>تکادو</t>
  </si>
  <si>
    <t>خودکفا</t>
  </si>
  <si>
    <t>اقتصادی و خودکفایی آزادگان</t>
  </si>
  <si>
    <t>DPS</t>
  </si>
  <si>
    <t>EPS</t>
  </si>
  <si>
    <t>P/nav</t>
  </si>
  <si>
    <t>D/P</t>
  </si>
  <si>
    <t>EPS (ttm)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</si>
</sst>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Red]\(#,##0.0\)"/>
    <numFmt numFmtId="165" formatCode="0.0%"/>
  </numFmts>
  <fonts count="17" x14ac:knownFonts="1">
    <font>
      <sz val="11"/>
      <color theme="1"/>
      <name val="Calibri"/>
      <family val="2"/>
      <scheme val="minor"/>
    </font>
    <font>
      <sz val="12"/>
      <color theme="1"/>
      <name val="B Nazanin"/>
      <charset val="178"/>
    </font>
    <font>
      <b/>
      <sz val="12"/>
      <color theme="1"/>
      <name val="B Nazanin"/>
      <charset val="178"/>
    </font>
    <font>
      <sz val="12"/>
      <color theme="1" tint="0.499984740745262"/>
      <name val="B Nazanin"/>
      <charset val="178"/>
    </font>
    <font>
      <sz val="11"/>
      <color theme="1"/>
      <name val="Calibri"/>
      <family val="2"/>
      <scheme val="minor"/>
    </font>
    <font>
      <sz val="12"/>
      <color rgb="FFFF0000"/>
      <name val="B Nazanin"/>
      <charset val="178"/>
    </font>
    <font>
      <sz val="11"/>
      <color theme="1"/>
      <name val="B Nazanin"/>
      <charset val="178"/>
    </font>
    <font>
      <sz val="9"/>
      <color indexed="81"/>
      <name val="Tahoma"/>
      <family val="2"/>
    </font>
    <font>
      <b/>
      <sz val="9"/>
      <color indexed="81"/>
      <name val="Tahoma"/>
      <family val="2"/>
    </font>
    <font>
      <b/>
      <sz val="11"/>
      <color theme="1"/>
      <name val="B Nazanin"/>
      <charset val="178"/>
    </font>
    <font>
      <sz val="11"/>
      <color theme="1" tint="0.499984740745262"/>
      <name val="B Nazanin"/>
      <charset val="178"/>
    </font>
    <font>
      <sz val="11"/>
      <color theme="1" tint="0.34998626667073579"/>
      <name val="B Nazanin"/>
      <charset val="178"/>
    </font>
    <font>
      <sz val="12"/>
      <color theme="1" tint="0.249977111117893"/>
      <name val="B Nazanin"/>
      <charset val="178"/>
    </font>
    <font>
      <sz val="11"/>
      <color theme="1" tint="0.249977111117893"/>
      <name val="B Nazanin"/>
      <charset val="178"/>
    </font>
    <font>
      <b/>
      <sz val="12"/>
      <color theme="1" tint="0.249977111117893"/>
      <name val="B Nazanin"/>
      <charset val="178"/>
    </font>
    <font>
      <b/>
      <sz val="11"/>
      <color theme="1" tint="0.249977111117893"/>
      <name val="B Nazanin"/>
      <charset val="178"/>
    </font>
    <font>
      <b/>
      <sz val="11"/>
      <color theme="1" tint="0.499984740745262"/>
      <name val="B Nazanin"/>
      <charset val="178"/>
    </font>
  </fonts>
  <fills count="8">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right/>
      <top style="thin">
        <color indexed="64"/>
      </top>
      <bottom style="medium">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146">
    <xf numFmtId="0" fontId="0" fillId="0" borderId="0" xfId="0"/>
    <xf numFmtId="0" fontId="1" fillId="0" borderId="0" xfId="0" applyFont="1"/>
    <xf numFmtId="0" fontId="1" fillId="0" borderId="0" xfId="0" applyFont="1" applyAlignment="1">
      <alignment horizontal="center" vertical="center"/>
    </xf>
    <xf numFmtId="0" fontId="2" fillId="0" borderId="0" xfId="0" applyFont="1" applyAlignment="1">
      <alignment horizontal="right" vertical="center"/>
    </xf>
    <xf numFmtId="0" fontId="2" fillId="2" borderId="1" xfId="0" applyFont="1" applyFill="1" applyBorder="1" applyAlignment="1">
      <alignment horizontal="right" vertical="center"/>
    </xf>
    <xf numFmtId="3" fontId="2" fillId="0" borderId="2" xfId="0" applyNumberFormat="1" applyFont="1" applyBorder="1" applyAlignment="1">
      <alignment horizontal="center" vertical="center"/>
    </xf>
    <xf numFmtId="3" fontId="3" fillId="0" borderId="0" xfId="0" applyNumberFormat="1" applyFont="1" applyAlignment="1">
      <alignment horizontal="center" vertical="center"/>
    </xf>
    <xf numFmtId="3" fontId="1" fillId="0" borderId="0" xfId="0" applyNumberFormat="1" applyFont="1" applyAlignment="1">
      <alignment horizontal="center" vertical="center"/>
    </xf>
    <xf numFmtId="0" fontId="2" fillId="0" borderId="3" xfId="0" applyFont="1" applyBorder="1" applyAlignment="1">
      <alignment horizontal="right" vertical="center"/>
    </xf>
    <xf numFmtId="3" fontId="2" fillId="0" borderId="3" xfId="0" applyNumberFormat="1" applyFont="1" applyBorder="1" applyAlignment="1">
      <alignment horizontal="center" vertical="center"/>
    </xf>
    <xf numFmtId="0" fontId="2" fillId="4" borderId="1" xfId="0" applyFont="1" applyFill="1" applyBorder="1" applyAlignment="1">
      <alignment horizontal="right"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3" fontId="1" fillId="0" borderId="3" xfId="0" applyNumberFormat="1" applyFont="1" applyBorder="1" applyAlignment="1">
      <alignment horizontal="center" vertical="center"/>
    </xf>
    <xf numFmtId="0" fontId="2" fillId="6" borderId="4" xfId="0" applyFont="1" applyFill="1" applyBorder="1" applyAlignment="1">
      <alignment horizontal="right" vertical="center"/>
    </xf>
    <xf numFmtId="3" fontId="1" fillId="6" borderId="4" xfId="0" applyNumberFormat="1" applyFont="1" applyFill="1" applyBorder="1" applyAlignment="1">
      <alignment horizontal="center" vertical="center"/>
    </xf>
    <xf numFmtId="3" fontId="1" fillId="7" borderId="4" xfId="0" applyNumberFormat="1" applyFont="1" applyFill="1" applyBorder="1" applyAlignment="1">
      <alignment horizontal="center" vertical="center"/>
    </xf>
    <xf numFmtId="4" fontId="1" fillId="0" borderId="0" xfId="0" applyNumberFormat="1" applyFont="1" applyAlignment="1">
      <alignment horizontal="center" vertical="center"/>
    </xf>
    <xf numFmtId="0" fontId="6" fillId="0" borderId="0" xfId="0" applyFont="1" applyAlignment="1">
      <alignment horizontal="center" vertical="center"/>
    </xf>
    <xf numFmtId="3" fontId="6" fillId="0" borderId="0" xfId="0" applyNumberFormat="1" applyFont="1" applyAlignment="1">
      <alignment horizontal="center" vertical="center"/>
    </xf>
    <xf numFmtId="9" fontId="6" fillId="0" borderId="0" xfId="0" applyNumberFormat="1" applyFont="1" applyAlignment="1">
      <alignment horizontal="center" vertical="center"/>
    </xf>
    <xf numFmtId="0" fontId="6" fillId="0" borderId="0" xfId="0" applyFont="1" applyAlignment="1">
      <alignment horizontal="right" vertical="center"/>
    </xf>
    <xf numFmtId="4" fontId="1" fillId="0" borderId="5" xfId="0" applyNumberFormat="1" applyFont="1" applyBorder="1" applyAlignment="1">
      <alignment horizontal="center" vertical="center"/>
    </xf>
    <xf numFmtId="4" fontId="1" fillId="0" borderId="2" xfId="0" applyNumberFormat="1" applyFont="1" applyBorder="1" applyAlignment="1">
      <alignment horizontal="center" vertical="center"/>
    </xf>
    <xf numFmtId="4" fontId="1" fillId="0" borderId="5" xfId="0" applyNumberFormat="1" applyFont="1" applyBorder="1" applyAlignment="1">
      <alignment horizontal="right" vertical="center"/>
    </xf>
    <xf numFmtId="4" fontId="1" fillId="0" borderId="2" xfId="0" applyNumberFormat="1" applyFont="1" applyBorder="1" applyAlignment="1">
      <alignment horizontal="right" vertical="center"/>
    </xf>
    <xf numFmtId="0" fontId="1" fillId="0" borderId="0" xfId="0" applyFont="1" applyAlignment="1">
      <alignment horizontal="right" vertical="center"/>
    </xf>
    <xf numFmtId="0" fontId="5" fillId="0" borderId="0" xfId="0" applyFont="1" applyAlignment="1">
      <alignment horizontal="right" vertical="center"/>
    </xf>
    <xf numFmtId="0" fontId="1" fillId="0" borderId="2" xfId="0" applyFont="1" applyBorder="1" applyAlignment="1">
      <alignment horizontal="center" vertical="center"/>
    </xf>
    <xf numFmtId="0" fontId="1" fillId="0" borderId="2" xfId="0" applyFont="1" applyBorder="1" applyAlignment="1">
      <alignment horizontal="right" vertical="center"/>
    </xf>
    <xf numFmtId="3" fontId="1" fillId="0" borderId="2" xfId="0" applyNumberFormat="1" applyFont="1" applyBorder="1" applyAlignment="1">
      <alignment horizontal="center" vertical="center"/>
    </xf>
    <xf numFmtId="9" fontId="1" fillId="0" borderId="0" xfId="1" applyFont="1" applyAlignment="1">
      <alignment horizontal="center" vertical="center"/>
    </xf>
    <xf numFmtId="9" fontId="1" fillId="0" borderId="0" xfId="0" applyNumberFormat="1" applyFont="1" applyAlignment="1">
      <alignment horizontal="center" vertical="center"/>
    </xf>
    <xf numFmtId="0" fontId="2" fillId="0" borderId="5" xfId="0" applyFont="1" applyBorder="1" applyAlignment="1">
      <alignment horizontal="right"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right" vertical="center"/>
    </xf>
    <xf numFmtId="3" fontId="1" fillId="0" borderId="0" xfId="0" applyNumberFormat="1" applyFont="1" applyAlignment="1">
      <alignment horizontal="right" vertical="center"/>
    </xf>
    <xf numFmtId="0" fontId="1" fillId="0" borderId="3" xfId="0" applyFont="1" applyBorder="1" applyAlignment="1">
      <alignment horizontal="right" vertical="center"/>
    </xf>
    <xf numFmtId="4" fontId="6" fillId="0" borderId="0" xfId="0" applyNumberFormat="1" applyFont="1" applyAlignment="1">
      <alignment horizontal="center" vertical="center"/>
    </xf>
    <xf numFmtId="0" fontId="9" fillId="0" borderId="0" xfId="0" applyFont="1" applyAlignment="1">
      <alignment horizontal="right" vertical="center"/>
    </xf>
    <xf numFmtId="3" fontId="9" fillId="0" borderId="0" xfId="0" applyNumberFormat="1" applyFont="1" applyAlignment="1">
      <alignment horizontal="center" vertical="center"/>
    </xf>
    <xf numFmtId="0" fontId="9" fillId="0" borderId="2" xfId="0" applyFont="1" applyBorder="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2" xfId="0" applyNumberFormat="1" applyFont="1" applyBorder="1" applyAlignment="1">
      <alignment horizontal="center" vertical="center"/>
    </xf>
    <xf numFmtId="0" fontId="11" fillId="0" borderId="0" xfId="0" applyFont="1" applyAlignment="1">
      <alignment horizontal="right" vertical="center"/>
    </xf>
    <xf numFmtId="0" fontId="11" fillId="0" borderId="2" xfId="0" applyFont="1" applyBorder="1" applyAlignment="1">
      <alignment horizontal="right" vertical="center"/>
    </xf>
    <xf numFmtId="3" fontId="3" fillId="0" borderId="2" xfId="0" applyNumberFormat="1" applyFont="1" applyBorder="1" applyAlignment="1">
      <alignment horizontal="center" vertical="center"/>
    </xf>
    <xf numFmtId="38" fontId="1" fillId="0" borderId="0" xfId="0" applyNumberFormat="1" applyFont="1" applyAlignment="1">
      <alignment horizontal="center" vertical="center"/>
    </xf>
    <xf numFmtId="0" fontId="6" fillId="0" borderId="0" xfId="0" applyFont="1"/>
    <xf numFmtId="0" fontId="2" fillId="0" borderId="2" xfId="0" applyFont="1" applyBorder="1"/>
    <xf numFmtId="0" fontId="1" fillId="0" borderId="2" xfId="0" applyFont="1" applyBorder="1"/>
    <xf numFmtId="0" fontId="6" fillId="0" borderId="6" xfId="0" applyFont="1" applyBorder="1"/>
    <xf numFmtId="0" fontId="6" fillId="0" borderId="7" xfId="0" applyFont="1" applyBorder="1"/>
    <xf numFmtId="0" fontId="1" fillId="0" borderId="7" xfId="0" applyFont="1" applyBorder="1"/>
    <xf numFmtId="3" fontId="1" fillId="0" borderId="7" xfId="0" applyNumberFormat="1" applyFont="1" applyBorder="1" applyAlignment="1">
      <alignment horizontal="center" vertical="center"/>
    </xf>
    <xf numFmtId="0" fontId="6" fillId="0" borderId="8" xfId="0" applyFont="1" applyBorder="1"/>
    <xf numFmtId="0" fontId="6" fillId="0" borderId="9" xfId="0" applyFont="1" applyBorder="1"/>
    <xf numFmtId="3" fontId="2" fillId="0" borderId="0" xfId="0" applyNumberFormat="1" applyFont="1" applyAlignment="1">
      <alignment horizontal="center" vertical="center"/>
    </xf>
    <xf numFmtId="3" fontId="9" fillId="0" borderId="10" xfId="0" applyNumberFormat="1" applyFont="1" applyBorder="1" applyAlignment="1">
      <alignment horizontal="center" vertical="center"/>
    </xf>
    <xf numFmtId="0" fontId="6" fillId="0" borderId="10" xfId="0" applyFont="1" applyBorder="1"/>
    <xf numFmtId="0" fontId="12" fillId="0" borderId="0" xfId="0" applyFont="1"/>
    <xf numFmtId="0" fontId="2" fillId="0" borderId="0" xfId="0" applyFont="1"/>
    <xf numFmtId="0" fontId="6" fillId="0" borderId="11" xfId="0" applyFont="1" applyBorder="1"/>
    <xf numFmtId="0" fontId="6" fillId="0" borderId="3" xfId="0" applyFont="1" applyBorder="1"/>
    <xf numFmtId="0" fontId="1" fillId="0" borderId="3" xfId="0" applyFont="1" applyBorder="1"/>
    <xf numFmtId="0" fontId="6" fillId="0" borderId="12" xfId="0" applyFont="1" applyBorder="1"/>
    <xf numFmtId="0" fontId="6" fillId="0" borderId="4" xfId="0" applyFont="1" applyBorder="1" applyAlignment="1">
      <alignment horizontal="center" vertical="center"/>
    </xf>
    <xf numFmtId="0" fontId="6" fillId="0" borderId="2" xfId="0" applyFont="1" applyBorder="1"/>
    <xf numFmtId="0" fontId="6" fillId="0" borderId="2" xfId="0" applyFont="1" applyBorder="1" applyAlignment="1">
      <alignment horizontal="center" vertical="center"/>
    </xf>
    <xf numFmtId="3" fontId="6" fillId="0" borderId="2" xfId="0" applyNumberFormat="1" applyFont="1" applyBorder="1" applyAlignment="1">
      <alignment horizontal="center" vertical="center"/>
    </xf>
    <xf numFmtId="3" fontId="1" fillId="0" borderId="5" xfId="0" applyNumberFormat="1" applyFont="1" applyBorder="1" applyAlignment="1">
      <alignment horizontal="center" vertical="center"/>
    </xf>
    <xf numFmtId="9" fontId="2" fillId="0" borderId="2" xfId="1" applyFont="1" applyBorder="1" applyAlignment="1">
      <alignment horizontal="center" vertical="center"/>
    </xf>
    <xf numFmtId="0" fontId="2" fillId="0" borderId="5" xfId="0" applyFont="1" applyBorder="1"/>
    <xf numFmtId="0" fontId="9" fillId="0" borderId="2" xfId="0" applyFont="1" applyBorder="1"/>
    <xf numFmtId="0" fontId="9" fillId="0" borderId="0" xfId="0" applyFont="1"/>
    <xf numFmtId="3" fontId="13" fillId="0" borderId="0" xfId="0" applyNumberFormat="1" applyFont="1" applyAlignment="1">
      <alignment horizontal="center" vertical="center"/>
    </xf>
    <xf numFmtId="3" fontId="13" fillId="0" borderId="2" xfId="0" applyNumberFormat="1" applyFont="1" applyBorder="1" applyAlignment="1">
      <alignment horizontal="center" vertical="center"/>
    </xf>
    <xf numFmtId="0" fontId="10" fillId="0" borderId="0" xfId="0" applyFont="1" applyAlignment="1">
      <alignment horizontal="center" vertical="center"/>
    </xf>
    <xf numFmtId="38" fontId="3" fillId="0" borderId="0" xfId="0" applyNumberFormat="1" applyFont="1" applyAlignment="1">
      <alignment horizontal="center" vertical="center"/>
    </xf>
    <xf numFmtId="38" fontId="2" fillId="0" borderId="2" xfId="0" applyNumberFormat="1" applyFont="1" applyBorder="1" applyAlignment="1">
      <alignment horizontal="center" vertical="center"/>
    </xf>
    <xf numFmtId="38" fontId="2" fillId="0" borderId="3" xfId="0" applyNumberFormat="1" applyFont="1" applyBorder="1" applyAlignment="1">
      <alignment horizontal="center" vertical="center"/>
    </xf>
    <xf numFmtId="0" fontId="1" fillId="0" borderId="0" xfId="0" applyFont="1" applyAlignment="1">
      <alignment horizontal="center"/>
    </xf>
    <xf numFmtId="3" fontId="1" fillId="0" borderId="0" xfId="0" applyNumberFormat="1" applyFont="1" applyAlignment="1">
      <alignment horizontal="center"/>
    </xf>
    <xf numFmtId="38" fontId="3" fillId="0" borderId="0" xfId="0" applyNumberFormat="1" applyFont="1" applyAlignment="1">
      <alignment horizontal="center"/>
    </xf>
    <xf numFmtId="164" fontId="3" fillId="0" borderId="0" xfId="0" applyNumberFormat="1" applyFont="1" applyAlignment="1">
      <alignment horizontal="center"/>
    </xf>
    <xf numFmtId="38" fontId="3" fillId="0" borderId="3" xfId="0" applyNumberFormat="1" applyFont="1" applyBorder="1" applyAlignment="1">
      <alignment horizontal="center" vertical="center"/>
    </xf>
    <xf numFmtId="38" fontId="3" fillId="0" borderId="3" xfId="0" applyNumberFormat="1" applyFont="1" applyBorder="1" applyAlignment="1">
      <alignment horizontal="center"/>
    </xf>
    <xf numFmtId="164" fontId="3" fillId="0" borderId="3" xfId="0" applyNumberFormat="1" applyFont="1" applyBorder="1" applyAlignment="1">
      <alignment horizontal="center"/>
    </xf>
    <xf numFmtId="0" fontId="12" fillId="0" borderId="3" xfId="0" applyFont="1" applyBorder="1"/>
    <xf numFmtId="0" fontId="14" fillId="0" borderId="1" xfId="0" applyFont="1" applyBorder="1" applyAlignment="1">
      <alignment horizontal="center" readingOrder="2"/>
    </xf>
    <xf numFmtId="0" fontId="12" fillId="0" borderId="2" xfId="0" applyFont="1" applyBorder="1"/>
    <xf numFmtId="38" fontId="3" fillId="0" borderId="2" xfId="0" applyNumberFormat="1" applyFont="1" applyBorder="1" applyAlignment="1">
      <alignment horizontal="center" vertical="center"/>
    </xf>
    <xf numFmtId="38" fontId="3" fillId="0" borderId="2" xfId="0" applyNumberFormat="1" applyFont="1" applyBorder="1" applyAlignment="1">
      <alignment horizontal="center"/>
    </xf>
    <xf numFmtId="164" fontId="3" fillId="0" borderId="2" xfId="0" applyNumberFormat="1" applyFont="1" applyBorder="1" applyAlignment="1">
      <alignment horizontal="center"/>
    </xf>
    <xf numFmtId="9" fontId="1" fillId="0" borderId="2" xfId="1" applyFont="1" applyBorder="1" applyAlignment="1">
      <alignment horizontal="center"/>
    </xf>
    <xf numFmtId="165" fontId="3" fillId="0" borderId="0" xfId="1" applyNumberFormat="1" applyFont="1" applyBorder="1" applyAlignment="1">
      <alignment horizontal="center" vertical="center"/>
    </xf>
    <xf numFmtId="165" fontId="3" fillId="0" borderId="2" xfId="1" applyNumberFormat="1" applyFont="1" applyBorder="1" applyAlignment="1">
      <alignment horizontal="center" vertical="center"/>
    </xf>
    <xf numFmtId="165" fontId="3" fillId="0" borderId="3" xfId="1" applyNumberFormat="1" applyFont="1" applyBorder="1" applyAlignment="1">
      <alignment horizontal="center" vertical="center"/>
    </xf>
    <xf numFmtId="0" fontId="14" fillId="0" borderId="3" xfId="0" applyFont="1" applyBorder="1"/>
    <xf numFmtId="0" fontId="14" fillId="0" borderId="3" xfId="0" applyFont="1" applyBorder="1" applyAlignment="1">
      <alignment horizontal="center" vertical="center" readingOrder="2"/>
    </xf>
    <xf numFmtId="0" fontId="14" fillId="0" borderId="3" xfId="0" applyFont="1" applyBorder="1" applyAlignment="1">
      <alignment horizontal="center" readingOrder="2"/>
    </xf>
    <xf numFmtId="38" fontId="12" fillId="0" borderId="0" xfId="0" applyNumberFormat="1" applyFont="1" applyAlignment="1">
      <alignment horizontal="center"/>
    </xf>
    <xf numFmtId="38" fontId="12" fillId="0" borderId="2" xfId="0" applyNumberFormat="1" applyFont="1" applyBorder="1" applyAlignment="1">
      <alignment horizontal="center"/>
    </xf>
    <xf numFmtId="38" fontId="12" fillId="0" borderId="3" xfId="0" applyNumberFormat="1" applyFont="1" applyBorder="1" applyAlignment="1">
      <alignment horizontal="center"/>
    </xf>
    <xf numFmtId="0" fontId="14" fillId="0" borderId="0" xfId="0" applyFont="1" applyAlignment="1">
      <alignment horizontal="center" readingOrder="2"/>
    </xf>
    <xf numFmtId="9" fontId="1" fillId="0" borderId="0" xfId="1" applyFont="1" applyBorder="1" applyAlignment="1">
      <alignment horizontal="center"/>
    </xf>
    <xf numFmtId="0" fontId="1" fillId="0" borderId="0" xfId="0" applyFont="1" applyAlignment="1">
      <alignment vertical="center" wrapText="1"/>
    </xf>
    <xf numFmtId="164" fontId="3" fillId="0" borderId="2" xfId="0" applyNumberFormat="1" applyFont="1" applyBorder="1" applyAlignment="1">
      <alignment horizontal="center" vertical="center"/>
    </xf>
    <xf numFmtId="9" fontId="10" fillId="0" borderId="0" xfId="1" applyFont="1" applyAlignment="1">
      <alignment horizontal="center" vertical="center"/>
    </xf>
    <xf numFmtId="3" fontId="15" fillId="0" borderId="0" xfId="0" applyNumberFormat="1" applyFont="1" applyAlignment="1">
      <alignment horizontal="center" vertical="center"/>
    </xf>
    <xf numFmtId="9" fontId="15" fillId="0" borderId="0" xfId="1" applyFont="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center" vertical="center"/>
    </xf>
    <xf numFmtId="0" fontId="10" fillId="0" borderId="2" xfId="0" applyFont="1" applyBorder="1" applyAlignment="1">
      <alignment horizontal="center" vertical="center"/>
    </xf>
    <xf numFmtId="9" fontId="10" fillId="0" borderId="2" xfId="1" applyFont="1" applyBorder="1" applyAlignment="1">
      <alignment horizontal="center" vertical="center"/>
    </xf>
    <xf numFmtId="9" fontId="10" fillId="0" borderId="0" xfId="1" applyFont="1" applyBorder="1" applyAlignment="1">
      <alignment horizontal="center" vertical="center"/>
    </xf>
    <xf numFmtId="0" fontId="9" fillId="0" borderId="2" xfId="0" applyFont="1" applyBorder="1" applyAlignment="1">
      <alignment horizontal="center" vertical="center"/>
    </xf>
    <xf numFmtId="0" fontId="5" fillId="0" borderId="0" xfId="0" applyFont="1" applyAlignment="1">
      <alignment horizontal="center" vertical="center" wrapText="1"/>
    </xf>
    <xf numFmtId="4" fontId="1" fillId="0" borderId="5" xfId="0" applyNumberFormat="1" applyFont="1" applyBorder="1" applyAlignment="1">
      <alignment horizontal="center" vertical="center"/>
    </xf>
    <xf numFmtId="4" fontId="1" fillId="0" borderId="0" xfId="0" applyNumberFormat="1" applyFont="1" applyAlignment="1">
      <alignment horizontal="center" vertical="center"/>
    </xf>
    <xf numFmtId="4" fontId="1" fillId="0" borderId="2" xfId="0" applyNumberFormat="1" applyFont="1" applyBorder="1" applyAlignment="1">
      <alignment horizontal="center" vertical="center"/>
    </xf>
    <xf numFmtId="0" fontId="2" fillId="0" borderId="1" xfId="0" applyFont="1" applyBorder="1" applyAlignment="1">
      <alignment horizontal="center" vertical="center"/>
    </xf>
    <xf numFmtId="0" fontId="6" fillId="0" borderId="0" xfId="0" applyFont="1" applyAlignment="1">
      <alignment horizontal="right" vertical="center" textRotation="90"/>
    </xf>
    <xf numFmtId="0" fontId="6" fillId="0" borderId="0" xfId="0" applyFont="1" applyAlignment="1">
      <alignment horizontal="center" vertical="center" textRotation="90"/>
    </xf>
    <xf numFmtId="3" fontId="2" fillId="0" borderId="0" xfId="0" applyNumberFormat="1" applyFont="1" applyAlignment="1">
      <alignment horizontal="right" vertical="center"/>
    </xf>
    <xf numFmtId="0" fontId="13" fillId="0" borderId="0" xfId="0" applyFont="1" applyAlignment="1">
      <alignment horizontal="center" vertical="center" textRotation="90"/>
    </xf>
    <xf numFmtId="0" fontId="6" fillId="0" borderId="2" xfId="0" applyFont="1" applyBorder="1" applyAlignment="1">
      <alignment horizontal="center" vertical="center"/>
    </xf>
    <xf numFmtId="0" fontId="1" fillId="0" borderId="2" xfId="0" applyFont="1" applyBorder="1" applyAlignment="1">
      <alignment horizontal="center"/>
    </xf>
    <xf numFmtId="0" fontId="1" fillId="0" borderId="0" xfId="0" applyFont="1" applyAlignment="1">
      <alignment horizontal="center" vertical="center" wrapText="1"/>
    </xf>
    <xf numFmtId="0" fontId="1" fillId="0" borderId="2" xfId="0" applyFont="1" applyBorder="1" applyAlignment="1">
      <alignment horizontal="left"/>
    </xf>
    <xf numFmtId="0" fontId="1" fillId="0" borderId="0" xfId="0" applyFont="1" applyAlignment="1">
      <alignment horizontal="left"/>
    </xf>
    <xf numFmtId="0" fontId="11" fillId="0" borderId="0" xfId="0" applyFont="1" applyAlignment="1">
      <alignment horizontal="center" vertical="center" textRotation="90"/>
    </xf>
    <xf numFmtId="0" fontId="14" fillId="0" borderId="2" xfId="0" applyFont="1" applyBorder="1" applyAlignment="1">
      <alignment horizontal="center" readingOrder="2"/>
    </xf>
    <xf numFmtId="0" fontId="1" fillId="0" borderId="0" xfId="0" applyFont="1" applyAlignment="1">
      <alignment horizontal="center"/>
    </xf>
    <xf numFmtId="0" fontId="6" fillId="0" borderId="0" xfId="0" applyFont="1" applyAlignment="1">
      <alignment horizontal="center"/>
    </xf>
    <xf numFmtId="0" fontId="10" fillId="0" borderId="0" xfId="0" applyFont="1" applyAlignment="1">
      <alignment horizontal="center"/>
    </xf>
    <xf numFmtId="0" fontId="15" fillId="0" borderId="0" xfId="0" applyFont="1" applyAlignment="1">
      <alignment horizontal="center"/>
    </xf>
    <xf numFmtId="0" fontId="10" fillId="0" borderId="2" xfId="0" applyFont="1" applyBorder="1" applyAlignment="1">
      <alignment horizontal="center"/>
    </xf>
    <xf numFmtId="0" fontId="16" fillId="0" borderId="0" xfId="0" applyFont="1" applyAlignment="1">
      <alignment horizontal="center" vertical="center"/>
    </xf>
    <xf numFmtId="0" fontId="16" fillId="0" borderId="0" xfId="0" applyFont="1" applyAlignment="1">
      <alignment horizontal="center"/>
    </xf>
    <xf numFmtId="3" fontId="16" fillId="0" borderId="0" xfId="0" applyNumberFormat="1" applyFont="1" applyAlignment="1">
      <alignment horizontal="center" vertical="center"/>
    </xf>
    <xf numFmtId="9" fontId="16" fillId="0" borderId="0" xfId="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410308</xdr:colOff>
      <xdr:row>101</xdr:row>
      <xdr:rowOff>256442</xdr:rowOff>
    </xdr:from>
    <xdr:to>
      <xdr:col>22</xdr:col>
      <xdr:colOff>234222</xdr:colOff>
      <xdr:row>105</xdr:row>
      <xdr:rowOff>177187</xdr:rowOff>
    </xdr:to>
    <xdr:pic>
      <xdr:nvPicPr>
        <xdr:cNvPr id="2" name="Picture 1">
          <a:extLst>
            <a:ext uri="{FF2B5EF4-FFF2-40B4-BE49-F238E27FC236}">
              <a16:creationId xmlns:a16="http://schemas.microsoft.com/office/drawing/2014/main" id="{160133E0-648B-39CE-408E-E784594EA804}"/>
            </a:ext>
          </a:extLst>
        </xdr:cNvPr>
        <xdr:cNvPicPr>
          <a:picLocks noChangeAspect="1"/>
        </xdr:cNvPicPr>
      </xdr:nvPicPr>
      <xdr:blipFill>
        <a:blip xmlns:r="http://schemas.openxmlformats.org/officeDocument/2006/relationships" r:embed="rId1"/>
        <a:stretch>
          <a:fillRect/>
        </a:stretch>
      </xdr:blipFill>
      <xdr:spPr>
        <a:xfrm>
          <a:off x="9950064355" y="27116942"/>
          <a:ext cx="7780952" cy="990476"/>
        </a:xfrm>
        <a:prstGeom prst="rect">
          <a:avLst/>
        </a:prstGeom>
      </xdr:spPr>
    </xdr:pic>
    <xdr:clientData/>
  </xdr:twoCellAnchor>
  <xdr:twoCellAnchor editAs="oneCell">
    <xdr:from>
      <xdr:col>10</xdr:col>
      <xdr:colOff>468922</xdr:colOff>
      <xdr:row>12</xdr:row>
      <xdr:rowOff>162541</xdr:rowOff>
    </xdr:from>
    <xdr:to>
      <xdr:col>22</xdr:col>
      <xdr:colOff>555735</xdr:colOff>
      <xdr:row>19</xdr:row>
      <xdr:rowOff>200319</xdr:rowOff>
    </xdr:to>
    <xdr:pic>
      <xdr:nvPicPr>
        <xdr:cNvPr id="3" name="Picture 2">
          <a:extLst>
            <a:ext uri="{FF2B5EF4-FFF2-40B4-BE49-F238E27FC236}">
              <a16:creationId xmlns:a16="http://schemas.microsoft.com/office/drawing/2014/main" id="{CB7C01A4-5F9D-28F0-4E0B-19F09B4CACDA}"/>
            </a:ext>
          </a:extLst>
        </xdr:cNvPr>
        <xdr:cNvPicPr>
          <a:picLocks noChangeAspect="1"/>
        </xdr:cNvPicPr>
      </xdr:nvPicPr>
      <xdr:blipFill>
        <a:blip xmlns:r="http://schemas.openxmlformats.org/officeDocument/2006/relationships" r:embed="rId2"/>
        <a:stretch>
          <a:fillRect/>
        </a:stretch>
      </xdr:blipFill>
      <xdr:spPr>
        <a:xfrm>
          <a:off x="9949742842" y="3342426"/>
          <a:ext cx="8043851" cy="1913470"/>
        </a:xfrm>
        <a:prstGeom prst="rect">
          <a:avLst/>
        </a:prstGeom>
      </xdr:spPr>
    </xdr:pic>
    <xdr:clientData/>
  </xdr:twoCellAnchor>
  <xdr:twoCellAnchor editAs="oneCell">
    <xdr:from>
      <xdr:col>10</xdr:col>
      <xdr:colOff>168518</xdr:colOff>
      <xdr:row>120</xdr:row>
      <xdr:rowOff>149052</xdr:rowOff>
    </xdr:from>
    <xdr:to>
      <xdr:col>24</xdr:col>
      <xdr:colOff>319532</xdr:colOff>
      <xdr:row>124</xdr:row>
      <xdr:rowOff>181546</xdr:rowOff>
    </xdr:to>
    <xdr:pic>
      <xdr:nvPicPr>
        <xdr:cNvPr id="4" name="Picture 3">
          <a:extLst>
            <a:ext uri="{FF2B5EF4-FFF2-40B4-BE49-F238E27FC236}">
              <a16:creationId xmlns:a16="http://schemas.microsoft.com/office/drawing/2014/main" id="{07911E39-B73E-862B-0F40-709BBAB47CAB}"/>
            </a:ext>
          </a:extLst>
        </xdr:cNvPr>
        <xdr:cNvPicPr>
          <a:picLocks noChangeAspect="1"/>
        </xdr:cNvPicPr>
      </xdr:nvPicPr>
      <xdr:blipFill>
        <a:blip xmlns:r="http://schemas.openxmlformats.org/officeDocument/2006/relationships" r:embed="rId3"/>
        <a:stretch>
          <a:fillRect/>
        </a:stretch>
      </xdr:blipFill>
      <xdr:spPr>
        <a:xfrm>
          <a:off x="9948762776" y="31830667"/>
          <a:ext cx="9324321" cy="1087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1315-A735-4D87-B364-4C9A38535D33}">
  <dimension ref="B2:K9"/>
  <sheetViews>
    <sheetView showGridLines="0" rightToLeft="1" zoomScale="130" zoomScaleNormal="130" workbookViewId="0">
      <selection activeCell="D22" sqref="D22"/>
    </sheetView>
  </sheetViews>
  <sheetFormatPr defaultRowHeight="18" x14ac:dyDescent="0.25"/>
  <cols>
    <col min="1" max="1" width="9.140625" style="20"/>
    <col min="2" max="2" width="15.7109375" style="23" bestFit="1" customWidth="1"/>
    <col min="3" max="6" width="13.85546875" style="20" customWidth="1"/>
    <col min="7" max="8" width="9.140625" style="20"/>
    <col min="9" max="9" width="28.42578125" style="20" bestFit="1" customWidth="1"/>
    <col min="10" max="10" width="13.85546875" style="20" customWidth="1"/>
    <col min="11" max="11" width="11.7109375" style="20" customWidth="1"/>
    <col min="12" max="16384" width="9.140625" style="20"/>
  </cols>
  <sheetData>
    <row r="2" spans="2:11" ht="19.5" x14ac:dyDescent="0.25">
      <c r="C2" s="20">
        <v>1401</v>
      </c>
      <c r="D2" s="20">
        <v>1402</v>
      </c>
      <c r="E2" s="20" t="s">
        <v>1</v>
      </c>
      <c r="F2" s="20" t="s">
        <v>2</v>
      </c>
      <c r="J2" s="120" t="s">
        <v>101</v>
      </c>
      <c r="K2" s="120"/>
    </row>
    <row r="3" spans="2:11" ht="19.5" x14ac:dyDescent="0.25">
      <c r="B3" s="23" t="s">
        <v>33</v>
      </c>
      <c r="C3" s="21">
        <f>'بیوسان فارمد'!G60</f>
        <v>258170</v>
      </c>
      <c r="D3" s="21">
        <f>'بیوسان فارمد'!H60</f>
        <v>358900</v>
      </c>
      <c r="E3" s="21">
        <v>435000</v>
      </c>
      <c r="F3" s="21">
        <f>E3*(1+F4-0.05)</f>
        <v>522000</v>
      </c>
      <c r="I3" s="44" t="s">
        <v>98</v>
      </c>
      <c r="J3" s="44" t="s">
        <v>99</v>
      </c>
      <c r="K3" s="44" t="s">
        <v>100</v>
      </c>
    </row>
    <row r="4" spans="2:11" x14ac:dyDescent="0.25">
      <c r="B4" s="23" t="s">
        <v>34</v>
      </c>
      <c r="C4" s="22">
        <v>0.5</v>
      </c>
      <c r="D4" s="22">
        <v>0.35</v>
      </c>
      <c r="E4" s="22">
        <v>0.3</v>
      </c>
      <c r="F4" s="22">
        <v>0.25</v>
      </c>
      <c r="I4" s="23" t="s">
        <v>94</v>
      </c>
      <c r="J4" s="21">
        <v>3748151451</v>
      </c>
      <c r="K4" s="41">
        <v>70.72</v>
      </c>
    </row>
    <row r="5" spans="2:11" x14ac:dyDescent="0.25">
      <c r="B5" s="23" t="s">
        <v>75</v>
      </c>
      <c r="C5" s="20" t="s">
        <v>38</v>
      </c>
      <c r="D5" s="20" t="s">
        <v>38</v>
      </c>
      <c r="E5" s="22">
        <v>0.4</v>
      </c>
      <c r="F5" s="22">
        <v>0.35</v>
      </c>
      <c r="I5" s="48" t="s">
        <v>95</v>
      </c>
      <c r="J5" s="45">
        <v>1060000000</v>
      </c>
      <c r="K5" s="45">
        <v>20</v>
      </c>
    </row>
    <row r="6" spans="2:11" x14ac:dyDescent="0.25">
      <c r="I6" s="48" t="s">
        <v>96</v>
      </c>
      <c r="J6" s="45">
        <v>226848249</v>
      </c>
      <c r="K6" s="46">
        <v>4.28</v>
      </c>
    </row>
    <row r="7" spans="2:11" x14ac:dyDescent="0.25">
      <c r="I7" s="48" t="s">
        <v>97</v>
      </c>
      <c r="J7" s="45">
        <v>265000000</v>
      </c>
      <c r="K7" s="45">
        <v>5</v>
      </c>
    </row>
    <row r="8" spans="2:11" x14ac:dyDescent="0.25">
      <c r="I8" s="49" t="s">
        <v>24</v>
      </c>
      <c r="J8" s="47">
        <v>300</v>
      </c>
      <c r="K8" s="47">
        <v>0</v>
      </c>
    </row>
    <row r="9" spans="2:11" ht="19.5" x14ac:dyDescent="0.25">
      <c r="I9" s="42" t="s">
        <v>56</v>
      </c>
      <c r="J9" s="43">
        <f>SUM(J4:J8)</f>
        <v>5300000000</v>
      </c>
      <c r="K9" s="43">
        <f>SUM(K4:K8)</f>
        <v>100</v>
      </c>
    </row>
  </sheetData>
  <mergeCells count="1">
    <mergeCell ref="J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M125"/>
  <sheetViews>
    <sheetView showGridLines="0" rightToLeft="1" zoomScale="130" zoomScaleNormal="130" workbookViewId="0">
      <selection activeCell="E12" sqref="E12"/>
    </sheetView>
  </sheetViews>
  <sheetFormatPr defaultRowHeight="21" x14ac:dyDescent="0.45"/>
  <cols>
    <col min="1" max="1" width="4.42578125" style="1" customWidth="1"/>
    <col min="2" max="2" width="5" style="1" customWidth="1"/>
    <col min="3" max="3" width="56.140625" style="3" bestFit="1" customWidth="1"/>
    <col min="4" max="10" width="15.85546875" style="2" customWidth="1"/>
    <col min="11" max="11" width="13.85546875" style="2" customWidth="1"/>
    <col min="12" max="12" width="14.28515625" style="28" bestFit="1" customWidth="1"/>
    <col min="13" max="13" width="9.140625" style="2"/>
    <col min="14" max="16384" width="9.140625" style="1"/>
  </cols>
  <sheetData>
    <row r="2" spans="3:12" ht="21.75" thickBot="1" x14ac:dyDescent="0.5">
      <c r="C2" s="4" t="s">
        <v>0</v>
      </c>
      <c r="D2" s="13">
        <v>1398</v>
      </c>
      <c r="E2" s="13">
        <v>1399</v>
      </c>
      <c r="F2" s="13">
        <v>1400</v>
      </c>
      <c r="G2" s="13">
        <v>1401</v>
      </c>
      <c r="H2" s="13">
        <v>1402</v>
      </c>
      <c r="I2" s="14" t="s">
        <v>1</v>
      </c>
      <c r="J2" s="14" t="s">
        <v>2</v>
      </c>
    </row>
    <row r="3" spans="3:12" x14ac:dyDescent="0.45">
      <c r="C3" s="3" t="s">
        <v>3</v>
      </c>
      <c r="D3" s="82">
        <v>429690</v>
      </c>
      <c r="E3" s="82">
        <v>273028</v>
      </c>
      <c r="F3" s="82">
        <v>202399</v>
      </c>
      <c r="G3" s="82">
        <v>607874</v>
      </c>
      <c r="H3" s="82">
        <v>850962</v>
      </c>
      <c r="I3" s="51">
        <f>I44</f>
        <v>989022.13414052234</v>
      </c>
      <c r="J3" s="51">
        <f>J44</f>
        <v>1228160.3571242273</v>
      </c>
      <c r="K3" s="33">
        <f t="shared" ref="K3:K4" si="0">I3/H3-1</f>
        <v>0.16224006963944615</v>
      </c>
    </row>
    <row r="4" spans="3:12" x14ac:dyDescent="0.45">
      <c r="C4" s="3" t="s">
        <v>4</v>
      </c>
      <c r="D4" s="82">
        <v>-312739</v>
      </c>
      <c r="E4" s="82">
        <v>-176786</v>
      </c>
      <c r="F4" s="82">
        <v>-151721</v>
      </c>
      <c r="G4" s="82">
        <v>-563621</v>
      </c>
      <c r="H4" s="82">
        <v>-702834</v>
      </c>
      <c r="I4" s="51">
        <f>-I81</f>
        <v>-839639.80020422768</v>
      </c>
      <c r="J4" s="51">
        <f>-J81</f>
        <v>-1015783.4457764041</v>
      </c>
      <c r="K4" s="33">
        <f t="shared" si="0"/>
        <v>0.19464880783261429</v>
      </c>
    </row>
    <row r="5" spans="3:12" x14ac:dyDescent="0.45">
      <c r="C5" s="3" t="s">
        <v>5</v>
      </c>
      <c r="D5" s="83">
        <f t="shared" ref="D5:G5" si="1">SUM(D3:D4)</f>
        <v>116951</v>
      </c>
      <c r="E5" s="83">
        <f t="shared" si="1"/>
        <v>96242</v>
      </c>
      <c r="F5" s="83">
        <f t="shared" si="1"/>
        <v>50678</v>
      </c>
      <c r="G5" s="83">
        <f t="shared" si="1"/>
        <v>44253</v>
      </c>
      <c r="H5" s="83">
        <f t="shared" ref="H5" si="2">SUM(H3:H4)</f>
        <v>148128</v>
      </c>
      <c r="I5" s="83">
        <f t="shared" ref="I5" si="3">SUM(I3:I4)</f>
        <v>149382.33393629466</v>
      </c>
      <c r="J5" s="83">
        <f t="shared" ref="J5" si="4">SUM(J3:J4)</f>
        <v>212376.91134782322</v>
      </c>
      <c r="K5" s="33">
        <f>I5/H5-1</f>
        <v>8.4679057051648687E-3</v>
      </c>
    </row>
    <row r="6" spans="3:12" x14ac:dyDescent="0.45">
      <c r="C6" s="3" t="s">
        <v>6</v>
      </c>
      <c r="D6" s="82">
        <v>-363699</v>
      </c>
      <c r="E6" s="82">
        <v>-83047</v>
      </c>
      <c r="F6" s="82">
        <v>-126046</v>
      </c>
      <c r="G6" s="82">
        <v>-394967</v>
      </c>
      <c r="H6" s="82">
        <v>-568207</v>
      </c>
      <c r="I6" s="51">
        <f>-I100</f>
        <v>-728744.3285109282</v>
      </c>
      <c r="J6" s="51">
        <f>-J100</f>
        <v>-922514.26969840331</v>
      </c>
      <c r="K6" s="33">
        <f>I6/H6-1</f>
        <v>0.28253317630885966</v>
      </c>
    </row>
    <row r="7" spans="3:12" x14ac:dyDescent="0.45">
      <c r="C7" s="3" t="s">
        <v>13</v>
      </c>
      <c r="D7" s="82">
        <f>1665-14763</f>
        <v>-13098</v>
      </c>
      <c r="E7" s="82">
        <v>645</v>
      </c>
      <c r="F7" s="82">
        <v>7174430</v>
      </c>
      <c r="G7" s="82">
        <v>856478</v>
      </c>
      <c r="H7" s="82">
        <v>0</v>
      </c>
      <c r="I7" s="51">
        <f>I110</f>
        <v>0</v>
      </c>
      <c r="J7" s="51">
        <f>J110</f>
        <v>0</v>
      </c>
      <c r="K7" s="33"/>
    </row>
    <row r="8" spans="3:12" x14ac:dyDescent="0.45">
      <c r="C8" s="3" t="s">
        <v>7</v>
      </c>
      <c r="D8" s="83">
        <f t="shared" ref="D8" si="5">SUM(D5:D7)</f>
        <v>-259846</v>
      </c>
      <c r="E8" s="83">
        <f t="shared" ref="E8" si="6">SUM(E5:E7)</f>
        <v>13840</v>
      </c>
      <c r="F8" s="83">
        <f t="shared" ref="F8" si="7">SUM(F5:F7)</f>
        <v>7099062</v>
      </c>
      <c r="G8" s="83">
        <f t="shared" ref="G8" si="8">SUM(G5:G7)</f>
        <v>505764</v>
      </c>
      <c r="H8" s="83">
        <f t="shared" ref="H8" si="9">SUM(H5:H7)</f>
        <v>-420079</v>
      </c>
      <c r="I8" s="83">
        <f t="shared" ref="I8:J8" si="10">SUM(I5:I7)</f>
        <v>-579361.99457463354</v>
      </c>
      <c r="J8" s="83">
        <f t="shared" si="10"/>
        <v>-710137.35835058009</v>
      </c>
    </row>
    <row r="9" spans="3:12" x14ac:dyDescent="0.45">
      <c r="C9" s="3" t="s">
        <v>8</v>
      </c>
      <c r="D9" s="82">
        <v>-6731</v>
      </c>
      <c r="E9" s="82">
        <v>0</v>
      </c>
      <c r="F9" s="82">
        <v>0</v>
      </c>
      <c r="G9" s="82">
        <v>0</v>
      </c>
      <c r="H9" s="82">
        <v>-1759583</v>
      </c>
      <c r="I9" s="51">
        <f>-I116</f>
        <v>-1802723</v>
      </c>
      <c r="J9" s="51">
        <f>-J116</f>
        <v>-2002723</v>
      </c>
      <c r="K9" s="28" t="s">
        <v>93</v>
      </c>
    </row>
    <row r="10" spans="3:12" x14ac:dyDescent="0.45">
      <c r="C10" s="3" t="s">
        <v>12</v>
      </c>
      <c r="D10" s="82">
        <v>336505</v>
      </c>
      <c r="E10" s="82">
        <v>2663</v>
      </c>
      <c r="F10" s="82">
        <v>5857</v>
      </c>
      <c r="G10" s="82">
        <v>-7602</v>
      </c>
      <c r="H10" s="82">
        <v>-694227</v>
      </c>
      <c r="I10" s="51">
        <f>I125</f>
        <v>-6236</v>
      </c>
      <c r="J10" s="51">
        <f>J125</f>
        <v>-6036</v>
      </c>
    </row>
    <row r="11" spans="3:12" x14ac:dyDescent="0.45">
      <c r="C11" s="3" t="s">
        <v>9</v>
      </c>
      <c r="D11" s="82">
        <f t="shared" ref="D11:F11" si="11">SUM(D8:D10)</f>
        <v>69928</v>
      </c>
      <c r="E11" s="82">
        <f t="shared" si="11"/>
        <v>16503</v>
      </c>
      <c r="F11" s="82">
        <f t="shared" si="11"/>
        <v>7104919</v>
      </c>
      <c r="G11" s="82">
        <f>SUM(G8:G10)</f>
        <v>498162</v>
      </c>
      <c r="H11" s="82">
        <f t="shared" ref="H11:J11" si="12">SUM(H8:H10)</f>
        <v>-2873889</v>
      </c>
      <c r="I11" s="51">
        <f t="shared" si="12"/>
        <v>-2388320.9945746334</v>
      </c>
      <c r="J11" s="51">
        <f t="shared" si="12"/>
        <v>-2718896.3583505801</v>
      </c>
    </row>
    <row r="12" spans="3:12" x14ac:dyDescent="0.45">
      <c r="C12" s="3" t="s">
        <v>10</v>
      </c>
      <c r="D12" s="82">
        <f>-4840-4744</f>
        <v>-9584</v>
      </c>
      <c r="E12" s="82">
        <f>-3675-1734</f>
        <v>-5409</v>
      </c>
      <c r="F12" s="82">
        <f>-1419967-1586</f>
        <v>-1421553</v>
      </c>
      <c r="G12" s="82">
        <v>0</v>
      </c>
      <c r="H12" s="82">
        <v>-592424</v>
      </c>
      <c r="I12" s="51">
        <v>0</v>
      </c>
      <c r="J12" s="51">
        <v>0</v>
      </c>
    </row>
    <row r="13" spans="3:12" ht="21.75" thickBot="1" x14ac:dyDescent="0.5">
      <c r="C13" s="8" t="s">
        <v>11</v>
      </c>
      <c r="D13" s="84">
        <f t="shared" ref="D13:F13" si="13">SUM(D11:D12)</f>
        <v>60344</v>
      </c>
      <c r="E13" s="84">
        <f t="shared" si="13"/>
        <v>11094</v>
      </c>
      <c r="F13" s="84">
        <f t="shared" si="13"/>
        <v>5683366</v>
      </c>
      <c r="G13" s="84">
        <f>SUM(G11:G12)</f>
        <v>498162</v>
      </c>
      <c r="H13" s="84">
        <f t="shared" ref="H13:J13" si="14">SUM(H11:H12)</f>
        <v>-3466313</v>
      </c>
      <c r="I13" s="84">
        <f t="shared" si="14"/>
        <v>-2388320.9945746334</v>
      </c>
      <c r="J13" s="84">
        <f t="shared" si="14"/>
        <v>-2718896.3583505801</v>
      </c>
    </row>
    <row r="15" spans="3:12" ht="21.75" thickBot="1" x14ac:dyDescent="0.5">
      <c r="C15" s="10" t="s">
        <v>14</v>
      </c>
      <c r="D15" s="11">
        <f>D2</f>
        <v>1398</v>
      </c>
      <c r="E15" s="11">
        <f t="shared" ref="E15:J15" si="15">E2</f>
        <v>1399</v>
      </c>
      <c r="F15" s="11">
        <f t="shared" si="15"/>
        <v>1400</v>
      </c>
      <c r="G15" s="11">
        <f t="shared" si="15"/>
        <v>1401</v>
      </c>
      <c r="H15" s="11">
        <f t="shared" si="15"/>
        <v>1402</v>
      </c>
      <c r="I15" s="12" t="str">
        <f t="shared" si="15"/>
        <v>کارشناسی 1403</v>
      </c>
      <c r="J15" s="12" t="str">
        <f t="shared" si="15"/>
        <v>کارشناسی 1404</v>
      </c>
    </row>
    <row r="16" spans="3:12" x14ac:dyDescent="0.45">
      <c r="C16" s="3" t="s">
        <v>30</v>
      </c>
      <c r="D16" s="7">
        <v>0</v>
      </c>
      <c r="E16" s="7">
        <v>0</v>
      </c>
      <c r="F16" s="7">
        <v>0</v>
      </c>
      <c r="G16" s="7">
        <v>29616</v>
      </c>
      <c r="H16" s="7">
        <v>57209</v>
      </c>
      <c r="I16" s="7">
        <v>60000</v>
      </c>
      <c r="J16" s="7">
        <f t="shared" ref="J16:J27" si="16">I16</f>
        <v>60000</v>
      </c>
      <c r="K16" s="7"/>
      <c r="L16" s="39"/>
    </row>
    <row r="17" spans="3:12" x14ac:dyDescent="0.45">
      <c r="C17" s="3" t="s">
        <v>31</v>
      </c>
      <c r="D17" s="7">
        <v>0</v>
      </c>
      <c r="E17" s="7">
        <v>0</v>
      </c>
      <c r="F17" s="7">
        <v>9900</v>
      </c>
      <c r="G17" s="7">
        <v>9962</v>
      </c>
      <c r="H17" s="7">
        <v>13086</v>
      </c>
      <c r="I17" s="7">
        <v>14000</v>
      </c>
      <c r="J17" s="7">
        <f t="shared" si="16"/>
        <v>14000</v>
      </c>
      <c r="K17" s="7"/>
      <c r="L17" s="39"/>
    </row>
    <row r="18" spans="3:12" x14ac:dyDescent="0.45">
      <c r="C18" s="3" t="s">
        <v>15</v>
      </c>
      <c r="D18" s="7">
        <v>111041</v>
      </c>
      <c r="E18" s="7">
        <v>1069956</v>
      </c>
      <c r="F18" s="7">
        <v>155178</v>
      </c>
      <c r="G18" s="7">
        <v>425572</v>
      </c>
      <c r="H18" s="7">
        <v>317112</v>
      </c>
      <c r="I18" s="7">
        <v>310000</v>
      </c>
      <c r="J18" s="7">
        <f t="shared" si="16"/>
        <v>310000</v>
      </c>
      <c r="K18" s="7"/>
      <c r="L18" s="39"/>
    </row>
    <row r="19" spans="3:12" x14ac:dyDescent="0.45">
      <c r="C19" s="3" t="s">
        <v>16</v>
      </c>
      <c r="D19" s="7">
        <v>93084</v>
      </c>
      <c r="E19" s="7">
        <v>132942</v>
      </c>
      <c r="F19" s="7">
        <v>184232</v>
      </c>
      <c r="G19" s="7">
        <v>1664970</v>
      </c>
      <c r="H19" s="7">
        <v>463290</v>
      </c>
      <c r="I19" s="7">
        <v>460000</v>
      </c>
      <c r="J19" s="7">
        <f t="shared" si="16"/>
        <v>460000</v>
      </c>
      <c r="K19" s="7"/>
      <c r="L19" s="39"/>
    </row>
    <row r="20" spans="3:12" x14ac:dyDescent="0.45">
      <c r="C20" s="3" t="s">
        <v>17</v>
      </c>
      <c r="D20" s="7">
        <v>0</v>
      </c>
      <c r="E20" s="7">
        <v>0</v>
      </c>
      <c r="F20" s="7">
        <v>0</v>
      </c>
      <c r="G20" s="7">
        <v>249800</v>
      </c>
      <c r="H20" s="7">
        <v>0</v>
      </c>
      <c r="I20" s="7">
        <v>0</v>
      </c>
      <c r="J20" s="7">
        <f t="shared" si="16"/>
        <v>0</v>
      </c>
    </row>
    <row r="21" spans="3:12" x14ac:dyDescent="0.45">
      <c r="C21" s="3" t="s">
        <v>18</v>
      </c>
      <c r="D21" s="7">
        <v>0</v>
      </c>
      <c r="E21" s="7">
        <v>0</v>
      </c>
      <c r="F21" s="7">
        <v>0</v>
      </c>
      <c r="G21" s="7">
        <v>47596</v>
      </c>
      <c r="H21" s="7">
        <v>30842</v>
      </c>
      <c r="I21" s="7">
        <v>30000</v>
      </c>
      <c r="J21" s="7">
        <f t="shared" si="16"/>
        <v>30000</v>
      </c>
    </row>
    <row r="22" spans="3:12" x14ac:dyDescent="0.45">
      <c r="C22" s="3" t="s">
        <v>19</v>
      </c>
      <c r="D22" s="7">
        <v>0</v>
      </c>
      <c r="E22" s="7">
        <v>0</v>
      </c>
      <c r="F22" s="7">
        <v>0</v>
      </c>
      <c r="G22" s="7">
        <v>3000</v>
      </c>
      <c r="H22" s="7">
        <v>9067</v>
      </c>
      <c r="I22" s="7">
        <v>9000</v>
      </c>
      <c r="J22" s="7">
        <f t="shared" si="16"/>
        <v>9000</v>
      </c>
    </row>
    <row r="23" spans="3:12" x14ac:dyDescent="0.45">
      <c r="C23" s="3" t="s">
        <v>20</v>
      </c>
      <c r="D23" s="7">
        <v>0</v>
      </c>
      <c r="E23" s="7">
        <v>0</v>
      </c>
      <c r="F23" s="7">
        <v>0</v>
      </c>
      <c r="G23" s="7">
        <v>25000</v>
      </c>
      <c r="H23" s="7">
        <v>4000</v>
      </c>
      <c r="I23" s="7">
        <v>3500</v>
      </c>
      <c r="J23" s="7">
        <f t="shared" si="16"/>
        <v>3500</v>
      </c>
    </row>
    <row r="24" spans="3:12" x14ac:dyDescent="0.45">
      <c r="C24" s="3" t="s">
        <v>21</v>
      </c>
      <c r="D24" s="7">
        <v>0</v>
      </c>
      <c r="E24" s="7">
        <v>0</v>
      </c>
      <c r="F24" s="7">
        <v>0</v>
      </c>
      <c r="G24" s="7">
        <v>10000</v>
      </c>
      <c r="H24" s="7">
        <v>3000</v>
      </c>
      <c r="I24" s="7">
        <v>2900</v>
      </c>
      <c r="J24" s="7">
        <f t="shared" si="16"/>
        <v>2900</v>
      </c>
    </row>
    <row r="25" spans="3:12" x14ac:dyDescent="0.45">
      <c r="C25" s="3" t="s">
        <v>22</v>
      </c>
      <c r="D25" s="7">
        <v>0</v>
      </c>
      <c r="E25" s="7">
        <v>0</v>
      </c>
      <c r="F25" s="7">
        <v>0</v>
      </c>
      <c r="G25" s="7">
        <v>0</v>
      </c>
      <c r="H25" s="7">
        <v>3942</v>
      </c>
      <c r="I25" s="7">
        <v>3900</v>
      </c>
      <c r="J25" s="7">
        <f t="shared" si="16"/>
        <v>3900</v>
      </c>
    </row>
    <row r="26" spans="3:12" x14ac:dyDescent="0.45">
      <c r="C26" s="3" t="s">
        <v>23</v>
      </c>
      <c r="D26" s="7">
        <v>0</v>
      </c>
      <c r="E26" s="7">
        <v>0</v>
      </c>
      <c r="F26" s="7">
        <v>0</v>
      </c>
      <c r="G26" s="7">
        <v>0</v>
      </c>
      <c r="H26" s="7">
        <v>1970</v>
      </c>
      <c r="I26" s="7">
        <v>1900</v>
      </c>
      <c r="J26" s="7">
        <f t="shared" si="16"/>
        <v>1900</v>
      </c>
    </row>
    <row r="27" spans="3:12" ht="21.75" thickBot="1" x14ac:dyDescent="0.5">
      <c r="C27" s="8" t="s">
        <v>24</v>
      </c>
      <c r="D27" s="15">
        <v>118207</v>
      </c>
      <c r="E27" s="15">
        <v>0</v>
      </c>
      <c r="F27" s="15">
        <v>0</v>
      </c>
      <c r="G27" s="15">
        <v>0</v>
      </c>
      <c r="H27" s="15">
        <v>2304</v>
      </c>
      <c r="I27" s="15">
        <v>2300</v>
      </c>
      <c r="J27" s="15">
        <f t="shared" si="16"/>
        <v>2300</v>
      </c>
    </row>
    <row r="29" spans="3:12" ht="21.75" thickBot="1" x14ac:dyDescent="0.5">
      <c r="C29" s="10" t="s">
        <v>25</v>
      </c>
      <c r="D29" s="11">
        <f>D15</f>
        <v>1398</v>
      </c>
      <c r="E29" s="11">
        <f t="shared" ref="E29:J29" si="17">E15</f>
        <v>1399</v>
      </c>
      <c r="F29" s="11">
        <f t="shared" si="17"/>
        <v>1400</v>
      </c>
      <c r="G29" s="11">
        <f t="shared" si="17"/>
        <v>1401</v>
      </c>
      <c r="H29" s="11">
        <f t="shared" si="17"/>
        <v>1402</v>
      </c>
      <c r="I29" s="12" t="str">
        <f t="shared" si="17"/>
        <v>کارشناسی 1403</v>
      </c>
      <c r="J29" s="12" t="str">
        <f t="shared" si="17"/>
        <v>کارشناسی 1404</v>
      </c>
    </row>
    <row r="30" spans="3:12" x14ac:dyDescent="0.45">
      <c r="C30" s="3" t="str">
        <f>C16</f>
        <v>تریپتورلین 3.75</v>
      </c>
      <c r="D30" s="6">
        <v>0</v>
      </c>
      <c r="E30" s="6">
        <v>0</v>
      </c>
      <c r="F30" s="6">
        <v>0</v>
      </c>
      <c r="G30" s="6">
        <v>125117</v>
      </c>
      <c r="H30" s="6">
        <v>285374</v>
      </c>
      <c r="I30" s="7">
        <f>I16*I47/10^6</f>
        <v>344620.17647006025</v>
      </c>
      <c r="J30" s="7">
        <f>J16*J47/10^6</f>
        <v>435309.6965937604</v>
      </c>
      <c r="K30" s="7">
        <f>H38+H39</f>
        <v>127162</v>
      </c>
    </row>
    <row r="31" spans="3:12" x14ac:dyDescent="0.45">
      <c r="C31" s="3" t="str">
        <f t="shared" ref="C31:C41" si="18">C17</f>
        <v>تریپتورلین 11.25</v>
      </c>
      <c r="D31" s="6">
        <v>0</v>
      </c>
      <c r="E31" s="6">
        <v>0</v>
      </c>
      <c r="F31" s="6">
        <v>51834</v>
      </c>
      <c r="G31" s="6">
        <v>124985</v>
      </c>
      <c r="H31" s="6">
        <v>199372</v>
      </c>
      <c r="I31" s="7">
        <f t="shared" ref="I31:J31" si="19">I17*I48/10^6</f>
        <v>245597.92268622509</v>
      </c>
      <c r="J31" s="7">
        <f t="shared" si="19"/>
        <v>310228.95497207384</v>
      </c>
      <c r="K31" s="2">
        <f>K30/H44</f>
        <v>0.14943322968593192</v>
      </c>
    </row>
    <row r="32" spans="3:12" x14ac:dyDescent="0.45">
      <c r="C32" s="3" t="str">
        <f t="shared" si="18"/>
        <v>واکسن سانوپنت تک دوزی</v>
      </c>
      <c r="D32" s="6">
        <v>13328</v>
      </c>
      <c r="E32" s="6">
        <v>183642</v>
      </c>
      <c r="F32" s="6">
        <v>27156</v>
      </c>
      <c r="G32" s="6">
        <v>72065</v>
      </c>
      <c r="H32" s="6">
        <v>50738</v>
      </c>
      <c r="I32" s="7">
        <f t="shared" ref="I32:J32" si="20">I18*I49/10^6</f>
        <v>52080.082116097779</v>
      </c>
      <c r="J32" s="7">
        <f t="shared" si="20"/>
        <v>53642.48457958072</v>
      </c>
    </row>
    <row r="33" spans="3:10" x14ac:dyDescent="0.45">
      <c r="C33" s="3" t="str">
        <f t="shared" si="18"/>
        <v>واکسن سانوپنت ده دوزی</v>
      </c>
      <c r="D33" s="6">
        <v>47626</v>
      </c>
      <c r="E33" s="6">
        <v>89071</v>
      </c>
      <c r="F33" s="6">
        <v>123435</v>
      </c>
      <c r="G33" s="6">
        <v>111553</v>
      </c>
      <c r="H33" s="6">
        <v>31040</v>
      </c>
      <c r="I33" s="7">
        <f t="shared" ref="I33:J33" si="21">I19*I50/10^6</f>
        <v>31127.768784130887</v>
      </c>
      <c r="J33" s="7">
        <f t="shared" si="21"/>
        <v>31127.768784130887</v>
      </c>
    </row>
    <row r="34" spans="3:10" x14ac:dyDescent="0.45">
      <c r="C34" s="3" t="str">
        <f t="shared" si="18"/>
        <v>واکسن فلج اطفال</v>
      </c>
      <c r="D34" s="6">
        <v>0</v>
      </c>
      <c r="E34" s="6">
        <v>0</v>
      </c>
      <c r="F34" s="6">
        <v>0</v>
      </c>
      <c r="G34" s="6">
        <v>51487</v>
      </c>
      <c r="H34" s="6">
        <v>0</v>
      </c>
      <c r="I34" s="7">
        <f t="shared" ref="I34:J34" si="22">I20*I51/10^6</f>
        <v>0</v>
      </c>
      <c r="J34" s="7">
        <f t="shared" si="22"/>
        <v>0</v>
      </c>
    </row>
    <row r="35" spans="3:10" x14ac:dyDescent="0.45">
      <c r="C35" s="3" t="str">
        <f t="shared" si="18"/>
        <v>اپتی فیباتاید (سانتی گریلین 2 میلی گرم)</v>
      </c>
      <c r="D35" s="6">
        <v>0</v>
      </c>
      <c r="E35" s="6">
        <v>0</v>
      </c>
      <c r="F35" s="6">
        <v>0</v>
      </c>
      <c r="G35" s="6">
        <v>33445</v>
      </c>
      <c r="H35" s="6">
        <v>78676</v>
      </c>
      <c r="I35" s="7">
        <f t="shared" ref="I35:J35" si="23">I21*I52/10^6</f>
        <v>88117.140924933468</v>
      </c>
      <c r="J35" s="7">
        <f t="shared" si="23"/>
        <v>111305.8622209686</v>
      </c>
    </row>
    <row r="36" spans="3:10" x14ac:dyDescent="0.45">
      <c r="C36" s="3" t="str">
        <f t="shared" si="18"/>
        <v>اپتی فیباتاید (سانتی گریلین 0.75 میلی گرم)</v>
      </c>
      <c r="D36" s="6">
        <v>0</v>
      </c>
      <c r="E36" s="6">
        <v>0</v>
      </c>
      <c r="F36" s="6">
        <v>0</v>
      </c>
      <c r="G36" s="6">
        <v>6750</v>
      </c>
      <c r="H36" s="6">
        <v>85532</v>
      </c>
      <c r="I36" s="7">
        <f t="shared" ref="I36:J36" si="24">I22*I53/10^6</f>
        <v>97756.78831649333</v>
      </c>
      <c r="J36" s="7">
        <f t="shared" si="24"/>
        <v>123482.25892609685</v>
      </c>
    </row>
    <row r="37" spans="3:10" x14ac:dyDescent="0.45">
      <c r="C37" s="3" t="str">
        <f t="shared" si="18"/>
        <v>سترورلیکس تزریقی 250 میلی گرمی - گانی هوپ تزریقی</v>
      </c>
      <c r="D37" s="6">
        <v>0</v>
      </c>
      <c r="E37" s="6">
        <v>0</v>
      </c>
      <c r="F37" s="6">
        <v>0</v>
      </c>
      <c r="G37" s="6">
        <v>51500</v>
      </c>
      <c r="H37" s="6">
        <v>13202</v>
      </c>
      <c r="I37" s="7">
        <f t="shared" ref="I37:J37" si="25">I23*I54/10^6</f>
        <v>13301.088569239344</v>
      </c>
      <c r="J37" s="7">
        <f t="shared" si="25"/>
        <v>16801.375034828645</v>
      </c>
    </row>
    <row r="38" spans="3:10" x14ac:dyDescent="0.45">
      <c r="C38" s="3" t="str">
        <f t="shared" si="18"/>
        <v>اکترئوتاید 20 میلی گرمی تزریقی</v>
      </c>
      <c r="D38" s="6">
        <v>0</v>
      </c>
      <c r="E38" s="6">
        <v>0</v>
      </c>
      <c r="F38" s="6">
        <v>0</v>
      </c>
      <c r="G38" s="6">
        <v>32400</v>
      </c>
      <c r="H38" s="6">
        <v>12491</v>
      </c>
      <c r="I38" s="7">
        <f t="shared" ref="I38:J38" si="26">I24*I55/10^6</f>
        <v>13903.154708832542</v>
      </c>
      <c r="J38" s="7">
        <f t="shared" si="26"/>
        <v>17561.87963220953</v>
      </c>
    </row>
    <row r="39" spans="3:10" x14ac:dyDescent="0.45">
      <c r="C39" s="3" t="str">
        <f t="shared" si="18"/>
        <v>اکترئوتاید 30 میلی گرمی تزریقی</v>
      </c>
      <c r="D39" s="6">
        <v>0</v>
      </c>
      <c r="E39" s="6">
        <v>0</v>
      </c>
      <c r="F39" s="6">
        <v>0</v>
      </c>
      <c r="G39" s="6">
        <v>0</v>
      </c>
      <c r="H39" s="6">
        <v>114671</v>
      </c>
      <c r="I39" s="7">
        <f t="shared" ref="I39:J39" si="27">I25*I56/10^6</f>
        <v>130629.41767144915</v>
      </c>
      <c r="J39" s="7">
        <f t="shared" si="27"/>
        <v>165005.58021656738</v>
      </c>
    </row>
    <row r="40" spans="3:10" x14ac:dyDescent="0.45">
      <c r="C40" s="3" t="str">
        <f t="shared" si="18"/>
        <v>لئوپرولید استات 7.5 میلی گرمی - لئوپرولین استات 7.5 میلی گرمی</v>
      </c>
      <c r="D40" s="6">
        <v>0</v>
      </c>
      <c r="E40" s="6">
        <v>0</v>
      </c>
      <c r="F40" s="6">
        <v>0</v>
      </c>
      <c r="G40" s="6">
        <v>0</v>
      </c>
      <c r="H40" s="6">
        <v>84120</v>
      </c>
      <c r="I40" s="7">
        <f t="shared" ref="I40:J40" si="28">I26*I57/10^6</f>
        <v>93417.027210893983</v>
      </c>
      <c r="J40" s="7">
        <f t="shared" si="28"/>
        <v>118000.45542428711</v>
      </c>
    </row>
    <row r="41" spans="3:10" x14ac:dyDescent="0.45">
      <c r="C41" s="3" t="str">
        <f t="shared" si="18"/>
        <v>سایر</v>
      </c>
      <c r="D41" s="50">
        <v>15367</v>
      </c>
      <c r="E41" s="50">
        <v>0</v>
      </c>
      <c r="F41" s="50">
        <v>0</v>
      </c>
      <c r="G41" s="50">
        <v>0</v>
      </c>
      <c r="H41" s="50">
        <v>25305</v>
      </c>
      <c r="I41" s="32">
        <f>I27*I58/10^6</f>
        <v>29050.227864583328</v>
      </c>
      <c r="J41" s="32">
        <f t="shared" ref="J41" si="29">J27*J58/10^6</f>
        <v>32681.506347656243</v>
      </c>
    </row>
    <row r="42" spans="3:10" x14ac:dyDescent="0.45">
      <c r="C42" s="3" t="s">
        <v>26</v>
      </c>
      <c r="D42" s="51">
        <v>0</v>
      </c>
      <c r="E42" s="51">
        <v>0</v>
      </c>
      <c r="F42" s="51">
        <v>-26</v>
      </c>
      <c r="G42" s="51">
        <v>0</v>
      </c>
      <c r="H42" s="51">
        <v>-73351</v>
      </c>
      <c r="I42" s="51">
        <f>H42/SUM(H30:H41)*SUM(I30:I41)</f>
        <v>-85251.471348123014</v>
      </c>
      <c r="J42" s="51">
        <f>I42/SUM(I30:I41)*SUM(J30:J41)</f>
        <v>-105864.64537243637</v>
      </c>
    </row>
    <row r="43" spans="3:10" x14ac:dyDescent="0.45">
      <c r="C43" s="3" t="s">
        <v>27</v>
      </c>
      <c r="D43" s="51">
        <v>0</v>
      </c>
      <c r="E43" s="51">
        <v>0</v>
      </c>
      <c r="F43" s="51">
        <v>0</v>
      </c>
      <c r="G43" s="51">
        <v>-1428</v>
      </c>
      <c r="H43" s="51">
        <v>-56208</v>
      </c>
      <c r="I43" s="51">
        <f>H43/SUM(H30:H41)*SUM(I30:I41)</f>
        <v>-65327.189834293982</v>
      </c>
      <c r="J43" s="51">
        <f>I43/SUM(I30:I41)*SUM(J30:J41)</f>
        <v>-81122.820235496489</v>
      </c>
    </row>
    <row r="44" spans="3:10" ht="21.75" thickBot="1" x14ac:dyDescent="0.5">
      <c r="C44" s="8" t="s">
        <v>28</v>
      </c>
      <c r="D44" s="9">
        <f>SUM(D30:D43)</f>
        <v>76321</v>
      </c>
      <c r="E44" s="9">
        <f t="shared" ref="E44:J44" si="30">SUM(E30:E43)</f>
        <v>272713</v>
      </c>
      <c r="F44" s="9">
        <f t="shared" si="30"/>
        <v>202399</v>
      </c>
      <c r="G44" s="9">
        <f t="shared" si="30"/>
        <v>607874</v>
      </c>
      <c r="H44" s="9">
        <f t="shared" si="30"/>
        <v>850962</v>
      </c>
      <c r="I44" s="9">
        <f t="shared" si="30"/>
        <v>989022.13414052234</v>
      </c>
      <c r="J44" s="9">
        <f t="shared" si="30"/>
        <v>1228160.3571242273</v>
      </c>
    </row>
    <row r="46" spans="3:10" ht="21.75" thickBot="1" x14ac:dyDescent="0.5">
      <c r="C46" s="10" t="s">
        <v>29</v>
      </c>
      <c r="D46" s="11">
        <f>D29</f>
        <v>1398</v>
      </c>
      <c r="E46" s="11">
        <f t="shared" ref="E46:J46" si="31">E29</f>
        <v>1399</v>
      </c>
      <c r="F46" s="11">
        <f t="shared" si="31"/>
        <v>1400</v>
      </c>
      <c r="G46" s="11">
        <f t="shared" si="31"/>
        <v>1401</v>
      </c>
      <c r="H46" s="11">
        <f t="shared" si="31"/>
        <v>1402</v>
      </c>
      <c r="I46" s="12" t="str">
        <f t="shared" si="31"/>
        <v>کارشناسی 1403</v>
      </c>
      <c r="J46" s="12" t="str">
        <f t="shared" si="31"/>
        <v>کارشناسی 1404</v>
      </c>
    </row>
    <row r="47" spans="3:10" x14ac:dyDescent="0.45">
      <c r="C47" s="3" t="str">
        <f>C30</f>
        <v>تریپتورلین 3.75</v>
      </c>
      <c r="D47" s="7">
        <f>IFERROR(D30/D16*10^6,0)</f>
        <v>0</v>
      </c>
      <c r="E47" s="7">
        <f t="shared" ref="E47:H47" si="32">IFERROR(E30/E16*10^6,0)</f>
        <v>0</v>
      </c>
      <c r="F47" s="7">
        <f t="shared" si="32"/>
        <v>0</v>
      </c>
      <c r="G47" s="7">
        <f t="shared" si="32"/>
        <v>4224642.085359266</v>
      </c>
      <c r="H47" s="7">
        <f t="shared" si="32"/>
        <v>4988271.076229265</v>
      </c>
      <c r="I47" s="7">
        <f>I62*I60*0.95</f>
        <v>5743669.6078343373</v>
      </c>
      <c r="J47" s="7">
        <f>J62*J60</f>
        <v>7255161.6098960061</v>
      </c>
    </row>
    <row r="48" spans="3:10" x14ac:dyDescent="0.45">
      <c r="C48" s="3" t="str">
        <f t="shared" ref="C48:C58" si="33">C31</f>
        <v>تریپتورلین 11.25</v>
      </c>
      <c r="D48" s="7">
        <f t="shared" ref="D48:H58" si="34">IFERROR(D31/D17*10^6,0)</f>
        <v>0</v>
      </c>
      <c r="E48" s="7">
        <f t="shared" si="34"/>
        <v>0</v>
      </c>
      <c r="F48" s="7">
        <f t="shared" si="34"/>
        <v>5235757.5757575752</v>
      </c>
      <c r="G48" s="7">
        <f t="shared" si="34"/>
        <v>12546175.466773739</v>
      </c>
      <c r="H48" s="7">
        <f t="shared" si="34"/>
        <v>15235518.87513373</v>
      </c>
      <c r="I48" s="7">
        <f>I63*I60*0.95</f>
        <v>17542708.763301793</v>
      </c>
      <c r="J48" s="7">
        <f>J63*J60</f>
        <v>22159211.069433846</v>
      </c>
    </row>
    <row r="49" spans="3:11" x14ac:dyDescent="0.45">
      <c r="C49" s="3" t="str">
        <f t="shared" si="33"/>
        <v>واکسن سانوپنت تک دوزی</v>
      </c>
      <c r="D49" s="7">
        <f t="shared" si="34"/>
        <v>120027.73750236399</v>
      </c>
      <c r="E49" s="7">
        <f t="shared" si="34"/>
        <v>171635.0952749459</v>
      </c>
      <c r="F49" s="7">
        <f t="shared" si="34"/>
        <v>174999.03336813208</v>
      </c>
      <c r="G49" s="7">
        <f t="shared" si="34"/>
        <v>169336.7984735838</v>
      </c>
      <c r="H49" s="7">
        <f t="shared" si="34"/>
        <v>160000.2522767981</v>
      </c>
      <c r="I49" s="7">
        <f>H49*1.05</f>
        <v>168000.26489063801</v>
      </c>
      <c r="J49" s="7">
        <f>I49*1.03</f>
        <v>173040.27283735716</v>
      </c>
      <c r="K49" s="121" t="s">
        <v>39</v>
      </c>
    </row>
    <row r="50" spans="3:11" x14ac:dyDescent="0.45">
      <c r="C50" s="3" t="str">
        <f t="shared" si="33"/>
        <v>واکسن سانوپنت ده دوزی</v>
      </c>
      <c r="D50" s="7">
        <f>IFERROR(D33/D19*10^6,0)</f>
        <v>511645.39555670152</v>
      </c>
      <c r="E50" s="7">
        <f>IFERROR(E33/E19*10^6,0)</f>
        <v>669998.9469091784</v>
      </c>
      <c r="F50" s="7">
        <f t="shared" si="34"/>
        <v>669997.61170697818</v>
      </c>
      <c r="G50" s="7">
        <f t="shared" si="34"/>
        <v>67000.006006114214</v>
      </c>
      <c r="H50" s="7">
        <f>IFERROR(H33/H19*10^6,0)</f>
        <v>66999.071855641174</v>
      </c>
      <c r="I50" s="7">
        <f>H50*1.01</f>
        <v>67669.062574197582</v>
      </c>
      <c r="J50" s="7">
        <f>I50</f>
        <v>67669.062574197582</v>
      </c>
      <c r="K50" s="121"/>
    </row>
    <row r="51" spans="3:11" x14ac:dyDescent="0.45">
      <c r="C51" s="3" t="str">
        <f t="shared" si="33"/>
        <v>واکسن فلج اطفال</v>
      </c>
      <c r="D51" s="7">
        <f t="shared" si="34"/>
        <v>0</v>
      </c>
      <c r="E51" s="7">
        <f t="shared" si="34"/>
        <v>0</v>
      </c>
      <c r="F51" s="7">
        <f t="shared" si="34"/>
        <v>0</v>
      </c>
      <c r="G51" s="7">
        <f t="shared" si="34"/>
        <v>206112.8903122498</v>
      </c>
      <c r="H51" s="7">
        <f t="shared" si="34"/>
        <v>0</v>
      </c>
      <c r="I51" s="7">
        <v>0</v>
      </c>
      <c r="J51" s="7">
        <v>0</v>
      </c>
      <c r="K51" s="29" t="s">
        <v>40</v>
      </c>
    </row>
    <row r="52" spans="3:11" x14ac:dyDescent="0.45">
      <c r="C52" s="3" t="str">
        <f t="shared" si="33"/>
        <v>اپتی فیباتاید (سانتی گریلین 2 میلی گرم)</v>
      </c>
      <c r="D52" s="7">
        <f t="shared" si="34"/>
        <v>0</v>
      </c>
      <c r="E52" s="7">
        <f t="shared" si="34"/>
        <v>0</v>
      </c>
      <c r="F52" s="7">
        <f t="shared" si="34"/>
        <v>0</v>
      </c>
      <c r="G52" s="7">
        <f t="shared" si="34"/>
        <v>702685.09958820068</v>
      </c>
      <c r="H52" s="7">
        <f t="shared" si="34"/>
        <v>2550937.0339147914</v>
      </c>
      <c r="I52" s="7">
        <f>I64*I60*0.95</f>
        <v>2937238.0308311158</v>
      </c>
      <c r="J52" s="7">
        <f>J64*J60</f>
        <v>3710195.4073656201</v>
      </c>
    </row>
    <row r="53" spans="3:11" x14ac:dyDescent="0.45">
      <c r="C53" s="3" t="str">
        <f t="shared" si="33"/>
        <v>اپتی فیباتاید (سانتی گریلین 0.75 میلی گرم)</v>
      </c>
      <c r="D53" s="7">
        <f t="shared" si="34"/>
        <v>0</v>
      </c>
      <c r="E53" s="7">
        <f t="shared" si="34"/>
        <v>0</v>
      </c>
      <c r="F53" s="7">
        <f t="shared" si="34"/>
        <v>0</v>
      </c>
      <c r="G53" s="7">
        <f t="shared" si="34"/>
        <v>2250000</v>
      </c>
      <c r="H53" s="7">
        <f t="shared" si="34"/>
        <v>9433329.6569979042</v>
      </c>
      <c r="I53" s="7">
        <f>I65*I60*0.95</f>
        <v>10861865.368499259</v>
      </c>
      <c r="J53" s="7">
        <f>J65*J60</f>
        <v>13720250.991788538</v>
      </c>
    </row>
    <row r="54" spans="3:11" x14ac:dyDescent="0.45">
      <c r="C54" s="3" t="str">
        <f t="shared" si="33"/>
        <v>سترورلیکس تزریقی 250 میلی گرمی - گانی هوپ تزریقی</v>
      </c>
      <c r="D54" s="7">
        <f t="shared" si="34"/>
        <v>0</v>
      </c>
      <c r="E54" s="7">
        <f t="shared" si="34"/>
        <v>0</v>
      </c>
      <c r="F54" s="7">
        <f t="shared" si="34"/>
        <v>0</v>
      </c>
      <c r="G54" s="7">
        <f t="shared" si="34"/>
        <v>2060000</v>
      </c>
      <c r="H54" s="7">
        <f t="shared" si="34"/>
        <v>3300500</v>
      </c>
      <c r="I54" s="7">
        <f>I68*I60*0.95</f>
        <v>3800311.0197826694</v>
      </c>
      <c r="J54" s="7">
        <f>J68*J60</f>
        <v>4800392.8670938984</v>
      </c>
    </row>
    <row r="55" spans="3:11" x14ac:dyDescent="0.45">
      <c r="C55" s="3" t="str">
        <f t="shared" si="33"/>
        <v>اکترئوتاید 20 میلی گرمی تزریقی</v>
      </c>
      <c r="D55" s="7">
        <f t="shared" si="34"/>
        <v>0</v>
      </c>
      <c r="E55" s="7">
        <f t="shared" si="34"/>
        <v>0</v>
      </c>
      <c r="F55" s="7">
        <f t="shared" si="34"/>
        <v>0</v>
      </c>
      <c r="G55" s="7">
        <f t="shared" si="34"/>
        <v>3240000</v>
      </c>
      <c r="H55" s="7">
        <f t="shared" si="34"/>
        <v>4163666.666666667</v>
      </c>
      <c r="I55" s="7">
        <f>I66*I60*0.95</f>
        <v>4794191.2789077731</v>
      </c>
      <c r="J55" s="7">
        <f>J66*J60</f>
        <v>6055820.5628308719</v>
      </c>
    </row>
    <row r="56" spans="3:11" x14ac:dyDescent="0.45">
      <c r="C56" s="3" t="str">
        <f t="shared" si="33"/>
        <v>اکترئوتاید 30 میلی گرمی تزریقی</v>
      </c>
      <c r="D56" s="7">
        <f t="shared" si="34"/>
        <v>0</v>
      </c>
      <c r="E56" s="7">
        <f t="shared" si="34"/>
        <v>0</v>
      </c>
      <c r="F56" s="7">
        <f t="shared" si="34"/>
        <v>0</v>
      </c>
      <c r="G56" s="7">
        <f t="shared" si="34"/>
        <v>0</v>
      </c>
      <c r="H56" s="7">
        <f t="shared" si="34"/>
        <v>29089548.452562153</v>
      </c>
      <c r="I56" s="7">
        <f>I60*I67*0.95</f>
        <v>33494722.479858756</v>
      </c>
      <c r="J56" s="7">
        <f>J60*J67</f>
        <v>42309123.132453173</v>
      </c>
    </row>
    <row r="57" spans="3:11" x14ac:dyDescent="0.45">
      <c r="C57" s="3" t="str">
        <f t="shared" si="33"/>
        <v>لئوپرولید استات 7.5 میلی گرمی - لئوپرولین استات 7.5 میلی گرمی</v>
      </c>
      <c r="D57" s="7">
        <f t="shared" si="34"/>
        <v>0</v>
      </c>
      <c r="E57" s="7">
        <f t="shared" si="34"/>
        <v>0</v>
      </c>
      <c r="F57" s="7">
        <f t="shared" si="34"/>
        <v>0</v>
      </c>
      <c r="G57" s="7">
        <f t="shared" si="34"/>
        <v>0</v>
      </c>
      <c r="H57" s="7">
        <f t="shared" si="34"/>
        <v>42700507.614213198</v>
      </c>
      <c r="I57" s="7">
        <f>I69*I60*0.95</f>
        <v>49166856.426786304</v>
      </c>
      <c r="J57" s="7">
        <f>J69*J60</f>
        <v>62105502.854887955</v>
      </c>
    </row>
    <row r="58" spans="3:11" ht="21.75" thickBot="1" x14ac:dyDescent="0.5">
      <c r="C58" s="8" t="str">
        <f t="shared" si="33"/>
        <v>سایر</v>
      </c>
      <c r="D58" s="15">
        <f t="shared" si="34"/>
        <v>130000.76137622984</v>
      </c>
      <c r="E58" s="15">
        <f t="shared" si="34"/>
        <v>0</v>
      </c>
      <c r="F58" s="15">
        <f t="shared" si="34"/>
        <v>0</v>
      </c>
      <c r="G58" s="15">
        <f t="shared" si="34"/>
        <v>0</v>
      </c>
      <c r="H58" s="15">
        <f t="shared" si="34"/>
        <v>10983072.916666666</v>
      </c>
      <c r="I58" s="15">
        <f>H58*(1+مفروضات!E4/2)</f>
        <v>12630533.854166664</v>
      </c>
      <c r="J58" s="15">
        <f>I58*(1+مفروضات!F4/2)</f>
        <v>14209350.585937496</v>
      </c>
    </row>
    <row r="60" spans="3:11" x14ac:dyDescent="0.45">
      <c r="C60" s="16" t="s">
        <v>32</v>
      </c>
      <c r="D60" s="17">
        <v>102741</v>
      </c>
      <c r="E60" s="17">
        <v>177700</v>
      </c>
      <c r="F60" s="17">
        <v>230110</v>
      </c>
      <c r="G60" s="17">
        <v>258170</v>
      </c>
      <c r="H60" s="17">
        <v>358900</v>
      </c>
      <c r="I60" s="18">
        <f>مفروضات!E3</f>
        <v>435000</v>
      </c>
      <c r="J60" s="18">
        <f>مفروضات!F3</f>
        <v>522000</v>
      </c>
    </row>
    <row r="62" spans="3:11" x14ac:dyDescent="0.45">
      <c r="D62" s="122" t="s">
        <v>37</v>
      </c>
      <c r="E62" s="26" t="s">
        <v>35</v>
      </c>
      <c r="F62" s="24" t="s">
        <v>38</v>
      </c>
      <c r="G62" s="24">
        <f>G47/G60</f>
        <v>16.363799377771493</v>
      </c>
      <c r="H62" s="24">
        <f>H47/285000</f>
        <v>17.502705530629001</v>
      </c>
      <c r="I62" s="24">
        <f>H47/H60</f>
        <v>13.898777030452118</v>
      </c>
      <c r="J62" s="24">
        <f t="shared" ref="J62:J69" si="35">I62</f>
        <v>13.898777030452118</v>
      </c>
    </row>
    <row r="63" spans="3:11" x14ac:dyDescent="0.45">
      <c r="D63" s="123"/>
      <c r="E63" s="27" t="s">
        <v>36</v>
      </c>
      <c r="F63" s="25">
        <f>F48/F60</f>
        <v>22.753281368726153</v>
      </c>
      <c r="G63" s="25">
        <f>G48/G60</f>
        <v>48.596566087360031</v>
      </c>
      <c r="H63" s="25">
        <f>H48/285000</f>
        <v>53.45796096538151</v>
      </c>
      <c r="I63" s="25">
        <f>H48/H60</f>
        <v>42.45059591845564</v>
      </c>
      <c r="J63" s="25">
        <f t="shared" si="35"/>
        <v>42.45059591845564</v>
      </c>
    </row>
    <row r="64" spans="3:11" x14ac:dyDescent="0.45">
      <c r="D64" s="123"/>
      <c r="E64" s="26" t="s">
        <v>41</v>
      </c>
      <c r="F64" s="24"/>
      <c r="G64" s="24">
        <f t="shared" ref="G64" si="36">G52/G60</f>
        <v>2.7217922283309472</v>
      </c>
      <c r="H64" s="24">
        <f>H52/285000</f>
        <v>8.9506562593501453</v>
      </c>
      <c r="I64" s="24">
        <f>H52/H60</f>
        <v>7.1076540370988894</v>
      </c>
      <c r="J64" s="24">
        <f t="shared" si="35"/>
        <v>7.1076540370988894</v>
      </c>
    </row>
    <row r="65" spans="3:13" x14ac:dyDescent="0.45">
      <c r="D65" s="123"/>
      <c r="E65" s="27" t="s">
        <v>42</v>
      </c>
      <c r="F65" s="25"/>
      <c r="G65" s="25">
        <f>G53/G60</f>
        <v>8.7151876670410964</v>
      </c>
      <c r="H65" s="25">
        <f>H53/285000</f>
        <v>33.099402305255801</v>
      </c>
      <c r="I65" s="25">
        <f>H53/H60</f>
        <v>26.284005731395666</v>
      </c>
      <c r="J65" s="25">
        <f t="shared" si="35"/>
        <v>26.284005731395666</v>
      </c>
    </row>
    <row r="66" spans="3:13" x14ac:dyDescent="0.45">
      <c r="D66" s="123"/>
      <c r="E66" s="28" t="s">
        <v>43</v>
      </c>
      <c r="G66" s="19">
        <f>G55/G60</f>
        <v>12.54987024053918</v>
      </c>
      <c r="H66" s="19">
        <f>H55/285000</f>
        <v>14.609356725146199</v>
      </c>
      <c r="I66" s="19">
        <f>H55/H60</f>
        <v>11.601188817683664</v>
      </c>
      <c r="J66" s="19">
        <f t="shared" si="35"/>
        <v>11.601188817683664</v>
      </c>
    </row>
    <row r="67" spans="3:13" x14ac:dyDescent="0.45">
      <c r="D67" s="123"/>
      <c r="E67" s="31" t="s">
        <v>44</v>
      </c>
      <c r="F67" s="30"/>
      <c r="G67" s="25">
        <f>G56/G60</f>
        <v>0</v>
      </c>
      <c r="H67" s="25">
        <f>H56/285000</f>
        <v>102.06859106162159</v>
      </c>
      <c r="I67" s="25">
        <f>H56/H60</f>
        <v>81.051960023856651</v>
      </c>
      <c r="J67" s="25">
        <f t="shared" si="35"/>
        <v>81.051960023856651</v>
      </c>
    </row>
    <row r="68" spans="3:13" x14ac:dyDescent="0.45">
      <c r="D68" s="123"/>
      <c r="E68" s="28" t="s">
        <v>45</v>
      </c>
      <c r="G68" s="19">
        <f>G54/G60</f>
        <v>7.9792384862687378</v>
      </c>
      <c r="H68" s="19">
        <f>H54/285000</f>
        <v>11.580701754385965</v>
      </c>
      <c r="I68" s="19">
        <f>H54/H60</f>
        <v>9.1961549178044031</v>
      </c>
      <c r="J68" s="19">
        <f t="shared" si="35"/>
        <v>9.1961549178044031</v>
      </c>
    </row>
    <row r="69" spans="3:13" x14ac:dyDescent="0.45">
      <c r="D69" s="124"/>
      <c r="E69" s="31" t="s">
        <v>46</v>
      </c>
      <c r="F69" s="30"/>
      <c r="G69" s="25">
        <f>G57/G60</f>
        <v>0</v>
      </c>
      <c r="H69" s="25">
        <f>H57/285000</f>
        <v>149.82634250601123</v>
      </c>
      <c r="I69" s="25">
        <f>H57/H60</f>
        <v>118.97605910898076</v>
      </c>
      <c r="J69" s="25">
        <f t="shared" si="35"/>
        <v>118.97605910898076</v>
      </c>
    </row>
    <row r="71" spans="3:13" ht="21.75" thickBot="1" x14ac:dyDescent="0.5">
      <c r="C71" s="4" t="s">
        <v>47</v>
      </c>
      <c r="D71" s="13">
        <f>D46</f>
        <v>1398</v>
      </c>
      <c r="E71" s="13">
        <f t="shared" ref="E71:J71" si="37">E46</f>
        <v>1399</v>
      </c>
      <c r="F71" s="13">
        <f t="shared" si="37"/>
        <v>1400</v>
      </c>
      <c r="G71" s="13">
        <f t="shared" si="37"/>
        <v>1401</v>
      </c>
      <c r="H71" s="13">
        <f t="shared" si="37"/>
        <v>1402</v>
      </c>
      <c r="I71" s="14" t="str">
        <f t="shared" si="37"/>
        <v>کارشناسی 1403</v>
      </c>
      <c r="J71" s="14" t="str">
        <f t="shared" si="37"/>
        <v>کارشناسی 1404</v>
      </c>
    </row>
    <row r="72" spans="3:13" x14ac:dyDescent="0.45">
      <c r="C72" s="3" t="s">
        <v>48</v>
      </c>
      <c r="D72" s="6">
        <v>546</v>
      </c>
      <c r="E72" s="6">
        <v>89741</v>
      </c>
      <c r="F72" s="6">
        <v>70639</v>
      </c>
      <c r="G72" s="6">
        <v>77041</v>
      </c>
      <c r="H72" s="6">
        <v>77713</v>
      </c>
      <c r="I72" s="7">
        <f>I82*I44</f>
        <v>90321.162531890281</v>
      </c>
      <c r="J72" s="7">
        <f>J82*J44</f>
        <v>112160.15031598954</v>
      </c>
    </row>
    <row r="73" spans="3:13" x14ac:dyDescent="0.45">
      <c r="C73" s="3" t="s">
        <v>49</v>
      </c>
      <c r="D73" s="6">
        <v>15244</v>
      </c>
      <c r="E73" s="6">
        <v>25717</v>
      </c>
      <c r="F73" s="6">
        <v>20533</v>
      </c>
      <c r="G73" s="6">
        <v>3363</v>
      </c>
      <c r="H73" s="6">
        <v>8011</v>
      </c>
      <c r="I73" s="7">
        <f>I84*I85*I60/10^6</f>
        <v>9330.75</v>
      </c>
      <c r="J73" s="7">
        <f>J84*J85*J60/10^6</f>
        <v>11196.9</v>
      </c>
    </row>
    <row r="74" spans="3:13" x14ac:dyDescent="0.45">
      <c r="C74" s="3" t="s">
        <v>50</v>
      </c>
      <c r="D74" s="6">
        <v>24210</v>
      </c>
      <c r="E74" s="6">
        <v>81222</v>
      </c>
      <c r="F74" s="6">
        <v>60819</v>
      </c>
      <c r="G74" s="6">
        <v>61730</v>
      </c>
      <c r="H74" s="6">
        <v>84042</v>
      </c>
      <c r="I74" s="7">
        <f>H74/H44*I44</f>
        <v>97676.979932638322</v>
      </c>
      <c r="J74" s="7">
        <f>I74/I44*J44</f>
        <v>121294.54985467542</v>
      </c>
    </row>
    <row r="75" spans="3:13" x14ac:dyDescent="0.45">
      <c r="C75" s="3" t="s">
        <v>51</v>
      </c>
      <c r="D75" s="32">
        <f>SUM(D72:D74)</f>
        <v>40000</v>
      </c>
      <c r="E75" s="32">
        <f t="shared" ref="E75:J75" si="38">SUM(E72:E74)</f>
        <v>196680</v>
      </c>
      <c r="F75" s="32">
        <f t="shared" si="38"/>
        <v>151991</v>
      </c>
      <c r="G75" s="32">
        <f t="shared" si="38"/>
        <v>142134</v>
      </c>
      <c r="H75" s="32">
        <f t="shared" si="38"/>
        <v>169766</v>
      </c>
      <c r="I75" s="32">
        <f t="shared" si="38"/>
        <v>197328.89246452862</v>
      </c>
      <c r="J75" s="32">
        <f t="shared" si="38"/>
        <v>244651.60017066495</v>
      </c>
    </row>
    <row r="76" spans="3:13" ht="21.75" thickBot="1" x14ac:dyDescent="0.5">
      <c r="C76" s="3" t="s">
        <v>55</v>
      </c>
      <c r="D76" s="6">
        <f>4634+11258-4212</f>
        <v>11680</v>
      </c>
      <c r="E76" s="6">
        <f>7051+45-490</f>
        <v>6606</v>
      </c>
      <c r="F76" s="6">
        <f>-27081-746</f>
        <v>-27827</v>
      </c>
      <c r="G76" s="6">
        <f>26670-1381</f>
        <v>25289</v>
      </c>
      <c r="H76" s="6">
        <f>-539-394-4048</f>
        <v>-4981</v>
      </c>
      <c r="I76" s="7">
        <f>H76/H75*I75</f>
        <v>-5789.7059091091096</v>
      </c>
      <c r="J76" s="7">
        <f>I76/I75*J75</f>
        <v>-7178.1724282252171</v>
      </c>
      <c r="L76" s="125" t="s">
        <v>53</v>
      </c>
      <c r="M76" s="125"/>
    </row>
    <row r="77" spans="3:13" x14ac:dyDescent="0.45">
      <c r="C77" s="3" t="s">
        <v>52</v>
      </c>
      <c r="D77" s="32">
        <f>SUM(D75:D76)</f>
        <v>51680</v>
      </c>
      <c r="E77" s="32">
        <f t="shared" ref="E77:J77" si="39">SUM(E75:E76)</f>
        <v>203286</v>
      </c>
      <c r="F77" s="32">
        <f t="shared" si="39"/>
        <v>124164</v>
      </c>
      <c r="G77" s="32">
        <f t="shared" si="39"/>
        <v>167423</v>
      </c>
      <c r="H77" s="32">
        <f t="shared" si="39"/>
        <v>164785</v>
      </c>
      <c r="I77" s="32">
        <f t="shared" si="39"/>
        <v>191539.1865554195</v>
      </c>
      <c r="J77" s="32">
        <f t="shared" si="39"/>
        <v>237473.42774243973</v>
      </c>
      <c r="L77" s="28" t="s">
        <v>59</v>
      </c>
      <c r="M77" s="2">
        <v>27407</v>
      </c>
    </row>
    <row r="78" spans="3:13" x14ac:dyDescent="0.45">
      <c r="C78" s="3" t="s">
        <v>53</v>
      </c>
      <c r="D78" s="6">
        <v>0</v>
      </c>
      <c r="E78" s="6">
        <v>0</v>
      </c>
      <c r="F78" s="6">
        <v>222445</v>
      </c>
      <c r="G78" s="6">
        <v>277535</v>
      </c>
      <c r="H78" s="6">
        <v>518413</v>
      </c>
      <c r="I78" s="7">
        <f>H78/H60*I60</f>
        <v>628335.62273613829</v>
      </c>
      <c r="J78" s="7">
        <f>I78/I60*J60</f>
        <v>754002.74728336593</v>
      </c>
      <c r="L78" s="28" t="s">
        <v>60</v>
      </c>
      <c r="M78" s="2">
        <v>15000</v>
      </c>
    </row>
    <row r="79" spans="3:13" x14ac:dyDescent="0.45">
      <c r="C79" s="3" t="s">
        <v>54</v>
      </c>
      <c r="D79" s="6">
        <v>-7833</v>
      </c>
      <c r="E79" s="6">
        <v>-20973</v>
      </c>
      <c r="F79" s="6">
        <v>-194282</v>
      </c>
      <c r="G79" s="6">
        <v>121309</v>
      </c>
      <c r="H79" s="6">
        <v>41825</v>
      </c>
      <c r="I79" s="7">
        <f>H79/H44*I44</f>
        <v>48610.690912669837</v>
      </c>
      <c r="J79" s="7">
        <f>I79/I44*J44</f>
        <v>60364.395750598509</v>
      </c>
      <c r="L79" s="28" t="s">
        <v>61</v>
      </c>
      <c r="M79" s="2">
        <v>2000</v>
      </c>
    </row>
    <row r="80" spans="3:13" x14ac:dyDescent="0.45">
      <c r="C80" s="3" t="s">
        <v>24</v>
      </c>
      <c r="D80" s="6">
        <v>-874</v>
      </c>
      <c r="E80" s="6">
        <v>-5527</v>
      </c>
      <c r="F80" s="6">
        <v>-606</v>
      </c>
      <c r="G80" s="6">
        <v>-2646</v>
      </c>
      <c r="H80" s="6">
        <v>-22189</v>
      </c>
      <c r="I80" s="7">
        <f>H80*(1+مفروضات!E4)</f>
        <v>-28845.7</v>
      </c>
      <c r="J80" s="7">
        <f>I80*(1+مفروضات!F4)</f>
        <v>-36057.125</v>
      </c>
      <c r="L80" s="28" t="s">
        <v>62</v>
      </c>
      <c r="M80" s="2">
        <v>4000</v>
      </c>
    </row>
    <row r="81" spans="3:13" ht="21.75" thickBot="1" x14ac:dyDescent="0.5">
      <c r="C81" s="8" t="s">
        <v>56</v>
      </c>
      <c r="D81" s="9">
        <f>SUM(D77:D80)</f>
        <v>42973</v>
      </c>
      <c r="E81" s="9">
        <f t="shared" ref="E81:J81" si="40">SUM(E77:E80)</f>
        <v>176786</v>
      </c>
      <c r="F81" s="9">
        <f t="shared" si="40"/>
        <v>151721</v>
      </c>
      <c r="G81" s="9">
        <f t="shared" si="40"/>
        <v>563621</v>
      </c>
      <c r="H81" s="9">
        <f t="shared" si="40"/>
        <v>702834</v>
      </c>
      <c r="I81" s="9">
        <f t="shared" si="40"/>
        <v>839639.80020422768</v>
      </c>
      <c r="J81" s="9">
        <f t="shared" si="40"/>
        <v>1015783.4457764041</v>
      </c>
      <c r="L81" s="40" t="s">
        <v>63</v>
      </c>
      <c r="M81" s="37">
        <v>3000</v>
      </c>
    </row>
    <row r="82" spans="3:13" x14ac:dyDescent="0.45">
      <c r="D82" s="33">
        <f>D72/D44</f>
        <v>7.1539943134916999E-3</v>
      </c>
      <c r="E82" s="33">
        <f t="shared" ref="E82:H82" si="41">E72/E44</f>
        <v>0.32906755453535402</v>
      </c>
      <c r="F82" s="33">
        <f t="shared" si="41"/>
        <v>0.34900864134704224</v>
      </c>
      <c r="G82" s="33">
        <f t="shared" si="41"/>
        <v>0.12673843592586623</v>
      </c>
      <c r="H82" s="33">
        <f t="shared" si="41"/>
        <v>9.1323701880930058E-2</v>
      </c>
      <c r="I82" s="34">
        <f>H82</f>
        <v>9.1323701880930058E-2</v>
      </c>
      <c r="J82" s="34">
        <f>I82</f>
        <v>9.1323701880930058E-2</v>
      </c>
    </row>
    <row r="84" spans="3:13" x14ac:dyDescent="0.45">
      <c r="C84" s="35" t="s">
        <v>57</v>
      </c>
      <c r="D84" s="36">
        <v>90</v>
      </c>
      <c r="E84" s="36">
        <v>80</v>
      </c>
      <c r="F84" s="36">
        <v>106</v>
      </c>
      <c r="G84" s="36">
        <v>161</v>
      </c>
      <c r="H84" s="36">
        <v>168</v>
      </c>
      <c r="I84" s="36">
        <v>165</v>
      </c>
      <c r="J84" s="36">
        <f>I84</f>
        <v>165</v>
      </c>
    </row>
    <row r="85" spans="3:13" x14ac:dyDescent="0.45">
      <c r="C85" s="38" t="s">
        <v>58</v>
      </c>
      <c r="D85" s="32">
        <f t="shared" ref="D85:G85" si="42">D73/D84*10^6/D60</f>
        <v>1648.5899278552647</v>
      </c>
      <c r="E85" s="32">
        <f t="shared" si="42"/>
        <v>1809.0180078784467</v>
      </c>
      <c r="F85" s="32">
        <f t="shared" si="42"/>
        <v>841.80412485251111</v>
      </c>
      <c r="G85" s="32">
        <f t="shared" si="42"/>
        <v>80.908698755719001</v>
      </c>
      <c r="H85" s="32">
        <f>H73/H84*10^6/H60</f>
        <v>132.86298080112513</v>
      </c>
      <c r="I85" s="30">
        <v>130</v>
      </c>
      <c r="J85" s="30">
        <f>I85</f>
        <v>130</v>
      </c>
    </row>
    <row r="87" spans="3:13" ht="21.75" thickBot="1" x14ac:dyDescent="0.5">
      <c r="C87" s="4" t="s">
        <v>64</v>
      </c>
      <c r="D87" s="13">
        <f>D71</f>
        <v>1398</v>
      </c>
      <c r="E87" s="13">
        <f t="shared" ref="E87:J87" si="43">E71</f>
        <v>1399</v>
      </c>
      <c r="F87" s="13">
        <f t="shared" si="43"/>
        <v>1400</v>
      </c>
      <c r="G87" s="13">
        <f t="shared" si="43"/>
        <v>1401</v>
      </c>
      <c r="H87" s="13">
        <f t="shared" si="43"/>
        <v>1402</v>
      </c>
      <c r="I87" s="14" t="str">
        <f t="shared" si="43"/>
        <v>کارشناسی 1403</v>
      </c>
      <c r="J87" s="14" t="str">
        <f t="shared" si="43"/>
        <v>کارشناسی 1404</v>
      </c>
    </row>
    <row r="88" spans="3:13" x14ac:dyDescent="0.45">
      <c r="C88" s="3" t="s">
        <v>65</v>
      </c>
      <c r="D88" s="7">
        <v>20085</v>
      </c>
      <c r="E88" s="7">
        <v>127363</v>
      </c>
      <c r="F88" s="7">
        <v>0</v>
      </c>
      <c r="G88" s="7">
        <v>63204</v>
      </c>
      <c r="H88" s="7">
        <v>37956</v>
      </c>
      <c r="I88" s="7"/>
      <c r="J88" s="7"/>
    </row>
    <row r="89" spans="3:13" x14ac:dyDescent="0.45">
      <c r="C89" s="3" t="s">
        <v>66</v>
      </c>
      <c r="D89" s="7">
        <v>0</v>
      </c>
      <c r="E89" s="7">
        <v>0</v>
      </c>
      <c r="F89" s="7">
        <v>0</v>
      </c>
      <c r="G89" s="7">
        <v>36</v>
      </c>
      <c r="H89" s="7">
        <v>0</v>
      </c>
      <c r="I89" s="7"/>
      <c r="J89" s="7"/>
    </row>
    <row r="90" spans="3:13" x14ac:dyDescent="0.45">
      <c r="C90" s="3" t="s">
        <v>67</v>
      </c>
      <c r="D90" s="7">
        <v>0</v>
      </c>
      <c r="E90" s="7">
        <v>0</v>
      </c>
      <c r="F90" s="7">
        <v>0</v>
      </c>
      <c r="G90" s="7">
        <v>926</v>
      </c>
      <c r="H90" s="7">
        <v>0</v>
      </c>
      <c r="I90" s="7"/>
      <c r="J90" s="7"/>
    </row>
    <row r="91" spans="3:13" ht="21.75" thickBot="1" x14ac:dyDescent="0.5">
      <c r="C91" s="8" t="s">
        <v>68</v>
      </c>
      <c r="D91" s="15">
        <v>0</v>
      </c>
      <c r="E91" s="15">
        <v>0</v>
      </c>
      <c r="F91" s="15">
        <v>17513</v>
      </c>
      <c r="G91" s="15">
        <v>36723</v>
      </c>
      <c r="H91" s="15">
        <v>578</v>
      </c>
      <c r="I91" s="15"/>
      <c r="J91" s="15"/>
    </row>
    <row r="93" spans="3:13" ht="21.75" thickBot="1" x14ac:dyDescent="0.5">
      <c r="C93" s="4" t="s">
        <v>69</v>
      </c>
      <c r="D93" s="13">
        <f>D87</f>
        <v>1398</v>
      </c>
      <c r="E93" s="13">
        <f t="shared" ref="E93:J93" si="44">E87</f>
        <v>1399</v>
      </c>
      <c r="F93" s="13">
        <f t="shared" si="44"/>
        <v>1400</v>
      </c>
      <c r="G93" s="13">
        <f t="shared" si="44"/>
        <v>1401</v>
      </c>
      <c r="H93" s="13">
        <f t="shared" si="44"/>
        <v>1402</v>
      </c>
      <c r="I93" s="14" t="str">
        <f t="shared" si="44"/>
        <v>کارشناسی 1403</v>
      </c>
      <c r="J93" s="14" t="str">
        <f t="shared" si="44"/>
        <v>کارشناسی 1404</v>
      </c>
    </row>
    <row r="94" spans="3:13" x14ac:dyDescent="0.45">
      <c r="C94" s="3" t="s">
        <v>70</v>
      </c>
      <c r="D94" s="7">
        <v>117859</v>
      </c>
      <c r="E94" s="7">
        <v>151598</v>
      </c>
      <c r="F94" s="7">
        <v>279973</v>
      </c>
      <c r="G94" s="7">
        <f>4086+470+1402+1661+126007+8264+7133+31143+54499+164987+46687+37189+71195+42910+5608</f>
        <v>603241</v>
      </c>
      <c r="H94" s="7">
        <f>3173+636+1175+1096+176998+9606+7497+42670+83358+241736+64471+54262+120427+45347+11568</f>
        <v>864020</v>
      </c>
      <c r="I94" s="7">
        <f>H94*(1+مفروضات!E5)</f>
        <v>1209628</v>
      </c>
      <c r="J94" s="7">
        <f>I94*(1+مفروضات!F5)</f>
        <v>1632997.8</v>
      </c>
    </row>
    <row r="95" spans="3:13" x14ac:dyDescent="0.45">
      <c r="C95" s="3" t="s">
        <v>71</v>
      </c>
      <c r="D95" s="7">
        <v>20066</v>
      </c>
      <c r="E95" s="7">
        <v>17518</v>
      </c>
      <c r="F95" s="7">
        <v>26080</v>
      </c>
      <c r="G95" s="7">
        <v>41701</v>
      </c>
      <c r="H95" s="7">
        <v>50634</v>
      </c>
      <c r="I95" s="7">
        <f>H95*1.1</f>
        <v>55697.4</v>
      </c>
      <c r="J95" s="7">
        <f>I95*1.1</f>
        <v>61267.140000000007</v>
      </c>
    </row>
    <row r="96" spans="3:13" x14ac:dyDescent="0.45">
      <c r="C96" s="3" t="s">
        <v>72</v>
      </c>
      <c r="D96" s="7">
        <v>2398</v>
      </c>
      <c r="E96" s="7">
        <v>2696</v>
      </c>
      <c r="F96" s="7">
        <v>9077</v>
      </c>
      <c r="G96" s="7">
        <v>20386</v>
      </c>
      <c r="H96" s="7">
        <v>28538</v>
      </c>
      <c r="I96" s="7">
        <f>H96/مفروضات!D3*مفروضات!E3</f>
        <v>34589.105600445808</v>
      </c>
      <c r="J96" s="7">
        <f>I96/مفروضات!E3*مفروضات!F3</f>
        <v>41506.926720534968</v>
      </c>
    </row>
    <row r="97" spans="3:10" x14ac:dyDescent="0.45">
      <c r="C97" s="3" t="s">
        <v>24</v>
      </c>
      <c r="D97" s="7">
        <f t="shared" ref="D97:G97" si="45">D98-SUM(D94:D96)</f>
        <v>53585</v>
      </c>
      <c r="E97" s="7">
        <f t="shared" si="45"/>
        <v>84874</v>
      </c>
      <c r="F97" s="7">
        <f t="shared" si="45"/>
        <v>178541</v>
      </c>
      <c r="G97" s="7">
        <f t="shared" si="45"/>
        <v>410288</v>
      </c>
      <c r="H97" s="7">
        <f>H98-SUM(H94:H96)</f>
        <v>494373</v>
      </c>
      <c r="I97" s="7">
        <f>H97*1.1</f>
        <v>543810.30000000005</v>
      </c>
      <c r="J97" s="7">
        <f>I97*1.1</f>
        <v>598191.33000000007</v>
      </c>
    </row>
    <row r="98" spans="3:10" x14ac:dyDescent="0.45">
      <c r="C98" s="3" t="s">
        <v>74</v>
      </c>
      <c r="D98" s="7">
        <v>193908</v>
      </c>
      <c r="E98" s="7">
        <v>256686</v>
      </c>
      <c r="F98" s="7">
        <v>493671</v>
      </c>
      <c r="G98" s="7">
        <v>1075616</v>
      </c>
      <c r="H98" s="7">
        <v>1437565</v>
      </c>
      <c r="I98" s="7">
        <f>SUM(I94:I97)</f>
        <v>1843724.8056004457</v>
      </c>
      <c r="J98" s="7">
        <f>SUM(J94:J97)</f>
        <v>2333963.1967205349</v>
      </c>
    </row>
    <row r="99" spans="3:10" x14ac:dyDescent="0.45">
      <c r="C99" s="3" t="s">
        <v>73</v>
      </c>
      <c r="D99" s="7">
        <f>D100-D98</f>
        <v>-161642</v>
      </c>
      <c r="E99" s="7">
        <f t="shared" ref="E99:H99" si="46">E100-E98</f>
        <v>-173639</v>
      </c>
      <c r="F99" s="7">
        <f t="shared" si="46"/>
        <v>-367625</v>
      </c>
      <c r="G99" s="7">
        <f t="shared" si="46"/>
        <v>-680649</v>
      </c>
      <c r="H99" s="7">
        <f t="shared" si="46"/>
        <v>-869358</v>
      </c>
      <c r="I99" s="7">
        <f>H99/H98*I98</f>
        <v>-1114980.4770895175</v>
      </c>
      <c r="J99" s="7">
        <f>I99/I98*J98</f>
        <v>-1411448.9270221316</v>
      </c>
    </row>
    <row r="100" spans="3:10" ht="21.75" thickBot="1" x14ac:dyDescent="0.5">
      <c r="C100" s="8" t="s">
        <v>56</v>
      </c>
      <c r="D100" s="15">
        <v>32266</v>
      </c>
      <c r="E100" s="15">
        <v>83047</v>
      </c>
      <c r="F100" s="15">
        <v>126046</v>
      </c>
      <c r="G100" s="15">
        <v>394967</v>
      </c>
      <c r="H100" s="15">
        <v>568207</v>
      </c>
      <c r="I100" s="15">
        <f>SUM(I98:I99)</f>
        <v>728744.3285109282</v>
      </c>
      <c r="J100" s="15">
        <f>SUM(J98:J99)</f>
        <v>922514.26969840331</v>
      </c>
    </row>
    <row r="102" spans="3:10" ht="21.75" thickBot="1" x14ac:dyDescent="0.5">
      <c r="C102" s="4" t="s">
        <v>76</v>
      </c>
      <c r="D102" s="13">
        <f>D93</f>
        <v>1398</v>
      </c>
      <c r="E102" s="13">
        <f t="shared" ref="E102:J102" si="47">E93</f>
        <v>1399</v>
      </c>
      <c r="F102" s="13">
        <f t="shared" si="47"/>
        <v>1400</v>
      </c>
      <c r="G102" s="13">
        <f t="shared" si="47"/>
        <v>1401</v>
      </c>
      <c r="H102" s="13">
        <f t="shared" si="47"/>
        <v>1402</v>
      </c>
      <c r="I102" s="14" t="str">
        <f t="shared" si="47"/>
        <v>کارشناسی 1403</v>
      </c>
      <c r="J102" s="14" t="str">
        <f t="shared" si="47"/>
        <v>کارشناسی 1404</v>
      </c>
    </row>
    <row r="103" spans="3:10" x14ac:dyDescent="0.45">
      <c r="C103" s="3" t="s">
        <v>77</v>
      </c>
      <c r="D103" s="7">
        <v>0</v>
      </c>
      <c r="E103" s="7">
        <v>0</v>
      </c>
      <c r="F103" s="7">
        <v>7409288</v>
      </c>
      <c r="G103" s="7">
        <v>952999</v>
      </c>
      <c r="H103" s="7">
        <v>0</v>
      </c>
      <c r="I103" s="7">
        <v>0</v>
      </c>
      <c r="J103" s="7">
        <v>0</v>
      </c>
    </row>
    <row r="104" spans="3:10" x14ac:dyDescent="0.45">
      <c r="C104" s="3" t="s">
        <v>78</v>
      </c>
      <c r="D104" s="7">
        <v>0</v>
      </c>
      <c r="E104" s="7">
        <v>0</v>
      </c>
      <c r="F104" s="7">
        <v>-261707</v>
      </c>
      <c r="G104" s="7">
        <v>-99521</v>
      </c>
      <c r="H104" s="7">
        <v>0</v>
      </c>
      <c r="I104" s="7">
        <v>0</v>
      </c>
      <c r="J104" s="7">
        <v>0</v>
      </c>
    </row>
    <row r="105" spans="3:10" x14ac:dyDescent="0.45">
      <c r="C105" s="3" t="s">
        <v>79</v>
      </c>
      <c r="D105" s="7">
        <v>440</v>
      </c>
      <c r="E105" s="7">
        <v>627</v>
      </c>
      <c r="F105" s="7">
        <v>21709</v>
      </c>
      <c r="G105" s="7">
        <v>3000</v>
      </c>
      <c r="H105" s="7">
        <v>0</v>
      </c>
      <c r="I105" s="7">
        <v>0</v>
      </c>
      <c r="J105" s="7">
        <v>0</v>
      </c>
    </row>
    <row r="106" spans="3:10" x14ac:dyDescent="0.45">
      <c r="C106" s="3" t="s">
        <v>80</v>
      </c>
      <c r="D106" s="7">
        <v>0</v>
      </c>
      <c r="E106" s="7">
        <v>0</v>
      </c>
      <c r="F106" s="7">
        <v>4990</v>
      </c>
      <c r="G106" s="7">
        <v>0</v>
      </c>
      <c r="H106" s="7">
        <v>0</v>
      </c>
      <c r="I106" s="7">
        <v>0</v>
      </c>
      <c r="J106" s="7">
        <v>0</v>
      </c>
    </row>
    <row r="107" spans="3:10" x14ac:dyDescent="0.45">
      <c r="C107" s="3" t="s">
        <v>81</v>
      </c>
      <c r="D107" s="7">
        <v>0</v>
      </c>
      <c r="E107" s="7">
        <v>0</v>
      </c>
      <c r="F107" s="7">
        <v>150</v>
      </c>
      <c r="G107" s="7">
        <v>0</v>
      </c>
      <c r="H107" s="7">
        <v>0</v>
      </c>
      <c r="I107" s="7">
        <v>0</v>
      </c>
      <c r="J107" s="7">
        <v>0</v>
      </c>
    </row>
    <row r="108" spans="3:10" x14ac:dyDescent="0.45">
      <c r="C108" s="3" t="s">
        <v>82</v>
      </c>
      <c r="D108" s="7">
        <v>0</v>
      </c>
      <c r="E108" s="7">
        <v>18</v>
      </c>
      <c r="F108" s="7">
        <v>0</v>
      </c>
      <c r="G108" s="7">
        <v>0</v>
      </c>
      <c r="H108" s="7">
        <v>0</v>
      </c>
      <c r="I108" s="7">
        <v>0</v>
      </c>
      <c r="J108" s="7">
        <v>0</v>
      </c>
    </row>
    <row r="109" spans="3:10" x14ac:dyDescent="0.45">
      <c r="C109" s="3" t="s">
        <v>83</v>
      </c>
      <c r="D109" s="7">
        <v>-1898</v>
      </c>
      <c r="E109" s="7">
        <v>0</v>
      </c>
      <c r="F109" s="7">
        <v>0</v>
      </c>
      <c r="G109" s="7">
        <v>0</v>
      </c>
      <c r="H109" s="7">
        <v>0</v>
      </c>
      <c r="I109" s="7">
        <v>0</v>
      </c>
      <c r="J109" s="7">
        <v>0</v>
      </c>
    </row>
    <row r="110" spans="3:10" ht="21.75" thickBot="1" x14ac:dyDescent="0.5">
      <c r="C110" s="8" t="s">
        <v>56</v>
      </c>
      <c r="D110" s="15">
        <f>SUM(D103:D109)</f>
        <v>-1458</v>
      </c>
      <c r="E110" s="15">
        <f t="shared" ref="E110:J110" si="48">SUM(E103:E109)</f>
        <v>645</v>
      </c>
      <c r="F110" s="15">
        <f t="shared" si="48"/>
        <v>7174430</v>
      </c>
      <c r="G110" s="15">
        <f t="shared" si="48"/>
        <v>856478</v>
      </c>
      <c r="H110" s="15">
        <f t="shared" si="48"/>
        <v>0</v>
      </c>
      <c r="I110" s="15">
        <f t="shared" si="48"/>
        <v>0</v>
      </c>
      <c r="J110" s="15">
        <f t="shared" si="48"/>
        <v>0</v>
      </c>
    </row>
    <row r="112" spans="3:10" ht="21.75" thickBot="1" x14ac:dyDescent="0.5">
      <c r="C112" s="4" t="s">
        <v>8</v>
      </c>
      <c r="D112" s="13">
        <f>D102</f>
        <v>1398</v>
      </c>
      <c r="E112" s="13">
        <f t="shared" ref="E112:J112" si="49">E102</f>
        <v>1399</v>
      </c>
      <c r="F112" s="13">
        <f t="shared" si="49"/>
        <v>1400</v>
      </c>
      <c r="G112" s="13">
        <f t="shared" si="49"/>
        <v>1401</v>
      </c>
      <c r="H112" s="13">
        <f t="shared" si="49"/>
        <v>1402</v>
      </c>
      <c r="I112" s="14" t="str">
        <f t="shared" si="49"/>
        <v>کارشناسی 1403</v>
      </c>
      <c r="J112" s="14" t="str">
        <f t="shared" si="49"/>
        <v>کارشناسی 1404</v>
      </c>
    </row>
    <row r="113" spans="3:10" x14ac:dyDescent="0.45">
      <c r="C113" s="3" t="s">
        <v>84</v>
      </c>
      <c r="D113" s="7">
        <v>397491</v>
      </c>
      <c r="E113" s="7">
        <v>1078037</v>
      </c>
      <c r="F113" s="7">
        <v>1731565</v>
      </c>
      <c r="G113" s="7">
        <v>1966662</v>
      </c>
      <c r="H113" s="7">
        <v>1979583</v>
      </c>
      <c r="I113" s="7">
        <f>I117*I118</f>
        <v>2002723</v>
      </c>
      <c r="J113" s="7">
        <f>J117*J118</f>
        <v>2002723</v>
      </c>
    </row>
    <row r="114" spans="3:10" x14ac:dyDescent="0.45">
      <c r="C114" s="3" t="s">
        <v>85</v>
      </c>
      <c r="D114" s="7">
        <v>-397491</v>
      </c>
      <c r="E114" s="7">
        <v>-843977</v>
      </c>
      <c r="F114" s="7">
        <v>-1648599</v>
      </c>
      <c r="G114" s="7">
        <v>-1966662</v>
      </c>
      <c r="H114" s="7">
        <v>-220000</v>
      </c>
      <c r="I114" s="7">
        <v>-200000</v>
      </c>
      <c r="J114" s="7">
        <v>0</v>
      </c>
    </row>
    <row r="115" spans="3:10" x14ac:dyDescent="0.45">
      <c r="C115" s="3" t="s">
        <v>86</v>
      </c>
      <c r="D115" s="7">
        <v>0</v>
      </c>
      <c r="E115" s="7">
        <v>-234060</v>
      </c>
      <c r="F115" s="7">
        <v>-82966</v>
      </c>
      <c r="G115" s="7">
        <v>0</v>
      </c>
      <c r="H115" s="7">
        <v>0</v>
      </c>
      <c r="I115" s="7">
        <v>0</v>
      </c>
      <c r="J115" s="7">
        <v>0</v>
      </c>
    </row>
    <row r="116" spans="3:10" ht="21.75" thickBot="1" x14ac:dyDescent="0.5">
      <c r="C116" s="8" t="s">
        <v>87</v>
      </c>
      <c r="D116" s="15">
        <f>SUM(D113:D115)</f>
        <v>0</v>
      </c>
      <c r="E116" s="15">
        <f t="shared" ref="E116:J116" si="50">SUM(E113:E115)</f>
        <v>0</v>
      </c>
      <c r="F116" s="15">
        <f t="shared" si="50"/>
        <v>0</v>
      </c>
      <c r="G116" s="15">
        <f t="shared" si="50"/>
        <v>0</v>
      </c>
      <c r="H116" s="15">
        <f t="shared" si="50"/>
        <v>1759583</v>
      </c>
      <c r="I116" s="15">
        <f t="shared" si="50"/>
        <v>1802723</v>
      </c>
      <c r="J116" s="15">
        <f t="shared" si="50"/>
        <v>2002723</v>
      </c>
    </row>
    <row r="117" spans="3:10" x14ac:dyDescent="0.45">
      <c r="H117" s="7">
        <v>8010892</v>
      </c>
      <c r="I117" s="7">
        <f>H117</f>
        <v>8010892</v>
      </c>
      <c r="J117" s="7">
        <f>I117</f>
        <v>8010892</v>
      </c>
    </row>
    <row r="118" spans="3:10" x14ac:dyDescent="0.45">
      <c r="H118" s="19">
        <f>H113/H117</f>
        <v>0.24711143278426423</v>
      </c>
      <c r="I118" s="19">
        <v>0.25</v>
      </c>
      <c r="J118" s="19">
        <f>I118</f>
        <v>0.25</v>
      </c>
    </row>
    <row r="119" spans="3:10" ht="21.75" thickBot="1" x14ac:dyDescent="0.5">
      <c r="C119" s="4" t="s">
        <v>88</v>
      </c>
      <c r="D119" s="13">
        <f>D112</f>
        <v>1398</v>
      </c>
      <c r="E119" s="13">
        <f t="shared" ref="E119:J119" si="51">E112</f>
        <v>1399</v>
      </c>
      <c r="F119" s="13">
        <f t="shared" si="51"/>
        <v>1400</v>
      </c>
      <c r="G119" s="13">
        <f t="shared" si="51"/>
        <v>1401</v>
      </c>
      <c r="H119" s="13">
        <f t="shared" si="51"/>
        <v>1402</v>
      </c>
      <c r="I119" s="14" t="str">
        <f t="shared" si="51"/>
        <v>کارشناسی 1403</v>
      </c>
      <c r="J119" s="14" t="str">
        <f t="shared" si="51"/>
        <v>کارشناسی 1404</v>
      </c>
    </row>
    <row r="120" spans="3:10" x14ac:dyDescent="0.45">
      <c r="C120" s="3" t="s">
        <v>89</v>
      </c>
      <c r="D120" s="7">
        <v>744</v>
      </c>
      <c r="E120" s="7">
        <v>1203</v>
      </c>
      <c r="F120" s="7">
        <v>2059</v>
      </c>
      <c r="G120" s="7">
        <v>1185</v>
      </c>
      <c r="H120" s="7">
        <v>696</v>
      </c>
      <c r="I120" s="7">
        <v>1000</v>
      </c>
      <c r="J120" s="7">
        <v>1200</v>
      </c>
    </row>
    <row r="121" spans="3:10" x14ac:dyDescent="0.45">
      <c r="C121" s="3" t="s">
        <v>90</v>
      </c>
      <c r="D121" s="7">
        <v>0</v>
      </c>
      <c r="E121" s="7">
        <v>55</v>
      </c>
      <c r="F121" s="7">
        <v>138</v>
      </c>
      <c r="G121" s="7">
        <v>4</v>
      </c>
      <c r="H121" s="7">
        <v>39385</v>
      </c>
      <c r="I121" s="7">
        <v>0</v>
      </c>
      <c r="J121" s="7">
        <v>0</v>
      </c>
    </row>
    <row r="122" spans="3:10" x14ac:dyDescent="0.45">
      <c r="C122" s="3" t="s">
        <v>91</v>
      </c>
      <c r="D122" s="7">
        <v>0</v>
      </c>
      <c r="E122" s="7">
        <v>0</v>
      </c>
      <c r="F122" s="7">
        <v>0</v>
      </c>
      <c r="G122" s="7">
        <v>0</v>
      </c>
      <c r="H122" s="7">
        <v>0</v>
      </c>
      <c r="I122" s="7">
        <v>0</v>
      </c>
      <c r="J122" s="7">
        <v>0</v>
      </c>
    </row>
    <row r="123" spans="3:10" x14ac:dyDescent="0.45">
      <c r="C123" s="3" t="s">
        <v>92</v>
      </c>
      <c r="D123" s="7">
        <v>196</v>
      </c>
      <c r="E123" s="7">
        <v>805</v>
      </c>
      <c r="F123" s="7">
        <v>510</v>
      </c>
      <c r="G123" s="7">
        <v>-1555</v>
      </c>
      <c r="H123" s="7">
        <v>0</v>
      </c>
      <c r="I123" s="7">
        <v>0</v>
      </c>
      <c r="J123" s="7">
        <v>0</v>
      </c>
    </row>
    <row r="124" spans="3:10" x14ac:dyDescent="0.45">
      <c r="C124" s="3" t="s">
        <v>24</v>
      </c>
      <c r="D124" s="7">
        <f>4839</f>
        <v>4839</v>
      </c>
      <c r="E124" s="7">
        <f>234060+600-234060</f>
        <v>600</v>
      </c>
      <c r="F124" s="7">
        <f>82966+3036+124-82966</f>
        <v>3160</v>
      </c>
      <c r="G124" s="7">
        <f>928+3639-11803</f>
        <v>-7236</v>
      </c>
      <c r="H124" s="7">
        <v>-734920</v>
      </c>
      <c r="I124" s="7">
        <f>G124</f>
        <v>-7236</v>
      </c>
      <c r="J124" s="7">
        <f>I124</f>
        <v>-7236</v>
      </c>
    </row>
    <row r="125" spans="3:10" ht="21.75" thickBot="1" x14ac:dyDescent="0.5">
      <c r="C125" s="8" t="s">
        <v>56</v>
      </c>
      <c r="D125" s="15">
        <f t="shared" ref="D125:G125" si="52">SUM(D120:D124)</f>
        <v>5779</v>
      </c>
      <c r="E125" s="15">
        <f t="shared" si="52"/>
        <v>2663</v>
      </c>
      <c r="F125" s="15">
        <f t="shared" si="52"/>
        <v>5867</v>
      </c>
      <c r="G125" s="15">
        <f t="shared" si="52"/>
        <v>-7602</v>
      </c>
      <c r="H125" s="15">
        <f>SUM(H120:H124)</f>
        <v>-694839</v>
      </c>
      <c r="I125" s="15">
        <f t="shared" ref="I125:J125" si="53">SUM(I120:I124)</f>
        <v>-6236</v>
      </c>
      <c r="J125" s="15">
        <f t="shared" si="53"/>
        <v>-6036</v>
      </c>
    </row>
  </sheetData>
  <mergeCells count="3">
    <mergeCell ref="K49:K50"/>
    <mergeCell ref="D62:D69"/>
    <mergeCell ref="L76:M76"/>
  </mergeCells>
  <conditionalFormatting sqref="H30:H41">
    <cfRule type="dataBar" priority="1">
      <dataBar>
        <cfvo type="min"/>
        <cfvo type="max"/>
        <color rgb="FFFFB628"/>
      </dataBar>
      <extLst>
        <ext xmlns:x14="http://schemas.microsoft.com/office/spreadsheetml/2009/9/main" uri="{B025F937-C7B1-47D3-B67F-A62EFF666E3E}">
          <x14:id>{07281BBD-B486-415D-AB49-3AC0B40990CB}</x14:id>
        </ext>
      </extLst>
    </cfRule>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7281BBD-B486-415D-AB49-3AC0B40990CB}">
            <x14:dataBar minLength="0" maxLength="100" border="1" negativeBarBorderColorSameAsPositive="0">
              <x14:cfvo type="autoMin"/>
              <x14:cfvo type="autoMax"/>
              <x14:borderColor rgb="FFFFB628"/>
              <x14:negativeFillColor rgb="FFFF0000"/>
              <x14:negativeBorderColor rgb="FFFF0000"/>
              <x14:axisColor rgb="FF000000"/>
            </x14:dataBar>
          </x14:cfRule>
          <xm:sqref>H30:H41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4FE7-CAD9-4D8E-A4BC-7731F1A83C17}">
  <dimension ref="B1:J23"/>
  <sheetViews>
    <sheetView showGridLines="0" rightToLeft="1" zoomScale="120" zoomScaleNormal="120" workbookViewId="0">
      <selection activeCell="O8" sqref="O8"/>
    </sheetView>
  </sheetViews>
  <sheetFormatPr defaultRowHeight="18.75" x14ac:dyDescent="0.45"/>
  <cols>
    <col min="1" max="1" width="9.140625" style="52"/>
    <col min="2" max="2" width="1" style="52" customWidth="1"/>
    <col min="3" max="3" width="3.85546875" style="52" customWidth="1"/>
    <col min="4" max="4" width="29.85546875" style="1" bestFit="1" customWidth="1"/>
    <col min="5" max="5" width="17.42578125" style="7" customWidth="1"/>
    <col min="6" max="6" width="3.140625" style="7" customWidth="1"/>
    <col min="7" max="7" width="4.140625" style="52" customWidth="1"/>
    <col min="8" max="8" width="30" style="1" bestFit="1" customWidth="1"/>
    <col min="9" max="9" width="11.5703125" style="1" customWidth="1"/>
    <col min="10" max="10" width="1.7109375" style="52" customWidth="1"/>
    <col min="11" max="16384" width="9.140625" style="52"/>
  </cols>
  <sheetData>
    <row r="1" spans="2:10" ht="19.5" thickBot="1" x14ac:dyDescent="0.5"/>
    <row r="2" spans="2:10" ht="12.75" customHeight="1" x14ac:dyDescent="0.45">
      <c r="B2" s="55"/>
      <c r="C2" s="56"/>
      <c r="D2" s="57"/>
      <c r="E2" s="58"/>
      <c r="F2" s="58"/>
      <c r="G2" s="56"/>
      <c r="H2" s="57"/>
      <c r="I2" s="57"/>
      <c r="J2" s="59"/>
    </row>
    <row r="3" spans="2:10" ht="21" customHeight="1" x14ac:dyDescent="0.45">
      <c r="B3" s="60"/>
      <c r="E3" s="128" t="s">
        <v>135</v>
      </c>
      <c r="F3" s="128"/>
      <c r="G3" s="128"/>
      <c r="H3" s="128"/>
      <c r="J3" s="63"/>
    </row>
    <row r="4" spans="2:10" ht="21" customHeight="1" x14ac:dyDescent="0.45">
      <c r="B4" s="60"/>
      <c r="J4" s="63"/>
    </row>
    <row r="5" spans="2:10" ht="21" x14ac:dyDescent="0.45">
      <c r="B5" s="60"/>
      <c r="E5" s="5" t="s">
        <v>134</v>
      </c>
      <c r="F5" s="61"/>
      <c r="I5" s="5" t="str">
        <f>E5</f>
        <v>1402/09/30</v>
      </c>
      <c r="J5" s="62"/>
    </row>
    <row r="6" spans="2:10" ht="19.5" customHeight="1" x14ac:dyDescent="0.55000000000000004">
      <c r="B6" s="60"/>
      <c r="D6" s="53" t="s">
        <v>102</v>
      </c>
      <c r="H6" s="53" t="s">
        <v>116</v>
      </c>
      <c r="I6" s="7"/>
      <c r="J6" s="63"/>
    </row>
    <row r="7" spans="2:10" ht="21" customHeight="1" x14ac:dyDescent="0.45">
      <c r="B7" s="60"/>
      <c r="C7" s="129" t="s">
        <v>103</v>
      </c>
      <c r="D7" s="64" t="s">
        <v>104</v>
      </c>
      <c r="E7" s="6">
        <f>18410172+'NAV برکت'!E39</f>
        <v>23551378</v>
      </c>
      <c r="F7" s="6"/>
      <c r="G7" s="127" t="s">
        <v>116</v>
      </c>
      <c r="H7" s="64" t="s">
        <v>117</v>
      </c>
      <c r="I7" s="6">
        <v>5300000</v>
      </c>
      <c r="J7" s="63"/>
    </row>
    <row r="8" spans="2:10" ht="21" customHeight="1" x14ac:dyDescent="0.45">
      <c r="B8" s="60"/>
      <c r="C8" s="129"/>
      <c r="D8" s="64" t="s">
        <v>105</v>
      </c>
      <c r="E8" s="6">
        <v>226314</v>
      </c>
      <c r="F8" s="6"/>
      <c r="G8" s="127"/>
      <c r="H8" s="64" t="s">
        <v>118</v>
      </c>
      <c r="I8" s="6">
        <v>284908</v>
      </c>
      <c r="J8" s="63"/>
    </row>
    <row r="9" spans="2:10" ht="21" customHeight="1" x14ac:dyDescent="0.45">
      <c r="B9" s="60"/>
      <c r="C9" s="129"/>
      <c r="D9" s="64" t="s">
        <v>106</v>
      </c>
      <c r="E9" s="6">
        <v>7500</v>
      </c>
      <c r="F9" s="6"/>
      <c r="G9" s="127"/>
      <c r="H9" s="64" t="s">
        <v>119</v>
      </c>
      <c r="I9" s="6">
        <v>-2327852</v>
      </c>
      <c r="J9" s="63"/>
    </row>
    <row r="10" spans="2:10" ht="21" customHeight="1" x14ac:dyDescent="0.45">
      <c r="B10" s="60"/>
      <c r="C10" s="129"/>
      <c r="D10" s="64" t="s">
        <v>107</v>
      </c>
      <c r="E10" s="6">
        <v>4040</v>
      </c>
      <c r="F10" s="6"/>
      <c r="G10" s="127"/>
      <c r="H10" s="1" t="s">
        <v>169</v>
      </c>
      <c r="I10" s="6">
        <f>I22-I21-SUM(I7:I9)</f>
        <v>5141206</v>
      </c>
      <c r="J10" s="63"/>
    </row>
    <row r="11" spans="2:10" ht="21" customHeight="1" x14ac:dyDescent="0.45">
      <c r="B11" s="60"/>
      <c r="C11" s="129"/>
      <c r="D11" s="54" t="s">
        <v>108</v>
      </c>
      <c r="E11" s="32">
        <f>SUM(E7:E10)</f>
        <v>23789232</v>
      </c>
      <c r="H11" s="54" t="s">
        <v>120</v>
      </c>
      <c r="I11" s="5">
        <f>SUM(I7:I10)</f>
        <v>8398262</v>
      </c>
      <c r="J11" s="63"/>
    </row>
    <row r="12" spans="2:10" ht="21" customHeight="1" x14ac:dyDescent="0.55000000000000004">
      <c r="B12" s="60"/>
      <c r="C12" s="129" t="s">
        <v>109</v>
      </c>
      <c r="D12" s="64" t="s">
        <v>110</v>
      </c>
      <c r="E12" s="6">
        <v>754547</v>
      </c>
      <c r="F12" s="6"/>
      <c r="H12" s="53" t="s">
        <v>121</v>
      </c>
      <c r="J12" s="63"/>
    </row>
    <row r="13" spans="2:10" ht="21" customHeight="1" x14ac:dyDescent="0.45">
      <c r="B13" s="60"/>
      <c r="C13" s="129"/>
      <c r="D13" s="64" t="s">
        <v>111</v>
      </c>
      <c r="E13" s="6">
        <v>238918</v>
      </c>
      <c r="F13" s="6"/>
      <c r="G13" s="126" t="s">
        <v>122</v>
      </c>
      <c r="H13" s="64" t="s">
        <v>123</v>
      </c>
      <c r="I13" s="6">
        <v>4264700</v>
      </c>
      <c r="J13" s="63"/>
    </row>
    <row r="14" spans="2:10" ht="21" customHeight="1" x14ac:dyDescent="0.45">
      <c r="B14" s="60"/>
      <c r="C14" s="129"/>
      <c r="D14" s="64" t="s">
        <v>112</v>
      </c>
      <c r="E14" s="6">
        <v>9847702</v>
      </c>
      <c r="F14" s="6"/>
      <c r="G14" s="126"/>
      <c r="H14" s="64" t="s">
        <v>124</v>
      </c>
      <c r="I14" s="6">
        <v>630652</v>
      </c>
      <c r="J14" s="63"/>
    </row>
    <row r="15" spans="2:10" ht="21" customHeight="1" x14ac:dyDescent="0.45">
      <c r="B15" s="60"/>
      <c r="C15" s="129"/>
      <c r="D15" s="64" t="s">
        <v>113</v>
      </c>
      <c r="E15" s="6">
        <v>13105</v>
      </c>
      <c r="F15" s="6"/>
      <c r="G15" s="126"/>
      <c r="H15" s="64" t="s">
        <v>125</v>
      </c>
      <c r="I15" s="6">
        <v>103520</v>
      </c>
      <c r="J15" s="63"/>
    </row>
    <row r="16" spans="2:10" ht="21" customHeight="1" x14ac:dyDescent="0.45">
      <c r="B16" s="60"/>
      <c r="C16" s="129"/>
      <c r="D16" s="54" t="s">
        <v>114</v>
      </c>
      <c r="E16" s="32">
        <f>SUM(E12:E15)</f>
        <v>10854272</v>
      </c>
      <c r="G16" s="126"/>
      <c r="H16" s="64" t="s">
        <v>126</v>
      </c>
      <c r="I16" s="6">
        <f>SUM(I13:I15)</f>
        <v>4998872</v>
      </c>
      <c r="J16" s="63"/>
    </row>
    <row r="17" spans="2:10" ht="21" customHeight="1" x14ac:dyDescent="0.55000000000000004">
      <c r="B17" s="60"/>
      <c r="D17" s="65" t="s">
        <v>115</v>
      </c>
      <c r="E17" s="61">
        <f>E16+E11</f>
        <v>34643504</v>
      </c>
      <c r="F17" s="61"/>
      <c r="G17" s="127" t="s">
        <v>127</v>
      </c>
      <c r="H17" s="64" t="s">
        <v>128</v>
      </c>
      <c r="I17" s="6">
        <v>11520200</v>
      </c>
      <c r="J17" s="63"/>
    </row>
    <row r="18" spans="2:10" ht="21" customHeight="1" x14ac:dyDescent="0.45">
      <c r="B18" s="60"/>
      <c r="G18" s="127"/>
      <c r="H18" s="64" t="s">
        <v>129</v>
      </c>
      <c r="I18" s="6">
        <v>1715278</v>
      </c>
      <c r="J18" s="63"/>
    </row>
    <row r="19" spans="2:10" ht="21" customHeight="1" x14ac:dyDescent="0.45">
      <c r="B19" s="60"/>
      <c r="G19" s="127"/>
      <c r="H19" s="64" t="s">
        <v>130</v>
      </c>
      <c r="I19" s="6">
        <v>8010892</v>
      </c>
      <c r="J19" s="63"/>
    </row>
    <row r="20" spans="2:10" ht="21" customHeight="1" x14ac:dyDescent="0.45">
      <c r="B20" s="60"/>
      <c r="G20" s="127"/>
      <c r="H20" s="54" t="s">
        <v>131</v>
      </c>
      <c r="I20" s="32">
        <f>SUM(I17:I19)</f>
        <v>21246370</v>
      </c>
      <c r="J20" s="63"/>
    </row>
    <row r="21" spans="2:10" ht="21" customHeight="1" x14ac:dyDescent="0.45">
      <c r="B21" s="60"/>
      <c r="H21" s="1" t="s">
        <v>132</v>
      </c>
      <c r="I21" s="61">
        <f>I20+I16</f>
        <v>26245242</v>
      </c>
      <c r="J21" s="63"/>
    </row>
    <row r="22" spans="2:10" ht="21" x14ac:dyDescent="0.55000000000000004">
      <c r="B22" s="60"/>
      <c r="H22" s="65" t="s">
        <v>133</v>
      </c>
      <c r="I22" s="61">
        <f>E17</f>
        <v>34643504</v>
      </c>
      <c r="J22" s="63"/>
    </row>
    <row r="23" spans="2:10" ht="6.75" customHeight="1" thickBot="1" x14ac:dyDescent="0.5">
      <c r="B23" s="66"/>
      <c r="C23" s="67"/>
      <c r="D23" s="68"/>
      <c r="E23" s="15"/>
      <c r="F23" s="15"/>
      <c r="G23" s="67"/>
      <c r="H23" s="68"/>
      <c r="I23" s="68"/>
      <c r="J23" s="69"/>
    </row>
  </sheetData>
  <mergeCells count="6">
    <mergeCell ref="G13:G16"/>
    <mergeCell ref="G17:G20"/>
    <mergeCell ref="E3:H3"/>
    <mergeCell ref="G7:G10"/>
    <mergeCell ref="C7:C11"/>
    <mergeCell ref="C12:C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DE98-4B8B-4430-9403-B012B2D874F6}">
  <dimension ref="B2:G39"/>
  <sheetViews>
    <sheetView showGridLines="0" rightToLeft="1" topLeftCell="A7" zoomScale="130" zoomScaleNormal="130" workbookViewId="0">
      <selection activeCell="B42" sqref="B42"/>
    </sheetView>
  </sheetViews>
  <sheetFormatPr defaultRowHeight="18" x14ac:dyDescent="0.45"/>
  <cols>
    <col min="1" max="1" width="9.140625" style="52"/>
    <col min="2" max="2" width="22" style="52" customWidth="1"/>
    <col min="3" max="3" width="12.5703125" style="20" customWidth="1"/>
    <col min="4" max="4" width="16.42578125" style="20" customWidth="1"/>
    <col min="5" max="5" width="18.5703125" style="20" customWidth="1"/>
    <col min="6" max="6" width="16.42578125" style="20" customWidth="1"/>
    <col min="7" max="16384" width="9.140625" style="52"/>
  </cols>
  <sheetData>
    <row r="2" spans="2:7" ht="19.5" x14ac:dyDescent="0.5">
      <c r="B2" s="77" t="s">
        <v>136</v>
      </c>
      <c r="C2" s="44" t="s">
        <v>100</v>
      </c>
      <c r="D2" s="44" t="s">
        <v>137</v>
      </c>
      <c r="E2" s="44" t="s">
        <v>159</v>
      </c>
      <c r="F2" s="44" t="s">
        <v>173</v>
      </c>
      <c r="G2" s="20"/>
    </row>
    <row r="3" spans="2:7" ht="19.5" x14ac:dyDescent="0.5">
      <c r="B3" s="78" t="s">
        <v>148</v>
      </c>
      <c r="C3" s="81">
        <v>46.35</v>
      </c>
      <c r="D3" s="45">
        <f>(6258208299*3992/10^6)</f>
        <v>24982767.529608</v>
      </c>
      <c r="E3" s="45">
        <v>5407277</v>
      </c>
      <c r="F3" s="79">
        <f>D3-E3</f>
        <v>19575490.529608</v>
      </c>
      <c r="G3" s="21"/>
    </row>
    <row r="4" spans="2:7" ht="19.5" x14ac:dyDescent="0.5">
      <c r="B4" s="78" t="s">
        <v>139</v>
      </c>
      <c r="C4" s="81">
        <v>48.22</v>
      </c>
      <c r="D4" s="45">
        <f>(29502298+E39)*C4/100</f>
        <v>16705097.628799999</v>
      </c>
      <c r="E4" s="45">
        <v>2555651</v>
      </c>
      <c r="F4" s="79">
        <f>D4-E4</f>
        <v>14149446.628799999</v>
      </c>
      <c r="G4" s="21"/>
    </row>
    <row r="5" spans="2:7" ht="19.5" x14ac:dyDescent="0.5">
      <c r="B5" s="78" t="s">
        <v>140</v>
      </c>
      <c r="C5" s="81">
        <v>100</v>
      </c>
      <c r="D5" s="45">
        <f>44540481*C5/100</f>
        <v>44540481</v>
      </c>
      <c r="E5" s="45">
        <v>700000</v>
      </c>
      <c r="F5" s="79">
        <f t="shared" ref="F5:F7" si="0">D5-E5</f>
        <v>43840481</v>
      </c>
      <c r="G5" s="21"/>
    </row>
    <row r="6" spans="2:7" ht="19.5" x14ac:dyDescent="0.5">
      <c r="B6" s="78" t="s">
        <v>141</v>
      </c>
      <c r="C6" s="81">
        <v>88.2</v>
      </c>
      <c r="D6" s="45">
        <f>(25179196+E34)*C6/100</f>
        <v>33577484.219999999</v>
      </c>
      <c r="E6" s="45">
        <v>8167112</v>
      </c>
      <c r="F6" s="79">
        <f>D6-E6</f>
        <v>25410372.219999999</v>
      </c>
      <c r="G6" s="21"/>
    </row>
    <row r="7" spans="2:7" ht="19.5" x14ac:dyDescent="0.5">
      <c r="B7" s="77" t="s">
        <v>24</v>
      </c>
      <c r="C7" s="72"/>
      <c r="D7" s="47">
        <v>2207705.0580000002</v>
      </c>
      <c r="E7" s="47">
        <f>11771010-E6-E5-E4</f>
        <v>348247</v>
      </c>
      <c r="F7" s="80">
        <f t="shared" si="0"/>
        <v>1859458.0580000002</v>
      </c>
      <c r="G7" s="21"/>
    </row>
    <row r="8" spans="2:7" ht="19.5" x14ac:dyDescent="0.5">
      <c r="B8" s="78" t="s">
        <v>56</v>
      </c>
      <c r="C8" s="78"/>
      <c r="D8" s="45">
        <f t="shared" ref="D8:E8" si="1">SUM(D3:D7)</f>
        <v>122013535.436408</v>
      </c>
      <c r="E8" s="45">
        <f t="shared" si="1"/>
        <v>17178287</v>
      </c>
      <c r="F8" s="43">
        <f>SUM(F3:F7)</f>
        <v>104835248.436408</v>
      </c>
      <c r="G8" s="21"/>
    </row>
    <row r="9" spans="2:7" x14ac:dyDescent="0.45">
      <c r="E9" s="21"/>
    </row>
    <row r="10" spans="2:7" x14ac:dyDescent="0.45">
      <c r="F10" s="21"/>
    </row>
    <row r="11" spans="2:7" hidden="1" x14ac:dyDescent="0.45"/>
    <row r="12" spans="2:7" hidden="1" x14ac:dyDescent="0.45">
      <c r="C12" s="130" t="s">
        <v>148</v>
      </c>
      <c r="D12" s="130"/>
      <c r="E12" s="130"/>
    </row>
    <row r="13" spans="2:7" hidden="1" x14ac:dyDescent="0.45">
      <c r="B13" s="71" t="s">
        <v>136</v>
      </c>
      <c r="C13" s="70" t="s">
        <v>137</v>
      </c>
      <c r="D13" s="70" t="s">
        <v>138</v>
      </c>
      <c r="E13" s="70" t="s">
        <v>142</v>
      </c>
    </row>
    <row r="14" spans="2:7" hidden="1" x14ac:dyDescent="0.45">
      <c r="B14" s="52" t="s">
        <v>143</v>
      </c>
      <c r="C14" s="21">
        <f>4846456818*5680/10^6</f>
        <v>27527874.726240002</v>
      </c>
      <c r="D14" s="21">
        <v>8268868</v>
      </c>
      <c r="E14" s="21">
        <f>C14-D14</f>
        <v>19259006.726240002</v>
      </c>
    </row>
    <row r="15" spans="2:7" hidden="1" x14ac:dyDescent="0.45">
      <c r="B15" s="52" t="s">
        <v>144</v>
      </c>
      <c r="C15" s="21">
        <f>4194727222*3840/10^6</f>
        <v>16107752.53248</v>
      </c>
      <c r="D15" s="21">
        <v>7132515</v>
      </c>
      <c r="E15" s="21">
        <f>C15-D15</f>
        <v>8975237.5324799996</v>
      </c>
    </row>
    <row r="16" spans="2:7" hidden="1" x14ac:dyDescent="0.45">
      <c r="B16" s="52" t="s">
        <v>145</v>
      </c>
      <c r="C16" s="21">
        <v>16398959</v>
      </c>
      <c r="D16" s="21">
        <f>23962793-D15-D14</f>
        <v>8561410</v>
      </c>
      <c r="E16" s="21">
        <f>C16-D16</f>
        <v>7837549</v>
      </c>
    </row>
    <row r="17" spans="2:5" hidden="1" x14ac:dyDescent="0.45">
      <c r="B17" s="52" t="s">
        <v>146</v>
      </c>
      <c r="C17" s="21"/>
      <c r="D17" s="21"/>
      <c r="E17" s="21">
        <v>12700000</v>
      </c>
    </row>
    <row r="18" spans="2:5" hidden="1" x14ac:dyDescent="0.45">
      <c r="B18" s="71" t="s">
        <v>147</v>
      </c>
      <c r="C18" s="73">
        <f>E28</f>
        <v>9253446</v>
      </c>
      <c r="D18" s="73">
        <v>2313658</v>
      </c>
      <c r="E18" s="73">
        <f>C18-D18</f>
        <v>6939788</v>
      </c>
    </row>
    <row r="19" spans="2:5" hidden="1" x14ac:dyDescent="0.45">
      <c r="B19" s="52" t="s">
        <v>56</v>
      </c>
      <c r="E19" s="21">
        <f>SUM(E14:E18)</f>
        <v>55711581.258720003</v>
      </c>
    </row>
    <row r="20" spans="2:5" hidden="1" x14ac:dyDescent="0.45">
      <c r="E20" s="21">
        <v>53892399</v>
      </c>
    </row>
    <row r="21" spans="2:5" hidden="1" x14ac:dyDescent="0.45"/>
    <row r="22" spans="2:5" hidden="1" x14ac:dyDescent="0.45">
      <c r="B22" s="71" t="s">
        <v>150</v>
      </c>
      <c r="C22" s="72" t="s">
        <v>156</v>
      </c>
      <c r="D22" s="72" t="s">
        <v>157</v>
      </c>
      <c r="E22" s="72" t="s">
        <v>158</v>
      </c>
    </row>
    <row r="23" spans="2:5" hidden="1" x14ac:dyDescent="0.45">
      <c r="B23" s="52" t="s">
        <v>149</v>
      </c>
      <c r="C23" s="21">
        <v>1500</v>
      </c>
      <c r="D23" s="21">
        <v>620</v>
      </c>
      <c r="E23" s="21">
        <f>D23*C23</f>
        <v>930000</v>
      </c>
    </row>
    <row r="24" spans="2:5" hidden="1" x14ac:dyDescent="0.45">
      <c r="B24" s="52" t="s">
        <v>151</v>
      </c>
      <c r="C24" s="21">
        <v>3320</v>
      </c>
      <c r="D24" s="21">
        <v>730</v>
      </c>
      <c r="E24" s="21">
        <f t="shared" ref="E24:E27" si="2">D24*C24</f>
        <v>2423600</v>
      </c>
    </row>
    <row r="25" spans="2:5" hidden="1" x14ac:dyDescent="0.45">
      <c r="B25" s="52" t="s">
        <v>152</v>
      </c>
      <c r="C25" s="21">
        <v>36138</v>
      </c>
      <c r="D25" s="21">
        <v>135</v>
      </c>
      <c r="E25" s="21">
        <f t="shared" si="2"/>
        <v>4878630</v>
      </c>
    </row>
    <row r="26" spans="2:5" hidden="1" x14ac:dyDescent="0.45">
      <c r="B26" s="52" t="s">
        <v>153</v>
      </c>
      <c r="C26" s="21">
        <v>568</v>
      </c>
      <c r="D26" s="21">
        <v>710</v>
      </c>
      <c r="E26" s="21">
        <f t="shared" si="2"/>
        <v>403280</v>
      </c>
    </row>
    <row r="27" spans="2:5" hidden="1" x14ac:dyDescent="0.45">
      <c r="B27" s="71" t="s">
        <v>154</v>
      </c>
      <c r="C27" s="73">
        <v>3511</v>
      </c>
      <c r="D27" s="73">
        <v>176</v>
      </c>
      <c r="E27" s="73">
        <f t="shared" si="2"/>
        <v>617936</v>
      </c>
    </row>
    <row r="28" spans="2:5" hidden="1" x14ac:dyDescent="0.45">
      <c r="B28" s="52" t="s">
        <v>155</v>
      </c>
      <c r="C28" s="21"/>
      <c r="D28" s="21"/>
      <c r="E28" s="21">
        <f>SUM(E23:E27)</f>
        <v>9253446</v>
      </c>
    </row>
    <row r="29" spans="2:5" hidden="1" x14ac:dyDescent="0.45"/>
    <row r="31" spans="2:5" x14ac:dyDescent="0.45">
      <c r="B31" s="71" t="s">
        <v>174</v>
      </c>
      <c r="C31" s="72" t="str">
        <f>C22</f>
        <v>متراژ</v>
      </c>
      <c r="D31" s="72" t="str">
        <f t="shared" ref="D31:E31" si="3">D22</f>
        <v>ارزش هر متر مربع</v>
      </c>
      <c r="E31" s="72" t="str">
        <f t="shared" si="3"/>
        <v>ارزش جاری ( میلیون ریال)</v>
      </c>
    </row>
    <row r="32" spans="2:5" x14ac:dyDescent="0.45">
      <c r="B32" s="52" t="s">
        <v>166</v>
      </c>
      <c r="C32" s="21">
        <v>122884</v>
      </c>
      <c r="D32" s="21">
        <v>105</v>
      </c>
      <c r="E32" s="21">
        <f>D32*C32</f>
        <v>12902820</v>
      </c>
    </row>
    <row r="33" spans="2:5" x14ac:dyDescent="0.45">
      <c r="B33" s="71" t="s">
        <v>159</v>
      </c>
      <c r="C33" s="73"/>
      <c r="D33" s="73"/>
      <c r="E33" s="73">
        <v>-12306</v>
      </c>
    </row>
    <row r="34" spans="2:5" x14ac:dyDescent="0.45">
      <c r="B34" s="52" t="s">
        <v>167</v>
      </c>
      <c r="C34" s="21"/>
      <c r="D34" s="21"/>
      <c r="E34" s="21">
        <f>SUM(E32:E33)</f>
        <v>12890514</v>
      </c>
    </row>
    <row r="36" spans="2:5" x14ac:dyDescent="0.45">
      <c r="B36" s="71" t="s">
        <v>175</v>
      </c>
      <c r="C36" s="72" t="str">
        <f>C31</f>
        <v>متراژ</v>
      </c>
      <c r="D36" s="72" t="str">
        <f t="shared" ref="D36:E36" si="4">D31</f>
        <v>ارزش هر متر مربع</v>
      </c>
      <c r="E36" s="72" t="str">
        <f t="shared" si="4"/>
        <v>ارزش جاری ( میلیون ریال)</v>
      </c>
    </row>
    <row r="37" spans="2:5" x14ac:dyDescent="0.45">
      <c r="B37" s="52" t="s">
        <v>176</v>
      </c>
      <c r="C37" s="21">
        <v>50503</v>
      </c>
      <c r="D37" s="21">
        <f>D32</f>
        <v>105</v>
      </c>
      <c r="E37" s="21">
        <f>D37*C37</f>
        <v>5302815</v>
      </c>
    </row>
    <row r="38" spans="2:5" x14ac:dyDescent="0.45">
      <c r="B38" s="71" t="s">
        <v>159</v>
      </c>
      <c r="C38" s="73"/>
      <c r="D38" s="73"/>
      <c r="E38" s="73">
        <v>-161609</v>
      </c>
    </row>
    <row r="39" spans="2:5" x14ac:dyDescent="0.45">
      <c r="B39" s="52" t="str">
        <f>B34</f>
        <v>خالص افزایش در حساب دارایی های ثابت</v>
      </c>
      <c r="C39" s="21"/>
      <c r="D39" s="21"/>
      <c r="E39" s="21">
        <f>SUM(E37:E38)</f>
        <v>5141206</v>
      </c>
    </row>
  </sheetData>
  <mergeCells count="1">
    <mergeCell ref="C12:E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ABA1F-F300-4259-8A82-B7CE63524093}">
  <dimension ref="B1:J30"/>
  <sheetViews>
    <sheetView showGridLines="0" rightToLeft="1" zoomScale="120" zoomScaleNormal="120" workbookViewId="0">
      <selection activeCell="E6" sqref="E6"/>
    </sheetView>
  </sheetViews>
  <sheetFormatPr defaultRowHeight="18.75" x14ac:dyDescent="0.45"/>
  <cols>
    <col min="1" max="1" width="9.140625" style="52"/>
    <col min="2" max="2" width="1" style="52" customWidth="1"/>
    <col min="3" max="3" width="3.85546875" style="52" customWidth="1"/>
    <col min="4" max="4" width="29.85546875" style="1" bestFit="1" customWidth="1"/>
    <col min="5" max="5" width="17.42578125" style="7" customWidth="1"/>
    <col min="6" max="6" width="3.140625" style="7" customWidth="1"/>
    <col min="7" max="7" width="4.140625" style="52" customWidth="1"/>
    <col min="8" max="8" width="30" style="1" bestFit="1" customWidth="1"/>
    <col min="9" max="9" width="12.7109375" style="1" bestFit="1" customWidth="1"/>
    <col min="10" max="10" width="1.7109375" style="52" customWidth="1"/>
    <col min="11" max="16384" width="9.140625" style="52"/>
  </cols>
  <sheetData>
    <row r="1" spans="2:10" ht="19.5" thickBot="1" x14ac:dyDescent="0.5"/>
    <row r="2" spans="2:10" ht="12.75" customHeight="1" x14ac:dyDescent="0.45">
      <c r="B2" s="55"/>
      <c r="C2" s="56"/>
      <c r="D2" s="57"/>
      <c r="E2" s="58"/>
      <c r="F2" s="58"/>
      <c r="G2" s="56"/>
      <c r="H2" s="57"/>
      <c r="I2" s="57"/>
      <c r="J2" s="59"/>
    </row>
    <row r="3" spans="2:10" ht="21" customHeight="1" x14ac:dyDescent="0.45">
      <c r="B3" s="60"/>
      <c r="E3" s="128" t="s">
        <v>165</v>
      </c>
      <c r="F3" s="128"/>
      <c r="G3" s="128"/>
      <c r="H3" s="128"/>
      <c r="J3" s="63"/>
    </row>
    <row r="4" spans="2:10" ht="21" customHeight="1" x14ac:dyDescent="0.45">
      <c r="B4" s="60"/>
      <c r="J4" s="63"/>
    </row>
    <row r="5" spans="2:10" ht="21" x14ac:dyDescent="0.45">
      <c r="B5" s="60"/>
      <c r="E5" s="5" t="s">
        <v>208</v>
      </c>
      <c r="F5" s="61"/>
      <c r="I5" s="5" t="str">
        <f>E5</f>
        <v>1403/12/29</v>
      </c>
      <c r="J5" s="62"/>
    </row>
    <row r="6" spans="2:10" ht="19.5" customHeight="1" x14ac:dyDescent="0.55000000000000004">
      <c r="B6" s="60"/>
      <c r="D6" s="53" t="s">
        <v>102</v>
      </c>
      <c r="H6" s="53" t="s">
        <v>116</v>
      </c>
      <c r="I6" s="7"/>
      <c r="J6" s="63"/>
    </row>
    <row r="7" spans="2:10" ht="21" customHeight="1" x14ac:dyDescent="0.45">
      <c r="B7" s="60"/>
      <c r="C7" s="129" t="s">
        <v>103</v>
      </c>
      <c r="D7" s="64" t="s">
        <v>104</v>
      </c>
      <c r="E7" s="6">
        <f>81366</f>
        <v>81366</v>
      </c>
      <c r="F7" s="6"/>
      <c r="G7" s="127" t="s">
        <v>116</v>
      </c>
      <c r="H7" s="64" t="s">
        <v>117</v>
      </c>
      <c r="I7" s="6">
        <v>17340000</v>
      </c>
      <c r="J7" s="63"/>
    </row>
    <row r="8" spans="2:10" ht="21" customHeight="1" x14ac:dyDescent="0.45">
      <c r="B8" s="60"/>
      <c r="C8" s="129"/>
      <c r="D8" s="64" t="s">
        <v>105</v>
      </c>
      <c r="E8" s="6">
        <v>185165</v>
      </c>
      <c r="F8" s="6"/>
      <c r="G8" s="127"/>
      <c r="H8" s="64" t="s">
        <v>162</v>
      </c>
      <c r="I8" s="6">
        <v>-465456</v>
      </c>
      <c r="J8" s="63"/>
    </row>
    <row r="9" spans="2:10" ht="21" customHeight="1" x14ac:dyDescent="0.45">
      <c r="B9" s="60"/>
      <c r="C9" s="129"/>
      <c r="D9" s="64" t="s">
        <v>106</v>
      </c>
      <c r="E9" s="6">
        <f>17178287+'NAV برکت'!F8</f>
        <v>122013535.436408</v>
      </c>
      <c r="F9" s="6"/>
      <c r="G9" s="127"/>
      <c r="H9" s="64" t="s">
        <v>118</v>
      </c>
      <c r="I9" s="6">
        <v>1266383</v>
      </c>
      <c r="J9" s="63"/>
    </row>
    <row r="10" spans="2:10" ht="21" customHeight="1" x14ac:dyDescent="0.45">
      <c r="B10" s="60"/>
      <c r="C10" s="129"/>
      <c r="D10" s="64" t="s">
        <v>107</v>
      </c>
      <c r="E10" s="6">
        <v>16481200</v>
      </c>
      <c r="F10" s="6"/>
      <c r="G10" s="127"/>
      <c r="H10" s="64" t="s">
        <v>163</v>
      </c>
      <c r="I10" s="6">
        <v>8978277</v>
      </c>
      <c r="J10" s="63"/>
    </row>
    <row r="11" spans="2:10" ht="21" customHeight="1" x14ac:dyDescent="0.45">
      <c r="B11" s="60"/>
      <c r="C11" s="129"/>
      <c r="D11" s="64" t="s">
        <v>161</v>
      </c>
      <c r="E11" s="6">
        <v>748457</v>
      </c>
      <c r="G11" s="127"/>
      <c r="H11" s="64" t="s">
        <v>119</v>
      </c>
      <c r="I11" s="6">
        <v>5526033</v>
      </c>
      <c r="J11" s="63"/>
    </row>
    <row r="12" spans="2:10" ht="21" customHeight="1" x14ac:dyDescent="0.45">
      <c r="B12" s="60"/>
      <c r="D12" s="54" t="s">
        <v>108</v>
      </c>
      <c r="E12" s="32">
        <f>SUM(E7:E11)</f>
        <v>139509723.43640798</v>
      </c>
      <c r="F12" s="6"/>
      <c r="H12" s="64" t="s">
        <v>169</v>
      </c>
      <c r="I12" s="6">
        <f>I25-I24-SUM(I7:I11)</f>
        <v>107382488.15600798</v>
      </c>
      <c r="J12" s="63"/>
    </row>
    <row r="13" spans="2:10" ht="21" customHeight="1" x14ac:dyDescent="0.45">
      <c r="B13" s="60"/>
      <c r="C13" s="129" t="s">
        <v>109</v>
      </c>
      <c r="D13" s="64" t="s">
        <v>110</v>
      </c>
      <c r="E13" s="6">
        <v>64508</v>
      </c>
      <c r="F13" s="6"/>
      <c r="H13" s="1" t="s">
        <v>120</v>
      </c>
      <c r="I13" s="61">
        <f>SUM(I7:I12)</f>
        <v>140027725.15600798</v>
      </c>
      <c r="J13" s="63"/>
    </row>
    <row r="14" spans="2:10" ht="21" customHeight="1" x14ac:dyDescent="0.45">
      <c r="B14" s="60"/>
      <c r="C14" s="129"/>
      <c r="D14" s="64" t="s">
        <v>168</v>
      </c>
      <c r="E14" s="6">
        <f>2531053+400*6368099299/10^6</f>
        <v>5078292.7195999995</v>
      </c>
      <c r="F14" s="6"/>
      <c r="J14" s="63"/>
    </row>
    <row r="15" spans="2:10" ht="21" customHeight="1" x14ac:dyDescent="0.55000000000000004">
      <c r="B15" s="60"/>
      <c r="C15" s="129"/>
      <c r="D15" s="64" t="s">
        <v>112</v>
      </c>
      <c r="E15" s="6">
        <v>14027152</v>
      </c>
      <c r="F15" s="6"/>
      <c r="H15" s="53" t="s">
        <v>121</v>
      </c>
      <c r="J15" s="63"/>
    </row>
    <row r="16" spans="2:10" ht="21" customHeight="1" x14ac:dyDescent="0.45">
      <c r="B16" s="60"/>
      <c r="C16" s="129"/>
      <c r="D16" s="64" t="s">
        <v>113</v>
      </c>
      <c r="E16" s="6">
        <v>235812</v>
      </c>
      <c r="G16" s="127" t="s">
        <v>122</v>
      </c>
      <c r="H16" s="64" t="s">
        <v>123</v>
      </c>
      <c r="I16" s="6">
        <v>3833006</v>
      </c>
      <c r="J16" s="63"/>
    </row>
    <row r="17" spans="2:10" ht="21" customHeight="1" x14ac:dyDescent="0.45">
      <c r="B17" s="60"/>
      <c r="C17" s="129"/>
      <c r="D17" s="64" t="s">
        <v>160</v>
      </c>
      <c r="E17" s="6">
        <v>0</v>
      </c>
      <c r="F17" s="61"/>
      <c r="G17" s="127"/>
      <c r="H17" s="64" t="s">
        <v>124</v>
      </c>
      <c r="I17" s="6">
        <v>0</v>
      </c>
      <c r="J17" s="63"/>
    </row>
    <row r="18" spans="2:10" ht="21" customHeight="1" x14ac:dyDescent="0.45">
      <c r="B18" s="60"/>
      <c r="D18" s="54" t="s">
        <v>114</v>
      </c>
      <c r="E18" s="32">
        <f>SUM(E13:E17)</f>
        <v>19405764.719599999</v>
      </c>
      <c r="G18" s="127"/>
      <c r="H18" s="64" t="s">
        <v>125</v>
      </c>
      <c r="I18" s="6">
        <v>158787</v>
      </c>
      <c r="J18" s="63"/>
    </row>
    <row r="19" spans="2:10" ht="21" customHeight="1" x14ac:dyDescent="0.55000000000000004">
      <c r="B19" s="60"/>
      <c r="D19" s="65" t="s">
        <v>115</v>
      </c>
      <c r="E19" s="61">
        <f>E18+E12</f>
        <v>158915488.15600798</v>
      </c>
      <c r="G19" s="127"/>
      <c r="H19" s="64" t="s">
        <v>126</v>
      </c>
      <c r="I19" s="6">
        <f>SUM(I16:I18)</f>
        <v>3991793</v>
      </c>
      <c r="J19" s="63"/>
    </row>
    <row r="20" spans="2:10" ht="21" customHeight="1" x14ac:dyDescent="0.45">
      <c r="B20" s="60"/>
      <c r="G20" s="127" t="s">
        <v>127</v>
      </c>
      <c r="H20" s="64" t="s">
        <v>128</v>
      </c>
      <c r="I20" s="6">
        <v>10040643</v>
      </c>
      <c r="J20" s="63"/>
    </row>
    <row r="21" spans="2:10" ht="21" customHeight="1" x14ac:dyDescent="0.45">
      <c r="B21" s="60"/>
      <c r="G21" s="127"/>
      <c r="H21" s="64" t="s">
        <v>164</v>
      </c>
      <c r="I21" s="6">
        <v>2898442</v>
      </c>
      <c r="J21" s="63"/>
    </row>
    <row r="22" spans="2:10" x14ac:dyDescent="0.45">
      <c r="B22" s="60"/>
      <c r="G22" s="127"/>
      <c r="H22" s="64" t="s">
        <v>130</v>
      </c>
      <c r="I22" s="6">
        <v>1956885</v>
      </c>
      <c r="J22" s="63"/>
    </row>
    <row r="23" spans="2:10" x14ac:dyDescent="0.45">
      <c r="B23" s="60"/>
      <c r="G23" s="127"/>
      <c r="H23" s="54" t="s">
        <v>131</v>
      </c>
      <c r="I23" s="32">
        <f>SUM(I20:I22)</f>
        <v>14895970</v>
      </c>
      <c r="J23" s="63"/>
    </row>
    <row r="24" spans="2:10" ht="21" x14ac:dyDescent="0.45">
      <c r="B24" s="60"/>
      <c r="H24" s="1" t="s">
        <v>132</v>
      </c>
      <c r="I24" s="61">
        <f>I23+I19</f>
        <v>18887763</v>
      </c>
      <c r="J24" s="63"/>
    </row>
    <row r="25" spans="2:10" ht="21" x14ac:dyDescent="0.55000000000000004">
      <c r="B25" s="60"/>
      <c r="H25" s="65" t="s">
        <v>133</v>
      </c>
      <c r="I25" s="61">
        <f>E19</f>
        <v>158915488.15600798</v>
      </c>
      <c r="J25" s="63"/>
    </row>
    <row r="26" spans="2:10" ht="6.75" customHeight="1" thickBot="1" x14ac:dyDescent="0.5">
      <c r="B26" s="66"/>
      <c r="C26" s="67"/>
      <c r="D26" s="68"/>
      <c r="E26" s="15"/>
      <c r="F26" s="15"/>
      <c r="G26" s="67"/>
      <c r="H26" s="68"/>
      <c r="I26" s="68"/>
      <c r="J26" s="69"/>
    </row>
    <row r="28" spans="2:10" ht="21" x14ac:dyDescent="0.55000000000000004">
      <c r="D28" s="76" t="s">
        <v>170</v>
      </c>
      <c r="E28" s="74">
        <f>I13/I7*1000</f>
        <v>8075.416675663666</v>
      </c>
    </row>
    <row r="29" spans="2:10" ht="21" x14ac:dyDescent="0.55000000000000004">
      <c r="D29" s="65" t="s">
        <v>172</v>
      </c>
      <c r="E29" s="7">
        <v>3289</v>
      </c>
    </row>
    <row r="30" spans="2:10" ht="21" x14ac:dyDescent="0.55000000000000004">
      <c r="D30" s="53" t="s">
        <v>171</v>
      </c>
      <c r="E30" s="75">
        <f>E29/E28</f>
        <v>0.4072854853312815</v>
      </c>
    </row>
  </sheetData>
  <mergeCells count="6">
    <mergeCell ref="G7:G11"/>
    <mergeCell ref="G16:G19"/>
    <mergeCell ref="G20:G23"/>
    <mergeCell ref="E3:H3"/>
    <mergeCell ref="C7:C11"/>
    <mergeCell ref="C13:C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3E64-CCEB-44CD-BD6E-C1F76B3EED51}">
  <dimension ref="B2:K26"/>
  <sheetViews>
    <sheetView showGridLines="0" rightToLeft="1" topLeftCell="B1" zoomScale="130" zoomScaleNormal="130" workbookViewId="0">
      <selection activeCell="M1" sqref="M1"/>
    </sheetView>
  </sheetViews>
  <sheetFormatPr defaultRowHeight="18.75" x14ac:dyDescent="0.45"/>
  <cols>
    <col min="1" max="1" width="9.140625" style="1"/>
    <col min="2" max="2" width="4" style="1" customWidth="1"/>
    <col min="3" max="3" width="38.42578125" style="1" bestFit="1" customWidth="1"/>
    <col min="4" max="4" width="16.85546875" style="2" customWidth="1"/>
    <col min="5" max="5" width="16.85546875" style="85" customWidth="1"/>
    <col min="6" max="6" width="11.5703125" style="85" customWidth="1"/>
    <col min="7" max="7" width="25.140625" style="85" bestFit="1" customWidth="1"/>
    <col min="8" max="8" width="16.85546875" style="85" customWidth="1"/>
    <col min="9" max="9" width="18.42578125" style="85" bestFit="1" customWidth="1"/>
    <col min="10" max="10" width="22.7109375" style="85" bestFit="1" customWidth="1"/>
    <col min="11" max="11" width="20.5703125" style="85" bestFit="1" customWidth="1"/>
    <col min="12" max="16384" width="9.140625" style="1"/>
  </cols>
  <sheetData>
    <row r="2" spans="2:11" x14ac:dyDescent="0.45">
      <c r="J2" s="131" t="s">
        <v>201</v>
      </c>
      <c r="K2" s="131"/>
    </row>
    <row r="3" spans="2:11" ht="21.75" thickBot="1" x14ac:dyDescent="0.6">
      <c r="C3" s="102" t="s">
        <v>188</v>
      </c>
      <c r="D3" s="103" t="s">
        <v>189</v>
      </c>
      <c r="E3" s="104" t="s">
        <v>99</v>
      </c>
      <c r="F3" s="104" t="s">
        <v>100</v>
      </c>
      <c r="G3" s="104" t="s">
        <v>197</v>
      </c>
      <c r="H3" s="104" t="s">
        <v>190</v>
      </c>
      <c r="I3" s="104" t="s">
        <v>198</v>
      </c>
      <c r="J3" s="93" t="s">
        <v>200</v>
      </c>
      <c r="K3" s="93" t="s">
        <v>199</v>
      </c>
    </row>
    <row r="4" spans="2:11" x14ac:dyDescent="0.45">
      <c r="B4" s="135" t="s">
        <v>194</v>
      </c>
      <c r="C4" s="64" t="s">
        <v>177</v>
      </c>
      <c r="D4" s="82">
        <v>981</v>
      </c>
      <c r="E4" s="82">
        <v>4787953940</v>
      </c>
      <c r="F4" s="99">
        <v>0.69482999999999995</v>
      </c>
      <c r="G4" s="87">
        <f t="shared" ref="G4:G10" si="0">E4*D4/10^6</f>
        <v>4696982.8151399996</v>
      </c>
      <c r="H4" s="88">
        <v>6.3</v>
      </c>
      <c r="I4" s="105">
        <f>H4*G4</f>
        <v>29590991.735381998</v>
      </c>
      <c r="J4" s="87">
        <v>39757000</v>
      </c>
      <c r="K4" s="105">
        <f>J4*F4</f>
        <v>27624356.309999999</v>
      </c>
    </row>
    <row r="5" spans="2:11" x14ac:dyDescent="0.45">
      <c r="B5" s="135"/>
      <c r="C5" s="64" t="s">
        <v>144</v>
      </c>
      <c r="D5" s="82">
        <v>796</v>
      </c>
      <c r="E5" s="82">
        <v>4250135790</v>
      </c>
      <c r="F5" s="99">
        <v>0.60670000000000002</v>
      </c>
      <c r="G5" s="87">
        <f t="shared" si="0"/>
        <v>3383108.0888399999</v>
      </c>
      <c r="H5" s="88">
        <v>8.65</v>
      </c>
      <c r="I5" s="105">
        <f t="shared" ref="I5:I10" si="1">H5*G5</f>
        <v>29263884.968465999</v>
      </c>
      <c r="J5" s="87">
        <v>27703000</v>
      </c>
      <c r="K5" s="105">
        <f t="shared" ref="K5:K15" si="2">J5*F5</f>
        <v>16807410.100000001</v>
      </c>
    </row>
    <row r="6" spans="2:11" x14ac:dyDescent="0.45">
      <c r="B6" s="135"/>
      <c r="C6" s="64" t="s">
        <v>183</v>
      </c>
      <c r="D6" s="82">
        <v>524</v>
      </c>
      <c r="E6" s="82">
        <v>2211834452</v>
      </c>
      <c r="F6" s="99">
        <v>0.55200000000000005</v>
      </c>
      <c r="G6" s="87">
        <f t="shared" si="0"/>
        <v>1159001.252848</v>
      </c>
      <c r="H6" s="88">
        <v>6.3</v>
      </c>
      <c r="I6" s="105">
        <f t="shared" si="1"/>
        <v>7301707.8929423997</v>
      </c>
      <c r="J6" s="87">
        <v>8720000</v>
      </c>
      <c r="K6" s="105">
        <f t="shared" si="2"/>
        <v>4813440</v>
      </c>
    </row>
    <row r="7" spans="2:11" x14ac:dyDescent="0.45">
      <c r="B7" s="135"/>
      <c r="C7" s="64" t="s">
        <v>182</v>
      </c>
      <c r="D7" s="82">
        <v>547</v>
      </c>
      <c r="E7" s="82">
        <v>648778393</v>
      </c>
      <c r="F7" s="99">
        <v>0.53017000000000003</v>
      </c>
      <c r="G7" s="87">
        <f t="shared" si="0"/>
        <v>354881.78097099997</v>
      </c>
      <c r="H7" s="88">
        <v>9</v>
      </c>
      <c r="I7" s="105">
        <f t="shared" si="1"/>
        <v>3193936.0287389997</v>
      </c>
      <c r="J7" s="87">
        <v>7260000</v>
      </c>
      <c r="K7" s="105">
        <f t="shared" si="2"/>
        <v>3849034.2</v>
      </c>
    </row>
    <row r="8" spans="2:11" x14ac:dyDescent="0.45">
      <c r="B8" s="135"/>
      <c r="C8" s="64" t="s">
        <v>181</v>
      </c>
      <c r="D8" s="82">
        <v>651</v>
      </c>
      <c r="E8" s="82">
        <v>482352160</v>
      </c>
      <c r="F8" s="99">
        <v>0.69518999999999997</v>
      </c>
      <c r="G8" s="87">
        <f t="shared" si="0"/>
        <v>314011.25615999999</v>
      </c>
      <c r="H8" s="88">
        <v>9</v>
      </c>
      <c r="I8" s="105">
        <f t="shared" si="1"/>
        <v>2826101.3054399998</v>
      </c>
      <c r="J8" s="87">
        <v>19891000</v>
      </c>
      <c r="K8" s="105">
        <f t="shared" si="2"/>
        <v>13828024.289999999</v>
      </c>
    </row>
    <row r="9" spans="2:11" x14ac:dyDescent="0.45">
      <c r="B9" s="135"/>
      <c r="C9" s="64" t="s">
        <v>185</v>
      </c>
      <c r="D9" s="82">
        <v>587</v>
      </c>
      <c r="E9" s="82">
        <v>344642690</v>
      </c>
      <c r="F9" s="99">
        <v>0.37323000000000001</v>
      </c>
      <c r="G9" s="87">
        <f t="shared" si="0"/>
        <v>202305.25902999999</v>
      </c>
      <c r="H9" s="88">
        <v>9</v>
      </c>
      <c r="I9" s="105">
        <f t="shared" si="1"/>
        <v>1820747.33127</v>
      </c>
      <c r="J9" s="87">
        <v>5760000</v>
      </c>
      <c r="K9" s="105">
        <f t="shared" si="2"/>
        <v>2149804.7999999998</v>
      </c>
    </row>
    <row r="10" spans="2:11" x14ac:dyDescent="0.45">
      <c r="B10" s="135"/>
      <c r="C10" s="64" t="s">
        <v>187</v>
      </c>
      <c r="D10" s="82">
        <v>384</v>
      </c>
      <c r="E10" s="82">
        <v>96408057</v>
      </c>
      <c r="F10" s="99">
        <v>5.5598648788927332E-3</v>
      </c>
      <c r="G10" s="87">
        <f t="shared" si="0"/>
        <v>37020.693888000002</v>
      </c>
      <c r="H10" s="88">
        <v>6.3</v>
      </c>
      <c r="I10" s="105">
        <f t="shared" si="1"/>
        <v>233230.37149439999</v>
      </c>
      <c r="J10" s="87">
        <v>60499000</v>
      </c>
      <c r="K10" s="105">
        <f t="shared" si="2"/>
        <v>336366.26530813146</v>
      </c>
    </row>
    <row r="11" spans="2:11" x14ac:dyDescent="0.45">
      <c r="B11" s="135"/>
      <c r="C11" s="64" t="s">
        <v>178</v>
      </c>
      <c r="D11" s="82">
        <v>411</v>
      </c>
      <c r="E11" s="82">
        <v>4545388</v>
      </c>
      <c r="F11" s="99">
        <v>3.4175849624060151E-3</v>
      </c>
      <c r="G11" s="87">
        <f t="shared" ref="G11:G15" si="3">E11*D11/10^6</f>
        <v>1868.154468</v>
      </c>
      <c r="H11" s="88">
        <v>9</v>
      </c>
      <c r="I11" s="105">
        <f t="shared" ref="I11:I12" si="4">H11*G11</f>
        <v>16813.390211999998</v>
      </c>
      <c r="J11" s="87">
        <v>6720000</v>
      </c>
      <c r="K11" s="105">
        <f t="shared" si="2"/>
        <v>22966.17094736842</v>
      </c>
    </row>
    <row r="12" spans="2:11" x14ac:dyDescent="0.45">
      <c r="B12" s="135"/>
      <c r="C12" s="64" t="s">
        <v>179</v>
      </c>
      <c r="D12" s="82">
        <v>693</v>
      </c>
      <c r="E12" s="82">
        <v>406988</v>
      </c>
      <c r="F12" s="99">
        <v>4.2840842105263156E-5</v>
      </c>
      <c r="G12" s="87">
        <f t="shared" si="3"/>
        <v>282.04268400000001</v>
      </c>
      <c r="H12" s="88">
        <v>9</v>
      </c>
      <c r="I12" s="105">
        <f t="shared" si="4"/>
        <v>2538.3841560000001</v>
      </c>
      <c r="J12" s="87">
        <v>36774000</v>
      </c>
      <c r="K12" s="105">
        <f t="shared" si="2"/>
        <v>1575.4291275789474</v>
      </c>
    </row>
    <row r="13" spans="2:11" x14ac:dyDescent="0.45">
      <c r="B13" s="135"/>
      <c r="C13" s="64" t="s">
        <v>184</v>
      </c>
      <c r="D13" s="82">
        <v>-757</v>
      </c>
      <c r="E13" s="82">
        <v>8164</v>
      </c>
      <c r="F13" s="99">
        <v>5.4998378378378373E-4</v>
      </c>
      <c r="G13" s="87">
        <f>E13*D13/10^6</f>
        <v>-6.180148</v>
      </c>
      <c r="H13" s="88">
        <v>9</v>
      </c>
      <c r="I13" s="105">
        <v>0</v>
      </c>
      <c r="J13" s="87">
        <v>3960000</v>
      </c>
      <c r="K13" s="105">
        <f t="shared" si="2"/>
        <v>2177.9357837837838</v>
      </c>
    </row>
    <row r="14" spans="2:11" x14ac:dyDescent="0.45">
      <c r="B14" s="135"/>
      <c r="C14" s="64" t="s">
        <v>180</v>
      </c>
      <c r="D14" s="82">
        <v>-191</v>
      </c>
      <c r="E14" s="82">
        <v>103651628</v>
      </c>
      <c r="F14" s="99">
        <v>4.8939999999999997E-2</v>
      </c>
      <c r="G14" s="87">
        <f t="shared" si="3"/>
        <v>-19797.460948</v>
      </c>
      <c r="H14" s="88">
        <v>9</v>
      </c>
      <c r="I14" s="105">
        <v>0</v>
      </c>
      <c r="J14" s="87">
        <v>19404000</v>
      </c>
      <c r="K14" s="105">
        <f t="shared" si="2"/>
        <v>949631.75999999989</v>
      </c>
    </row>
    <row r="15" spans="2:11" x14ac:dyDescent="0.45">
      <c r="B15" s="135"/>
      <c r="C15" s="94" t="s">
        <v>186</v>
      </c>
      <c r="D15" s="95">
        <v>-406</v>
      </c>
      <c r="E15" s="95">
        <v>114762348</v>
      </c>
      <c r="F15" s="100">
        <v>5.3400000000000003E-2</v>
      </c>
      <c r="G15" s="96">
        <f t="shared" si="3"/>
        <v>-46593.513288000002</v>
      </c>
      <c r="H15" s="97">
        <v>9</v>
      </c>
      <c r="I15" s="106">
        <v>0</v>
      </c>
      <c r="J15" s="96">
        <v>5880000</v>
      </c>
      <c r="K15" s="106">
        <f t="shared" si="2"/>
        <v>313992</v>
      </c>
    </row>
    <row r="16" spans="2:11" x14ac:dyDescent="0.45">
      <c r="B16" s="135" t="s">
        <v>195</v>
      </c>
      <c r="C16" s="64" t="s">
        <v>139</v>
      </c>
      <c r="D16" s="82">
        <f>-3466313/5300000*1000</f>
        <v>-654.02132075471695</v>
      </c>
      <c r="E16" s="82">
        <v>1060000000</v>
      </c>
      <c r="F16" s="99">
        <v>0.2</v>
      </c>
      <c r="G16" s="87">
        <f>E16*D16/10^6</f>
        <v>-693262.6</v>
      </c>
      <c r="H16" s="88">
        <f>H14</f>
        <v>9</v>
      </c>
      <c r="I16" s="105">
        <v>0</v>
      </c>
      <c r="J16" s="87">
        <v>0</v>
      </c>
      <c r="K16" s="105">
        <v>0</v>
      </c>
    </row>
    <row r="17" spans="2:11" ht="19.5" thickBot="1" x14ac:dyDescent="0.5">
      <c r="B17" s="135"/>
      <c r="C17" s="92" t="s">
        <v>193</v>
      </c>
      <c r="D17" s="89">
        <f>71127/58800*1000</f>
        <v>1209.6428571428573</v>
      </c>
      <c r="E17" s="89">
        <v>44917188</v>
      </c>
      <c r="F17" s="101">
        <v>0.76390000000000002</v>
      </c>
      <c r="G17" s="90">
        <f>E17*D17/10^6</f>
        <v>54333.755627142869</v>
      </c>
      <c r="H17" s="91">
        <f>H15</f>
        <v>9</v>
      </c>
      <c r="I17" s="107">
        <f>G17*H17</f>
        <v>489003.8006442858</v>
      </c>
      <c r="J17" s="90">
        <v>0</v>
      </c>
      <c r="K17" s="107">
        <v>0</v>
      </c>
    </row>
    <row r="18" spans="2:11" x14ac:dyDescent="0.45">
      <c r="C18" s="64"/>
      <c r="D18" s="82"/>
      <c r="E18" s="82"/>
      <c r="F18" s="82"/>
      <c r="G18" s="134" t="s">
        <v>191</v>
      </c>
      <c r="H18" s="134"/>
      <c r="I18" s="86">
        <f>SUM(I4:I17)</f>
        <v>74738955.208746061</v>
      </c>
      <c r="J18" s="86"/>
      <c r="K18" s="86">
        <f>SUM(K4:K17)</f>
        <v>70698779.261166871</v>
      </c>
    </row>
    <row r="19" spans="2:11" x14ac:dyDescent="0.45">
      <c r="C19" s="64"/>
      <c r="D19" s="82"/>
      <c r="E19" s="82"/>
      <c r="F19" s="82"/>
      <c r="G19" s="134" t="s">
        <v>196</v>
      </c>
      <c r="H19" s="134"/>
      <c r="I19" s="86">
        <v>54837406</v>
      </c>
      <c r="J19" s="86"/>
      <c r="K19" s="86">
        <f>I19</f>
        <v>54837406</v>
      </c>
    </row>
    <row r="20" spans="2:11" x14ac:dyDescent="0.45">
      <c r="D20" s="51"/>
      <c r="G20" s="133" t="s">
        <v>192</v>
      </c>
      <c r="H20" s="133"/>
      <c r="I20" s="98">
        <f>I19/I18</f>
        <v>0.73371919431893329</v>
      </c>
      <c r="J20" s="98" t="s">
        <v>202</v>
      </c>
      <c r="K20" s="98">
        <f>K19/K18</f>
        <v>0.77564855536509747</v>
      </c>
    </row>
    <row r="22" spans="2:11" ht="18.75" customHeight="1" x14ac:dyDescent="0.45">
      <c r="C22" s="132" t="s">
        <v>206</v>
      </c>
      <c r="D22" s="132"/>
      <c r="E22" s="132"/>
      <c r="F22" s="132"/>
      <c r="G22" s="132"/>
      <c r="H22" s="132"/>
      <c r="I22" s="132"/>
      <c r="J22" s="132"/>
      <c r="K22" s="132"/>
    </row>
    <row r="23" spans="2:11" x14ac:dyDescent="0.45">
      <c r="C23" s="132"/>
      <c r="D23" s="132"/>
      <c r="E23" s="132"/>
      <c r="F23" s="132"/>
      <c r="G23" s="132"/>
      <c r="H23" s="132"/>
      <c r="I23" s="132"/>
      <c r="J23" s="132"/>
      <c r="K23" s="132"/>
    </row>
    <row r="24" spans="2:11" x14ac:dyDescent="0.45">
      <c r="C24" s="132"/>
      <c r="D24" s="132"/>
      <c r="E24" s="132"/>
      <c r="F24" s="132"/>
      <c r="G24" s="132"/>
      <c r="H24" s="132"/>
      <c r="I24" s="132"/>
      <c r="J24" s="132"/>
      <c r="K24" s="132"/>
    </row>
    <row r="25" spans="2:11" x14ac:dyDescent="0.45">
      <c r="C25" s="132"/>
      <c r="D25" s="132"/>
      <c r="E25" s="132"/>
      <c r="F25" s="132"/>
      <c r="G25" s="132"/>
      <c r="H25" s="132"/>
      <c r="I25" s="132"/>
      <c r="J25" s="132"/>
      <c r="K25" s="132"/>
    </row>
    <row r="26" spans="2:11" x14ac:dyDescent="0.45">
      <c r="C26" s="132"/>
      <c r="D26" s="132"/>
      <c r="E26" s="132"/>
      <c r="F26" s="132"/>
      <c r="G26" s="132"/>
      <c r="H26" s="132"/>
      <c r="I26" s="132"/>
      <c r="J26" s="132"/>
      <c r="K26" s="132"/>
    </row>
  </sheetData>
  <mergeCells count="7">
    <mergeCell ref="B4:B15"/>
    <mergeCell ref="B16:B17"/>
    <mergeCell ref="J2:K2"/>
    <mergeCell ref="C22:K26"/>
    <mergeCell ref="G20:H20"/>
    <mergeCell ref="G19:H19"/>
    <mergeCell ref="G18:H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74E8-B881-4F96-B10E-1001D180C719}">
  <dimension ref="B2:K26"/>
  <sheetViews>
    <sheetView showGridLines="0" rightToLeft="1" tabSelected="1" zoomScale="130" zoomScaleNormal="130" workbookViewId="0">
      <selection activeCell="G12" sqref="G12"/>
    </sheetView>
  </sheetViews>
  <sheetFormatPr defaultRowHeight="18.75" x14ac:dyDescent="0.45"/>
  <cols>
    <col min="1" max="1" width="9.140625" style="1"/>
    <col min="2" max="2" width="4" style="1" customWidth="1"/>
    <col min="3" max="3" width="19.140625" style="1" customWidth="1"/>
    <col min="4" max="4" width="12.28515625" style="2" customWidth="1"/>
    <col min="5" max="6" width="23.28515625" style="85" customWidth="1"/>
    <col min="7" max="7" width="25.140625" style="85" bestFit="1" customWidth="1"/>
    <col min="8" max="8" width="21.42578125" style="85" customWidth="1"/>
    <col min="9" max="9" width="18.42578125" style="85" bestFit="1" customWidth="1"/>
    <col min="10" max="10" width="22.7109375" style="85" bestFit="1" customWidth="1"/>
    <col min="11" max="11" width="20.5703125" style="85" bestFit="1" customWidth="1"/>
    <col min="12" max="16384" width="9.140625" style="1"/>
  </cols>
  <sheetData>
    <row r="2" spans="2:11" ht="21" x14ac:dyDescent="0.55000000000000004">
      <c r="G2" s="136" t="s">
        <v>207</v>
      </c>
      <c r="H2" s="136"/>
      <c r="J2" s="137"/>
      <c r="K2" s="137"/>
    </row>
    <row r="3" spans="2:11" ht="21.75" thickBot="1" x14ac:dyDescent="0.6">
      <c r="C3" s="102" t="s">
        <v>188</v>
      </c>
      <c r="D3" s="104" t="s">
        <v>189</v>
      </c>
      <c r="E3" s="104" t="s">
        <v>204</v>
      </c>
      <c r="F3" s="104" t="s">
        <v>205</v>
      </c>
      <c r="G3" s="104" t="str">
        <f>E3</f>
        <v>P/E صنعت دارویی</v>
      </c>
      <c r="H3" s="104" t="str">
        <f>F3</f>
        <v>P/E صنعت سرمایه گذاری</v>
      </c>
      <c r="I3" s="108"/>
      <c r="J3" s="108"/>
      <c r="K3" s="108"/>
    </row>
    <row r="4" spans="2:11" x14ac:dyDescent="0.45">
      <c r="B4" s="135"/>
      <c r="C4" s="94" t="s">
        <v>203</v>
      </c>
      <c r="D4" s="95">
        <v>384</v>
      </c>
      <c r="E4" s="111">
        <v>9</v>
      </c>
      <c r="F4" s="111">
        <v>6.3</v>
      </c>
      <c r="G4" s="106">
        <f>E4*$D$4</f>
        <v>3456</v>
      </c>
      <c r="H4" s="106">
        <f>F4*$D$4</f>
        <v>2419.1999999999998</v>
      </c>
      <c r="I4" s="105"/>
      <c r="J4" s="87"/>
      <c r="K4" s="105"/>
    </row>
    <row r="5" spans="2:11" x14ac:dyDescent="0.45">
      <c r="B5" s="135"/>
      <c r="C5" s="64"/>
      <c r="D5" s="82"/>
      <c r="E5" s="82"/>
      <c r="F5" s="99"/>
      <c r="G5" s="87"/>
      <c r="H5" s="88"/>
      <c r="I5" s="105"/>
      <c r="J5" s="87"/>
      <c r="K5" s="105"/>
    </row>
    <row r="6" spans="2:11" x14ac:dyDescent="0.45">
      <c r="B6" s="135"/>
      <c r="C6" s="64"/>
      <c r="D6" s="82"/>
      <c r="E6" s="82"/>
      <c r="F6" s="99"/>
      <c r="G6" s="87"/>
      <c r="H6" s="88"/>
      <c r="I6" s="105"/>
      <c r="J6" s="87"/>
      <c r="K6" s="105"/>
    </row>
    <row r="7" spans="2:11" x14ac:dyDescent="0.45">
      <c r="B7" s="135"/>
      <c r="C7" s="64"/>
      <c r="D7" s="82"/>
      <c r="E7" s="82"/>
      <c r="F7" s="99"/>
      <c r="G7" s="87"/>
      <c r="H7" s="88"/>
      <c r="I7" s="105"/>
      <c r="J7" s="87"/>
      <c r="K7" s="105"/>
    </row>
    <row r="8" spans="2:11" x14ac:dyDescent="0.45">
      <c r="B8" s="135"/>
      <c r="C8" s="64"/>
      <c r="D8" s="82"/>
      <c r="E8" s="82"/>
      <c r="F8" s="99"/>
      <c r="G8" s="87"/>
      <c r="H8" s="88"/>
      <c r="I8" s="105"/>
      <c r="J8" s="87"/>
      <c r="K8" s="105"/>
    </row>
    <row r="9" spans="2:11" x14ac:dyDescent="0.45">
      <c r="B9" s="135"/>
      <c r="C9" s="64"/>
      <c r="D9" s="82"/>
      <c r="E9" s="82"/>
      <c r="F9" s="99"/>
      <c r="G9" s="87"/>
      <c r="H9" s="88"/>
      <c r="I9" s="105"/>
      <c r="J9" s="87"/>
      <c r="K9" s="105"/>
    </row>
    <row r="10" spans="2:11" x14ac:dyDescent="0.45">
      <c r="B10" s="135"/>
      <c r="C10" s="64"/>
      <c r="D10" s="82"/>
      <c r="E10" s="82"/>
      <c r="F10" s="99"/>
      <c r="G10" s="87"/>
      <c r="H10" s="88"/>
      <c r="I10" s="105"/>
      <c r="J10" s="87"/>
      <c r="K10" s="105"/>
    </row>
    <row r="11" spans="2:11" x14ac:dyDescent="0.45">
      <c r="B11" s="135"/>
      <c r="C11" s="64"/>
      <c r="D11" s="82"/>
      <c r="E11" s="82"/>
      <c r="F11" s="99"/>
      <c r="G11" s="87"/>
      <c r="H11" s="88"/>
      <c r="I11" s="105"/>
      <c r="J11" s="87"/>
      <c r="K11" s="105"/>
    </row>
    <row r="12" spans="2:11" x14ac:dyDescent="0.45">
      <c r="B12" s="135"/>
      <c r="C12" s="64"/>
      <c r="D12" s="82"/>
      <c r="E12" s="82"/>
      <c r="F12" s="99"/>
      <c r="G12" s="87"/>
      <c r="H12" s="88"/>
      <c r="I12" s="105"/>
      <c r="J12" s="87"/>
      <c r="K12" s="105"/>
    </row>
    <row r="13" spans="2:11" x14ac:dyDescent="0.45">
      <c r="B13" s="135"/>
      <c r="C13" s="64"/>
      <c r="D13" s="82"/>
      <c r="E13" s="82"/>
      <c r="F13" s="99"/>
      <c r="G13" s="87"/>
      <c r="H13" s="88"/>
      <c r="I13" s="105"/>
      <c r="J13" s="87"/>
      <c r="K13" s="105"/>
    </row>
    <row r="14" spans="2:11" x14ac:dyDescent="0.45">
      <c r="B14" s="135"/>
      <c r="C14" s="64"/>
      <c r="D14" s="82"/>
      <c r="E14" s="82"/>
      <c r="F14" s="99"/>
      <c r="G14" s="87"/>
      <c r="H14" s="88"/>
      <c r="I14" s="105"/>
      <c r="J14" s="87"/>
      <c r="K14" s="105"/>
    </row>
    <row r="15" spans="2:11" x14ac:dyDescent="0.45">
      <c r="B15" s="135"/>
      <c r="C15" s="64"/>
      <c r="D15" s="82"/>
      <c r="E15" s="82"/>
      <c r="F15" s="99"/>
      <c r="G15" s="87"/>
      <c r="H15" s="88"/>
      <c r="I15" s="105"/>
      <c r="J15" s="87"/>
      <c r="K15" s="105"/>
    </row>
    <row r="16" spans="2:11" x14ac:dyDescent="0.45">
      <c r="B16" s="135"/>
      <c r="C16" s="64"/>
      <c r="D16" s="82"/>
      <c r="E16" s="82"/>
      <c r="F16" s="99"/>
      <c r="G16" s="87"/>
      <c r="H16" s="88"/>
      <c r="I16" s="105"/>
      <c r="J16" s="87"/>
      <c r="K16" s="105"/>
    </row>
    <row r="17" spans="2:11" x14ac:dyDescent="0.45">
      <c r="B17" s="135"/>
      <c r="C17" s="64"/>
      <c r="D17" s="82"/>
      <c r="E17" s="82"/>
      <c r="F17" s="99"/>
      <c r="G17" s="87"/>
      <c r="H17" s="88"/>
      <c r="I17" s="105"/>
      <c r="J17" s="87"/>
      <c r="K17" s="105"/>
    </row>
    <row r="18" spans="2:11" x14ac:dyDescent="0.45">
      <c r="C18" s="64"/>
      <c r="D18" s="82"/>
      <c r="E18" s="82"/>
      <c r="F18" s="82"/>
      <c r="G18" s="1"/>
      <c r="H18" s="1"/>
      <c r="I18" s="86"/>
      <c r="J18" s="86"/>
      <c r="K18" s="86"/>
    </row>
    <row r="19" spans="2:11" x14ac:dyDescent="0.45">
      <c r="C19" s="64"/>
      <c r="D19" s="82"/>
      <c r="E19" s="82"/>
      <c r="F19" s="82"/>
      <c r="G19" s="1"/>
      <c r="H19" s="1"/>
      <c r="I19" s="86"/>
      <c r="J19" s="86"/>
      <c r="K19" s="86"/>
    </row>
    <row r="20" spans="2:11" x14ac:dyDescent="0.45">
      <c r="D20" s="51"/>
      <c r="G20" s="1"/>
      <c r="H20" s="1"/>
      <c r="I20" s="109"/>
      <c r="J20" s="109"/>
      <c r="K20" s="109"/>
    </row>
    <row r="22" spans="2:11" ht="18.75" customHeight="1" x14ac:dyDescent="0.45">
      <c r="C22" s="110"/>
      <c r="D22" s="110"/>
      <c r="E22" s="110"/>
      <c r="F22" s="110"/>
      <c r="G22" s="110"/>
      <c r="H22" s="110"/>
      <c r="I22" s="110"/>
      <c r="J22" s="110"/>
      <c r="K22" s="110"/>
    </row>
    <row r="23" spans="2:11" x14ac:dyDescent="0.45">
      <c r="C23" s="110"/>
      <c r="D23" s="110"/>
      <c r="E23" s="110"/>
      <c r="F23" s="110"/>
      <c r="G23" s="110"/>
      <c r="H23" s="110"/>
      <c r="I23" s="110"/>
      <c r="J23" s="110"/>
      <c r="K23" s="110"/>
    </row>
    <row r="24" spans="2:11" x14ac:dyDescent="0.45">
      <c r="C24" s="110"/>
      <c r="D24" s="110"/>
      <c r="E24" s="110"/>
      <c r="F24" s="110"/>
      <c r="G24" s="110"/>
      <c r="H24" s="110"/>
      <c r="I24" s="110"/>
      <c r="J24" s="110"/>
      <c r="K24" s="110"/>
    </row>
    <row r="25" spans="2:11" x14ac:dyDescent="0.45">
      <c r="C25" s="110"/>
      <c r="D25" s="110"/>
      <c r="E25" s="110"/>
      <c r="F25" s="110"/>
      <c r="G25" s="110"/>
      <c r="H25" s="110"/>
      <c r="I25" s="110"/>
      <c r="J25" s="110"/>
      <c r="K25" s="110"/>
    </row>
    <row r="26" spans="2:11" x14ac:dyDescent="0.45">
      <c r="C26" s="110"/>
      <c r="D26" s="110"/>
      <c r="E26" s="110"/>
      <c r="F26" s="110"/>
      <c r="G26" s="110"/>
      <c r="H26" s="110"/>
      <c r="I26" s="110"/>
      <c r="J26" s="110"/>
      <c r="K26" s="110"/>
    </row>
  </sheetData>
  <mergeCells count="4">
    <mergeCell ref="G2:H2"/>
    <mergeCell ref="J2:K2"/>
    <mergeCell ref="B4:B15"/>
    <mergeCell ref="B16:B1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A574-6BA7-4D21-BADA-C25C590553D3}">
  <dimension ref="B1:K78"/>
  <sheetViews>
    <sheetView showGridLines="0" rightToLeft="1" zoomScale="120" zoomScaleNormal="120" workbookViewId="0">
      <selection activeCell="Q68" sqref="Q68"/>
    </sheetView>
  </sheetViews>
  <sheetFormatPr defaultRowHeight="18" x14ac:dyDescent="0.45"/>
  <cols>
    <col min="1" max="1" width="2.85546875" style="52" customWidth="1"/>
    <col min="2" max="2" width="9.5703125" style="20" customWidth="1"/>
    <col min="3" max="3" width="29.140625" style="138" bestFit="1" customWidth="1"/>
    <col min="4" max="4" width="12.140625" style="20" customWidth="1"/>
    <col min="5" max="6" width="17.42578125" style="20" customWidth="1"/>
    <col min="7" max="9" width="12.140625" style="20" customWidth="1"/>
    <col min="10" max="11" width="9.140625" style="20"/>
    <col min="12" max="16384" width="9.140625" style="52"/>
  </cols>
  <sheetData>
    <row r="1" spans="2:11" ht="10.5" customHeight="1" x14ac:dyDescent="0.45"/>
    <row r="2" spans="2:11" s="20" customFormat="1" ht="20.25" thickBot="1" x14ac:dyDescent="0.3">
      <c r="B2" s="116" t="s">
        <v>209</v>
      </c>
      <c r="C2" s="116" t="s">
        <v>188</v>
      </c>
      <c r="D2" s="116" t="s">
        <v>367</v>
      </c>
      <c r="E2" s="116" t="s">
        <v>142</v>
      </c>
      <c r="F2" s="116" t="s">
        <v>210</v>
      </c>
      <c r="G2" s="116" t="s">
        <v>365</v>
      </c>
      <c r="H2" s="116" t="s">
        <v>364</v>
      </c>
      <c r="I2" s="116" t="s">
        <v>363</v>
      </c>
      <c r="J2" s="116" t="s">
        <v>211</v>
      </c>
      <c r="K2" s="116" t="s">
        <v>366</v>
      </c>
    </row>
    <row r="3" spans="2:11" ht="19.5" x14ac:dyDescent="0.5">
      <c r="B3" s="115" t="s">
        <v>301</v>
      </c>
      <c r="C3" s="140" t="s">
        <v>302</v>
      </c>
      <c r="D3" s="113">
        <v>379.3946316376767</v>
      </c>
      <c r="E3" s="113">
        <v>123091063</v>
      </c>
      <c r="F3" s="113">
        <v>60412560</v>
      </c>
      <c r="G3" s="114">
        <f>F3/E3</f>
        <v>0.49079566401989722</v>
      </c>
      <c r="H3" s="115">
        <v>389</v>
      </c>
      <c r="I3" s="113">
        <v>104.99996976678095</v>
      </c>
      <c r="J3" s="115">
        <v>3473</v>
      </c>
      <c r="K3" s="114">
        <f>I3/J3</f>
        <v>3.023321905176532E-2</v>
      </c>
    </row>
    <row r="4" spans="2:11" ht="19.5" x14ac:dyDescent="0.5">
      <c r="B4" s="142" t="s">
        <v>295</v>
      </c>
      <c r="C4" s="143" t="s">
        <v>296</v>
      </c>
      <c r="D4" s="144">
        <v>3139.0000000118353</v>
      </c>
      <c r="E4" s="144">
        <v>354760934</v>
      </c>
      <c r="F4" s="144">
        <v>255640000</v>
      </c>
      <c r="G4" s="145">
        <f>F4/E4</f>
        <v>0.72059794498116869</v>
      </c>
      <c r="H4" s="142">
        <v>3139</v>
      </c>
      <c r="I4" s="144">
        <v>3860.0043147081765</v>
      </c>
      <c r="J4" s="142">
        <v>23260</v>
      </c>
      <c r="K4" s="145">
        <f>I4/J4</f>
        <v>0.16595031447584593</v>
      </c>
    </row>
    <row r="5" spans="2:11" ht="19.5" x14ac:dyDescent="0.5">
      <c r="B5" s="142" t="s">
        <v>226</v>
      </c>
      <c r="C5" s="143" t="s">
        <v>227</v>
      </c>
      <c r="D5" s="144">
        <v>1391.4923547386143</v>
      </c>
      <c r="E5" s="144">
        <v>137540845</v>
      </c>
      <c r="F5" s="144">
        <v>108108000</v>
      </c>
      <c r="G5" s="145">
        <f>F5/E5</f>
        <v>0.78600651319249926</v>
      </c>
      <c r="H5" s="142">
        <v>1433</v>
      </c>
      <c r="I5" s="144">
        <v>1199.9962234579907</v>
      </c>
      <c r="J5" s="142">
        <v>12710</v>
      </c>
      <c r="K5" s="145">
        <f>I5/J5</f>
        <v>9.4413550232729404E-2</v>
      </c>
    </row>
    <row r="6" spans="2:11" ht="19.5" hidden="1" x14ac:dyDescent="0.5">
      <c r="B6" s="142" t="s">
        <v>228</v>
      </c>
      <c r="C6" s="143" t="s">
        <v>143</v>
      </c>
      <c r="D6" s="144">
        <v>962.06842105541659</v>
      </c>
      <c r="E6" s="144">
        <v>44791459</v>
      </c>
      <c r="F6" s="144">
        <v>39757500</v>
      </c>
      <c r="G6" s="145">
        <f>F6/E6</f>
        <v>0.88761341754909118</v>
      </c>
      <c r="H6" s="142">
        <v>1059</v>
      </c>
      <c r="I6" s="144">
        <v>610.00229160073764</v>
      </c>
      <c r="J6" s="142">
        <v>5590</v>
      </c>
      <c r="K6" s="145">
        <f>I6/J6</f>
        <v>0.10912384465129475</v>
      </c>
    </row>
    <row r="7" spans="2:11" ht="19.5" hidden="1" x14ac:dyDescent="0.5">
      <c r="B7" s="142" t="s">
        <v>303</v>
      </c>
      <c r="C7" s="143" t="s">
        <v>304</v>
      </c>
      <c r="D7" s="144">
        <v>1419.5849609458871</v>
      </c>
      <c r="E7" s="144">
        <v>58343404</v>
      </c>
      <c r="F7" s="144">
        <v>27798000</v>
      </c>
      <c r="G7" s="145">
        <f>F7/E7</f>
        <v>0.47645488768533284</v>
      </c>
      <c r="H7" s="142">
        <v>1489</v>
      </c>
      <c r="I7" s="144">
        <v>1049.9984558846238</v>
      </c>
      <c r="J7" s="142">
        <v>10200</v>
      </c>
      <c r="K7" s="145">
        <f>I7/J7</f>
        <v>0.10294102508672782</v>
      </c>
    </row>
    <row r="8" spans="2:11" hidden="1" x14ac:dyDescent="0.45">
      <c r="B8" s="81" t="s">
        <v>261</v>
      </c>
      <c r="C8" s="139" t="s">
        <v>262</v>
      </c>
      <c r="D8" s="45">
        <v>712.73638968757075</v>
      </c>
      <c r="E8" s="45">
        <v>8492497226</v>
      </c>
      <c r="F8" s="45">
        <v>5227500000</v>
      </c>
      <c r="G8" s="112">
        <f t="shared" ref="G8:G36" si="0">F8/E8</f>
        <v>0.61554332734968387</v>
      </c>
      <c r="H8" s="81">
        <v>721</v>
      </c>
      <c r="I8" s="45">
        <v>456.8658999265042</v>
      </c>
      <c r="J8" s="81">
        <v>6900</v>
      </c>
      <c r="K8" s="112">
        <f t="shared" ref="K8:K36" si="1">I8/J8</f>
        <v>6.621244926471076E-2</v>
      </c>
    </row>
    <row r="9" spans="2:11" hidden="1" x14ac:dyDescent="0.45">
      <c r="B9" s="81" t="s">
        <v>311</v>
      </c>
      <c r="C9" s="139" t="s">
        <v>312</v>
      </c>
      <c r="D9" s="45">
        <v>189.13181019438528</v>
      </c>
      <c r="E9" s="45">
        <v>2688378517</v>
      </c>
      <c r="F9" s="45">
        <v>1855239259.1040001</v>
      </c>
      <c r="G9" s="112">
        <f t="shared" si="0"/>
        <v>0.69009599926958498</v>
      </c>
      <c r="H9" s="81">
        <v>201</v>
      </c>
      <c r="I9" s="45">
        <v>187.99879787624803</v>
      </c>
      <c r="J9" s="81">
        <v>1126</v>
      </c>
      <c r="K9" s="112">
        <f t="shared" si="1"/>
        <v>0.16696163221691654</v>
      </c>
    </row>
    <row r="10" spans="2:11" hidden="1" x14ac:dyDescent="0.45">
      <c r="B10" s="81" t="s">
        <v>263</v>
      </c>
      <c r="C10" s="139" t="s">
        <v>264</v>
      </c>
      <c r="D10" s="45">
        <v>2162.9999999861911</v>
      </c>
      <c r="E10" s="45">
        <v>3030333612</v>
      </c>
      <c r="F10" s="45">
        <v>1627045000</v>
      </c>
      <c r="G10" s="112">
        <f t="shared" si="0"/>
        <v>0.53691943143057475</v>
      </c>
      <c r="H10" s="81">
        <v>2163</v>
      </c>
      <c r="I10" s="45">
        <v>2740.0068329347455</v>
      </c>
      <c r="J10" s="81">
        <v>16040</v>
      </c>
      <c r="K10" s="112">
        <f t="shared" si="1"/>
        <v>0.17082336863682951</v>
      </c>
    </row>
    <row r="11" spans="2:11" hidden="1" x14ac:dyDescent="0.45">
      <c r="B11" s="81" t="s">
        <v>231</v>
      </c>
      <c r="C11" s="139" t="s">
        <v>232</v>
      </c>
      <c r="D11" s="45">
        <v>1100.0000000014945</v>
      </c>
      <c r="E11" s="45">
        <v>2324216621</v>
      </c>
      <c r="F11" s="45">
        <v>1583280000</v>
      </c>
      <c r="G11" s="112">
        <f t="shared" si="0"/>
        <v>0.68121017021158292</v>
      </c>
      <c r="H11" s="81">
        <v>3659</v>
      </c>
      <c r="I11" s="45">
        <v>3000</v>
      </c>
      <c r="J11" s="81">
        <v>22080</v>
      </c>
      <c r="K11" s="112">
        <f t="shared" si="1"/>
        <v>0.1358695652173913</v>
      </c>
    </row>
    <row r="12" spans="2:11" hidden="1" x14ac:dyDescent="0.45">
      <c r="B12" s="81" t="s">
        <v>253</v>
      </c>
      <c r="C12" s="139" t="s">
        <v>254</v>
      </c>
      <c r="D12" s="45">
        <v>2521.4260761011642</v>
      </c>
      <c r="E12" s="45">
        <v>1768690335</v>
      </c>
      <c r="F12" s="45">
        <v>1551675872</v>
      </c>
      <c r="G12" s="112">
        <f t="shared" si="0"/>
        <v>0.87730217172244573</v>
      </c>
      <c r="H12" s="81">
        <v>2259</v>
      </c>
      <c r="I12" s="45">
        <v>2130.0012079401936</v>
      </c>
      <c r="J12" s="81">
        <v>15870</v>
      </c>
      <c r="K12" s="112">
        <f t="shared" si="1"/>
        <v>0.13421557705987358</v>
      </c>
    </row>
    <row r="13" spans="2:11" hidden="1" x14ac:dyDescent="0.45">
      <c r="B13" s="81" t="s">
        <v>255</v>
      </c>
      <c r="C13" s="139" t="s">
        <v>256</v>
      </c>
      <c r="D13" s="45">
        <v>6110.4806673506309</v>
      </c>
      <c r="E13" s="45">
        <v>2392925251</v>
      </c>
      <c r="F13" s="45">
        <v>1512270000</v>
      </c>
      <c r="G13" s="112">
        <f t="shared" si="0"/>
        <v>0.63197544485270674</v>
      </c>
      <c r="H13" s="81">
        <v>7593</v>
      </c>
      <c r="I13" s="45">
        <v>6800.0074215633522</v>
      </c>
      <c r="J13" s="81">
        <v>36650</v>
      </c>
      <c r="K13" s="112">
        <f t="shared" si="1"/>
        <v>0.18553908380800416</v>
      </c>
    </row>
    <row r="14" spans="2:11" hidden="1" x14ac:dyDescent="0.45">
      <c r="B14" s="81" t="s">
        <v>317</v>
      </c>
      <c r="C14" s="139" t="s">
        <v>318</v>
      </c>
      <c r="D14" s="45">
        <v>173.33141762466053</v>
      </c>
      <c r="E14" s="45">
        <v>884838247</v>
      </c>
      <c r="F14" s="45">
        <v>1252800000</v>
      </c>
      <c r="G14" s="112">
        <f t="shared" si="0"/>
        <v>1.4158519980884146</v>
      </c>
      <c r="H14" s="81">
        <v>210</v>
      </c>
      <c r="I14" s="45">
        <v>158.33323241986463</v>
      </c>
      <c r="J14" s="81">
        <v>5230</v>
      </c>
      <c r="K14" s="112">
        <f t="shared" si="1"/>
        <v>3.0274040615652892E-2</v>
      </c>
    </row>
    <row r="15" spans="2:11" hidden="1" x14ac:dyDescent="0.45">
      <c r="B15" s="81" t="s">
        <v>245</v>
      </c>
      <c r="C15" s="139" t="s">
        <v>246</v>
      </c>
      <c r="D15" s="45">
        <v>568.86250000497762</v>
      </c>
      <c r="E15" s="45">
        <v>1668147586</v>
      </c>
      <c r="F15" s="45">
        <v>816600000</v>
      </c>
      <c r="G15" s="112">
        <f t="shared" si="0"/>
        <v>0.48952503174979867</v>
      </c>
      <c r="H15" s="81">
        <v>582</v>
      </c>
      <c r="I15" s="45">
        <v>360.00053077851936</v>
      </c>
      <c r="J15" s="81">
        <v>2713</v>
      </c>
      <c r="K15" s="112">
        <f t="shared" si="1"/>
        <v>0.13269462984833003</v>
      </c>
    </row>
    <row r="16" spans="2:11" hidden="1" x14ac:dyDescent="0.45">
      <c r="B16" s="81" t="s">
        <v>243</v>
      </c>
      <c r="C16" s="139" t="s">
        <v>244</v>
      </c>
      <c r="D16" s="45">
        <v>1972.7894156512236</v>
      </c>
      <c r="E16" s="45">
        <v>2867183600</v>
      </c>
      <c r="F16" s="45">
        <v>735900000</v>
      </c>
      <c r="G16" s="112">
        <f t="shared" si="0"/>
        <v>0.25666301941738229</v>
      </c>
      <c r="H16" s="81">
        <v>2777</v>
      </c>
      <c r="I16" s="45">
        <v>1630.1953297106772</v>
      </c>
      <c r="J16" s="81">
        <v>8880</v>
      </c>
      <c r="K16" s="112">
        <f t="shared" si="1"/>
        <v>0.1835805551475988</v>
      </c>
    </row>
    <row r="17" spans="2:11" hidden="1" x14ac:dyDescent="0.45">
      <c r="B17" s="81" t="s">
        <v>273</v>
      </c>
      <c r="C17" s="139" t="s">
        <v>274</v>
      </c>
      <c r="D17" s="45">
        <v>3029.6842105416235</v>
      </c>
      <c r="E17" s="45">
        <v>1273450217</v>
      </c>
      <c r="F17" s="45">
        <v>723667500</v>
      </c>
      <c r="G17" s="112">
        <f t="shared" si="0"/>
        <v>0.56827309802877046</v>
      </c>
      <c r="H17" s="81">
        <v>3077</v>
      </c>
      <c r="I17" s="45">
        <v>2919.9986727278761</v>
      </c>
      <c r="J17" s="81">
        <v>17600</v>
      </c>
      <c r="K17" s="112">
        <f t="shared" si="1"/>
        <v>0.16590901549590206</v>
      </c>
    </row>
    <row r="18" spans="2:11" hidden="1" x14ac:dyDescent="0.45">
      <c r="B18" s="81" t="s">
        <v>307</v>
      </c>
      <c r="C18" s="139" t="s">
        <v>308</v>
      </c>
      <c r="D18" s="45">
        <v>1108.7719688481652</v>
      </c>
      <c r="E18" s="45">
        <v>821679435</v>
      </c>
      <c r="F18" s="45">
        <v>603450000</v>
      </c>
      <c r="G18" s="112">
        <f t="shared" si="0"/>
        <v>0.7344104942823596</v>
      </c>
      <c r="H18" s="81">
        <v>1134</v>
      </c>
      <c r="I18" s="45">
        <v>949.99783352831571</v>
      </c>
      <c r="J18" s="81">
        <v>8770</v>
      </c>
      <c r="K18" s="112">
        <f t="shared" si="1"/>
        <v>0.10832358421075436</v>
      </c>
    </row>
    <row r="19" spans="2:11" hidden="1" x14ac:dyDescent="0.45">
      <c r="B19" s="81" t="s">
        <v>319</v>
      </c>
      <c r="C19" s="139" t="s">
        <v>320</v>
      </c>
      <c r="D19" s="45">
        <v>570.4395604424858</v>
      </c>
      <c r="E19" s="45">
        <v>842924090</v>
      </c>
      <c r="F19" s="45">
        <v>550000000</v>
      </c>
      <c r="G19" s="112">
        <f t="shared" si="0"/>
        <v>0.65249054633140213</v>
      </c>
      <c r="H19" s="81">
        <v>1962</v>
      </c>
      <c r="I19" s="45">
        <v>84.403041024278835</v>
      </c>
      <c r="J19" s="81">
        <v>5370</v>
      </c>
      <c r="K19" s="112">
        <f t="shared" si="1"/>
        <v>1.5717512295023991E-2</v>
      </c>
    </row>
    <row r="20" spans="2:11" hidden="1" x14ac:dyDescent="0.45">
      <c r="B20" s="81" t="s">
        <v>325</v>
      </c>
      <c r="C20" s="139" t="s">
        <v>326</v>
      </c>
      <c r="D20" s="45">
        <v>653.41543514171894</v>
      </c>
      <c r="E20" s="45">
        <v>747842566</v>
      </c>
      <c r="F20" s="45">
        <v>352130000</v>
      </c>
      <c r="G20" s="112">
        <f t="shared" si="0"/>
        <v>0.47086113576477007</v>
      </c>
      <c r="H20" s="81">
        <v>650</v>
      </c>
      <c r="I20" s="45">
        <v>445.0027433653874</v>
      </c>
      <c r="J20" s="81">
        <v>3082</v>
      </c>
      <c r="K20" s="112">
        <f t="shared" si="1"/>
        <v>0.14438765196800371</v>
      </c>
    </row>
    <row r="21" spans="2:11" hidden="1" x14ac:dyDescent="0.45">
      <c r="B21" s="81" t="s">
        <v>220</v>
      </c>
      <c r="C21" s="139" t="s">
        <v>221</v>
      </c>
      <c r="D21" s="45">
        <v>5534.0000001220669</v>
      </c>
      <c r="E21" s="45">
        <v>531307182</v>
      </c>
      <c r="F21" s="45">
        <v>284415000</v>
      </c>
      <c r="G21" s="112">
        <f t="shared" si="0"/>
        <v>0.535311792566734</v>
      </c>
      <c r="H21" s="81">
        <v>9769</v>
      </c>
      <c r="I21" s="45">
        <v>3524.8457084685369</v>
      </c>
      <c r="J21" s="81">
        <v>5540</v>
      </c>
      <c r="K21" s="112">
        <f t="shared" si="1"/>
        <v>0.63625373799071061</v>
      </c>
    </row>
    <row r="22" spans="2:11" hidden="1" x14ac:dyDescent="0.45">
      <c r="B22" s="81" t="s">
        <v>321</v>
      </c>
      <c r="C22" s="139" t="s">
        <v>322</v>
      </c>
      <c r="D22" s="45">
        <v>1222.9112903198684</v>
      </c>
      <c r="E22" s="45">
        <v>431283296</v>
      </c>
      <c r="F22" s="45">
        <v>226800000</v>
      </c>
      <c r="G22" s="112">
        <f t="shared" si="0"/>
        <v>0.52587244185779924</v>
      </c>
      <c r="H22" s="81">
        <v>1502</v>
      </c>
      <c r="I22" s="45">
        <v>669.99650903622546</v>
      </c>
      <c r="J22" s="81">
        <v>4990</v>
      </c>
      <c r="K22" s="112">
        <f t="shared" si="1"/>
        <v>0.13426783748220952</v>
      </c>
    </row>
    <row r="23" spans="2:11" hidden="1" x14ac:dyDescent="0.45">
      <c r="B23" s="81" t="s">
        <v>251</v>
      </c>
      <c r="C23" s="139" t="s">
        <v>252</v>
      </c>
      <c r="D23" s="45">
        <v>1100.4671999918301</v>
      </c>
      <c r="E23" s="45">
        <v>556733976</v>
      </c>
      <c r="F23" s="45">
        <v>222600000</v>
      </c>
      <c r="G23" s="112">
        <f t="shared" si="0"/>
        <v>0.39983189385948309</v>
      </c>
      <c r="H23" s="81">
        <v>1150</v>
      </c>
      <c r="I23" s="45">
        <v>684.99874562331615</v>
      </c>
      <c r="J23" s="81">
        <v>6280</v>
      </c>
      <c r="K23" s="112">
        <f t="shared" si="1"/>
        <v>0.10907623337950895</v>
      </c>
    </row>
    <row r="24" spans="2:11" hidden="1" x14ac:dyDescent="0.45">
      <c r="B24" s="81" t="s">
        <v>347</v>
      </c>
      <c r="C24" s="139" t="s">
        <v>348</v>
      </c>
      <c r="D24" s="45">
        <v>543.99999999711213</v>
      </c>
      <c r="E24" s="45">
        <v>1010510295</v>
      </c>
      <c r="F24" s="45">
        <v>221100000</v>
      </c>
      <c r="G24" s="112">
        <f t="shared" si="0"/>
        <v>0.21880034384013872</v>
      </c>
      <c r="H24" s="81">
        <v>551</v>
      </c>
      <c r="I24" s="45">
        <v>419.99944260193416</v>
      </c>
      <c r="J24" s="81">
        <v>3014</v>
      </c>
      <c r="K24" s="112">
        <f t="shared" si="1"/>
        <v>0.13934951645717789</v>
      </c>
    </row>
    <row r="25" spans="2:11" hidden="1" x14ac:dyDescent="0.45">
      <c r="B25" s="81" t="s">
        <v>313</v>
      </c>
      <c r="C25" s="139" t="s">
        <v>314</v>
      </c>
      <c r="D25" s="45">
        <v>1496.6699729547429</v>
      </c>
      <c r="E25" s="45">
        <v>357006683</v>
      </c>
      <c r="F25" s="45">
        <v>206800000</v>
      </c>
      <c r="G25" s="112">
        <f t="shared" si="0"/>
        <v>0.57926086498498408</v>
      </c>
      <c r="H25" s="81">
        <v>1779</v>
      </c>
      <c r="I25" s="45">
        <v>1350.0021704214957</v>
      </c>
      <c r="J25" s="81">
        <v>9330</v>
      </c>
      <c r="K25" s="112">
        <f t="shared" si="1"/>
        <v>0.14469476639029966</v>
      </c>
    </row>
    <row r="26" spans="2:11" hidden="1" x14ac:dyDescent="0.45">
      <c r="B26" s="81" t="s">
        <v>277</v>
      </c>
      <c r="C26" s="139" t="s">
        <v>278</v>
      </c>
      <c r="D26" s="45">
        <v>6226.9859774156967</v>
      </c>
      <c r="E26" s="45">
        <v>243858711</v>
      </c>
      <c r="F26" s="45">
        <v>200700000</v>
      </c>
      <c r="G26" s="112">
        <f t="shared" si="0"/>
        <v>0.82301755461997828</v>
      </c>
      <c r="H26" s="81">
        <v>6394</v>
      </c>
      <c r="I26" s="45">
        <v>6349.9546690843163</v>
      </c>
      <c r="J26" s="81">
        <v>35020</v>
      </c>
      <c r="K26" s="112">
        <f t="shared" si="1"/>
        <v>0.18132366273798733</v>
      </c>
    </row>
    <row r="27" spans="2:11" hidden="1" x14ac:dyDescent="0.45">
      <c r="B27" s="81" t="s">
        <v>222</v>
      </c>
      <c r="C27" s="139" t="s">
        <v>223</v>
      </c>
      <c r="D27" s="45">
        <v>451.26380367470637</v>
      </c>
      <c r="E27" s="45">
        <v>557858206</v>
      </c>
      <c r="F27" s="45">
        <v>200475932.86300001</v>
      </c>
      <c r="G27" s="112">
        <f t="shared" si="0"/>
        <v>0.35936718454043859</v>
      </c>
      <c r="H27" s="81">
        <v>463</v>
      </c>
      <c r="I27" s="45">
        <v>70</v>
      </c>
      <c r="J27" s="81">
        <v>1491</v>
      </c>
      <c r="K27" s="112">
        <f t="shared" si="1"/>
        <v>4.6948356807511735E-2</v>
      </c>
    </row>
    <row r="28" spans="2:11" hidden="1" x14ac:dyDescent="0.45">
      <c r="B28" s="81" t="s">
        <v>299</v>
      </c>
      <c r="C28" s="139" t="s">
        <v>300</v>
      </c>
      <c r="D28" s="45">
        <v>488.00000000514024</v>
      </c>
      <c r="E28" s="45">
        <v>533276589</v>
      </c>
      <c r="F28" s="45">
        <v>151600000</v>
      </c>
      <c r="G28" s="112">
        <f t="shared" si="0"/>
        <v>0.2842802461744669</v>
      </c>
      <c r="H28" s="81">
        <v>488</v>
      </c>
      <c r="I28" s="45">
        <v>50</v>
      </c>
      <c r="J28" s="81">
        <v>1519</v>
      </c>
      <c r="K28" s="112">
        <f t="shared" si="1"/>
        <v>3.2916392363396975E-2</v>
      </c>
    </row>
    <row r="29" spans="2:11" hidden="1" x14ac:dyDescent="0.45">
      <c r="B29" s="81" t="s">
        <v>297</v>
      </c>
      <c r="C29" s="139" t="s">
        <v>298</v>
      </c>
      <c r="D29" s="45">
        <v>5206.4098984268985</v>
      </c>
      <c r="E29" s="45">
        <v>139758444</v>
      </c>
      <c r="F29" s="45">
        <v>138000000</v>
      </c>
      <c r="G29" s="112">
        <f t="shared" si="0"/>
        <v>0.98741797669126885</v>
      </c>
      <c r="H29" s="81">
        <v>5374</v>
      </c>
      <c r="I29" s="45">
        <v>1850.000406414852</v>
      </c>
      <c r="J29" s="81">
        <v>22760</v>
      </c>
      <c r="K29" s="112">
        <f t="shared" si="1"/>
        <v>8.128297040487048E-2</v>
      </c>
    </row>
    <row r="30" spans="2:11" hidden="1" x14ac:dyDescent="0.45">
      <c r="B30" s="81" t="s">
        <v>283</v>
      </c>
      <c r="C30" s="139" t="s">
        <v>284</v>
      </c>
      <c r="D30" s="45">
        <v>1150.9349408415517</v>
      </c>
      <c r="E30" s="45">
        <v>251099060</v>
      </c>
      <c r="F30" s="45">
        <v>133030400</v>
      </c>
      <c r="G30" s="112">
        <f t="shared" si="0"/>
        <v>0.52979250499782837</v>
      </c>
      <c r="H30" s="81">
        <v>1322</v>
      </c>
      <c r="I30" s="45">
        <v>1190.0160141366173</v>
      </c>
      <c r="J30" s="81">
        <v>4310</v>
      </c>
      <c r="K30" s="112">
        <f t="shared" si="1"/>
        <v>0.27610580374399474</v>
      </c>
    </row>
    <row r="31" spans="2:11" hidden="1" x14ac:dyDescent="0.45">
      <c r="B31" s="81" t="s">
        <v>237</v>
      </c>
      <c r="C31" s="139" t="s">
        <v>238</v>
      </c>
      <c r="D31" s="45">
        <v>33.429523809539724</v>
      </c>
      <c r="E31" s="45">
        <v>179796170</v>
      </c>
      <c r="F31" s="45">
        <v>126181966.48199999</v>
      </c>
      <c r="G31" s="112">
        <f t="shared" si="0"/>
        <v>0.70180564181094618</v>
      </c>
      <c r="H31" s="81">
        <v>53</v>
      </c>
      <c r="I31" s="45">
        <v>8.9999988718271542</v>
      </c>
      <c r="J31" s="81">
        <v>3191</v>
      </c>
      <c r="K31" s="112">
        <f t="shared" si="1"/>
        <v>2.8204321127631321E-3</v>
      </c>
    </row>
    <row r="32" spans="2:11" hidden="1" x14ac:dyDescent="0.45">
      <c r="B32" s="81" t="s">
        <v>335</v>
      </c>
      <c r="C32" s="139" t="s">
        <v>336</v>
      </c>
      <c r="D32" s="45">
        <v>87.336741214068667</v>
      </c>
      <c r="E32" s="45">
        <v>138277587</v>
      </c>
      <c r="F32" s="45">
        <v>122910241.839</v>
      </c>
      <c r="G32" s="112">
        <f t="shared" si="0"/>
        <v>0.88886597246595</v>
      </c>
      <c r="H32" s="81">
        <v>44</v>
      </c>
      <c r="I32" s="45">
        <v>20.902419361541209</v>
      </c>
      <c r="J32" s="81">
        <v>1509</v>
      </c>
      <c r="K32" s="112">
        <f t="shared" si="1"/>
        <v>1.3851835229649575E-2</v>
      </c>
    </row>
    <row r="33" spans="2:11" hidden="1" x14ac:dyDescent="0.45">
      <c r="B33" s="81" t="s">
        <v>241</v>
      </c>
      <c r="C33" s="139" t="s">
        <v>242</v>
      </c>
      <c r="D33" s="45">
        <v>586.00000000443504</v>
      </c>
      <c r="E33" s="45">
        <v>467186578</v>
      </c>
      <c r="F33" s="45">
        <v>95340000</v>
      </c>
      <c r="G33" s="112">
        <f t="shared" si="0"/>
        <v>0.20407264354242644</v>
      </c>
      <c r="H33" s="81">
        <v>586</v>
      </c>
      <c r="I33" s="45">
        <v>46.749977524049271</v>
      </c>
      <c r="J33" s="81">
        <v>1612</v>
      </c>
      <c r="K33" s="112">
        <f t="shared" si="1"/>
        <v>2.9001226751891606E-2</v>
      </c>
    </row>
    <row r="34" spans="2:11" hidden="1" x14ac:dyDescent="0.45">
      <c r="B34" s="81" t="s">
        <v>291</v>
      </c>
      <c r="C34" s="139" t="s">
        <v>292</v>
      </c>
      <c r="D34" s="45">
        <v>495.14419889677839</v>
      </c>
      <c r="E34" s="45">
        <v>285252372</v>
      </c>
      <c r="F34" s="45">
        <v>88725000</v>
      </c>
      <c r="G34" s="112">
        <f t="shared" si="0"/>
        <v>0.3110403583252237</v>
      </c>
      <c r="H34" s="81">
        <v>791</v>
      </c>
      <c r="I34" s="45">
        <v>350.0004918500448</v>
      </c>
      <c r="J34" s="81">
        <v>3558</v>
      </c>
      <c r="K34" s="112">
        <f t="shared" si="1"/>
        <v>9.837000895167082E-2</v>
      </c>
    </row>
    <row r="35" spans="2:11" hidden="1" x14ac:dyDescent="0.45">
      <c r="B35" s="81" t="s">
        <v>281</v>
      </c>
      <c r="C35" s="139" t="s">
        <v>282</v>
      </c>
      <c r="D35" s="45">
        <v>349.09005481693174</v>
      </c>
      <c r="E35" s="45">
        <v>44613380</v>
      </c>
      <c r="F35" s="45">
        <v>80608500</v>
      </c>
      <c r="G35" s="112">
        <f t="shared" si="0"/>
        <v>1.8068234238248704</v>
      </c>
      <c r="H35" s="81">
        <v>364</v>
      </c>
      <c r="I35" s="45">
        <v>40</v>
      </c>
      <c r="J35" s="81">
        <v>5124</v>
      </c>
      <c r="K35" s="112">
        <f t="shared" si="1"/>
        <v>7.8064012490241998E-3</v>
      </c>
    </row>
    <row r="36" spans="2:11" hidden="1" x14ac:dyDescent="0.45">
      <c r="B36" s="81" t="s">
        <v>285</v>
      </c>
      <c r="C36" s="139" t="s">
        <v>286</v>
      </c>
      <c r="D36" s="45">
        <v>289.99999999881373</v>
      </c>
      <c r="E36" s="45">
        <v>162834772</v>
      </c>
      <c r="F36" s="45">
        <v>62924400</v>
      </c>
      <c r="G36" s="112">
        <f t="shared" si="0"/>
        <v>0.38643097679407196</v>
      </c>
      <c r="H36" s="81">
        <v>357</v>
      </c>
      <c r="I36" s="45">
        <v>35.999990937698946</v>
      </c>
      <c r="J36" s="81">
        <v>3178</v>
      </c>
      <c r="K36" s="112">
        <f t="shared" si="1"/>
        <v>1.1327876317715212E-2</v>
      </c>
    </row>
    <row r="37" spans="2:11" hidden="1" x14ac:dyDescent="0.45">
      <c r="B37" s="81" t="s">
        <v>265</v>
      </c>
      <c r="C37" s="139" t="s">
        <v>266</v>
      </c>
      <c r="D37" s="45">
        <v>398.99999999940087</v>
      </c>
      <c r="E37" s="45">
        <v>112678291</v>
      </c>
      <c r="F37" s="45">
        <v>58270464.027999997</v>
      </c>
      <c r="G37" s="112">
        <f t="shared" ref="G37:G66" si="2">F37/E37</f>
        <v>0.51714011200258614</v>
      </c>
      <c r="H37" s="81">
        <v>541</v>
      </c>
      <c r="I37" s="45">
        <v>54.999988988991191</v>
      </c>
      <c r="J37" s="81">
        <v>4995</v>
      </c>
      <c r="K37" s="112">
        <f t="shared" ref="K37:K66" si="3">I37/J37</f>
        <v>1.1011008806604843E-2</v>
      </c>
    </row>
    <row r="38" spans="2:11" hidden="1" x14ac:dyDescent="0.45">
      <c r="B38" s="81" t="s">
        <v>214</v>
      </c>
      <c r="C38" s="139" t="s">
        <v>215</v>
      </c>
      <c r="D38" s="45">
        <v>2102.9999999929269</v>
      </c>
      <c r="E38" s="45">
        <v>119396434</v>
      </c>
      <c r="F38" s="45">
        <v>56780000</v>
      </c>
      <c r="G38" s="112">
        <f t="shared" si="2"/>
        <v>0.47555859164102005</v>
      </c>
      <c r="H38" s="81">
        <v>1888</v>
      </c>
      <c r="I38" s="45">
        <v>1399.9916293475076</v>
      </c>
      <c r="J38" s="81">
        <v>6690</v>
      </c>
      <c r="K38" s="112">
        <f t="shared" si="3"/>
        <v>0.20926631230904447</v>
      </c>
    </row>
    <row r="39" spans="2:11" hidden="1" x14ac:dyDescent="0.45">
      <c r="B39" s="81" t="s">
        <v>257</v>
      </c>
      <c r="C39" s="139" t="s">
        <v>258</v>
      </c>
      <c r="D39" s="45">
        <v>6315.9999999704023</v>
      </c>
      <c r="E39" s="45">
        <v>90286570</v>
      </c>
      <c r="F39" s="45">
        <v>56492800</v>
      </c>
      <c r="G39" s="112">
        <f t="shared" si="2"/>
        <v>0.62570546206373767</v>
      </c>
      <c r="H39" s="81">
        <v>6316</v>
      </c>
      <c r="I39" s="45">
        <v>6499.9476823270898</v>
      </c>
      <c r="J39" s="81">
        <v>31060</v>
      </c>
      <c r="K39" s="112">
        <f t="shared" si="3"/>
        <v>0.20927069163963585</v>
      </c>
    </row>
    <row r="40" spans="2:11" hidden="1" x14ac:dyDescent="0.45">
      <c r="B40" s="81" t="s">
        <v>269</v>
      </c>
      <c r="C40" s="139" t="s">
        <v>270</v>
      </c>
      <c r="D40" s="45">
        <v>426.99999999965132</v>
      </c>
      <c r="E40" s="45">
        <v>51202039</v>
      </c>
      <c r="F40" s="45">
        <v>56173379.159999996</v>
      </c>
      <c r="G40" s="112">
        <f t="shared" si="2"/>
        <v>1.0970926208622278</v>
      </c>
      <c r="H40" s="81">
        <v>486</v>
      </c>
      <c r="I40" s="45">
        <v>60</v>
      </c>
      <c r="J40" s="81">
        <v>8940</v>
      </c>
      <c r="K40" s="112">
        <f t="shared" si="3"/>
        <v>6.7114093959731542E-3</v>
      </c>
    </row>
    <row r="41" spans="2:11" hidden="1" x14ac:dyDescent="0.45">
      <c r="B41" s="81" t="s">
        <v>309</v>
      </c>
      <c r="C41" s="139" t="s">
        <v>310</v>
      </c>
      <c r="D41" s="45">
        <v>3637.7079380924797</v>
      </c>
      <c r="E41" s="45">
        <v>198788513</v>
      </c>
      <c r="F41" s="45">
        <v>54450000</v>
      </c>
      <c r="G41" s="112">
        <f t="shared" si="2"/>
        <v>0.27390918709674134</v>
      </c>
      <c r="H41" s="81">
        <v>3684</v>
      </c>
      <c r="I41" s="45">
        <v>1329.9994680002128</v>
      </c>
      <c r="J41" s="81">
        <v>20000</v>
      </c>
      <c r="K41" s="112">
        <f t="shared" si="3"/>
        <v>6.649997340001064E-2</v>
      </c>
    </row>
    <row r="42" spans="2:11" ht="19.5" hidden="1" x14ac:dyDescent="0.5">
      <c r="B42" s="142" t="s">
        <v>212</v>
      </c>
      <c r="C42" s="143" t="s">
        <v>213</v>
      </c>
      <c r="D42" s="144">
        <v>934.52562152270957</v>
      </c>
      <c r="E42" s="144">
        <v>73375028</v>
      </c>
      <c r="F42" s="144">
        <v>54378402.799999997</v>
      </c>
      <c r="G42" s="145">
        <f t="shared" si="2"/>
        <v>0.74110231072075361</v>
      </c>
      <c r="H42" s="142">
        <v>1017</v>
      </c>
      <c r="I42" s="144">
        <v>400</v>
      </c>
      <c r="J42" s="142">
        <v>4054</v>
      </c>
      <c r="K42" s="145">
        <f t="shared" si="3"/>
        <v>9.8667982239763197E-2</v>
      </c>
    </row>
    <row r="43" spans="2:11" hidden="1" x14ac:dyDescent="0.45">
      <c r="B43" s="81" t="s">
        <v>349</v>
      </c>
      <c r="C43" s="139" t="s">
        <v>350</v>
      </c>
      <c r="D43" s="45">
        <v>1246.5943279949929</v>
      </c>
      <c r="E43" s="45">
        <v>105219340</v>
      </c>
      <c r="F43" s="45">
        <v>51935000</v>
      </c>
      <c r="G43" s="112">
        <f t="shared" si="2"/>
        <v>0.4935879658625496</v>
      </c>
      <c r="H43" s="81">
        <v>1318</v>
      </c>
      <c r="I43" s="45">
        <v>1190.0074375464847</v>
      </c>
      <c r="J43" s="81">
        <v>8160</v>
      </c>
      <c r="K43" s="112">
        <f t="shared" si="3"/>
        <v>0.14583424479736332</v>
      </c>
    </row>
    <row r="44" spans="2:11" hidden="1" x14ac:dyDescent="0.45">
      <c r="B44" s="81" t="s">
        <v>287</v>
      </c>
      <c r="C44" s="139" t="s">
        <v>288</v>
      </c>
      <c r="D44" s="45">
        <v>859.48453609133492</v>
      </c>
      <c r="E44" s="45">
        <v>65284377</v>
      </c>
      <c r="F44" s="45">
        <v>51831000</v>
      </c>
      <c r="G44" s="112">
        <f t="shared" si="2"/>
        <v>0.79392654692867792</v>
      </c>
      <c r="H44" s="81">
        <v>782</v>
      </c>
      <c r="I44" s="45">
        <v>563.00074932272753</v>
      </c>
      <c r="J44" s="81">
        <v>3907</v>
      </c>
      <c r="K44" s="112">
        <f t="shared" si="3"/>
        <v>0.14410052452590927</v>
      </c>
    </row>
    <row r="45" spans="2:11" hidden="1" x14ac:dyDescent="0.45">
      <c r="B45" s="81" t="s">
        <v>329</v>
      </c>
      <c r="C45" s="139" t="s">
        <v>330</v>
      </c>
      <c r="D45" s="45">
        <v>686.65745856808837</v>
      </c>
      <c r="E45" s="45">
        <v>109595472</v>
      </c>
      <c r="F45" s="45">
        <v>47720000</v>
      </c>
      <c r="G45" s="112">
        <f t="shared" si="2"/>
        <v>0.43541944871591043</v>
      </c>
      <c r="H45" s="81">
        <v>757</v>
      </c>
      <c r="I45" s="45">
        <v>299.99873043279547</v>
      </c>
      <c r="J45" s="81">
        <v>2363</v>
      </c>
      <c r="K45" s="112">
        <f t="shared" si="3"/>
        <v>0.12695672045399722</v>
      </c>
    </row>
    <row r="46" spans="2:11" hidden="1" x14ac:dyDescent="0.45">
      <c r="B46" s="81" t="s">
        <v>275</v>
      </c>
      <c r="C46" s="139" t="s">
        <v>276</v>
      </c>
      <c r="D46" s="45">
        <v>897.55366947693597</v>
      </c>
      <c r="E46" s="45">
        <v>125348639</v>
      </c>
      <c r="F46" s="45">
        <v>45034000</v>
      </c>
      <c r="G46" s="112">
        <f t="shared" si="2"/>
        <v>0.35926995585488569</v>
      </c>
      <c r="H46" s="81">
        <v>910</v>
      </c>
      <c r="I46" s="45">
        <v>139.9997227728262</v>
      </c>
      <c r="J46" s="81">
        <v>2020</v>
      </c>
      <c r="K46" s="112">
        <f t="shared" si="3"/>
        <v>6.9306793451894166E-2</v>
      </c>
    </row>
    <row r="47" spans="2:11" hidden="1" x14ac:dyDescent="0.45">
      <c r="B47" s="81" t="s">
        <v>235</v>
      </c>
      <c r="C47" s="139" t="s">
        <v>236</v>
      </c>
      <c r="D47" s="45">
        <v>4394.7579712586794</v>
      </c>
      <c r="E47" s="45">
        <v>100303531</v>
      </c>
      <c r="F47" s="45">
        <v>44913180.619800001</v>
      </c>
      <c r="G47" s="112">
        <f t="shared" si="2"/>
        <v>0.44777267731282561</v>
      </c>
      <c r="H47" s="81">
        <v>4395</v>
      </c>
      <c r="I47" s="45">
        <v>5000</v>
      </c>
      <c r="J47" s="81">
        <v>181590</v>
      </c>
      <c r="K47" s="112">
        <f t="shared" si="3"/>
        <v>2.7534555867613855E-2</v>
      </c>
    </row>
    <row r="48" spans="2:11" hidden="1" x14ac:dyDescent="0.45">
      <c r="B48" s="81" t="s">
        <v>361</v>
      </c>
      <c r="C48" s="139" t="s">
        <v>362</v>
      </c>
      <c r="D48" s="45">
        <v>917.19235955536408</v>
      </c>
      <c r="E48" s="45">
        <v>94382317</v>
      </c>
      <c r="F48" s="45">
        <v>44750000</v>
      </c>
      <c r="G48" s="119">
        <f t="shared" si="2"/>
        <v>0.47413542517715473</v>
      </c>
      <c r="H48" s="81">
        <v>910</v>
      </c>
      <c r="I48" s="45">
        <v>420.00151011778917</v>
      </c>
      <c r="J48" s="81">
        <v>4450</v>
      </c>
      <c r="K48" s="119">
        <f t="shared" si="3"/>
        <v>9.4382361824222286E-2</v>
      </c>
    </row>
    <row r="49" spans="2:11" hidden="1" x14ac:dyDescent="0.45">
      <c r="B49" s="81" t="s">
        <v>341</v>
      </c>
      <c r="C49" s="139" t="s">
        <v>342</v>
      </c>
      <c r="D49" s="45">
        <v>666.20845070347468</v>
      </c>
      <c r="E49" s="45">
        <v>108049495</v>
      </c>
      <c r="F49" s="45">
        <v>41101200</v>
      </c>
      <c r="G49" s="112">
        <f t="shared" si="2"/>
        <v>0.38039233778926962</v>
      </c>
      <c r="H49" s="81">
        <v>665</v>
      </c>
      <c r="I49" s="45">
        <v>400.00000000000006</v>
      </c>
      <c r="J49" s="81">
        <v>3530</v>
      </c>
      <c r="K49" s="112">
        <f t="shared" si="3"/>
        <v>0.113314447592068</v>
      </c>
    </row>
    <row r="50" spans="2:11" hidden="1" x14ac:dyDescent="0.45">
      <c r="B50" s="81" t="s">
        <v>289</v>
      </c>
      <c r="C50" s="139" t="s">
        <v>290</v>
      </c>
      <c r="D50" s="45">
        <v>977.87412588848622</v>
      </c>
      <c r="E50" s="45">
        <v>108136281</v>
      </c>
      <c r="F50" s="45">
        <v>39611810</v>
      </c>
      <c r="G50" s="112">
        <f t="shared" si="2"/>
        <v>0.36631378140330162</v>
      </c>
      <c r="H50" s="81">
        <v>937</v>
      </c>
      <c r="I50" s="45">
        <v>300.00092307976331</v>
      </c>
      <c r="J50" s="81">
        <v>3250</v>
      </c>
      <c r="K50" s="112">
        <f t="shared" si="3"/>
        <v>9.2307976332234865E-2</v>
      </c>
    </row>
    <row r="51" spans="2:11" hidden="1" x14ac:dyDescent="0.45">
      <c r="B51" s="81" t="s">
        <v>271</v>
      </c>
      <c r="C51" s="139" t="s">
        <v>272</v>
      </c>
      <c r="D51" s="45">
        <v>113.55399061022202</v>
      </c>
      <c r="E51" s="45">
        <v>67728848</v>
      </c>
      <c r="F51" s="45">
        <v>39417004.276578002</v>
      </c>
      <c r="G51" s="112">
        <f t="shared" si="2"/>
        <v>0.58198249993234785</v>
      </c>
      <c r="H51" s="81">
        <v>55</v>
      </c>
      <c r="I51" s="45">
        <v>43.99994412705508</v>
      </c>
      <c r="J51" s="81">
        <v>1260</v>
      </c>
      <c r="K51" s="112">
        <f t="shared" si="3"/>
        <v>3.4920590577027844E-2</v>
      </c>
    </row>
    <row r="52" spans="2:11" hidden="1" x14ac:dyDescent="0.45">
      <c r="B52" s="81" t="s">
        <v>331</v>
      </c>
      <c r="C52" s="139" t="s">
        <v>332</v>
      </c>
      <c r="D52" s="45">
        <v>19.913232104121473</v>
      </c>
      <c r="E52" s="45">
        <v>93949665</v>
      </c>
      <c r="F52" s="45">
        <v>39381044.472000003</v>
      </c>
      <c r="G52" s="112">
        <f t="shared" si="2"/>
        <v>0.41917173916479639</v>
      </c>
      <c r="H52" s="81">
        <v>12</v>
      </c>
      <c r="I52" s="45">
        <v>2</v>
      </c>
      <c r="J52" s="81">
        <v>914</v>
      </c>
      <c r="K52" s="112">
        <f t="shared" si="3"/>
        <v>2.1881838074398249E-3</v>
      </c>
    </row>
    <row r="53" spans="2:11" hidden="1" x14ac:dyDescent="0.45">
      <c r="B53" s="81" t="s">
        <v>267</v>
      </c>
      <c r="C53" s="139" t="s">
        <v>268</v>
      </c>
      <c r="D53" s="45">
        <v>809.00000000673492</v>
      </c>
      <c r="E53" s="45">
        <v>79568709</v>
      </c>
      <c r="F53" s="45">
        <v>38880000</v>
      </c>
      <c r="G53" s="112">
        <f t="shared" si="2"/>
        <v>0.48863429466978031</v>
      </c>
      <c r="H53" s="81">
        <v>816</v>
      </c>
      <c r="I53" s="45">
        <v>700.0052658370048</v>
      </c>
      <c r="J53" s="81">
        <v>3988</v>
      </c>
      <c r="K53" s="112">
        <f t="shared" si="3"/>
        <v>0.17552790015973038</v>
      </c>
    </row>
    <row r="54" spans="2:11" hidden="1" x14ac:dyDescent="0.45">
      <c r="B54" s="81" t="s">
        <v>315</v>
      </c>
      <c r="C54" s="139" t="s">
        <v>316</v>
      </c>
      <c r="D54" s="45">
        <v>398.00000000124373</v>
      </c>
      <c r="E54" s="45">
        <v>101859492</v>
      </c>
      <c r="F54" s="45">
        <v>37882000</v>
      </c>
      <c r="G54" s="112">
        <f t="shared" si="2"/>
        <v>0.3719044662033068</v>
      </c>
      <c r="H54" s="81">
        <v>1038</v>
      </c>
      <c r="I54" s="45">
        <v>225.00076426890035</v>
      </c>
      <c r="J54" s="81">
        <v>1472</v>
      </c>
      <c r="K54" s="112">
        <f t="shared" si="3"/>
        <v>0.15285378007398123</v>
      </c>
    </row>
    <row r="55" spans="2:11" hidden="1" x14ac:dyDescent="0.45">
      <c r="B55" s="81" t="s">
        <v>279</v>
      </c>
      <c r="C55" s="139" t="s">
        <v>280</v>
      </c>
      <c r="D55" s="45">
        <v>377.648698881038</v>
      </c>
      <c r="E55" s="45">
        <v>87220759</v>
      </c>
      <c r="F55" s="45">
        <v>37656000</v>
      </c>
      <c r="G55" s="112">
        <f t="shared" si="2"/>
        <v>0.43173208341376623</v>
      </c>
      <c r="H55" s="81">
        <v>442</v>
      </c>
      <c r="I55" s="45">
        <v>250</v>
      </c>
      <c r="J55" s="81">
        <v>1560</v>
      </c>
      <c r="K55" s="112">
        <f t="shared" si="3"/>
        <v>0.16025641025641027</v>
      </c>
    </row>
    <row r="56" spans="2:11" hidden="1" x14ac:dyDescent="0.45">
      <c r="B56" s="81" t="s">
        <v>293</v>
      </c>
      <c r="C56" s="139" t="s">
        <v>294</v>
      </c>
      <c r="D56" s="45">
        <v>982.05836299938903</v>
      </c>
      <c r="E56" s="45">
        <v>106230348</v>
      </c>
      <c r="F56" s="45">
        <v>35776500</v>
      </c>
      <c r="G56" s="112">
        <f t="shared" si="2"/>
        <v>0.33678229125259007</v>
      </c>
      <c r="H56" s="81">
        <v>1000</v>
      </c>
      <c r="I56" s="45">
        <v>200.00000000000003</v>
      </c>
      <c r="J56" s="81">
        <v>4141</v>
      </c>
      <c r="K56" s="112">
        <f t="shared" si="3"/>
        <v>4.8297512678097086E-2</v>
      </c>
    </row>
    <row r="57" spans="2:11" hidden="1" x14ac:dyDescent="0.45">
      <c r="B57" s="81" t="s">
        <v>337</v>
      </c>
      <c r="C57" s="139" t="s">
        <v>338</v>
      </c>
      <c r="D57" s="45">
        <v>857.99999999313593</v>
      </c>
      <c r="E57" s="45">
        <v>38747767</v>
      </c>
      <c r="F57" s="45">
        <v>35060000</v>
      </c>
      <c r="G57" s="112">
        <f t="shared" si="2"/>
        <v>0.90482633489563413</v>
      </c>
      <c r="H57" s="81">
        <v>1264</v>
      </c>
      <c r="I57" s="45">
        <v>1139.997441800972</v>
      </c>
      <c r="J57" s="81">
        <v>3565</v>
      </c>
      <c r="K57" s="112">
        <f t="shared" si="3"/>
        <v>0.31977487848554614</v>
      </c>
    </row>
    <row r="58" spans="2:11" hidden="1" x14ac:dyDescent="0.45">
      <c r="B58" s="81" t="s">
        <v>233</v>
      </c>
      <c r="C58" s="139" t="s">
        <v>234</v>
      </c>
      <c r="D58" s="45">
        <v>931.40384615438359</v>
      </c>
      <c r="E58" s="45">
        <v>59748064</v>
      </c>
      <c r="F58" s="45">
        <v>32432861.760000002</v>
      </c>
      <c r="G58" s="112">
        <f t="shared" si="2"/>
        <v>0.5428269903439884</v>
      </c>
      <c r="H58" s="81">
        <v>959</v>
      </c>
      <c r="I58" s="45">
        <v>95.999941596993708</v>
      </c>
      <c r="J58" s="81">
        <v>5260</v>
      </c>
      <c r="K58" s="112">
        <f t="shared" si="3"/>
        <v>1.8250939467109071E-2</v>
      </c>
    </row>
    <row r="59" spans="2:11" x14ac:dyDescent="0.45">
      <c r="B59" s="81" t="s">
        <v>247</v>
      </c>
      <c r="C59" s="139" t="s">
        <v>248</v>
      </c>
      <c r="D59" s="45">
        <v>363.48368522160149</v>
      </c>
      <c r="E59" s="45">
        <v>107545705</v>
      </c>
      <c r="F59" s="45">
        <v>32319000</v>
      </c>
      <c r="G59" s="112">
        <f t="shared" si="2"/>
        <v>0.3005140930546692</v>
      </c>
      <c r="H59" s="81">
        <v>1070</v>
      </c>
      <c r="I59" s="45">
        <v>106.9999493491364</v>
      </c>
      <c r="J59" s="81">
        <v>5070</v>
      </c>
      <c r="K59" s="112">
        <f t="shared" si="3"/>
        <v>2.1104526498843472E-2</v>
      </c>
    </row>
    <row r="60" spans="2:11" x14ac:dyDescent="0.45">
      <c r="B60" s="81" t="s">
        <v>345</v>
      </c>
      <c r="C60" s="139" t="s">
        <v>346</v>
      </c>
      <c r="D60" s="45">
        <v>681.24047697845526</v>
      </c>
      <c r="E60" s="45">
        <v>68506156</v>
      </c>
      <c r="F60" s="45">
        <v>29890000</v>
      </c>
      <c r="G60" s="112">
        <f t="shared" si="2"/>
        <v>0.43631115428517109</v>
      </c>
      <c r="H60" s="81">
        <v>636</v>
      </c>
      <c r="I60" s="45">
        <v>63.999965579850446</v>
      </c>
      <c r="J60" s="81">
        <v>2975</v>
      </c>
      <c r="K60" s="112">
        <f t="shared" si="3"/>
        <v>2.1512593472218636E-2</v>
      </c>
    </row>
    <row r="61" spans="2:11" x14ac:dyDescent="0.45">
      <c r="B61" s="81" t="s">
        <v>259</v>
      </c>
      <c r="C61" s="139" t="s">
        <v>260</v>
      </c>
      <c r="D61" s="45">
        <v>2444.7572727507873</v>
      </c>
      <c r="E61" s="45">
        <v>39830941</v>
      </c>
      <c r="F61" s="45">
        <v>23628000</v>
      </c>
      <c r="G61" s="112">
        <f t="shared" si="2"/>
        <v>0.59320717529621003</v>
      </c>
      <c r="H61" s="81">
        <v>815</v>
      </c>
      <c r="I61" s="45">
        <v>649.99969339637107</v>
      </c>
      <c r="J61" s="81">
        <v>10600</v>
      </c>
      <c r="K61" s="112">
        <f t="shared" si="3"/>
        <v>6.1320725792110481E-2</v>
      </c>
    </row>
    <row r="62" spans="2:11" x14ac:dyDescent="0.45">
      <c r="B62" s="81" t="s">
        <v>249</v>
      </c>
      <c r="C62" s="139" t="s">
        <v>250</v>
      </c>
      <c r="D62" s="45">
        <v>705.99999999391662</v>
      </c>
      <c r="E62" s="45">
        <v>54366570</v>
      </c>
      <c r="F62" s="45">
        <v>18885000</v>
      </c>
      <c r="G62" s="112">
        <f t="shared" si="2"/>
        <v>0.34736419825639175</v>
      </c>
      <c r="H62" s="81">
        <v>711</v>
      </c>
      <c r="I62" s="45">
        <v>200</v>
      </c>
      <c r="J62" s="81">
        <v>3853</v>
      </c>
      <c r="K62" s="112">
        <f t="shared" si="3"/>
        <v>5.1907604464053986E-2</v>
      </c>
    </row>
    <row r="63" spans="2:11" x14ac:dyDescent="0.45">
      <c r="B63" s="81" t="s">
        <v>339</v>
      </c>
      <c r="C63" s="139" t="s">
        <v>340</v>
      </c>
      <c r="D63" s="45">
        <v>863.32319108475315</v>
      </c>
      <c r="E63" s="45">
        <v>21265920</v>
      </c>
      <c r="F63" s="45">
        <v>18704000</v>
      </c>
      <c r="G63" s="112">
        <f t="shared" si="2"/>
        <v>0.87952931262790413</v>
      </c>
      <c r="H63" s="81">
        <v>1002</v>
      </c>
      <c r="I63" s="45">
        <v>899.99659736636158</v>
      </c>
      <c r="J63" s="81">
        <v>2645</v>
      </c>
      <c r="K63" s="112">
        <f t="shared" si="3"/>
        <v>0.34026336384361494</v>
      </c>
    </row>
    <row r="64" spans="2:11" x14ac:dyDescent="0.45">
      <c r="B64" s="81" t="s">
        <v>323</v>
      </c>
      <c r="C64" s="139" t="s">
        <v>324</v>
      </c>
      <c r="D64" s="45">
        <v>290.45108005075213</v>
      </c>
      <c r="E64" s="45">
        <v>28972044</v>
      </c>
      <c r="F64" s="45">
        <v>18660000</v>
      </c>
      <c r="G64" s="112">
        <f t="shared" si="2"/>
        <v>0.64406915853089275</v>
      </c>
      <c r="H64" s="81">
        <v>366</v>
      </c>
      <c r="I64" s="45">
        <v>291.66434449831871</v>
      </c>
      <c r="J64" s="81">
        <v>1570</v>
      </c>
      <c r="K64" s="112">
        <f t="shared" si="3"/>
        <v>0.18577346783332402</v>
      </c>
    </row>
    <row r="65" spans="2:11" x14ac:dyDescent="0.45">
      <c r="B65" s="81" t="s">
        <v>224</v>
      </c>
      <c r="C65" s="139" t="s">
        <v>225</v>
      </c>
      <c r="D65" s="45">
        <v>160.37047898289623</v>
      </c>
      <c r="E65" s="45">
        <v>20175283</v>
      </c>
      <c r="F65" s="45">
        <v>16304000</v>
      </c>
      <c r="G65" s="112">
        <f t="shared" si="2"/>
        <v>0.80811753669081121</v>
      </c>
      <c r="H65" s="81">
        <v>203</v>
      </c>
      <c r="I65" s="45">
        <v>100</v>
      </c>
      <c r="J65" s="81">
        <v>1025</v>
      </c>
      <c r="K65" s="112">
        <f t="shared" si="3"/>
        <v>9.7560975609756101E-2</v>
      </c>
    </row>
    <row r="66" spans="2:11" x14ac:dyDescent="0.45">
      <c r="B66" s="81" t="s">
        <v>218</v>
      </c>
      <c r="C66" s="139" t="s">
        <v>219</v>
      </c>
      <c r="D66" s="45">
        <v>589.1885714362478</v>
      </c>
      <c r="E66" s="45">
        <v>23126700</v>
      </c>
      <c r="F66" s="45">
        <v>15633000</v>
      </c>
      <c r="G66" s="112">
        <f t="shared" si="2"/>
        <v>0.67597192855011745</v>
      </c>
      <c r="H66" s="81">
        <v>560</v>
      </c>
      <c r="I66" s="45">
        <v>229.9990862692373</v>
      </c>
      <c r="J66" s="81">
        <v>1762</v>
      </c>
      <c r="K66" s="112">
        <f t="shared" si="3"/>
        <v>0.1305329661005887</v>
      </c>
    </row>
    <row r="67" spans="2:11" x14ac:dyDescent="0.45">
      <c r="B67" s="81" t="s">
        <v>229</v>
      </c>
      <c r="C67" s="139" t="s">
        <v>230</v>
      </c>
      <c r="D67" s="45">
        <v>277.05586592013157</v>
      </c>
      <c r="E67" s="45">
        <v>34600847</v>
      </c>
      <c r="F67" s="45">
        <v>15053050</v>
      </c>
      <c r="G67" s="112">
        <f t="shared" ref="G67:G98" si="4">F67/E67</f>
        <v>0.43504859866580725</v>
      </c>
      <c r="H67" s="81">
        <v>545</v>
      </c>
      <c r="I67" s="45">
        <v>250</v>
      </c>
      <c r="J67" s="81">
        <v>1869</v>
      </c>
      <c r="K67" s="112">
        <f t="shared" ref="K67:K98" si="5">I67/J67</f>
        <v>0.13376136971642591</v>
      </c>
    </row>
    <row r="68" spans="2:11" x14ac:dyDescent="0.45">
      <c r="B68" s="81" t="s">
        <v>359</v>
      </c>
      <c r="C68" s="139" t="s">
        <v>360</v>
      </c>
      <c r="D68" s="45">
        <v>651.00000000300565</v>
      </c>
      <c r="E68" s="45">
        <v>31313113</v>
      </c>
      <c r="F68" s="45">
        <v>14056046.4</v>
      </c>
      <c r="G68" s="112">
        <f t="shared" si="4"/>
        <v>0.44888690562321287</v>
      </c>
      <c r="H68" s="81">
        <v>651</v>
      </c>
      <c r="I68" s="45">
        <v>260.00071882974515</v>
      </c>
      <c r="J68" s="81">
        <v>3617</v>
      </c>
      <c r="K68" s="112">
        <f t="shared" si="5"/>
        <v>7.1882974517485529E-2</v>
      </c>
    </row>
    <row r="69" spans="2:11" x14ac:dyDescent="0.45">
      <c r="B69" s="81" t="s">
        <v>216</v>
      </c>
      <c r="C69" s="139" t="s">
        <v>217</v>
      </c>
      <c r="D69" s="45">
        <v>430.14846416343102</v>
      </c>
      <c r="E69" s="45">
        <v>17810107</v>
      </c>
      <c r="F69" s="45">
        <v>14021100</v>
      </c>
      <c r="G69" s="112">
        <f t="shared" si="4"/>
        <v>0.78725523659122321</v>
      </c>
      <c r="H69" s="81">
        <v>903</v>
      </c>
      <c r="I69" s="45">
        <v>422.22167256177494</v>
      </c>
      <c r="J69" s="81">
        <v>1707</v>
      </c>
      <c r="K69" s="112">
        <f t="shared" si="5"/>
        <v>0.24734720126641765</v>
      </c>
    </row>
    <row r="70" spans="2:11" hidden="1" x14ac:dyDescent="0.45">
      <c r="B70" s="81" t="s">
        <v>305</v>
      </c>
      <c r="C70" s="139" t="s">
        <v>306</v>
      </c>
      <c r="D70" s="45">
        <v>907.97026022426348</v>
      </c>
      <c r="E70" s="45">
        <v>30438748</v>
      </c>
      <c r="F70" s="45">
        <v>13200000</v>
      </c>
      <c r="G70" s="112">
        <f t="shared" si="4"/>
        <v>0.43365778382212039</v>
      </c>
      <c r="H70" s="81">
        <v>1270</v>
      </c>
      <c r="I70" s="45">
        <v>1000</v>
      </c>
      <c r="J70" s="81">
        <v>13450</v>
      </c>
      <c r="K70" s="112">
        <f t="shared" si="5"/>
        <v>7.434944237918216E-2</v>
      </c>
    </row>
    <row r="71" spans="2:11" x14ac:dyDescent="0.45">
      <c r="B71" s="81" t="s">
        <v>353</v>
      </c>
      <c r="C71" s="139" t="s">
        <v>354</v>
      </c>
      <c r="D71" s="45">
        <v>530.99999999963745</v>
      </c>
      <c r="E71" s="45">
        <v>7828759</v>
      </c>
      <c r="F71" s="45">
        <v>9575000</v>
      </c>
      <c r="G71" s="112">
        <f t="shared" si="4"/>
        <v>1.2230546373952755</v>
      </c>
      <c r="H71" s="81">
        <v>898</v>
      </c>
      <c r="I71" s="45">
        <v>870.00228466986528</v>
      </c>
      <c r="J71" s="81">
        <v>1904</v>
      </c>
      <c r="K71" s="112">
        <f t="shared" si="5"/>
        <v>0.45693397304089561</v>
      </c>
    </row>
    <row r="72" spans="2:11" x14ac:dyDescent="0.45">
      <c r="B72" s="81" t="s">
        <v>333</v>
      </c>
      <c r="C72" s="139" t="s">
        <v>334</v>
      </c>
      <c r="D72" s="45">
        <v>516.40235613571861</v>
      </c>
      <c r="E72" s="45">
        <v>9519818</v>
      </c>
      <c r="F72" s="45">
        <v>8724000</v>
      </c>
      <c r="G72" s="112">
        <f t="shared" si="4"/>
        <v>0.91640407411150082</v>
      </c>
      <c r="H72" s="81">
        <v>1052</v>
      </c>
      <c r="I72" s="45">
        <v>609.99351070733292</v>
      </c>
      <c r="J72" s="81">
        <v>2162</v>
      </c>
      <c r="K72" s="112">
        <f t="shared" si="5"/>
        <v>0.2821431594390994</v>
      </c>
    </row>
    <row r="73" spans="2:11" x14ac:dyDescent="0.45">
      <c r="B73" s="81" t="s">
        <v>239</v>
      </c>
      <c r="C73" s="139" t="s">
        <v>240</v>
      </c>
      <c r="D73" s="45">
        <v>320.34550195482223</v>
      </c>
      <c r="E73" s="45">
        <v>5466906</v>
      </c>
      <c r="F73" s="45">
        <v>8232000</v>
      </c>
      <c r="G73" s="112">
        <f t="shared" si="4"/>
        <v>1.5057877344150421</v>
      </c>
      <c r="H73" s="81">
        <v>313</v>
      </c>
      <c r="I73" s="45">
        <v>154.28560324893613</v>
      </c>
      <c r="J73" s="81">
        <v>2382</v>
      </c>
      <c r="K73" s="112">
        <f t="shared" si="5"/>
        <v>6.477145392482625E-2</v>
      </c>
    </row>
    <row r="74" spans="2:11" x14ac:dyDescent="0.45">
      <c r="B74" s="81" t="s">
        <v>355</v>
      </c>
      <c r="C74" s="139" t="s">
        <v>356</v>
      </c>
      <c r="D74" s="45">
        <v>558.72517208058059</v>
      </c>
      <c r="E74" s="45">
        <v>8665245</v>
      </c>
      <c r="F74" s="45">
        <v>8016000</v>
      </c>
      <c r="G74" s="112">
        <f t="shared" si="4"/>
        <v>0.92507482477414082</v>
      </c>
      <c r="H74" s="81">
        <v>896</v>
      </c>
      <c r="I74" s="45">
        <v>500</v>
      </c>
      <c r="J74" s="81">
        <v>2033</v>
      </c>
      <c r="K74" s="112">
        <f t="shared" si="5"/>
        <v>0.24594195769798327</v>
      </c>
    </row>
    <row r="75" spans="2:11" x14ac:dyDescent="0.45">
      <c r="B75" s="81" t="s">
        <v>351</v>
      </c>
      <c r="C75" s="139" t="s">
        <v>352</v>
      </c>
      <c r="D75" s="45">
        <v>631.00000000462956</v>
      </c>
      <c r="E75" s="45">
        <v>14122863</v>
      </c>
      <c r="F75" s="45">
        <v>7194000</v>
      </c>
      <c r="G75" s="112">
        <f t="shared" si="4"/>
        <v>0.50938680067915409</v>
      </c>
      <c r="H75" s="81">
        <v>667</v>
      </c>
      <c r="I75" s="45">
        <v>530.0019335295508</v>
      </c>
      <c r="J75" s="81">
        <v>2467</v>
      </c>
      <c r="K75" s="112">
        <f t="shared" si="5"/>
        <v>0.21483661675295937</v>
      </c>
    </row>
    <row r="76" spans="2:11" x14ac:dyDescent="0.45">
      <c r="B76" s="81" t="s">
        <v>327</v>
      </c>
      <c r="C76" s="139" t="s">
        <v>328</v>
      </c>
      <c r="D76" s="45">
        <v>824.03333333404748</v>
      </c>
      <c r="E76" s="45">
        <v>2933421</v>
      </c>
      <c r="F76" s="45">
        <v>5875000</v>
      </c>
      <c r="G76" s="112">
        <f t="shared" si="4"/>
        <v>2.0027810532480679</v>
      </c>
      <c r="H76" s="81">
        <v>1429</v>
      </c>
      <c r="I76" s="45">
        <v>400</v>
      </c>
      <c r="J76" s="81">
        <v>23350</v>
      </c>
      <c r="K76" s="112">
        <f t="shared" si="5"/>
        <v>1.7130620985010708E-2</v>
      </c>
    </row>
    <row r="77" spans="2:11" x14ac:dyDescent="0.45">
      <c r="B77" s="81" t="s">
        <v>357</v>
      </c>
      <c r="C77" s="139" t="s">
        <v>358</v>
      </c>
      <c r="D77" s="45">
        <v>102.00000000004327</v>
      </c>
      <c r="E77" s="45">
        <v>1932566</v>
      </c>
      <c r="F77" s="45">
        <v>4284800</v>
      </c>
      <c r="G77" s="112">
        <f t="shared" si="4"/>
        <v>2.2171558435779164</v>
      </c>
      <c r="H77" s="81">
        <v>410</v>
      </c>
      <c r="I77" s="45">
        <v>200</v>
      </c>
      <c r="J77" s="81">
        <v>4242</v>
      </c>
      <c r="K77" s="112">
        <f t="shared" si="5"/>
        <v>4.7147571900047147E-2</v>
      </c>
    </row>
    <row r="78" spans="2:11" x14ac:dyDescent="0.45">
      <c r="B78" s="117" t="s">
        <v>343</v>
      </c>
      <c r="C78" s="141" t="s">
        <v>344</v>
      </c>
      <c r="D78" s="47">
        <v>166.20037807145664</v>
      </c>
      <c r="E78" s="47">
        <v>4356987</v>
      </c>
      <c r="F78" s="47">
        <v>4135560</v>
      </c>
      <c r="G78" s="118">
        <f t="shared" si="4"/>
        <v>0.94917887062779849</v>
      </c>
      <c r="H78" s="117">
        <v>707</v>
      </c>
      <c r="I78" s="47">
        <v>299.99904641116842</v>
      </c>
      <c r="J78" s="117">
        <v>3146</v>
      </c>
      <c r="K78" s="118">
        <f t="shared" si="5"/>
        <v>9.5358883156760471E-2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مفروضات</vt:lpstr>
      <vt:lpstr>بیوسان فارمد</vt:lpstr>
      <vt:lpstr>ترازنامه فارمد</vt:lpstr>
      <vt:lpstr>NAV برکت</vt:lpstr>
      <vt:lpstr>ترازنامه برکت</vt:lpstr>
      <vt:lpstr>ارزش والبر</vt:lpstr>
      <vt:lpstr>ارزشگذاری نسبی</vt:lpstr>
      <vt:lpstr>جدول PNAV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hosein saber</dc:creator>
  <cp:lastModifiedBy>fakhrehosseini</cp:lastModifiedBy>
  <dcterms:created xsi:type="dcterms:W3CDTF">2015-06-05T18:17:20Z</dcterms:created>
  <dcterms:modified xsi:type="dcterms:W3CDTF">2024-09-08T07:52:13Z</dcterms:modified>
</cp:coreProperties>
</file>