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gh_greathouse/Box/Fiber and the Gut Microbiome/Writing/Grants/Illuminate_Fiber_MBRAs/Appendix/"/>
    </mc:Choice>
  </mc:AlternateContent>
  <xr:revisionPtr revIDLastSave="0" documentId="13_ncr:1_{6EE18FDB-6C37-5149-A3A6-E5E916138574}" xr6:coauthVersionLast="44" xr6:coauthVersionMax="44" xr10:uidLastSave="{00000000-0000-0000-0000-000000000000}"/>
  <bookViews>
    <workbookView xWindow="760" yWindow="460" windowWidth="24840" windowHeight="14580" activeTab="2" xr2:uid="{EDCDF776-4F71-954C-B24D-B42B25D4BF60}"/>
  </bookViews>
  <sheets>
    <sheet name="Budget" sheetId="1" r:id="rId1"/>
    <sheet name="Experiment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3" l="1"/>
  <c r="D8" i="3"/>
  <c r="B8" i="3"/>
  <c r="D30" i="3"/>
  <c r="B28" i="3"/>
  <c r="B29" i="3" s="1"/>
  <c r="O18" i="3"/>
  <c r="O17" i="3"/>
  <c r="O16" i="3"/>
  <c r="O15" i="3"/>
  <c r="G10" i="3"/>
  <c r="J9" i="3"/>
  <c r="J8" i="3"/>
  <c r="D7" i="3"/>
  <c r="C7" i="3"/>
  <c r="B7" i="3"/>
  <c r="E9" i="3" l="1"/>
  <c r="C29" i="3"/>
  <c r="B36" i="3" s="1"/>
  <c r="B30" i="3"/>
  <c r="E10" i="3" l="1"/>
  <c r="F9" i="3"/>
  <c r="B15" i="3" s="1"/>
  <c r="B37" i="3" s="1"/>
  <c r="J41" i="1" l="1"/>
  <c r="J43" i="1"/>
  <c r="J44" i="1"/>
  <c r="O17" i="2"/>
  <c r="O16" i="2"/>
  <c r="O15" i="2"/>
  <c r="E47" i="1"/>
  <c r="J8" i="2"/>
  <c r="J9" i="2" s="1"/>
  <c r="D30" i="2"/>
  <c r="G10" i="2"/>
  <c r="B28" i="2"/>
  <c r="B29" i="2" s="1"/>
  <c r="C7" i="2"/>
  <c r="C8" i="2" s="1"/>
  <c r="D7" i="2"/>
  <c r="D8" i="2" s="1"/>
  <c r="B7" i="2"/>
  <c r="B8" i="2" s="1"/>
  <c r="J28" i="1"/>
  <c r="J49" i="1"/>
  <c r="H47" i="1"/>
  <c r="G47" i="1"/>
  <c r="F47" i="1"/>
  <c r="D47" i="1"/>
  <c r="J45" i="1"/>
  <c r="J42" i="1"/>
  <c r="J47" i="1" s="1"/>
  <c r="J36" i="1"/>
  <c r="H34" i="1"/>
  <c r="G34" i="1"/>
  <c r="F34" i="1"/>
  <c r="E34" i="1"/>
  <c r="D34" i="1"/>
  <c r="J33" i="1"/>
  <c r="J32" i="1"/>
  <c r="G24" i="1"/>
  <c r="D22" i="1"/>
  <c r="H21" i="1"/>
  <c r="H24" i="1" s="1"/>
  <c r="G21" i="1"/>
  <c r="D21" i="1"/>
  <c r="J20" i="1"/>
  <c r="E19" i="1"/>
  <c r="F19" i="1" s="1"/>
  <c r="H16" i="1"/>
  <c r="G16" i="1"/>
  <c r="D15" i="1"/>
  <c r="D16" i="1" s="1"/>
  <c r="E14" i="1"/>
  <c r="E13" i="1"/>
  <c r="J5" i="1"/>
  <c r="D24" i="1" l="1"/>
  <c r="O18" i="2"/>
  <c r="C29" i="2"/>
  <c r="B36" i="2" s="1"/>
  <c r="B30" i="2"/>
  <c r="E9" i="2"/>
  <c r="F9" i="2" s="1"/>
  <c r="B15" i="2" s="1"/>
  <c r="J34" i="1"/>
  <c r="H26" i="1"/>
  <c r="H51" i="1" s="1"/>
  <c r="H52" i="1" s="1"/>
  <c r="H53" i="1" s="1"/>
  <c r="H55" i="1" s="1"/>
  <c r="G26" i="1"/>
  <c r="G51" i="1" s="1"/>
  <c r="J15" i="1"/>
  <c r="D26" i="1"/>
  <c r="D51" i="1" s="1"/>
  <c r="E21" i="1"/>
  <c r="F14" i="1"/>
  <c r="F21" i="1" s="1"/>
  <c r="J19" i="1"/>
  <c r="F13" i="1"/>
  <c r="E16" i="1"/>
  <c r="E22" i="1"/>
  <c r="E10" i="2" l="1"/>
  <c r="B37" i="2"/>
  <c r="G52" i="1"/>
  <c r="G53" i="1" s="1"/>
  <c r="G55" i="1" s="1"/>
  <c r="J53" i="1"/>
  <c r="F22" i="1"/>
  <c r="F24" i="1" s="1"/>
  <c r="J13" i="1"/>
  <c r="E24" i="1"/>
  <c r="E26" i="1" s="1"/>
  <c r="E51" i="1" s="1"/>
  <c r="J21" i="1"/>
  <c r="D55" i="1"/>
  <c r="D52" i="1"/>
  <c r="J14" i="1"/>
  <c r="J22" i="1" l="1"/>
  <c r="J24" i="1" s="1"/>
  <c r="E52" i="1"/>
  <c r="E55" i="1"/>
  <c r="J16" i="1"/>
  <c r="F26" i="1"/>
  <c r="F51" i="1" s="1"/>
  <c r="J26" i="1" l="1"/>
  <c r="J51" i="1" s="1"/>
  <c r="J55" i="1" s="1"/>
  <c r="F55" i="1"/>
  <c r="F52" i="1"/>
  <c r="J52" i="1" s="1"/>
</calcChain>
</file>

<file path=xl/sharedStrings.xml><?xml version="1.0" encoding="utf-8"?>
<sst xmlns="http://schemas.openxmlformats.org/spreadsheetml/2006/main" count="200" uniqueCount="110">
  <si>
    <t>BAYLOR UNIVERSITY</t>
  </si>
  <si>
    <t>Office of Sponsored Programs and Contracts</t>
  </si>
  <si>
    <t>Detailed Budget</t>
  </si>
  <si>
    <t>Proposal No.:</t>
  </si>
  <si>
    <t>Illuminate</t>
  </si>
  <si>
    <t xml:space="preserve">Sponsor: </t>
  </si>
  <si>
    <t>Baylor</t>
  </si>
  <si>
    <t>Date:</t>
  </si>
  <si>
    <t xml:space="preserve">Project Title:  </t>
  </si>
  <si>
    <t xml:space="preserve">Project Director(s):   </t>
  </si>
  <si>
    <t>Dr. Leigh Greathouse; Dr. Touradj Solouki</t>
  </si>
  <si>
    <t xml:space="preserve">Department/School:  </t>
  </si>
  <si>
    <t>Family &amp; Consumer Science/Chemistry</t>
  </si>
  <si>
    <t xml:space="preserve">Project Dates:                  </t>
  </si>
  <si>
    <t xml:space="preserve">to </t>
  </si>
  <si>
    <t xml:space="preserve"> </t>
  </si>
  <si>
    <t>Year 1</t>
  </si>
  <si>
    <t>Year 2</t>
  </si>
  <si>
    <t>Year 3</t>
  </si>
  <si>
    <t>Year 4</t>
  </si>
  <si>
    <t>Year 5</t>
  </si>
  <si>
    <t>Total</t>
  </si>
  <si>
    <t>8/1/19-7/31/20</t>
  </si>
  <si>
    <t>8/1/20-7/31/21</t>
  </si>
  <si>
    <t>8/1/21-7/31/22</t>
  </si>
  <si>
    <t>Personnel:</t>
  </si>
  <si>
    <t>Dr. Leigh Greathouse - 2 mos. Summer</t>
  </si>
  <si>
    <t>Dr. Leigh Greathouse - 25% AY Buy out</t>
  </si>
  <si>
    <t>Total Personnel (S/W)</t>
  </si>
  <si>
    <t>Fringe Benefits:</t>
  </si>
  <si>
    <t>Insurance</t>
  </si>
  <si>
    <t>FICA</t>
  </si>
  <si>
    <t>30.5% faculty- AY</t>
  </si>
  <si>
    <t>28% faculty- summer</t>
  </si>
  <si>
    <t>Total Fringe Benefits</t>
  </si>
  <si>
    <t>TOTAL SALARIES AND FRINGE:</t>
  </si>
  <si>
    <t>Subcontract:</t>
  </si>
  <si>
    <t>Consultant:</t>
  </si>
  <si>
    <t>Sequencing</t>
  </si>
  <si>
    <t>Total Consultant</t>
  </si>
  <si>
    <t>Supplies:</t>
  </si>
  <si>
    <t>Total Supplies:</t>
  </si>
  <si>
    <t>Travel</t>
  </si>
  <si>
    <t>Total Direct Cost (TDC):</t>
  </si>
  <si>
    <t>Total modified direct cost base</t>
  </si>
  <si>
    <t xml:space="preserve">Indirect Cost:  </t>
  </si>
  <si>
    <t>38.5% MTDC</t>
  </si>
  <si>
    <t>Total Cost:</t>
  </si>
  <si>
    <t>Graduate Student</t>
  </si>
  <si>
    <t>Microbiome sequencing (BCM)</t>
  </si>
  <si>
    <t>MBRA Equipment</t>
  </si>
  <si>
    <t>Laboratory supplies (tips, gloves, tubes)</t>
  </si>
  <si>
    <t>Bacterial reagents (gas, media, plastics)</t>
  </si>
  <si>
    <t>Decoding the Gut Microbiome Response to Dietary Fiber Types Using Model Gut Communities</t>
  </si>
  <si>
    <t>Treatment</t>
  </si>
  <si>
    <t>doner A</t>
  </si>
  <si>
    <t>doner B</t>
  </si>
  <si>
    <t>doner C</t>
  </si>
  <si>
    <t>control</t>
  </si>
  <si>
    <t>Inulin</t>
  </si>
  <si>
    <t>RS</t>
  </si>
  <si>
    <t>Inulin+RS</t>
  </si>
  <si>
    <t># of samples</t>
  </si>
  <si>
    <t>Reagents</t>
  </si>
  <si>
    <t>Beads</t>
  </si>
  <si>
    <t>Qiagen Dneasy Tissue Kit</t>
  </si>
  <si>
    <t>QuantIT kit</t>
  </si>
  <si>
    <t>Agencourt AMPure XP</t>
  </si>
  <si>
    <t>Pooled</t>
  </si>
  <si>
    <t>MRSA</t>
  </si>
  <si>
    <t>ETBF</t>
  </si>
  <si>
    <t>control+C.diff</t>
  </si>
  <si>
    <t>control+ETBF</t>
  </si>
  <si>
    <t>Inulin+C.diff</t>
  </si>
  <si>
    <t>Inulin+ETBF</t>
  </si>
  <si>
    <t>RS+C.diff</t>
  </si>
  <si>
    <t>RS+ETBF</t>
  </si>
  <si>
    <t>9 Plates MiSeq</t>
  </si>
  <si>
    <t>6 Plates</t>
  </si>
  <si>
    <t>Cost</t>
  </si>
  <si>
    <t>SEQUENCING</t>
  </si>
  <si>
    <t>METABOLITES</t>
  </si>
  <si>
    <t>INVASION</t>
  </si>
  <si>
    <t xml:space="preserve">Serial plating </t>
  </si>
  <si>
    <t>C. diff</t>
  </si>
  <si>
    <t>qPCR</t>
  </si>
  <si>
    <t>Fiber</t>
  </si>
  <si>
    <t>qPCR reagents (DNA extractions kits, PCR master mix, plates)</t>
  </si>
  <si>
    <t>agar</t>
  </si>
  <si>
    <t>plates</t>
  </si>
  <si>
    <t>broth+</t>
  </si>
  <si>
    <t>DNA extraction kits</t>
  </si>
  <si>
    <t>SYBER green</t>
  </si>
  <si>
    <t>PCR plates</t>
  </si>
  <si>
    <t>2 cases</t>
  </si>
  <si>
    <t>X 1000 rxns</t>
  </si>
  <si>
    <t>3 cases</t>
  </si>
  <si>
    <t>3 bottles</t>
  </si>
  <si>
    <t>Unit</t>
  </si>
  <si>
    <t>?</t>
  </si>
  <si>
    <t>Training:</t>
  </si>
  <si>
    <t>Training on MBRA system and setup</t>
  </si>
  <si>
    <t>Metabolomics/SCFAs (Metabolome)</t>
  </si>
  <si>
    <t>control+antibiotic</t>
  </si>
  <si>
    <t>Inulin+antibiotic</t>
  </si>
  <si>
    <t>RS+antibiotic</t>
  </si>
  <si>
    <t>O2 high</t>
  </si>
  <si>
    <t>O2 normal</t>
  </si>
  <si>
    <t>NTBF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</si>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</sst>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#,##0\ ;\(#,##0\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Geneva"/>
      <family val="2"/>
    </font>
    <font>
      <sz val="9"/>
      <color rgb="FFFF0000"/>
      <name val="Geneva"/>
      <family val="2"/>
    </font>
    <font>
      <sz val="9"/>
      <name val="Geneva"/>
      <family val="2"/>
    </font>
    <font>
      <sz val="10"/>
      <name val="Geneva"/>
      <family val="2"/>
    </font>
    <font>
      <sz val="10"/>
      <color rgb="FFFF0000"/>
      <name val="Geneva"/>
      <family val="2"/>
    </font>
    <font>
      <sz val="10"/>
      <color theme="1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0" fontId="3" fillId="0" borderId="0" xfId="0" applyFont="1"/>
    <xf numFmtId="0" fontId="0" fillId="0" borderId="0" xfId="0" applyFont="1"/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/>
    <xf numFmtId="0" fontId="0" fillId="0" borderId="0" xfId="0" applyFill="1" applyBorder="1" applyAlignment="1">
      <alignment horizontal="left"/>
    </xf>
    <xf numFmtId="38" fontId="0" fillId="0" borderId="0" xfId="0" applyNumberFormat="1" applyAlignment="1">
      <alignment horizontal="right"/>
    </xf>
    <xf numFmtId="38" fontId="0" fillId="0" borderId="0" xfId="0" applyNumberFormat="1"/>
    <xf numFmtId="38" fontId="0" fillId="0" borderId="1" xfId="0" applyNumberFormat="1" applyBorder="1" applyAlignment="1">
      <alignment horizontal="right"/>
    </xf>
    <xf numFmtId="38" fontId="0" fillId="0" borderId="1" xfId="0" applyNumberFormat="1" applyBorder="1"/>
    <xf numFmtId="0" fontId="2" fillId="0" borderId="0" xfId="0" applyFont="1" applyFill="1"/>
    <xf numFmtId="0" fontId="0" fillId="0" borderId="0" xfId="0" applyFill="1"/>
    <xf numFmtId="38" fontId="0" fillId="0" borderId="0" xfId="0" applyNumberFormat="1" applyFill="1" applyAlignment="1">
      <alignment horizontal="right"/>
    </xf>
    <xf numFmtId="38" fontId="0" fillId="0" borderId="0" xfId="0" applyNumberFormat="1" applyFill="1"/>
    <xf numFmtId="38" fontId="5" fillId="0" borderId="0" xfId="0" applyNumberFormat="1" applyFont="1" applyFill="1" applyAlignment="1">
      <alignment horizontal="right"/>
    </xf>
    <xf numFmtId="38" fontId="0" fillId="0" borderId="1" xfId="0" applyNumberFormat="1" applyFont="1" applyBorder="1" applyAlignment="1">
      <alignment horizontal="right"/>
    </xf>
    <xf numFmtId="38" fontId="0" fillId="0" borderId="1" xfId="0" applyNumberFormat="1" applyFont="1" applyBorder="1"/>
    <xf numFmtId="38" fontId="0" fillId="0" borderId="0" xfId="0" applyNumberFormat="1" applyFont="1" applyBorder="1"/>
    <xf numFmtId="38" fontId="0" fillId="0" borderId="0" xfId="0" applyNumberFormat="1" applyFont="1" applyBorder="1" applyAlignment="1">
      <alignment horizontal="right"/>
    </xf>
    <xf numFmtId="0" fontId="5" fillId="0" borderId="0" xfId="0" applyFont="1"/>
    <xf numFmtId="0" fontId="0" fillId="2" borderId="0" xfId="0" applyFill="1"/>
    <xf numFmtId="38" fontId="0" fillId="0" borderId="0" xfId="0" applyNumberFormat="1" applyBorder="1"/>
    <xf numFmtId="0" fontId="0" fillId="0" borderId="1" xfId="0" applyBorder="1"/>
    <xf numFmtId="38" fontId="2" fillId="0" borderId="0" xfId="0" applyNumberFormat="1" applyFont="1" applyAlignment="1">
      <alignment horizontal="right"/>
    </xf>
    <xf numFmtId="38" fontId="5" fillId="0" borderId="0" xfId="0" applyNumberFormat="1" applyFont="1" applyAlignment="1">
      <alignment horizontal="right"/>
    </xf>
    <xf numFmtId="38" fontId="5" fillId="0" borderId="0" xfId="0" applyNumberFormat="1" applyFont="1"/>
    <xf numFmtId="38" fontId="2" fillId="0" borderId="0" xfId="0" applyNumberFormat="1" applyFont="1"/>
    <xf numFmtId="38" fontId="0" fillId="0" borderId="2" xfId="0" applyNumberFormat="1" applyBorder="1" applyAlignment="1">
      <alignment horizontal="left"/>
    </xf>
    <xf numFmtId="38" fontId="0" fillId="0" borderId="2" xfId="0" applyNumberFormat="1" applyBorder="1"/>
    <xf numFmtId="165" fontId="0" fillId="0" borderId="0" xfId="0" applyNumberFormat="1"/>
    <xf numFmtId="0" fontId="0" fillId="0" borderId="0" xfId="0" applyFont="1" applyFill="1"/>
    <xf numFmtId="38" fontId="6" fillId="0" borderId="0" xfId="0" applyNumberFormat="1" applyFont="1" applyBorder="1" applyAlignment="1">
      <alignment horizontal="right"/>
    </xf>
    <xf numFmtId="38" fontId="0" fillId="0" borderId="0" xfId="0" applyNumberFormat="1" applyBorder="1" applyAlignment="1">
      <alignment horizontal="right"/>
    </xf>
    <xf numFmtId="38" fontId="7" fillId="0" borderId="1" xfId="0" applyNumberFormat="1" applyFont="1" applyBorder="1" applyAlignment="1">
      <alignment horizontal="right"/>
    </xf>
    <xf numFmtId="0" fontId="1" fillId="0" borderId="0" xfId="0" applyFont="1"/>
    <xf numFmtId="3" fontId="0" fillId="0" borderId="0" xfId="0" applyNumberFormat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DE6D-7753-4A40-8F9C-AFC4835AD2C1}">
  <dimension ref="A1:J125"/>
  <sheetViews>
    <sheetView topLeftCell="A7" workbookViewId="0">
      <selection activeCell="L24" sqref="L24"/>
    </sheetView>
  </sheetViews>
  <sheetFormatPr baseColWidth="10" defaultColWidth="10.1640625" defaultRowHeight="16" x14ac:dyDescent="0.2"/>
  <cols>
    <col min="1" max="1" width="7.1640625" customWidth="1"/>
    <col min="2" max="2" width="13.6640625" customWidth="1"/>
    <col min="3" max="3" width="30.1640625" customWidth="1"/>
    <col min="4" max="4" width="15.33203125" customWidth="1"/>
    <col min="5" max="5" width="14.6640625" customWidth="1"/>
    <col min="6" max="6" width="14.83203125" customWidth="1"/>
    <col min="7" max="8" width="12.1640625" customWidth="1"/>
    <col min="9" max="9" width="8.6640625" customWidth="1"/>
    <col min="10" max="10" width="11.33203125" customWidth="1"/>
    <col min="12" max="12" width="16" customWidth="1"/>
  </cols>
  <sheetData>
    <row r="1" spans="1:10" ht="13" customHeight="1" x14ac:dyDescent="0.2">
      <c r="D1" s="1"/>
      <c r="E1" s="1" t="s">
        <v>0</v>
      </c>
      <c r="F1" s="1"/>
    </row>
    <row r="2" spans="1:10" ht="13" customHeight="1" x14ac:dyDescent="0.2">
      <c r="D2" s="1"/>
      <c r="E2" s="1" t="s">
        <v>1</v>
      </c>
      <c r="F2" s="1"/>
    </row>
    <row r="3" spans="1:10" ht="13" customHeight="1" x14ac:dyDescent="0.2">
      <c r="D3" s="1"/>
      <c r="E3" s="1" t="s">
        <v>2</v>
      </c>
      <c r="F3" s="1"/>
    </row>
    <row r="5" spans="1:10" ht="13" customHeight="1" x14ac:dyDescent="0.2">
      <c r="A5" t="s">
        <v>3</v>
      </c>
      <c r="C5" t="s">
        <v>4</v>
      </c>
      <c r="E5" s="2" t="s">
        <v>5</v>
      </c>
      <c r="F5" t="s">
        <v>6</v>
      </c>
      <c r="G5" s="2"/>
      <c r="I5" s="3" t="s">
        <v>7</v>
      </c>
      <c r="J5" s="4">
        <f ca="1">TRUNC(NOW())</f>
        <v>43728</v>
      </c>
    </row>
    <row r="7" spans="1:10" ht="13" customHeight="1" x14ac:dyDescent="0.2">
      <c r="A7" s="2" t="s">
        <v>8</v>
      </c>
      <c r="B7" s="2"/>
      <c r="C7" s="5" t="s">
        <v>53</v>
      </c>
    </row>
    <row r="8" spans="1:10" ht="13" customHeight="1" x14ac:dyDescent="0.2">
      <c r="A8" s="2" t="s">
        <v>9</v>
      </c>
      <c r="B8" s="2"/>
      <c r="C8" s="6" t="s">
        <v>10</v>
      </c>
      <c r="G8" t="s">
        <v>11</v>
      </c>
      <c r="I8" t="s">
        <v>12</v>
      </c>
    </row>
    <row r="9" spans="1:10" ht="13" customHeight="1" x14ac:dyDescent="0.2">
      <c r="A9" s="7" t="s">
        <v>13</v>
      </c>
      <c r="B9" s="7"/>
      <c r="C9" s="8">
        <v>43678</v>
      </c>
      <c r="D9" s="9" t="s">
        <v>14</v>
      </c>
      <c r="E9" s="8">
        <v>44773</v>
      </c>
      <c r="F9" s="10"/>
      <c r="G9" s="10"/>
      <c r="H9" s="10"/>
      <c r="I9" s="10" t="s">
        <v>15</v>
      </c>
      <c r="J9" s="10"/>
    </row>
    <row r="10" spans="1:10" ht="13" customHeight="1" x14ac:dyDescent="0.2">
      <c r="C10" s="2"/>
      <c r="D10" s="11" t="s">
        <v>16</v>
      </c>
      <c r="E10" s="11" t="s">
        <v>17</v>
      </c>
      <c r="F10" s="11" t="s">
        <v>18</v>
      </c>
      <c r="G10" s="11" t="s">
        <v>19</v>
      </c>
      <c r="H10" s="11" t="s">
        <v>20</v>
      </c>
      <c r="I10" s="11" t="s">
        <v>15</v>
      </c>
      <c r="J10" s="11" t="s">
        <v>21</v>
      </c>
    </row>
    <row r="11" spans="1:10" ht="13" customHeight="1" x14ac:dyDescent="0.2">
      <c r="C11" s="2"/>
      <c r="D11" s="12" t="s">
        <v>22</v>
      </c>
      <c r="E11" s="13" t="s">
        <v>23</v>
      </c>
      <c r="F11" s="13" t="s">
        <v>24</v>
      </c>
      <c r="G11" s="9"/>
      <c r="H11" s="9"/>
      <c r="I11" s="9"/>
      <c r="J11" s="9"/>
    </row>
    <row r="12" spans="1:10" ht="13" customHeight="1" x14ac:dyDescent="0.2">
      <c r="A12" s="14" t="s">
        <v>25</v>
      </c>
      <c r="B12" s="14"/>
    </row>
    <row r="13" spans="1:10" ht="13" customHeight="1" x14ac:dyDescent="0.2">
      <c r="A13" s="15" t="s">
        <v>26</v>
      </c>
      <c r="D13" s="16">
        <v>0</v>
      </c>
      <c r="E13" s="16">
        <f>D13*1.03</f>
        <v>0</v>
      </c>
      <c r="F13" s="16">
        <f t="shared" ref="F13" si="0">E13*1.03</f>
        <v>0</v>
      </c>
      <c r="G13" s="16">
        <v>0</v>
      </c>
      <c r="H13" s="16">
        <v>0</v>
      </c>
      <c r="I13" s="17"/>
      <c r="J13" s="17">
        <f>+D13+E13+F13+G13+H13</f>
        <v>0</v>
      </c>
    </row>
    <row r="14" spans="1:10" ht="13" customHeight="1" x14ac:dyDescent="0.2">
      <c r="A14" s="15" t="s">
        <v>27</v>
      </c>
      <c r="D14" s="16">
        <v>0</v>
      </c>
      <c r="E14" s="16">
        <f>D14*1.03</f>
        <v>0</v>
      </c>
      <c r="F14" s="16">
        <f>E14*1.03</f>
        <v>0</v>
      </c>
      <c r="G14" s="16">
        <v>0</v>
      </c>
      <c r="H14" s="16">
        <v>0</v>
      </c>
      <c r="I14" s="17"/>
      <c r="J14" s="17">
        <f>SUM(D14:H14)+1</f>
        <v>1</v>
      </c>
    </row>
    <row r="15" spans="1:10" ht="13" customHeight="1" x14ac:dyDescent="0.2">
      <c r="A15" t="s">
        <v>48</v>
      </c>
      <c r="D15" s="18">
        <f>4980</f>
        <v>4980</v>
      </c>
      <c r="E15" s="18">
        <v>4980</v>
      </c>
      <c r="F15" s="18"/>
      <c r="G15" s="19">
        <v>0</v>
      </c>
      <c r="H15" s="19">
        <v>0</v>
      </c>
      <c r="I15" s="17"/>
      <c r="J15" s="19">
        <f>D15+E15+F15+G15+H15</f>
        <v>9960</v>
      </c>
    </row>
    <row r="16" spans="1:10" ht="13" customHeight="1" x14ac:dyDescent="0.2">
      <c r="A16" s="14" t="s">
        <v>28</v>
      </c>
      <c r="B16" s="14"/>
      <c r="D16" s="16">
        <f>SUM(D13:D15)+1</f>
        <v>4981</v>
      </c>
      <c r="E16" s="16">
        <f>SUM(E13:E15)</f>
        <v>4980</v>
      </c>
      <c r="F16" s="16"/>
      <c r="G16" s="16">
        <f>SUM(G13:G15)</f>
        <v>0</v>
      </c>
      <c r="H16" s="16">
        <f>SUM(H13:H15)</f>
        <v>0</v>
      </c>
      <c r="I16" s="16" t="s">
        <v>15</v>
      </c>
      <c r="J16" s="16">
        <f>SUM(J13:J15)</f>
        <v>9961</v>
      </c>
    </row>
    <row r="17" spans="1:10" ht="13" customHeight="1" x14ac:dyDescent="0.2">
      <c r="D17" s="16"/>
      <c r="E17" s="16"/>
      <c r="F17" s="16"/>
      <c r="G17" s="17"/>
      <c r="H17" s="17"/>
      <c r="I17" s="17"/>
      <c r="J17" s="17"/>
    </row>
    <row r="18" spans="1:10" ht="12" customHeight="1" x14ac:dyDescent="0.2">
      <c r="A18" s="14" t="s">
        <v>29</v>
      </c>
      <c r="B18" s="14"/>
      <c r="D18" s="16"/>
      <c r="E18" s="16"/>
      <c r="F18" s="16"/>
      <c r="G18" s="17"/>
      <c r="H18" s="17"/>
      <c r="I18" s="17"/>
      <c r="J18" s="17"/>
    </row>
    <row r="19" spans="1:10" ht="13" customHeight="1" x14ac:dyDescent="0.2">
      <c r="A19" t="s">
        <v>30</v>
      </c>
      <c r="D19" s="16">
        <v>0</v>
      </c>
      <c r="E19" s="16">
        <f>D19*1.05</f>
        <v>0</v>
      </c>
      <c r="F19" s="16">
        <f>E19*1.05</f>
        <v>0</v>
      </c>
      <c r="G19" s="16">
        <v>0</v>
      </c>
      <c r="H19" s="16">
        <v>0</v>
      </c>
      <c r="I19" s="17"/>
      <c r="J19" s="17">
        <f>+D19+E19+F19+G19+H19-1</f>
        <v>-1</v>
      </c>
    </row>
    <row r="20" spans="1:10" ht="13" customHeight="1" x14ac:dyDescent="0.2">
      <c r="A20" t="s">
        <v>31</v>
      </c>
      <c r="B20" t="s">
        <v>15</v>
      </c>
      <c r="D20" s="16">
        <v>0</v>
      </c>
      <c r="E20" s="16">
        <v>0</v>
      </c>
      <c r="F20" s="16">
        <v>0</v>
      </c>
      <c r="G20" s="17">
        <v>0</v>
      </c>
      <c r="H20" s="17">
        <v>0</v>
      </c>
      <c r="I20" s="17"/>
      <c r="J20" s="17">
        <f>+D20+E20+F20+G20+H20</f>
        <v>0</v>
      </c>
    </row>
    <row r="21" spans="1:10" ht="13" customHeight="1" x14ac:dyDescent="0.2">
      <c r="A21" t="s">
        <v>32</v>
      </c>
      <c r="D21" s="16">
        <f>D14*0.305</f>
        <v>0</v>
      </c>
      <c r="E21" s="16">
        <f t="shared" ref="E21:H21" si="1">E14*0.305</f>
        <v>0</v>
      </c>
      <c r="F21" s="16">
        <f t="shared" si="1"/>
        <v>0</v>
      </c>
      <c r="G21" s="16">
        <f t="shared" si="1"/>
        <v>0</v>
      </c>
      <c r="H21" s="16">
        <f t="shared" si="1"/>
        <v>0</v>
      </c>
      <c r="I21" s="17"/>
      <c r="J21" s="17">
        <f>+D21+E21+F21+G21+H21-1</f>
        <v>-1</v>
      </c>
    </row>
    <row r="22" spans="1:10" ht="13" customHeight="1" x14ac:dyDescent="0.2">
      <c r="A22" t="s">
        <v>33</v>
      </c>
      <c r="D22" s="18">
        <f>D13*0.28</f>
        <v>0</v>
      </c>
      <c r="E22" s="18">
        <f t="shared" ref="E22:F22" si="2">E13*0.28</f>
        <v>0</v>
      </c>
      <c r="F22" s="18">
        <f t="shared" si="2"/>
        <v>0</v>
      </c>
      <c r="G22" s="18">
        <v>0</v>
      </c>
      <c r="H22" s="18">
        <v>0</v>
      </c>
      <c r="I22" s="17"/>
      <c r="J22" s="19">
        <f>+D22+E22+F22+G22+H22</f>
        <v>0</v>
      </c>
    </row>
    <row r="23" spans="1:10" ht="13" customHeight="1" x14ac:dyDescent="0.2">
      <c r="D23" s="16"/>
      <c r="E23" s="16"/>
      <c r="F23" s="16"/>
      <c r="G23" s="17"/>
      <c r="H23" s="17"/>
      <c r="I23" s="17"/>
      <c r="J23" s="17"/>
    </row>
    <row r="24" spans="1:10" ht="13" customHeight="1" x14ac:dyDescent="0.2">
      <c r="A24" s="14" t="s">
        <v>34</v>
      </c>
      <c r="B24" s="14"/>
      <c r="D24" s="16">
        <f>SUM(D19:D22)-1</f>
        <v>-1</v>
      </c>
      <c r="E24" s="16">
        <f>SUM(E19:E22)-1</f>
        <v>-1</v>
      </c>
      <c r="F24" s="16">
        <f>SUM(F19:F22)</f>
        <v>0</v>
      </c>
      <c r="G24" s="16">
        <f>SUM(G19:G22)</f>
        <v>0</v>
      </c>
      <c r="H24" s="16">
        <f>SUM(H19:H22)</f>
        <v>0</v>
      </c>
      <c r="I24" s="17"/>
      <c r="J24" s="16">
        <f>SUM(J19:J22)</f>
        <v>-2</v>
      </c>
    </row>
    <row r="25" spans="1:10" ht="13" customHeight="1" x14ac:dyDescent="0.2">
      <c r="A25" s="14"/>
      <c r="B25" s="14"/>
      <c r="D25" s="16"/>
      <c r="E25" s="16"/>
      <c r="F25" s="16"/>
      <c r="G25" s="16"/>
      <c r="H25" s="16"/>
      <c r="I25" s="17"/>
      <c r="J25" s="16"/>
    </row>
    <row r="26" spans="1:10" ht="13" customHeight="1" x14ac:dyDescent="0.2">
      <c r="A26" s="14" t="s">
        <v>35</v>
      </c>
      <c r="B26" s="14"/>
      <c r="D26" s="16">
        <f>D16+D24</f>
        <v>4980</v>
      </c>
      <c r="E26" s="16">
        <f>E16+E24</f>
        <v>4979</v>
      </c>
      <c r="F26" s="16">
        <f>F16+F24</f>
        <v>0</v>
      </c>
      <c r="G26" s="16">
        <f>G16+G24</f>
        <v>0</v>
      </c>
      <c r="H26" s="16">
        <f>H16+H24</f>
        <v>0</v>
      </c>
      <c r="I26" s="17"/>
      <c r="J26" s="16">
        <f>J16+J24</f>
        <v>9959</v>
      </c>
    </row>
    <row r="27" spans="1:10" ht="12.75" customHeight="1" x14ac:dyDescent="0.2">
      <c r="D27" s="16"/>
      <c r="E27" s="16"/>
      <c r="F27" s="16"/>
      <c r="G27" s="17"/>
      <c r="H27" s="17"/>
      <c r="I27" s="17"/>
      <c r="J27" s="17"/>
    </row>
    <row r="28" spans="1:10" s="21" customFormat="1" ht="12.75" customHeight="1" x14ac:dyDescent="0.2">
      <c r="A28" s="20" t="s">
        <v>36</v>
      </c>
      <c r="D28" s="22"/>
      <c r="E28" s="22"/>
      <c r="F28" s="22"/>
      <c r="G28" s="23">
        <v>0</v>
      </c>
      <c r="H28" s="23">
        <v>0</v>
      </c>
      <c r="I28" s="23"/>
      <c r="J28" s="23">
        <f t="shared" ref="J28:J36" si="3">SUM(D28:H28)</f>
        <v>0</v>
      </c>
    </row>
    <row r="29" spans="1:10" s="21" customFormat="1" ht="12.75" customHeight="1" x14ac:dyDescent="0.2">
      <c r="A29" s="20"/>
      <c r="D29" s="24"/>
      <c r="E29" s="24"/>
      <c r="F29" s="24"/>
      <c r="G29" s="23"/>
      <c r="H29" s="23"/>
      <c r="I29" s="23"/>
      <c r="J29" s="23"/>
    </row>
    <row r="30" spans="1:10" ht="12.75" customHeight="1" x14ac:dyDescent="0.2">
      <c r="D30" s="16"/>
      <c r="E30" s="16"/>
      <c r="F30" s="16"/>
      <c r="G30" s="17"/>
      <c r="H30" s="17"/>
      <c r="I30" s="17"/>
      <c r="J30" s="17"/>
    </row>
    <row r="31" spans="1:10" ht="12.75" customHeight="1" x14ac:dyDescent="0.2">
      <c r="A31" s="14" t="s">
        <v>37</v>
      </c>
      <c r="D31" s="16"/>
      <c r="E31" s="16"/>
      <c r="F31" s="16"/>
      <c r="G31" s="17"/>
      <c r="H31" s="17"/>
      <c r="I31" s="17"/>
      <c r="J31" s="17"/>
    </row>
    <row r="32" spans="1:10" ht="12.75" customHeight="1" x14ac:dyDescent="0.2">
      <c r="A32" s="6" t="s">
        <v>49</v>
      </c>
      <c r="D32" s="16">
        <v>50000</v>
      </c>
      <c r="E32" s="16"/>
      <c r="F32" s="16"/>
      <c r="G32" s="17">
        <v>0</v>
      </c>
      <c r="H32" s="17">
        <v>0</v>
      </c>
      <c r="I32" s="17"/>
      <c r="J32" s="17">
        <f>D32+E32+F32+G32+H32</f>
        <v>50000</v>
      </c>
    </row>
    <row r="33" spans="1:10" ht="12.75" customHeight="1" x14ac:dyDescent="0.2">
      <c r="A33" s="14" t="s">
        <v>102</v>
      </c>
      <c r="D33" s="25">
        <v>14400</v>
      </c>
      <c r="E33" s="25"/>
      <c r="F33" s="25"/>
      <c r="G33" s="26">
        <v>0</v>
      </c>
      <c r="H33" s="26">
        <v>0</v>
      </c>
      <c r="I33" s="27"/>
      <c r="J33" s="26">
        <f>D33+E33+F33+G33+H33</f>
        <v>14400</v>
      </c>
    </row>
    <row r="34" spans="1:10" ht="12.75" customHeight="1" x14ac:dyDescent="0.2">
      <c r="A34" s="14" t="s">
        <v>39</v>
      </c>
      <c r="D34" s="28">
        <f>D32+D33</f>
        <v>64400</v>
      </c>
      <c r="E34" s="28">
        <f>E32+E33</f>
        <v>0</v>
      </c>
      <c r="F34" s="28">
        <f>F32+F33</f>
        <v>0</v>
      </c>
      <c r="G34" s="28">
        <f t="shared" ref="G34:J34" si="4">G32+G33</f>
        <v>0</v>
      </c>
      <c r="H34" s="28">
        <f t="shared" si="4"/>
        <v>0</v>
      </c>
      <c r="I34" s="28"/>
      <c r="J34" s="28">
        <f t="shared" si="4"/>
        <v>64400</v>
      </c>
    </row>
    <row r="35" spans="1:10" ht="12.75" customHeight="1" x14ac:dyDescent="0.2">
      <c r="D35" s="16"/>
      <c r="E35" s="16"/>
      <c r="F35" s="16"/>
      <c r="G35" s="17"/>
      <c r="H35" s="17"/>
      <c r="I35" s="17"/>
      <c r="J35" s="17"/>
    </row>
    <row r="36" spans="1:10" ht="12.75" customHeight="1" x14ac:dyDescent="0.2">
      <c r="A36" s="14" t="s">
        <v>100</v>
      </c>
      <c r="D36" s="16">
        <v>3500</v>
      </c>
      <c r="E36" s="16">
        <v>0</v>
      </c>
      <c r="F36" s="16">
        <v>0</v>
      </c>
      <c r="G36" s="17">
        <v>0</v>
      </c>
      <c r="H36" s="17">
        <v>0</v>
      </c>
      <c r="I36" s="17"/>
      <c r="J36" s="17">
        <f t="shared" si="3"/>
        <v>3500</v>
      </c>
    </row>
    <row r="37" spans="1:10" ht="12.75" customHeight="1" x14ac:dyDescent="0.2">
      <c r="A37" s="14" t="s">
        <v>101</v>
      </c>
      <c r="D37" s="16"/>
      <c r="E37" s="16"/>
      <c r="F37" s="16"/>
      <c r="G37" s="17"/>
      <c r="H37" s="17"/>
      <c r="I37" s="17"/>
      <c r="J37" s="17"/>
    </row>
    <row r="38" spans="1:10" ht="12.75" customHeight="1" x14ac:dyDescent="0.2">
      <c r="A38" s="29"/>
      <c r="D38" s="16"/>
      <c r="E38" s="16"/>
      <c r="F38" s="16"/>
      <c r="G38" s="17"/>
      <c r="H38" s="17"/>
      <c r="I38" s="17"/>
      <c r="J38" s="17"/>
    </row>
    <row r="39" spans="1:10" ht="12.75" customHeight="1" x14ac:dyDescent="0.2">
      <c r="A39" s="6"/>
      <c r="D39" s="16"/>
      <c r="E39" s="16"/>
      <c r="F39" s="16"/>
      <c r="G39" s="17"/>
      <c r="H39" s="17"/>
      <c r="I39" s="17"/>
      <c r="J39" s="17"/>
    </row>
    <row r="40" spans="1:10" ht="13" customHeight="1" x14ac:dyDescent="0.2">
      <c r="A40" s="14" t="s">
        <v>40</v>
      </c>
      <c r="D40" s="16"/>
      <c r="E40" s="16"/>
      <c r="F40" s="16"/>
      <c r="G40" s="16"/>
      <c r="H40" s="16"/>
      <c r="I40" s="17"/>
      <c r="J40" s="17"/>
    </row>
    <row r="41" spans="1:10" ht="13" customHeight="1" x14ac:dyDescent="0.2">
      <c r="A41" s="29" t="s">
        <v>86</v>
      </c>
      <c r="D41" s="16">
        <v>30</v>
      </c>
      <c r="E41" s="16"/>
      <c r="F41" s="16"/>
      <c r="G41" s="16"/>
      <c r="H41" s="16"/>
      <c r="I41" s="17"/>
      <c r="J41" s="23">
        <f>D41+E41+F41+G41+H41</f>
        <v>30</v>
      </c>
    </row>
    <row r="42" spans="1:10" s="21" customFormat="1" ht="13" customHeight="1" x14ac:dyDescent="0.2">
      <c r="A42" s="40" t="s">
        <v>50</v>
      </c>
      <c r="D42" s="22">
        <v>80000</v>
      </c>
      <c r="E42" s="22">
        <v>0</v>
      </c>
      <c r="F42" s="22">
        <v>0</v>
      </c>
      <c r="G42" s="22">
        <v>0</v>
      </c>
      <c r="H42" s="22">
        <v>0</v>
      </c>
      <c r="I42" s="23"/>
      <c r="J42" s="23">
        <f>D42+E42+F42+G42+H42</f>
        <v>80000</v>
      </c>
    </row>
    <row r="43" spans="1:10" s="21" customFormat="1" ht="13" customHeight="1" x14ac:dyDescent="0.2">
      <c r="A43" s="40" t="s">
        <v>87</v>
      </c>
      <c r="D43" s="22">
        <v>12500</v>
      </c>
      <c r="E43" s="22"/>
      <c r="F43" s="22"/>
      <c r="G43" s="22"/>
      <c r="H43" s="22"/>
      <c r="I43" s="23"/>
      <c r="J43" s="19">
        <f>D43+E43+F43+G43+H43</f>
        <v>12500</v>
      </c>
    </row>
    <row r="44" spans="1:10" s="21" customFormat="1" ht="13" customHeight="1" x14ac:dyDescent="0.2">
      <c r="A44" s="40" t="s">
        <v>52</v>
      </c>
      <c r="D44" s="22">
        <v>5000</v>
      </c>
      <c r="E44" s="22">
        <v>5000</v>
      </c>
      <c r="F44" s="22">
        <v>0</v>
      </c>
      <c r="G44" s="22"/>
      <c r="H44" s="22"/>
      <c r="I44" s="23"/>
      <c r="J44" s="19">
        <f>D44+E44+F44+G44+H44</f>
        <v>10000</v>
      </c>
    </row>
    <row r="45" spans="1:10" ht="13" customHeight="1" x14ac:dyDescent="0.2">
      <c r="A45" s="40" t="s">
        <v>51</v>
      </c>
      <c r="D45" s="43">
        <v>2500</v>
      </c>
      <c r="E45" s="43">
        <v>2500</v>
      </c>
      <c r="F45" s="18"/>
      <c r="G45" s="18">
        <v>0</v>
      </c>
      <c r="H45" s="18">
        <v>0</v>
      </c>
      <c r="I45" s="31"/>
      <c r="J45" s="19">
        <f>D45+E45+F45+G45+H45</f>
        <v>5000</v>
      </c>
    </row>
    <row r="46" spans="1:10" ht="13" customHeight="1" x14ac:dyDescent="0.2">
      <c r="A46" s="40"/>
      <c r="D46" s="41"/>
      <c r="E46" s="41"/>
      <c r="F46" s="42"/>
      <c r="G46" s="42"/>
      <c r="H46" s="42"/>
      <c r="I46" s="31"/>
      <c r="J46" s="31"/>
    </row>
    <row r="47" spans="1:10" ht="13" customHeight="1" x14ac:dyDescent="0.2">
      <c r="A47" s="14" t="s">
        <v>41</v>
      </c>
      <c r="D47" s="16">
        <f>D42+D45</f>
        <v>82500</v>
      </c>
      <c r="E47" s="16">
        <f>E42+E45+E44</f>
        <v>7500</v>
      </c>
      <c r="F47" s="16">
        <f>F42+F45</f>
        <v>0</v>
      </c>
      <c r="G47" s="16">
        <f>G42+G45</f>
        <v>0</v>
      </c>
      <c r="H47" s="16">
        <f>H42+H45</f>
        <v>0</v>
      </c>
      <c r="I47" s="16"/>
      <c r="J47" s="16">
        <f>J42+J45+J44+J43</f>
        <v>107500</v>
      </c>
    </row>
    <row r="48" spans="1:10" ht="13" customHeight="1" x14ac:dyDescent="0.2">
      <c r="A48" s="14"/>
      <c r="D48" s="16"/>
      <c r="E48" s="16"/>
      <c r="F48" s="16"/>
      <c r="G48" s="16"/>
      <c r="H48" s="16"/>
      <c r="I48" s="17"/>
      <c r="J48" s="17"/>
    </row>
    <row r="49" spans="1:10" ht="13" customHeight="1" x14ac:dyDescent="0.2">
      <c r="A49" s="14" t="s">
        <v>42</v>
      </c>
      <c r="D49" s="16">
        <v>0</v>
      </c>
      <c r="E49" s="16">
        <v>0</v>
      </c>
      <c r="F49" s="16">
        <v>4500</v>
      </c>
      <c r="G49" s="16">
        <v>0</v>
      </c>
      <c r="H49" s="16">
        <v>0</v>
      </c>
      <c r="I49" s="17"/>
      <c r="J49" s="17">
        <f>D49+E49+F49+G49+H49</f>
        <v>4500</v>
      </c>
    </row>
    <row r="50" spans="1:10" ht="13" customHeight="1" x14ac:dyDescent="0.2">
      <c r="A50" s="32" t="s">
        <v>15</v>
      </c>
      <c r="B50" s="32"/>
      <c r="C50" s="32"/>
      <c r="D50" s="18"/>
      <c r="E50" s="18"/>
      <c r="F50" s="18"/>
      <c r="G50" s="19"/>
      <c r="H50" s="19"/>
      <c r="I50" s="17"/>
      <c r="J50" s="19"/>
    </row>
    <row r="51" spans="1:10" ht="13" customHeight="1" x14ac:dyDescent="0.2">
      <c r="A51" s="14" t="s">
        <v>43</v>
      </c>
      <c r="B51" s="14"/>
      <c r="D51" s="33">
        <f>D26++D28+D34+D36+D47+D49</f>
        <v>155380</v>
      </c>
      <c r="E51" s="33">
        <f>E26++E28+E34+E36+E47+E49</f>
        <v>12479</v>
      </c>
      <c r="F51" s="33">
        <f>F26++F28+F34+F36+F47+F49</f>
        <v>4500</v>
      </c>
      <c r="G51" s="33">
        <f>G26++G28+G34+G36+G47+G49</f>
        <v>0</v>
      </c>
      <c r="H51" s="33">
        <f>H26++H28+H34+H36+H47+H49</f>
        <v>0</v>
      </c>
      <c r="I51" s="33"/>
      <c r="J51" s="33">
        <f>J26++J28+J34+J36+J47+J49</f>
        <v>189859</v>
      </c>
    </row>
    <row r="52" spans="1:10" ht="13" customHeight="1" x14ac:dyDescent="0.2">
      <c r="A52" s="14" t="s">
        <v>44</v>
      </c>
      <c r="B52" s="29"/>
      <c r="C52" s="29"/>
      <c r="D52" s="34">
        <f>D51</f>
        <v>155380</v>
      </c>
      <c r="E52" s="34">
        <f>E51-E28+5200</f>
        <v>17679</v>
      </c>
      <c r="F52" s="34">
        <f>F51-F28</f>
        <v>4500</v>
      </c>
      <c r="G52" s="34">
        <f>G51</f>
        <v>0</v>
      </c>
      <c r="H52" s="34">
        <f>H51</f>
        <v>0</v>
      </c>
      <c r="I52" s="35"/>
      <c r="J52" s="34">
        <f>SUM(D52:H52)+1</f>
        <v>177560</v>
      </c>
    </row>
    <row r="53" spans="1:10" ht="12" customHeight="1" x14ac:dyDescent="0.2">
      <c r="A53" s="14" t="s">
        <v>45</v>
      </c>
      <c r="B53" s="14"/>
      <c r="C53" s="14" t="s">
        <v>46</v>
      </c>
      <c r="D53" s="19">
        <v>0</v>
      </c>
      <c r="E53" s="19">
        <v>0</v>
      </c>
      <c r="F53" s="19">
        <v>0</v>
      </c>
      <c r="G53" s="19">
        <f t="shared" ref="G53:H53" si="5">G52*0.385</f>
        <v>0</v>
      </c>
      <c r="H53" s="19">
        <f t="shared" si="5"/>
        <v>0</v>
      </c>
      <c r="I53" s="17"/>
      <c r="J53" s="19">
        <f>SUM(D53:H53)+1</f>
        <v>1</v>
      </c>
    </row>
    <row r="54" spans="1:10" ht="13" customHeight="1" x14ac:dyDescent="0.2">
      <c r="A54" s="14"/>
      <c r="D54" s="16"/>
      <c r="E54" s="16"/>
      <c r="F54" s="16"/>
      <c r="G54" s="17"/>
      <c r="H54" s="17"/>
      <c r="I54" s="17"/>
      <c r="J54" s="17"/>
    </row>
    <row r="55" spans="1:10" ht="14" customHeight="1" thickBot="1" x14ac:dyDescent="0.25">
      <c r="A55" s="14" t="s">
        <v>47</v>
      </c>
      <c r="B55" s="14"/>
      <c r="D55" s="33">
        <f>D51+D53+1</f>
        <v>155381</v>
      </c>
      <c r="E55" s="33">
        <f>E51+E53</f>
        <v>12479</v>
      </c>
      <c r="F55" s="33">
        <f>F51+F53+1</f>
        <v>4501</v>
      </c>
      <c r="G55" s="33">
        <f>G51+G53</f>
        <v>0</v>
      </c>
      <c r="H55" s="33">
        <f>H51+H53</f>
        <v>0</v>
      </c>
      <c r="I55" s="36"/>
      <c r="J55" s="33">
        <f>J51+J53</f>
        <v>189860</v>
      </c>
    </row>
    <row r="56" spans="1:10" ht="12" customHeight="1" thickTop="1" x14ac:dyDescent="0.2">
      <c r="D56" s="37"/>
      <c r="E56" s="37"/>
      <c r="F56" s="37"/>
      <c r="G56" s="37"/>
      <c r="H56" s="37"/>
      <c r="I56" s="17"/>
      <c r="J56" s="38"/>
    </row>
    <row r="57" spans="1:10" ht="13" customHeight="1" x14ac:dyDescent="0.2">
      <c r="D57" s="17"/>
      <c r="E57" s="17"/>
      <c r="F57" s="17"/>
      <c r="G57" s="17"/>
      <c r="H57" s="17"/>
      <c r="I57" s="17"/>
      <c r="J57" s="17"/>
    </row>
    <row r="58" spans="1:10" ht="13" customHeight="1" x14ac:dyDescent="0.2">
      <c r="D58" s="17"/>
      <c r="E58" s="17"/>
      <c r="F58" s="17"/>
      <c r="G58" s="17"/>
      <c r="H58" s="17"/>
      <c r="I58" s="17"/>
      <c r="J58" s="17"/>
    </row>
    <row r="59" spans="1:10" ht="12" customHeight="1" x14ac:dyDescent="0.2">
      <c r="D59" s="17"/>
      <c r="E59" s="17"/>
      <c r="F59" s="17"/>
      <c r="G59" s="17"/>
      <c r="H59" s="17"/>
      <c r="I59" s="17"/>
      <c r="J59" s="17"/>
    </row>
    <row r="60" spans="1:10" x14ac:dyDescent="0.2">
      <c r="D60" s="17"/>
    </row>
    <row r="63" spans="1:10" ht="13" customHeight="1" x14ac:dyDescent="0.2">
      <c r="G63" s="39"/>
      <c r="H63" s="39"/>
      <c r="I63" s="39"/>
      <c r="J63" s="39"/>
    </row>
    <row r="65" ht="13" customHeight="1" x14ac:dyDescent="0.2"/>
    <row r="72" ht="13" customHeight="1" x14ac:dyDescent="0.2"/>
    <row r="76" ht="13" customHeight="1" x14ac:dyDescent="0.2"/>
    <row r="77" ht="13" customHeight="1" x14ac:dyDescent="0.2"/>
    <row r="78" ht="13" customHeight="1" x14ac:dyDescent="0.2"/>
    <row r="79" ht="13" customHeight="1" x14ac:dyDescent="0.2"/>
    <row r="125" ht="13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7100-5ABA-4E4F-AE53-9169A9CC1CC4}">
  <dimension ref="A1:O37"/>
  <sheetViews>
    <sheetView workbookViewId="0">
      <selection sqref="A1:XFD1048576"/>
    </sheetView>
  </sheetViews>
  <sheetFormatPr baseColWidth="10" defaultRowHeight="16" x14ac:dyDescent="0.2"/>
  <cols>
    <col min="1" max="1" width="12.5" bestFit="1" customWidth="1"/>
    <col min="6" max="6" width="13.33203125" bestFit="1" customWidth="1"/>
  </cols>
  <sheetData>
    <row r="1" spans="1:15" x14ac:dyDescent="0.2">
      <c r="A1" t="s">
        <v>80</v>
      </c>
      <c r="I1" t="s">
        <v>81</v>
      </c>
      <c r="L1" t="s">
        <v>82</v>
      </c>
    </row>
    <row r="2" spans="1:15" x14ac:dyDescent="0.2">
      <c r="B2" s="44" t="s">
        <v>55</v>
      </c>
      <c r="C2" s="44" t="s">
        <v>56</v>
      </c>
      <c r="D2" s="44" t="s">
        <v>57</v>
      </c>
      <c r="J2" s="44" t="s">
        <v>68</v>
      </c>
      <c r="K2" s="44"/>
      <c r="L2" t="s">
        <v>83</v>
      </c>
    </row>
    <row r="3" spans="1:15" x14ac:dyDescent="0.2">
      <c r="A3" s="44" t="s">
        <v>54</v>
      </c>
      <c r="I3" s="44" t="s">
        <v>54</v>
      </c>
      <c r="L3" s="3" t="s">
        <v>84</v>
      </c>
    </row>
    <row r="4" spans="1:15" x14ac:dyDescent="0.2">
      <c r="A4" t="s">
        <v>58</v>
      </c>
      <c r="B4">
        <v>3</v>
      </c>
      <c r="C4">
        <v>3</v>
      </c>
      <c r="D4">
        <v>3</v>
      </c>
      <c r="I4" t="s">
        <v>58</v>
      </c>
      <c r="J4">
        <v>3</v>
      </c>
      <c r="L4" s="3" t="s">
        <v>69</v>
      </c>
    </row>
    <row r="5" spans="1:15" x14ac:dyDescent="0.2">
      <c r="A5" t="s">
        <v>59</v>
      </c>
      <c r="B5">
        <v>3</v>
      </c>
      <c r="C5">
        <v>3</v>
      </c>
      <c r="D5">
        <v>3</v>
      </c>
      <c r="I5" t="s">
        <v>59</v>
      </c>
      <c r="J5">
        <v>3</v>
      </c>
      <c r="L5" s="3" t="s">
        <v>70</v>
      </c>
    </row>
    <row r="6" spans="1:15" x14ac:dyDescent="0.2">
      <c r="A6" t="s">
        <v>60</v>
      </c>
      <c r="B6">
        <v>3</v>
      </c>
      <c r="C6">
        <v>3</v>
      </c>
      <c r="D6">
        <v>3</v>
      </c>
      <c r="I6" t="s">
        <v>60</v>
      </c>
      <c r="J6">
        <v>3</v>
      </c>
      <c r="L6" s="2" t="s">
        <v>85</v>
      </c>
    </row>
    <row r="7" spans="1:15" x14ac:dyDescent="0.2">
      <c r="B7">
        <f>SUM(B4:B6)</f>
        <v>9</v>
      </c>
      <c r="C7">
        <f>SUM(C4:C6)</f>
        <v>9</v>
      </c>
      <c r="D7">
        <f>SUM(D4:D6)</f>
        <v>9</v>
      </c>
      <c r="I7" t="s">
        <v>61</v>
      </c>
      <c r="J7">
        <v>3</v>
      </c>
      <c r="L7" s="3" t="s">
        <v>84</v>
      </c>
    </row>
    <row r="8" spans="1:15" x14ac:dyDescent="0.2">
      <c r="A8" t="s">
        <v>62</v>
      </c>
      <c r="B8">
        <f>B7*22</f>
        <v>198</v>
      </c>
      <c r="C8">
        <f t="shared" ref="C8:D8" si="0">C7*22</f>
        <v>198</v>
      </c>
      <c r="D8">
        <f t="shared" si="0"/>
        <v>198</v>
      </c>
      <c r="J8">
        <f>SUM(J4:J7)</f>
        <v>12</v>
      </c>
      <c r="L8" s="3" t="s">
        <v>69</v>
      </c>
    </row>
    <row r="9" spans="1:15" x14ac:dyDescent="0.2">
      <c r="E9">
        <f>SUM(B8:D8)</f>
        <v>594</v>
      </c>
      <c r="F9">
        <f>E9*37</f>
        <v>21978</v>
      </c>
      <c r="I9" t="s">
        <v>62</v>
      </c>
      <c r="J9">
        <f>J8*3</f>
        <v>36</v>
      </c>
      <c r="L9" s="3" t="s">
        <v>70</v>
      </c>
    </row>
    <row r="10" spans="1:15" x14ac:dyDescent="0.2">
      <c r="A10" s="44" t="s">
        <v>63</v>
      </c>
      <c r="E10">
        <f>E9/96</f>
        <v>6.1875</v>
      </c>
      <c r="F10" t="s">
        <v>77</v>
      </c>
      <c r="G10">
        <f>9*2500</f>
        <v>22500</v>
      </c>
      <c r="I10" t="s">
        <v>79</v>
      </c>
      <c r="J10" s="45">
        <v>14400</v>
      </c>
    </row>
    <row r="11" spans="1:15" x14ac:dyDescent="0.2">
      <c r="A11" t="s">
        <v>64</v>
      </c>
      <c r="L11" s="44" t="s">
        <v>63</v>
      </c>
      <c r="N11" t="s">
        <v>98</v>
      </c>
      <c r="O11" t="s">
        <v>21</v>
      </c>
    </row>
    <row r="12" spans="1:15" x14ac:dyDescent="0.2">
      <c r="A12" t="s">
        <v>65</v>
      </c>
      <c r="L12" s="3" t="s">
        <v>88</v>
      </c>
      <c r="M12" t="s">
        <v>97</v>
      </c>
      <c r="O12">
        <v>504</v>
      </c>
    </row>
    <row r="13" spans="1:15" x14ac:dyDescent="0.2">
      <c r="A13" t="s">
        <v>66</v>
      </c>
      <c r="L13" s="3" t="s">
        <v>89</v>
      </c>
      <c r="M13" t="s">
        <v>96</v>
      </c>
      <c r="O13">
        <v>300</v>
      </c>
    </row>
    <row r="14" spans="1:15" x14ac:dyDescent="0.2">
      <c r="A14" t="s">
        <v>67</v>
      </c>
      <c r="I14" s="3"/>
      <c r="L14" s="46" t="s">
        <v>90</v>
      </c>
      <c r="M14" s="30" t="s">
        <v>99</v>
      </c>
    </row>
    <row r="15" spans="1:15" x14ac:dyDescent="0.2">
      <c r="A15" t="s">
        <v>38</v>
      </c>
      <c r="B15">
        <f>F9</f>
        <v>21978</v>
      </c>
      <c r="I15" s="3"/>
      <c r="L15" s="3" t="s">
        <v>91</v>
      </c>
      <c r="M15" t="s">
        <v>95</v>
      </c>
      <c r="N15">
        <v>898</v>
      </c>
      <c r="O15">
        <f>4*N15</f>
        <v>3592</v>
      </c>
    </row>
    <row r="16" spans="1:15" x14ac:dyDescent="0.2">
      <c r="I16" s="3"/>
      <c r="L16" s="3" t="s">
        <v>92</v>
      </c>
      <c r="M16" t="s">
        <v>95</v>
      </c>
      <c r="N16">
        <v>365</v>
      </c>
      <c r="O16">
        <f>N16*2</f>
        <v>730</v>
      </c>
    </row>
    <row r="17" spans="1:15" x14ac:dyDescent="0.2">
      <c r="B17" s="44" t="s">
        <v>68</v>
      </c>
      <c r="C17" s="44"/>
      <c r="D17" s="44"/>
      <c r="I17" s="2"/>
      <c r="L17" s="3" t="s">
        <v>93</v>
      </c>
      <c r="M17" t="s">
        <v>94</v>
      </c>
      <c r="N17">
        <v>120</v>
      </c>
      <c r="O17">
        <f>8*N17</f>
        <v>960</v>
      </c>
    </row>
    <row r="18" spans="1:15" x14ac:dyDescent="0.2">
      <c r="A18" s="44" t="s">
        <v>54</v>
      </c>
      <c r="E18" s="44"/>
      <c r="I18" s="3"/>
      <c r="O18">
        <f>SUM(O12:O17)</f>
        <v>6086</v>
      </c>
    </row>
    <row r="19" spans="1:15" x14ac:dyDescent="0.2">
      <c r="A19" t="s">
        <v>103</v>
      </c>
      <c r="B19">
        <v>3</v>
      </c>
      <c r="I19" s="3"/>
    </row>
    <row r="20" spans="1:15" x14ac:dyDescent="0.2">
      <c r="A20" t="s">
        <v>71</v>
      </c>
      <c r="B20">
        <v>3</v>
      </c>
      <c r="I20" s="3"/>
    </row>
    <row r="21" spans="1:15" x14ac:dyDescent="0.2">
      <c r="A21" t="s">
        <v>72</v>
      </c>
      <c r="B21">
        <v>3</v>
      </c>
    </row>
    <row r="22" spans="1:15" x14ac:dyDescent="0.2">
      <c r="A22" t="s">
        <v>104</v>
      </c>
      <c r="B22">
        <v>3</v>
      </c>
    </row>
    <row r="23" spans="1:15" x14ac:dyDescent="0.2">
      <c r="A23" t="s">
        <v>73</v>
      </c>
      <c r="B23">
        <v>3</v>
      </c>
    </row>
    <row r="24" spans="1:15" x14ac:dyDescent="0.2">
      <c r="A24" t="s">
        <v>74</v>
      </c>
      <c r="B24">
        <v>3</v>
      </c>
    </row>
    <row r="25" spans="1:15" x14ac:dyDescent="0.2">
      <c r="A25" t="s">
        <v>105</v>
      </c>
      <c r="B25">
        <v>3</v>
      </c>
    </row>
    <row r="26" spans="1:15" x14ac:dyDescent="0.2">
      <c r="A26" t="s">
        <v>75</v>
      </c>
      <c r="B26">
        <v>3</v>
      </c>
    </row>
    <row r="27" spans="1:15" x14ac:dyDescent="0.2">
      <c r="A27" t="s">
        <v>76</v>
      </c>
      <c r="B27">
        <v>3</v>
      </c>
    </row>
    <row r="28" spans="1:15" x14ac:dyDescent="0.2">
      <c r="B28">
        <f>SUM(B19:B27)</f>
        <v>27</v>
      </c>
    </row>
    <row r="29" spans="1:15" x14ac:dyDescent="0.2">
      <c r="A29" t="s">
        <v>62</v>
      </c>
      <c r="B29">
        <f>B28*15</f>
        <v>405</v>
      </c>
      <c r="C29">
        <f>B29*37</f>
        <v>14985</v>
      </c>
    </row>
    <row r="30" spans="1:15" x14ac:dyDescent="0.2">
      <c r="B30">
        <f>B29/96</f>
        <v>4.21875</v>
      </c>
      <c r="C30" t="s">
        <v>78</v>
      </c>
      <c r="D30">
        <f>6*2500</f>
        <v>15000</v>
      </c>
    </row>
    <row r="31" spans="1:15" x14ac:dyDescent="0.2">
      <c r="A31" s="44" t="s">
        <v>63</v>
      </c>
      <c r="C31" t="s">
        <v>79</v>
      </c>
    </row>
    <row r="32" spans="1:15" x14ac:dyDescent="0.2">
      <c r="A32" t="s">
        <v>64</v>
      </c>
    </row>
    <row r="33" spans="1:2" x14ac:dyDescent="0.2">
      <c r="A33" t="s">
        <v>65</v>
      </c>
    </row>
    <row r="34" spans="1:2" x14ac:dyDescent="0.2">
      <c r="A34" t="s">
        <v>66</v>
      </c>
    </row>
    <row r="35" spans="1:2" x14ac:dyDescent="0.2">
      <c r="A35" t="s">
        <v>67</v>
      </c>
    </row>
    <row r="36" spans="1:2" x14ac:dyDescent="0.2">
      <c r="A36" t="s">
        <v>38</v>
      </c>
      <c r="B36">
        <f>C29</f>
        <v>14985</v>
      </c>
    </row>
    <row r="37" spans="1:2" x14ac:dyDescent="0.2">
      <c r="B37">
        <f>B15+B36</f>
        <v>36963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245CB-7080-734E-B168-CFDC605A230B}">
  <dimension ref="A1:O37"/>
  <sheetViews>
    <sheetView tabSelected="1" workbookViewId="0">
      <selection activeCell="E10" sqref="E10"/>
    </sheetView>
  </sheetViews>
  <sheetFormatPr baseColWidth="10" defaultRowHeight="16" x14ac:dyDescent="0.2"/>
  <cols>
    <col min="1" max="1" width="12.5" bestFit="1" customWidth="1"/>
    <col min="6" max="6" width="13.33203125" bestFit="1" customWidth="1"/>
  </cols>
  <sheetData>
    <row r="1" spans="1:15" x14ac:dyDescent="0.2">
      <c r="A1" t="s">
        <v>80</v>
      </c>
      <c r="I1" t="s">
        <v>81</v>
      </c>
      <c r="L1" t="s">
        <v>82</v>
      </c>
    </row>
    <row r="2" spans="1:15" x14ac:dyDescent="0.2">
      <c r="B2" s="44" t="s">
        <v>70</v>
      </c>
      <c r="C2" s="44" t="s">
        <v>108</v>
      </c>
      <c r="D2" s="44" t="s">
        <v>109</v>
      </c>
      <c r="J2" s="44" t="s">
        <v>68</v>
      </c>
      <c r="K2" s="44"/>
      <c r="L2" t="s">
        <v>83</v>
      </c>
    </row>
    <row r="3" spans="1:15" x14ac:dyDescent="0.2">
      <c r="A3" s="44" t="s">
        <v>54</v>
      </c>
      <c r="I3" s="44" t="s">
        <v>54</v>
      </c>
      <c r="L3" s="3" t="s">
        <v>84</v>
      </c>
    </row>
    <row r="4" spans="1:15" x14ac:dyDescent="0.2">
      <c r="A4" t="s">
        <v>58</v>
      </c>
      <c r="B4">
        <v>3</v>
      </c>
      <c r="C4">
        <v>3</v>
      </c>
      <c r="D4">
        <v>3</v>
      </c>
      <c r="I4" t="s">
        <v>58</v>
      </c>
      <c r="J4">
        <v>3</v>
      </c>
      <c r="L4" s="3" t="s">
        <v>69</v>
      </c>
    </row>
    <row r="5" spans="1:15" x14ac:dyDescent="0.2">
      <c r="A5" t="s">
        <v>106</v>
      </c>
      <c r="B5">
        <v>3</v>
      </c>
      <c r="C5">
        <v>3</v>
      </c>
      <c r="D5">
        <v>3</v>
      </c>
      <c r="I5" t="s">
        <v>59</v>
      </c>
      <c r="J5">
        <v>3</v>
      </c>
      <c r="L5" s="3" t="s">
        <v>70</v>
      </c>
    </row>
    <row r="6" spans="1:15" x14ac:dyDescent="0.2">
      <c r="A6" t="s">
        <v>107</v>
      </c>
      <c r="B6">
        <v>3</v>
      </c>
      <c r="C6">
        <v>3</v>
      </c>
      <c r="D6">
        <v>3</v>
      </c>
      <c r="I6" t="s">
        <v>60</v>
      </c>
      <c r="J6">
        <v>3</v>
      </c>
      <c r="L6" s="2" t="s">
        <v>85</v>
      </c>
    </row>
    <row r="7" spans="1:15" x14ac:dyDescent="0.2">
      <c r="B7">
        <f>SUM(B4:B6)</f>
        <v>9</v>
      </c>
      <c r="C7">
        <f>SUM(C4:C6)</f>
        <v>9</v>
      </c>
      <c r="D7">
        <f>SUM(D4:D6)</f>
        <v>9</v>
      </c>
      <c r="I7" t="s">
        <v>61</v>
      </c>
      <c r="J7">
        <v>3</v>
      </c>
      <c r="L7" s="3" t="s">
        <v>84</v>
      </c>
    </row>
    <row r="8" spans="1:15" x14ac:dyDescent="0.2">
      <c r="A8" t="s">
        <v>62</v>
      </c>
      <c r="B8">
        <f>B7*12</f>
        <v>108</v>
      </c>
      <c r="C8">
        <f t="shared" ref="C8:D8" si="0">C7*12</f>
        <v>108</v>
      </c>
      <c r="D8">
        <f t="shared" si="0"/>
        <v>108</v>
      </c>
      <c r="J8">
        <f>SUM(J4:J7)</f>
        <v>12</v>
      </c>
      <c r="L8" s="3" t="s">
        <v>69</v>
      </c>
    </row>
    <row r="9" spans="1:15" x14ac:dyDescent="0.2">
      <c r="E9">
        <f>SUM(B8:D8)</f>
        <v>324</v>
      </c>
      <c r="F9">
        <f>E9*37</f>
        <v>11988</v>
      </c>
      <c r="I9" t="s">
        <v>62</v>
      </c>
      <c r="J9">
        <f>J8*3</f>
        <v>36</v>
      </c>
      <c r="L9" s="3" t="s">
        <v>70</v>
      </c>
    </row>
    <row r="10" spans="1:15" x14ac:dyDescent="0.2">
      <c r="A10" s="44" t="s">
        <v>63</v>
      </c>
      <c r="E10">
        <f>E9/96</f>
        <v>3.375</v>
      </c>
      <c r="F10" t="s">
        <v>77</v>
      </c>
      <c r="G10">
        <f>9*2500</f>
        <v>22500</v>
      </c>
      <c r="I10" t="s">
        <v>79</v>
      </c>
      <c r="J10" s="45">
        <v>14400</v>
      </c>
    </row>
    <row r="11" spans="1:15" x14ac:dyDescent="0.2">
      <c r="A11" t="s">
        <v>64</v>
      </c>
      <c r="L11" s="44" t="s">
        <v>63</v>
      </c>
      <c r="N11" t="s">
        <v>98</v>
      </c>
      <c r="O11" t="s">
        <v>21</v>
      </c>
    </row>
    <row r="12" spans="1:15" x14ac:dyDescent="0.2">
      <c r="A12" t="s">
        <v>65</v>
      </c>
      <c r="L12" s="3" t="s">
        <v>88</v>
      </c>
      <c r="M12" t="s">
        <v>97</v>
      </c>
      <c r="O12">
        <v>504</v>
      </c>
    </row>
    <row r="13" spans="1:15" x14ac:dyDescent="0.2">
      <c r="A13" t="s">
        <v>66</v>
      </c>
      <c r="L13" s="3" t="s">
        <v>89</v>
      </c>
      <c r="M13" t="s">
        <v>96</v>
      </c>
      <c r="O13">
        <v>300</v>
      </c>
    </row>
    <row r="14" spans="1:15" x14ac:dyDescent="0.2">
      <c r="A14" t="s">
        <v>67</v>
      </c>
      <c r="I14" s="3"/>
      <c r="L14" s="46" t="s">
        <v>90</v>
      </c>
      <c r="M14" s="30" t="s">
        <v>99</v>
      </c>
    </row>
    <row r="15" spans="1:15" x14ac:dyDescent="0.2">
      <c r="A15" t="s">
        <v>38</v>
      </c>
      <c r="B15">
        <f>F9</f>
        <v>11988</v>
      </c>
      <c r="I15" s="3"/>
      <c r="L15" s="3" t="s">
        <v>91</v>
      </c>
      <c r="M15" t="s">
        <v>95</v>
      </c>
      <c r="N15">
        <v>898</v>
      </c>
      <c r="O15">
        <f>4*N15</f>
        <v>3592</v>
      </c>
    </row>
    <row r="16" spans="1:15" x14ac:dyDescent="0.2">
      <c r="I16" s="3"/>
      <c r="L16" s="3" t="s">
        <v>92</v>
      </c>
      <c r="M16" t="s">
        <v>95</v>
      </c>
      <c r="N16">
        <v>365</v>
      </c>
      <c r="O16">
        <f>N16*2</f>
        <v>730</v>
      </c>
    </row>
    <row r="17" spans="1:15" x14ac:dyDescent="0.2">
      <c r="B17" s="44" t="s">
        <v>68</v>
      </c>
      <c r="C17" s="44"/>
      <c r="D17" s="44"/>
      <c r="I17" s="2"/>
      <c r="L17" s="3" t="s">
        <v>93</v>
      </c>
      <c r="M17" t="s">
        <v>94</v>
      </c>
      <c r="N17">
        <v>120</v>
      </c>
      <c r="O17">
        <f>8*N17</f>
        <v>960</v>
      </c>
    </row>
    <row r="18" spans="1:15" x14ac:dyDescent="0.2">
      <c r="A18" s="44" t="s">
        <v>54</v>
      </c>
      <c r="E18" s="44"/>
      <c r="I18" s="3"/>
      <c r="O18">
        <f>SUM(O12:O17)</f>
        <v>6086</v>
      </c>
    </row>
    <row r="19" spans="1:15" x14ac:dyDescent="0.2">
      <c r="A19" t="s">
        <v>103</v>
      </c>
      <c r="B19">
        <v>3</v>
      </c>
      <c r="I19" s="3"/>
    </row>
    <row r="20" spans="1:15" x14ac:dyDescent="0.2">
      <c r="A20" t="s">
        <v>71</v>
      </c>
      <c r="B20">
        <v>3</v>
      </c>
      <c r="I20" s="3"/>
    </row>
    <row r="21" spans="1:15" x14ac:dyDescent="0.2">
      <c r="A21" t="s">
        <v>72</v>
      </c>
      <c r="B21">
        <v>3</v>
      </c>
    </row>
    <row r="22" spans="1:15" x14ac:dyDescent="0.2">
      <c r="A22" t="s">
        <v>104</v>
      </c>
      <c r="B22">
        <v>3</v>
      </c>
    </row>
    <row r="23" spans="1:15" x14ac:dyDescent="0.2">
      <c r="A23" t="s">
        <v>73</v>
      </c>
      <c r="B23">
        <v>3</v>
      </c>
    </row>
    <row r="24" spans="1:15" x14ac:dyDescent="0.2">
      <c r="A24" t="s">
        <v>74</v>
      </c>
      <c r="B24">
        <v>3</v>
      </c>
    </row>
    <row r="25" spans="1:15" x14ac:dyDescent="0.2">
      <c r="A25" t="s">
        <v>105</v>
      </c>
      <c r="B25">
        <v>3</v>
      </c>
    </row>
    <row r="26" spans="1:15" x14ac:dyDescent="0.2">
      <c r="A26" t="s">
        <v>75</v>
      </c>
      <c r="B26">
        <v>3</v>
      </c>
    </row>
    <row r="27" spans="1:15" x14ac:dyDescent="0.2">
      <c r="A27" t="s">
        <v>76</v>
      </c>
      <c r="B27">
        <v>3</v>
      </c>
    </row>
    <row r="28" spans="1:15" x14ac:dyDescent="0.2">
      <c r="B28">
        <f>SUM(B19:B27)</f>
        <v>27</v>
      </c>
    </row>
    <row r="29" spans="1:15" x14ac:dyDescent="0.2">
      <c r="A29" t="s">
        <v>62</v>
      </c>
      <c r="B29">
        <f>B28*15</f>
        <v>405</v>
      </c>
      <c r="C29">
        <f>B29*37</f>
        <v>14985</v>
      </c>
    </row>
    <row r="30" spans="1:15" x14ac:dyDescent="0.2">
      <c r="B30">
        <f>B29/96</f>
        <v>4.21875</v>
      </c>
      <c r="C30" t="s">
        <v>78</v>
      </c>
      <c r="D30">
        <f>6*2500</f>
        <v>15000</v>
      </c>
    </row>
    <row r="31" spans="1:15" x14ac:dyDescent="0.2">
      <c r="A31" s="44" t="s">
        <v>63</v>
      </c>
      <c r="C31" t="s">
        <v>79</v>
      </c>
    </row>
    <row r="32" spans="1:15" x14ac:dyDescent="0.2">
      <c r="A32" t="s">
        <v>64</v>
      </c>
    </row>
    <row r="33" spans="1:2" x14ac:dyDescent="0.2">
      <c r="A33" t="s">
        <v>65</v>
      </c>
    </row>
    <row r="34" spans="1:2" x14ac:dyDescent="0.2">
      <c r="A34" t="s">
        <v>66</v>
      </c>
    </row>
    <row r="35" spans="1:2" x14ac:dyDescent="0.2">
      <c r="A35" t="s">
        <v>67</v>
      </c>
    </row>
    <row r="36" spans="1:2" x14ac:dyDescent="0.2">
      <c r="A36" t="s">
        <v>38</v>
      </c>
      <c r="B36">
        <f>C29</f>
        <v>14985</v>
      </c>
    </row>
    <row r="37" spans="1:2" x14ac:dyDescent="0.2">
      <c r="B37">
        <f>B15+B36</f>
        <v>26973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Experiments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Greathouse, Leigh</dc:creator>
  <cp:lastModifiedBy>Greathouse, Leigh</cp:lastModifiedBy>
  <dcterms:created xsi:type="dcterms:W3CDTF">2019-02-14T17:12:58Z</dcterms:created>
  <dcterms:modified xsi:type="dcterms:W3CDTF">2019-09-20T20:42:40Z</dcterms:modified>
</cp:coreProperties>
</file>