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_greathouse/Box Sync/Fiber and the Gut Microbiome/Writing/Grants/Illuminate_Fiber_MBRAs/"/>
    </mc:Choice>
  </mc:AlternateContent>
  <xr:revisionPtr revIDLastSave="0" documentId="13_ncr:1_{539814A4-DDB1-B64F-9EC0-5414EA640748}" xr6:coauthVersionLast="36" xr6:coauthVersionMax="36" xr10:uidLastSave="{00000000-0000-0000-0000-000000000000}"/>
  <bookViews>
    <workbookView xWindow="2500" yWindow="460" windowWidth="24840" windowHeight="14580" xr2:uid="{EDCDF776-4F71-954C-B24D-B42B25D4BF60}"/>
  </bookViews>
  <sheets>
    <sheet name="Budget" sheetId="1" r:id="rId1"/>
    <sheet name="Experi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J18" i="1"/>
  <c r="F18" i="1"/>
  <c r="E18" i="1"/>
  <c r="D18" i="1"/>
  <c r="D15" i="1"/>
  <c r="J33" i="1" l="1"/>
  <c r="J21" i="1"/>
  <c r="G15" i="1"/>
  <c r="H15" i="1"/>
  <c r="G18" i="1"/>
  <c r="H18" i="1"/>
  <c r="G26" i="1"/>
  <c r="H26" i="1"/>
  <c r="G38" i="1"/>
  <c r="H38" i="1"/>
  <c r="G42" i="1" l="1"/>
  <c r="H42" i="1"/>
  <c r="H43" i="1" s="1"/>
  <c r="H44" i="1" s="1"/>
  <c r="H46" i="1" s="1"/>
  <c r="G43" i="1"/>
  <c r="G44" i="1" s="1"/>
  <c r="G46" i="1" s="1"/>
  <c r="D38" i="1"/>
  <c r="O14" i="2"/>
  <c r="J34" i="1" l="1"/>
  <c r="J35" i="1"/>
  <c r="O17" i="2"/>
  <c r="O16" i="2"/>
  <c r="O15" i="2"/>
  <c r="E38" i="1"/>
  <c r="J8" i="2"/>
  <c r="J9" i="2" s="1"/>
  <c r="D30" i="2"/>
  <c r="G10" i="2"/>
  <c r="B28" i="2"/>
  <c r="B29" i="2" s="1"/>
  <c r="C7" i="2"/>
  <c r="C8" i="2" s="1"/>
  <c r="D7" i="2"/>
  <c r="D8" i="2" s="1"/>
  <c r="B7" i="2"/>
  <c r="B8" i="2" s="1"/>
  <c r="J20" i="1"/>
  <c r="J40" i="1"/>
  <c r="F38" i="1"/>
  <c r="J36" i="1"/>
  <c r="J28" i="1"/>
  <c r="F26" i="1"/>
  <c r="E26" i="1"/>
  <c r="D26" i="1"/>
  <c r="J25" i="1"/>
  <c r="J24" i="1"/>
  <c r="J5" i="1"/>
  <c r="J38" i="1" l="1"/>
  <c r="O18" i="2"/>
  <c r="C29" i="2"/>
  <c r="B36" i="2" s="1"/>
  <c r="B30" i="2"/>
  <c r="E9" i="2"/>
  <c r="F9" i="2" s="1"/>
  <c r="B15" i="2" s="1"/>
  <c r="J26" i="1"/>
  <c r="J14" i="1"/>
  <c r="D42" i="1"/>
  <c r="E15" i="1"/>
  <c r="F15" i="1" l="1"/>
  <c r="E10" i="2"/>
  <c r="B37" i="2"/>
  <c r="E42" i="1"/>
  <c r="D46" i="1"/>
  <c r="D43" i="1"/>
  <c r="J13" i="1"/>
  <c r="F42" i="1" l="1"/>
  <c r="E43" i="1"/>
  <c r="E46" i="1"/>
  <c r="J15" i="1"/>
  <c r="J42" i="1" s="1"/>
  <c r="J46" i="1" l="1"/>
  <c r="F46" i="1"/>
  <c r="F43" i="1"/>
</calcChain>
</file>

<file path=xl/sharedStrings.xml><?xml version="1.0" encoding="utf-8"?>
<sst xmlns="http://schemas.openxmlformats.org/spreadsheetml/2006/main" count="123" uniqueCount="99">
  <si>
    <t>BAYLOR UNIVERSITY</t>
  </si>
  <si>
    <t>Office of Sponsored Programs and Contracts</t>
  </si>
  <si>
    <t>Detailed Budget</t>
  </si>
  <si>
    <t>Proposal No.:</t>
  </si>
  <si>
    <t>Illuminate</t>
  </si>
  <si>
    <t xml:space="preserve">Sponsor: </t>
  </si>
  <si>
    <t>Baylor</t>
  </si>
  <si>
    <t>Date:</t>
  </si>
  <si>
    <t xml:space="preserve">Project Title:  </t>
  </si>
  <si>
    <t xml:space="preserve">Project Director(s):   </t>
  </si>
  <si>
    <t xml:space="preserve">Department/School:  </t>
  </si>
  <si>
    <t xml:space="preserve">Project Dates:                  </t>
  </si>
  <si>
    <t xml:space="preserve">to </t>
  </si>
  <si>
    <t xml:space="preserve"> </t>
  </si>
  <si>
    <t>Year 1</t>
  </si>
  <si>
    <t>Year 2</t>
  </si>
  <si>
    <t>Year 3</t>
  </si>
  <si>
    <t>Year 4</t>
  </si>
  <si>
    <t>Year 5</t>
  </si>
  <si>
    <t>Total</t>
  </si>
  <si>
    <t>8/1/19-7/31/20</t>
  </si>
  <si>
    <t>8/1/20-7/31/21</t>
  </si>
  <si>
    <t>8/1/21-7/31/22</t>
  </si>
  <si>
    <t>Personnel:</t>
  </si>
  <si>
    <t>Total Personnel (S/W)</t>
  </si>
  <si>
    <t>TOTAL SALARIES AND FRINGE:</t>
  </si>
  <si>
    <t>Subcontract:</t>
  </si>
  <si>
    <t>Sequencing</t>
  </si>
  <si>
    <t>Supplies:</t>
  </si>
  <si>
    <t>Total Supplies:</t>
  </si>
  <si>
    <t>Travel</t>
  </si>
  <si>
    <t>Total Direct Cost (TDC):</t>
  </si>
  <si>
    <t>Total modified direct cost base</t>
  </si>
  <si>
    <t xml:space="preserve">Indirect Cost:  </t>
  </si>
  <si>
    <t>38.5% MTDC</t>
  </si>
  <si>
    <t>Total Cost:</t>
  </si>
  <si>
    <t>Microbiome sequencing (BCM)</t>
  </si>
  <si>
    <t>MBRA Equipment</t>
  </si>
  <si>
    <t>Decoding the Gut Microbiome Response to Dietary Fiber Types Using Model Gut Communities</t>
  </si>
  <si>
    <t>Treatment</t>
  </si>
  <si>
    <t>doner A</t>
  </si>
  <si>
    <t>doner B</t>
  </si>
  <si>
    <t>doner C</t>
  </si>
  <si>
    <t>control</t>
  </si>
  <si>
    <t>Inulin</t>
  </si>
  <si>
    <t>RS</t>
  </si>
  <si>
    <t>Inulin+RS</t>
  </si>
  <si>
    <t># of samples</t>
  </si>
  <si>
    <t>Reagents</t>
  </si>
  <si>
    <t>Beads</t>
  </si>
  <si>
    <t>Qiagen Dneasy Tissue Kit</t>
  </si>
  <si>
    <t>QuantIT kit</t>
  </si>
  <si>
    <t>Agencourt AMPure XP</t>
  </si>
  <si>
    <t>Pooled</t>
  </si>
  <si>
    <t>MRSA</t>
  </si>
  <si>
    <t>ETBF</t>
  </si>
  <si>
    <t>control+C.diff</t>
  </si>
  <si>
    <t>control+ETBF</t>
  </si>
  <si>
    <t>Inulin+C.diff</t>
  </si>
  <si>
    <t>Inulin+ETBF</t>
  </si>
  <si>
    <t>RS+C.diff</t>
  </si>
  <si>
    <t>RS+ETBF</t>
  </si>
  <si>
    <t>9 Plates MiSeq</t>
  </si>
  <si>
    <t>6 Plates</t>
  </si>
  <si>
    <t>Cost</t>
  </si>
  <si>
    <t>SEQUENCING</t>
  </si>
  <si>
    <t>METABOLITES</t>
  </si>
  <si>
    <t>INVASION</t>
  </si>
  <si>
    <t xml:space="preserve">Serial plating </t>
  </si>
  <si>
    <t>C. diff</t>
  </si>
  <si>
    <t>qPCR</t>
  </si>
  <si>
    <t>qPCR reagents (DNA extractions kits, PCR master mix, plates)</t>
  </si>
  <si>
    <t>agar</t>
  </si>
  <si>
    <t>plates</t>
  </si>
  <si>
    <t>broth+</t>
  </si>
  <si>
    <t>DNA extraction kits</t>
  </si>
  <si>
    <t>SYBER green</t>
  </si>
  <si>
    <t>PCR plates</t>
  </si>
  <si>
    <t>2 cases</t>
  </si>
  <si>
    <t>X 1000 rxns</t>
  </si>
  <si>
    <t>3 cases</t>
  </si>
  <si>
    <t>3 bottles</t>
  </si>
  <si>
    <t>Unit</t>
  </si>
  <si>
    <t>Training:</t>
  </si>
  <si>
    <t>Training on MBRA system and setup</t>
  </si>
  <si>
    <t>Metabolomics/SCFAs (Metabolome)</t>
  </si>
  <si>
    <t>control+antibiotic</t>
  </si>
  <si>
    <t>Inulin+antibiotic</t>
  </si>
  <si>
    <t>RS+antibiotic</t>
  </si>
  <si>
    <t>3 units</t>
  </si>
  <si>
    <t>Dr. Leigh Greathouse</t>
  </si>
  <si>
    <t>Consumables (gas, gloves, tips, media, labware)</t>
  </si>
  <si>
    <t>Labware</t>
  </si>
  <si>
    <t>Nicholas Chia (Mayo)</t>
  </si>
  <si>
    <t>Postdoctoral fellow (0.5 FTE)</t>
  </si>
  <si>
    <t>Graduate Student (GRA)</t>
  </si>
  <si>
    <t>Consultant/Services:</t>
  </si>
  <si>
    <t>Total Consultant/Services</t>
  </si>
  <si>
    <t>Family &amp; Consumer Science/ENV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</si>
</sst>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#,##0\ ;\(#,##0\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Geneva"/>
      <family val="2"/>
    </font>
    <font>
      <sz val="9"/>
      <name val="Geneva"/>
      <family val="2"/>
    </font>
    <font>
      <sz val="10"/>
      <name val="Geneva"/>
      <family val="2"/>
    </font>
    <font>
      <sz val="10"/>
      <color rgb="FFFF0000"/>
      <name val="Geneva"/>
      <family val="2"/>
    </font>
    <font>
      <sz val="10"/>
      <color theme="1"/>
      <name val="Geneva"/>
      <family val="2"/>
    </font>
    <font>
      <sz val="9"/>
      <color theme="1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ont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left"/>
    </xf>
    <xf numFmtId="38" fontId="0" fillId="0" borderId="0" xfId="0" applyNumberFormat="1" applyAlignment="1">
      <alignment horizontal="right"/>
    </xf>
    <xf numFmtId="38" fontId="0" fillId="0" borderId="0" xfId="0" applyNumberFormat="1"/>
    <xf numFmtId="38" fontId="0" fillId="0" borderId="1" xfId="0" applyNumberFormat="1" applyBorder="1" applyAlignment="1">
      <alignment horizontal="right"/>
    </xf>
    <xf numFmtId="38" fontId="0" fillId="0" borderId="1" xfId="0" applyNumberFormat="1" applyBorder="1"/>
    <xf numFmtId="0" fontId="2" fillId="0" borderId="0" xfId="0" applyFont="1" applyFill="1"/>
    <xf numFmtId="0" fontId="0" fillId="0" borderId="0" xfId="0" applyFill="1"/>
    <xf numFmtId="38" fontId="0" fillId="0" borderId="0" xfId="0" applyNumberFormat="1" applyFill="1" applyAlignment="1">
      <alignment horizontal="right"/>
    </xf>
    <xf numFmtId="38" fontId="0" fillId="0" borderId="0" xfId="0" applyNumberFormat="1" applyFill="1"/>
    <xf numFmtId="38" fontId="4" fillId="0" borderId="0" xfId="0" applyNumberFormat="1" applyFont="1" applyFill="1" applyAlignment="1">
      <alignment horizontal="right"/>
    </xf>
    <xf numFmtId="38" fontId="0" fillId="0" borderId="1" xfId="0" applyNumberFormat="1" applyFont="1" applyBorder="1" applyAlignment="1">
      <alignment horizontal="right"/>
    </xf>
    <xf numFmtId="38" fontId="0" fillId="0" borderId="1" xfId="0" applyNumberFormat="1" applyFont="1" applyBorder="1"/>
    <xf numFmtId="38" fontId="0" fillId="0" borderId="0" xfId="0" applyNumberFormat="1" applyFont="1" applyBorder="1"/>
    <xf numFmtId="38" fontId="0" fillId="0" borderId="0" xfId="0" applyNumberFormat="1" applyFont="1" applyBorder="1" applyAlignment="1">
      <alignment horizontal="right"/>
    </xf>
    <xf numFmtId="0" fontId="4" fillId="0" borderId="0" xfId="0" applyFont="1"/>
    <xf numFmtId="0" fontId="0" fillId="2" borderId="0" xfId="0" applyFill="1"/>
    <xf numFmtId="38" fontId="0" fillId="0" borderId="0" xfId="0" applyNumberFormat="1" applyBorder="1"/>
    <xf numFmtId="0" fontId="0" fillId="0" borderId="1" xfId="0" applyBorder="1"/>
    <xf numFmtId="38" fontId="2" fillId="0" borderId="0" xfId="0" applyNumberFormat="1" applyFont="1" applyAlignment="1">
      <alignment horizontal="right"/>
    </xf>
    <xf numFmtId="38" fontId="4" fillId="0" borderId="0" xfId="0" applyNumberFormat="1" applyFont="1" applyAlignment="1">
      <alignment horizontal="right"/>
    </xf>
    <xf numFmtId="38" fontId="4" fillId="0" borderId="0" xfId="0" applyNumberFormat="1" applyFont="1"/>
    <xf numFmtId="38" fontId="2" fillId="0" borderId="0" xfId="0" applyNumberFormat="1" applyFont="1"/>
    <xf numFmtId="38" fontId="0" fillId="0" borderId="2" xfId="0" applyNumberFormat="1" applyBorder="1" applyAlignment="1">
      <alignment horizontal="left"/>
    </xf>
    <xf numFmtId="38" fontId="0" fillId="0" borderId="2" xfId="0" applyNumberFormat="1" applyBorder="1"/>
    <xf numFmtId="165" fontId="0" fillId="0" borderId="0" xfId="0" applyNumberFormat="1"/>
    <xf numFmtId="0" fontId="0" fillId="0" borderId="0" xfId="0" applyFont="1" applyFill="1"/>
    <xf numFmtId="38" fontId="5" fillId="0" borderId="0" xfId="0" applyNumberFormat="1" applyFont="1" applyBorder="1" applyAlignment="1">
      <alignment horizontal="right"/>
    </xf>
    <xf numFmtId="38" fontId="0" fillId="0" borderId="0" xfId="0" applyNumberFormat="1" applyBorder="1" applyAlignment="1">
      <alignment horizontal="right"/>
    </xf>
    <xf numFmtId="38" fontId="6" fillId="0" borderId="1" xfId="0" applyNumberFormat="1" applyFont="1" applyBorder="1" applyAlignment="1">
      <alignment horizontal="right"/>
    </xf>
    <xf numFmtId="0" fontId="1" fillId="0" borderId="0" xfId="0" applyFont="1"/>
    <xf numFmtId="3" fontId="0" fillId="0" borderId="0" xfId="0" applyNumberFormat="1"/>
    <xf numFmtId="0" fontId="0" fillId="2" borderId="0" xfId="0" applyFill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DE6D-7753-4A40-8F9C-AFC4835AD2C1}">
  <sheetPr>
    <pageSetUpPr fitToPage="1"/>
  </sheetPr>
  <dimension ref="A1:J116"/>
  <sheetViews>
    <sheetView tabSelected="1" topLeftCell="A14" workbookViewId="0">
      <selection sqref="A1:J47"/>
    </sheetView>
  </sheetViews>
  <sheetFormatPr baseColWidth="10" defaultColWidth="10.1640625" defaultRowHeight="16" x14ac:dyDescent="0.2"/>
  <cols>
    <col min="1" max="1" width="7.1640625" customWidth="1"/>
    <col min="2" max="2" width="13.6640625" customWidth="1"/>
    <col min="3" max="3" width="30.1640625" customWidth="1"/>
    <col min="4" max="4" width="15.33203125" customWidth="1"/>
    <col min="5" max="5" width="14.6640625" customWidth="1"/>
    <col min="6" max="6" width="14.83203125" customWidth="1"/>
    <col min="7" max="8" width="12.1640625" hidden="1" customWidth="1"/>
    <col min="9" max="9" width="8.6640625" customWidth="1"/>
    <col min="10" max="10" width="11.33203125" customWidth="1"/>
    <col min="12" max="12" width="16" customWidth="1"/>
  </cols>
  <sheetData>
    <row r="1" spans="1:10" ht="13" customHeight="1" x14ac:dyDescent="0.2">
      <c r="D1" s="1"/>
      <c r="E1" s="1" t="s">
        <v>0</v>
      </c>
      <c r="F1" s="1"/>
    </row>
    <row r="2" spans="1:10" ht="13" customHeight="1" x14ac:dyDescent="0.2">
      <c r="D2" s="1"/>
      <c r="E2" s="1" t="s">
        <v>1</v>
      </c>
      <c r="F2" s="1"/>
    </row>
    <row r="3" spans="1:10" ht="13" customHeight="1" x14ac:dyDescent="0.2">
      <c r="D3" s="1"/>
      <c r="E3" s="1" t="s">
        <v>2</v>
      </c>
      <c r="F3" s="1"/>
    </row>
    <row r="5" spans="1:10" ht="13" customHeight="1" x14ac:dyDescent="0.2">
      <c r="A5" t="s">
        <v>3</v>
      </c>
      <c r="C5" t="s">
        <v>4</v>
      </c>
      <c r="E5" s="2" t="s">
        <v>5</v>
      </c>
      <c r="F5" t="s">
        <v>6</v>
      </c>
      <c r="G5" s="2"/>
      <c r="I5" s="3" t="s">
        <v>7</v>
      </c>
      <c r="J5" s="4">
        <f ca="1">TRUNC(NOW())</f>
        <v>43553</v>
      </c>
    </row>
    <row r="7" spans="1:10" ht="13" customHeight="1" x14ac:dyDescent="0.2">
      <c r="A7" s="2" t="s">
        <v>8</v>
      </c>
      <c r="B7" s="2"/>
      <c r="C7" s="46" t="s">
        <v>38</v>
      </c>
    </row>
    <row r="8" spans="1:10" ht="13" customHeight="1" x14ac:dyDescent="0.2">
      <c r="A8" s="2" t="s">
        <v>9</v>
      </c>
      <c r="B8" s="2"/>
      <c r="C8" s="5" t="s">
        <v>90</v>
      </c>
      <c r="G8" t="s">
        <v>10</v>
      </c>
      <c r="I8" t="s">
        <v>98</v>
      </c>
    </row>
    <row r="9" spans="1:10" ht="13" customHeight="1" x14ac:dyDescent="0.2">
      <c r="A9" s="6" t="s">
        <v>11</v>
      </c>
      <c r="B9" s="6"/>
      <c r="C9" s="7">
        <v>43678</v>
      </c>
      <c r="D9" s="8" t="s">
        <v>12</v>
      </c>
      <c r="E9" s="7">
        <v>44773</v>
      </c>
      <c r="F9" s="9"/>
      <c r="G9" s="9"/>
      <c r="H9" s="9"/>
      <c r="I9" s="9" t="s">
        <v>13</v>
      </c>
      <c r="J9" s="9"/>
    </row>
    <row r="10" spans="1:10" ht="13" customHeight="1" x14ac:dyDescent="0.2">
      <c r="C10" s="2"/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13</v>
      </c>
      <c r="J10" s="10" t="s">
        <v>19</v>
      </c>
    </row>
    <row r="11" spans="1:10" ht="13" customHeight="1" x14ac:dyDescent="0.2">
      <c r="C11" s="2"/>
      <c r="D11" s="11" t="s">
        <v>20</v>
      </c>
      <c r="E11" s="12" t="s">
        <v>21</v>
      </c>
      <c r="F11" s="12" t="s">
        <v>22</v>
      </c>
      <c r="G11" s="8"/>
      <c r="H11" s="8"/>
      <c r="I11" s="8"/>
      <c r="J11" s="8"/>
    </row>
    <row r="12" spans="1:10" ht="13" customHeight="1" x14ac:dyDescent="0.2">
      <c r="A12" s="13" t="s">
        <v>23</v>
      </c>
      <c r="B12" s="13"/>
    </row>
    <row r="13" spans="1:10" ht="13" customHeight="1" x14ac:dyDescent="0.2">
      <c r="A13" s="14" t="s">
        <v>94</v>
      </c>
      <c r="D13" s="15">
        <v>0</v>
      </c>
      <c r="E13" s="15">
        <v>28312.5</v>
      </c>
      <c r="F13" s="15">
        <v>28312.5</v>
      </c>
      <c r="G13" s="15">
        <v>0</v>
      </c>
      <c r="H13" s="15">
        <v>0</v>
      </c>
      <c r="I13" s="16"/>
      <c r="J13" s="16">
        <f>SUM(D13:H13)+1</f>
        <v>56626</v>
      </c>
    </row>
    <row r="14" spans="1:10" ht="13" customHeight="1" x14ac:dyDescent="0.2">
      <c r="A14" t="s">
        <v>95</v>
      </c>
      <c r="D14" s="17">
        <v>24000</v>
      </c>
      <c r="E14" s="17">
        <v>24000</v>
      </c>
      <c r="F14" s="17">
        <v>24000</v>
      </c>
      <c r="G14" s="18">
        <v>0</v>
      </c>
      <c r="H14" s="18">
        <v>0</v>
      </c>
      <c r="I14" s="16"/>
      <c r="J14" s="18">
        <f>D14+E14+F14+G14+H14</f>
        <v>72000</v>
      </c>
    </row>
    <row r="15" spans="1:10" ht="13" customHeight="1" x14ac:dyDescent="0.2">
      <c r="A15" s="13" t="s">
        <v>24</v>
      </c>
      <c r="B15" s="13"/>
      <c r="D15" s="15">
        <f>SUM(D13:D14)</f>
        <v>24000</v>
      </c>
      <c r="E15" s="15">
        <f>SUM(E13:E14)</f>
        <v>52312.5</v>
      </c>
      <c r="F15" s="15">
        <f>SUM(F13:F14)</f>
        <v>52312.5</v>
      </c>
      <c r="G15" s="15">
        <f>SUM(G13:G14)</f>
        <v>0</v>
      </c>
      <c r="H15" s="15">
        <f>SUM(H13:H14)</f>
        <v>0</v>
      </c>
      <c r="I15" s="15" t="s">
        <v>13</v>
      </c>
      <c r="J15" s="15">
        <f>SUM(J13:J14)</f>
        <v>128626</v>
      </c>
    </row>
    <row r="16" spans="1:10" ht="13" customHeight="1" x14ac:dyDescent="0.2">
      <c r="D16" s="15"/>
      <c r="E16" s="15"/>
      <c r="F16" s="15"/>
      <c r="G16" s="16"/>
      <c r="H16" s="16"/>
      <c r="I16" s="16"/>
      <c r="J16" s="16"/>
    </row>
    <row r="17" spans="1:10" ht="13" customHeight="1" x14ac:dyDescent="0.2">
      <c r="A17" s="13"/>
      <c r="B17" s="13"/>
      <c r="D17" s="15"/>
      <c r="E17" s="15"/>
      <c r="F17" s="15"/>
      <c r="G17" s="15"/>
      <c r="H17" s="15"/>
      <c r="I17" s="16"/>
      <c r="J17" s="15"/>
    </row>
    <row r="18" spans="1:10" ht="13" customHeight="1" x14ac:dyDescent="0.2">
      <c r="A18" s="13" t="s">
        <v>25</v>
      </c>
      <c r="B18" s="13"/>
      <c r="D18" s="15">
        <f>D15</f>
        <v>24000</v>
      </c>
      <c r="E18" s="15">
        <f>E15</f>
        <v>52312.5</v>
      </c>
      <c r="F18" s="15">
        <f>F15</f>
        <v>52312.5</v>
      </c>
      <c r="G18" s="15" t="e">
        <f>G15+#REF!</f>
        <v>#REF!</v>
      </c>
      <c r="H18" s="15" t="e">
        <f>H15+#REF!</f>
        <v>#REF!</v>
      </c>
      <c r="I18" s="16"/>
      <c r="J18" s="15">
        <f>J15</f>
        <v>128626</v>
      </c>
    </row>
    <row r="19" spans="1:10" ht="12.75" customHeight="1" x14ac:dyDescent="0.2">
      <c r="D19" s="15"/>
      <c r="E19" s="15"/>
      <c r="F19" s="15"/>
      <c r="G19" s="16"/>
      <c r="H19" s="16"/>
      <c r="I19" s="16"/>
      <c r="J19" s="16"/>
    </row>
    <row r="20" spans="1:10" s="20" customFormat="1" ht="12.75" customHeight="1" x14ac:dyDescent="0.2">
      <c r="A20" s="19" t="s">
        <v>26</v>
      </c>
      <c r="D20" s="21"/>
      <c r="E20" s="21"/>
      <c r="F20" s="21"/>
      <c r="G20" s="22">
        <v>0</v>
      </c>
      <c r="H20" s="22">
        <v>0</v>
      </c>
      <c r="I20" s="22"/>
      <c r="J20" s="22">
        <f>SUM(D20:H20)</f>
        <v>0</v>
      </c>
    </row>
    <row r="21" spans="1:10" s="20" customFormat="1" ht="12.75" customHeight="1" x14ac:dyDescent="0.2">
      <c r="A21" s="19" t="s">
        <v>93</v>
      </c>
      <c r="D21" s="23"/>
      <c r="E21" s="23">
        <v>13852.8</v>
      </c>
      <c r="F21" s="23">
        <v>13852.8</v>
      </c>
      <c r="G21" s="22"/>
      <c r="H21" s="22"/>
      <c r="I21" s="22"/>
      <c r="J21" s="22">
        <f>SUM(D21:H21)</f>
        <v>27705.599999999999</v>
      </c>
    </row>
    <row r="22" spans="1:10" ht="12.75" customHeight="1" x14ac:dyDescent="0.2">
      <c r="D22" s="15"/>
      <c r="E22" s="15"/>
      <c r="F22" s="15"/>
      <c r="G22" s="16"/>
      <c r="H22" s="16"/>
      <c r="I22" s="16"/>
      <c r="J22" s="16"/>
    </row>
    <row r="23" spans="1:10" ht="12.75" customHeight="1" x14ac:dyDescent="0.2">
      <c r="A23" s="13" t="s">
        <v>96</v>
      </c>
      <c r="D23" s="15"/>
      <c r="E23" s="15"/>
      <c r="F23" s="15"/>
      <c r="G23" s="16"/>
      <c r="H23" s="16"/>
      <c r="I23" s="16"/>
      <c r="J23" s="16"/>
    </row>
    <row r="24" spans="1:10" ht="12.75" customHeight="1" x14ac:dyDescent="0.2">
      <c r="A24" s="5" t="s">
        <v>36</v>
      </c>
      <c r="D24" s="15">
        <v>0</v>
      </c>
      <c r="E24" s="15">
        <v>25000</v>
      </c>
      <c r="F24" s="15">
        <v>25000</v>
      </c>
      <c r="G24" s="16">
        <v>0</v>
      </c>
      <c r="H24" s="16">
        <v>0</v>
      </c>
      <c r="I24" s="16"/>
      <c r="J24" s="16">
        <f>D24+E24+F24+G24+H24</f>
        <v>50000</v>
      </c>
    </row>
    <row r="25" spans="1:10" ht="12.75" customHeight="1" x14ac:dyDescent="0.2">
      <c r="A25" s="13" t="s">
        <v>85</v>
      </c>
      <c r="D25" s="24">
        <v>0</v>
      </c>
      <c r="E25" s="24">
        <v>10000</v>
      </c>
      <c r="F25" s="24">
        <v>10000</v>
      </c>
      <c r="G25" s="25">
        <v>0</v>
      </c>
      <c r="H25" s="25">
        <v>0</v>
      </c>
      <c r="I25" s="26"/>
      <c r="J25" s="25">
        <f>D25+E25+F25+G25+H25</f>
        <v>20000</v>
      </c>
    </row>
    <row r="26" spans="1:10" ht="12.75" customHeight="1" x14ac:dyDescent="0.2">
      <c r="A26" s="13" t="s">
        <v>97</v>
      </c>
      <c r="D26" s="27">
        <f>D24+D25</f>
        <v>0</v>
      </c>
      <c r="E26" s="27">
        <f>E24+E25</f>
        <v>35000</v>
      </c>
      <c r="F26" s="27">
        <f>F24+F25</f>
        <v>35000</v>
      </c>
      <c r="G26" s="27">
        <f t="shared" ref="G26:J26" si="0">G24+G25</f>
        <v>0</v>
      </c>
      <c r="H26" s="27">
        <f t="shared" si="0"/>
        <v>0</v>
      </c>
      <c r="I26" s="27"/>
      <c r="J26" s="27">
        <f t="shared" si="0"/>
        <v>70000</v>
      </c>
    </row>
    <row r="27" spans="1:10" ht="12.75" customHeight="1" x14ac:dyDescent="0.2">
      <c r="D27" s="15"/>
      <c r="E27" s="15"/>
      <c r="F27" s="15"/>
      <c r="G27" s="16"/>
      <c r="H27" s="16"/>
      <c r="I27" s="16"/>
      <c r="J27" s="16"/>
    </row>
    <row r="28" spans="1:10" ht="12.75" customHeight="1" x14ac:dyDescent="0.2">
      <c r="A28" s="13" t="s">
        <v>83</v>
      </c>
      <c r="D28" s="15">
        <v>5048</v>
      </c>
      <c r="E28" s="15">
        <v>0</v>
      </c>
      <c r="F28" s="15">
        <v>0</v>
      </c>
      <c r="G28" s="16">
        <v>0</v>
      </c>
      <c r="H28" s="16">
        <v>0</v>
      </c>
      <c r="I28" s="16"/>
      <c r="J28" s="16">
        <f>SUM(D28:H28)</f>
        <v>5048</v>
      </c>
    </row>
    <row r="29" spans="1:10" ht="12.75" customHeight="1" x14ac:dyDescent="0.2">
      <c r="A29" s="13" t="s">
        <v>84</v>
      </c>
      <c r="D29" s="15"/>
      <c r="E29" s="15"/>
      <c r="F29" s="15"/>
      <c r="G29" s="16"/>
      <c r="H29" s="16"/>
      <c r="I29" s="16"/>
      <c r="J29" s="16"/>
    </row>
    <row r="30" spans="1:10" ht="12.75" customHeight="1" x14ac:dyDescent="0.2">
      <c r="A30" s="28"/>
      <c r="D30" s="15"/>
      <c r="E30" s="15"/>
      <c r="F30" s="15"/>
      <c r="G30" s="16"/>
      <c r="H30" s="16"/>
      <c r="I30" s="16"/>
      <c r="J30" s="16"/>
    </row>
    <row r="31" spans="1:10" ht="12.75" customHeight="1" x14ac:dyDescent="0.2">
      <c r="A31" s="5"/>
      <c r="D31" s="15"/>
      <c r="E31" s="15"/>
      <c r="F31" s="15"/>
      <c r="G31" s="16"/>
      <c r="H31" s="16"/>
      <c r="I31" s="16"/>
      <c r="J31" s="16"/>
    </row>
    <row r="32" spans="1:10" ht="13" customHeight="1" x14ac:dyDescent="0.2">
      <c r="A32" s="13" t="s">
        <v>28</v>
      </c>
      <c r="D32" s="15"/>
      <c r="E32" s="15"/>
      <c r="F32" s="15"/>
      <c r="G32" s="15"/>
      <c r="H32" s="15"/>
      <c r="I32" s="16"/>
      <c r="J32" s="16"/>
    </row>
    <row r="33" spans="1:10" s="20" customFormat="1" ht="13" customHeight="1" x14ac:dyDescent="0.2">
      <c r="A33" s="39" t="s">
        <v>37</v>
      </c>
      <c r="D33" s="21">
        <v>89208</v>
      </c>
      <c r="E33" s="21">
        <v>0</v>
      </c>
      <c r="F33" s="21">
        <v>0</v>
      </c>
      <c r="G33" s="21">
        <v>0</v>
      </c>
      <c r="H33" s="21">
        <v>0</v>
      </c>
      <c r="I33" s="22"/>
      <c r="J33" s="22">
        <f>D33+E33+F33+G33+H33</f>
        <v>89208</v>
      </c>
    </row>
    <row r="34" spans="1:10" s="20" customFormat="1" ht="13" customHeight="1" x14ac:dyDescent="0.2">
      <c r="A34" s="39" t="s">
        <v>71</v>
      </c>
      <c r="D34" s="21">
        <v>0</v>
      </c>
      <c r="E34" s="21">
        <v>6250</v>
      </c>
      <c r="F34" s="21">
        <v>6250</v>
      </c>
      <c r="G34" s="21"/>
      <c r="H34" s="21"/>
      <c r="I34" s="22"/>
      <c r="J34" s="30">
        <f>D34+E34+F34+G34+H34</f>
        <v>12500</v>
      </c>
    </row>
    <row r="35" spans="1:10" s="20" customFormat="1" ht="13" customHeight="1" x14ac:dyDescent="0.2">
      <c r="A35" s="39" t="s">
        <v>92</v>
      </c>
      <c r="D35" s="21">
        <v>14203</v>
      </c>
      <c r="E35" s="21">
        <v>0</v>
      </c>
      <c r="F35" s="21">
        <v>0</v>
      </c>
      <c r="G35" s="21"/>
      <c r="H35" s="21"/>
      <c r="I35" s="22"/>
      <c r="J35" s="30">
        <f>D35+E35+F35+G35+H35</f>
        <v>14203</v>
      </c>
    </row>
    <row r="36" spans="1:10" ht="13" customHeight="1" x14ac:dyDescent="0.2">
      <c r="A36" s="39" t="s">
        <v>91</v>
      </c>
      <c r="D36" s="42">
        <v>14395</v>
      </c>
      <c r="E36" s="42"/>
      <c r="F36" s="17"/>
      <c r="G36" s="17">
        <v>0</v>
      </c>
      <c r="H36" s="17">
        <v>0</v>
      </c>
      <c r="I36" s="30"/>
      <c r="J36" s="18">
        <f>D36+E36+F36+G36+H36</f>
        <v>14395</v>
      </c>
    </row>
    <row r="37" spans="1:10" ht="13" customHeight="1" x14ac:dyDescent="0.2">
      <c r="A37" s="39"/>
      <c r="D37" s="40"/>
      <c r="E37" s="40"/>
      <c r="F37" s="41"/>
      <c r="G37" s="41"/>
      <c r="H37" s="41"/>
      <c r="I37" s="30"/>
      <c r="J37" s="30"/>
    </row>
    <row r="38" spans="1:10" ht="13" customHeight="1" x14ac:dyDescent="0.2">
      <c r="A38" s="13" t="s">
        <v>29</v>
      </c>
      <c r="D38" s="15">
        <f>D33+D36+D34+D35</f>
        <v>117806</v>
      </c>
      <c r="E38" s="15">
        <f>E33+E36+E35</f>
        <v>0</v>
      </c>
      <c r="F38" s="15">
        <f>F33+F36</f>
        <v>0</v>
      </c>
      <c r="G38" s="15">
        <f>G33+G36</f>
        <v>0</v>
      </c>
      <c r="H38" s="15">
        <f>H33+H36</f>
        <v>0</v>
      </c>
      <c r="I38" s="15"/>
      <c r="J38" s="15">
        <f>J33+J36+J35+J34</f>
        <v>130306</v>
      </c>
    </row>
    <row r="39" spans="1:10" ht="13" customHeight="1" x14ac:dyDescent="0.2">
      <c r="A39" s="13"/>
      <c r="D39" s="15"/>
      <c r="E39" s="15"/>
      <c r="F39" s="15"/>
      <c r="G39" s="15"/>
      <c r="H39" s="15"/>
      <c r="I39" s="16"/>
      <c r="J39" s="16"/>
    </row>
    <row r="40" spans="1:10" ht="13" customHeight="1" x14ac:dyDescent="0.2">
      <c r="A40" s="13" t="s">
        <v>30</v>
      </c>
      <c r="D40" s="15">
        <v>0</v>
      </c>
      <c r="E40" s="15">
        <v>0</v>
      </c>
      <c r="F40" s="15">
        <v>4500</v>
      </c>
      <c r="G40" s="15">
        <v>0</v>
      </c>
      <c r="H40" s="15">
        <v>0</v>
      </c>
      <c r="I40" s="16"/>
      <c r="J40" s="16">
        <f>D40+E40+F40+G40+H40</f>
        <v>4500</v>
      </c>
    </row>
    <row r="41" spans="1:10" ht="13" customHeight="1" x14ac:dyDescent="0.2">
      <c r="A41" s="31" t="s">
        <v>13</v>
      </c>
      <c r="B41" s="31"/>
      <c r="C41" s="31"/>
      <c r="D41" s="17"/>
      <c r="E41" s="17"/>
      <c r="F41" s="17"/>
      <c r="G41" s="18"/>
      <c r="H41" s="18"/>
      <c r="I41" s="16"/>
      <c r="J41" s="18"/>
    </row>
    <row r="42" spans="1:10" ht="13" customHeight="1" x14ac:dyDescent="0.2">
      <c r="A42" s="13" t="s">
        <v>31</v>
      </c>
      <c r="B42" s="13"/>
      <c r="D42" s="32">
        <f>D18++D20+D26+D28+D38+D40</f>
        <v>146854</v>
      </c>
      <c r="E42" s="32">
        <f>E18++E20+E26+E28+E38+E40</f>
        <v>87312.5</v>
      </c>
      <c r="F42" s="32">
        <f>F18++F20+F26+F28+F38+F40</f>
        <v>91812.5</v>
      </c>
      <c r="G42" s="32" t="e">
        <f>G18++G20+G26+G28+G38+G40</f>
        <v>#REF!</v>
      </c>
      <c r="H42" s="32" t="e">
        <f>H18++H20+H26+H28+H38+H40</f>
        <v>#REF!</v>
      </c>
      <c r="I42" s="32"/>
      <c r="J42" s="32">
        <f>J18++J21+J26+J28+J38+J40</f>
        <v>366185.6</v>
      </c>
    </row>
    <row r="43" spans="1:10" ht="13" customHeight="1" x14ac:dyDescent="0.2">
      <c r="A43" s="13" t="s">
        <v>32</v>
      </c>
      <c r="B43" s="28"/>
      <c r="C43" s="28"/>
      <c r="D43" s="33">
        <f>D42</f>
        <v>146854</v>
      </c>
      <c r="E43" s="33">
        <f>E42-E20+5200</f>
        <v>92512.5</v>
      </c>
      <c r="F43" s="33">
        <f>F42-F20</f>
        <v>91812.5</v>
      </c>
      <c r="G43" s="33" t="e">
        <f>G42</f>
        <v>#REF!</v>
      </c>
      <c r="H43" s="33" t="e">
        <f>H42</f>
        <v>#REF!</v>
      </c>
      <c r="I43" s="34"/>
      <c r="J43" s="32">
        <f>J19++J22+J27+J29+J39+J41</f>
        <v>0</v>
      </c>
    </row>
    <row r="44" spans="1:10" ht="12" customHeight="1" x14ac:dyDescent="0.2">
      <c r="A44" s="13" t="s">
        <v>33</v>
      </c>
      <c r="B44" s="13"/>
      <c r="C44" s="13" t="s">
        <v>34</v>
      </c>
      <c r="D44" s="18">
        <v>0</v>
      </c>
      <c r="E44" s="18">
        <v>0</v>
      </c>
      <c r="F44" s="18">
        <v>0</v>
      </c>
      <c r="G44" s="18" t="e">
        <f t="shared" ref="G44:H44" si="1">G43*0.385</f>
        <v>#REF!</v>
      </c>
      <c r="H44" s="18" t="e">
        <f t="shared" si="1"/>
        <v>#REF!</v>
      </c>
      <c r="I44" s="16"/>
      <c r="J44" s="18">
        <v>0</v>
      </c>
    </row>
    <row r="45" spans="1:10" ht="13" customHeight="1" x14ac:dyDescent="0.2">
      <c r="A45" s="13"/>
      <c r="D45" s="15"/>
      <c r="E45" s="15"/>
      <c r="F45" s="15"/>
      <c r="G45" s="16"/>
      <c r="H45" s="16"/>
      <c r="I45" s="16"/>
      <c r="J45" s="16"/>
    </row>
    <row r="46" spans="1:10" ht="14" customHeight="1" thickBot="1" x14ac:dyDescent="0.25">
      <c r="A46" s="13" t="s">
        <v>35</v>
      </c>
      <c r="B46" s="13"/>
      <c r="D46" s="32">
        <f>D42+D44+1</f>
        <v>146855</v>
      </c>
      <c r="E46" s="32">
        <f>E42+E44</f>
        <v>87312.5</v>
      </c>
      <c r="F46" s="32">
        <f>F42+F44+1</f>
        <v>91813.5</v>
      </c>
      <c r="G46" s="32" t="e">
        <f>G42+G44</f>
        <v>#REF!</v>
      </c>
      <c r="H46" s="32" t="e">
        <f>H42+H44</f>
        <v>#REF!</v>
      </c>
      <c r="I46" s="35"/>
      <c r="J46" s="32">
        <f>J42+J44</f>
        <v>366185.6</v>
      </c>
    </row>
    <row r="47" spans="1:10" ht="12" customHeight="1" thickTop="1" x14ac:dyDescent="0.2">
      <c r="D47" s="36"/>
      <c r="E47" s="36"/>
      <c r="F47" s="36"/>
      <c r="G47" s="36"/>
      <c r="H47" s="36"/>
      <c r="I47" s="16"/>
      <c r="J47" s="37"/>
    </row>
    <row r="48" spans="1:10" ht="13" customHeight="1" x14ac:dyDescent="0.2">
      <c r="D48" s="16"/>
      <c r="E48" s="16"/>
      <c r="F48" s="16"/>
      <c r="G48" s="16"/>
      <c r="H48" s="16"/>
      <c r="I48" s="16"/>
      <c r="J48" s="16"/>
    </row>
    <row r="49" spans="4:10" ht="13" customHeight="1" x14ac:dyDescent="0.2">
      <c r="D49" s="16"/>
      <c r="E49" s="16"/>
      <c r="F49" s="16"/>
      <c r="G49" s="16"/>
      <c r="H49" s="16"/>
      <c r="I49" s="16"/>
      <c r="J49" s="16"/>
    </row>
    <row r="50" spans="4:10" ht="12" customHeight="1" x14ac:dyDescent="0.2">
      <c r="D50" s="16"/>
      <c r="E50" s="16"/>
      <c r="F50" s="16"/>
      <c r="G50" s="16"/>
      <c r="H50" s="16"/>
      <c r="I50" s="16"/>
      <c r="J50" s="16"/>
    </row>
    <row r="51" spans="4:10" x14ac:dyDescent="0.2">
      <c r="D51" s="16"/>
    </row>
    <row r="54" spans="4:10" ht="13" customHeight="1" x14ac:dyDescent="0.2">
      <c r="G54" s="38"/>
      <c r="H54" s="38"/>
      <c r="I54" s="38"/>
      <c r="J54" s="38"/>
    </row>
    <row r="56" spans="4:10" ht="13" customHeight="1" x14ac:dyDescent="0.2"/>
    <row r="63" spans="4:10" ht="13" customHeight="1" x14ac:dyDescent="0.2"/>
    <row r="67" ht="13" customHeight="1" x14ac:dyDescent="0.2"/>
    <row r="68" ht="13" customHeight="1" x14ac:dyDescent="0.2"/>
    <row r="69" ht="13" customHeight="1" x14ac:dyDescent="0.2"/>
    <row r="70" ht="13" customHeight="1" x14ac:dyDescent="0.2"/>
    <row r="116" ht="13" customHeight="1" x14ac:dyDescent="0.2"/>
  </sheetData>
  <pageMargins left="0.7" right="0.7" top="0.75" bottom="0.75" header="0.3" footer="0.3"/>
  <pageSetup scale="6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7100-5ABA-4E4F-AE53-9169A9CC1CC4}">
  <dimension ref="A1:O37"/>
  <sheetViews>
    <sheetView workbookViewId="0">
      <selection activeCell="N21" sqref="N21"/>
    </sheetView>
  </sheetViews>
  <sheetFormatPr baseColWidth="10" defaultRowHeight="16" x14ac:dyDescent="0.2"/>
  <cols>
    <col min="1" max="1" width="12.5" bestFit="1" customWidth="1"/>
    <col min="6" max="6" width="13.33203125" bestFit="1" customWidth="1"/>
  </cols>
  <sheetData>
    <row r="1" spans="1:15" x14ac:dyDescent="0.2">
      <c r="A1" t="s">
        <v>65</v>
      </c>
      <c r="I1" t="s">
        <v>66</v>
      </c>
      <c r="L1" t="s">
        <v>67</v>
      </c>
    </row>
    <row r="2" spans="1:15" x14ac:dyDescent="0.2">
      <c r="B2" s="43" t="s">
        <v>40</v>
      </c>
      <c r="C2" s="43" t="s">
        <v>41</v>
      </c>
      <c r="D2" s="43" t="s">
        <v>42</v>
      </c>
      <c r="J2" s="43" t="s">
        <v>53</v>
      </c>
      <c r="K2" s="43"/>
      <c r="L2" t="s">
        <v>68</v>
      </c>
    </row>
    <row r="3" spans="1:15" x14ac:dyDescent="0.2">
      <c r="A3" s="43" t="s">
        <v>39</v>
      </c>
      <c r="I3" s="43" t="s">
        <v>39</v>
      </c>
      <c r="L3" s="3" t="s">
        <v>69</v>
      </c>
    </row>
    <row r="4" spans="1:15" x14ac:dyDescent="0.2">
      <c r="A4" t="s">
        <v>43</v>
      </c>
      <c r="B4">
        <v>3</v>
      </c>
      <c r="C4">
        <v>3</v>
      </c>
      <c r="D4">
        <v>3</v>
      </c>
      <c r="I4" t="s">
        <v>43</v>
      </c>
      <c r="J4">
        <v>3</v>
      </c>
      <c r="L4" s="3" t="s">
        <v>54</v>
      </c>
    </row>
    <row r="5" spans="1:15" x14ac:dyDescent="0.2">
      <c r="A5" t="s">
        <v>44</v>
      </c>
      <c r="B5">
        <v>3</v>
      </c>
      <c r="C5">
        <v>3</v>
      </c>
      <c r="D5">
        <v>3</v>
      </c>
      <c r="I5" t="s">
        <v>44</v>
      </c>
      <c r="J5">
        <v>3</v>
      </c>
      <c r="L5" s="3" t="s">
        <v>55</v>
      </c>
    </row>
    <row r="6" spans="1:15" x14ac:dyDescent="0.2">
      <c r="A6" t="s">
        <v>45</v>
      </c>
      <c r="B6">
        <v>3</v>
      </c>
      <c r="C6">
        <v>3</v>
      </c>
      <c r="D6">
        <v>3</v>
      </c>
      <c r="I6" t="s">
        <v>45</v>
      </c>
      <c r="J6">
        <v>3</v>
      </c>
      <c r="L6" s="2" t="s">
        <v>70</v>
      </c>
    </row>
    <row r="7" spans="1:15" x14ac:dyDescent="0.2">
      <c r="B7">
        <f>SUM(B4:B6)</f>
        <v>9</v>
      </c>
      <c r="C7">
        <f>SUM(C4:C6)</f>
        <v>9</v>
      </c>
      <c r="D7">
        <f>SUM(D4:D6)</f>
        <v>9</v>
      </c>
      <c r="I7" t="s">
        <v>46</v>
      </c>
      <c r="J7">
        <v>3</v>
      </c>
      <c r="L7" s="3" t="s">
        <v>69</v>
      </c>
    </row>
    <row r="8" spans="1:15" x14ac:dyDescent="0.2">
      <c r="A8" t="s">
        <v>47</v>
      </c>
      <c r="B8">
        <f>B7*22</f>
        <v>198</v>
      </c>
      <c r="C8">
        <f t="shared" ref="C8:D8" si="0">C7*22</f>
        <v>198</v>
      </c>
      <c r="D8">
        <f t="shared" si="0"/>
        <v>198</v>
      </c>
      <c r="J8">
        <f>SUM(J4:J7)</f>
        <v>12</v>
      </c>
      <c r="L8" s="3" t="s">
        <v>54</v>
      </c>
    </row>
    <row r="9" spans="1:15" x14ac:dyDescent="0.2">
      <c r="E9">
        <f>SUM(B8:D8)</f>
        <v>594</v>
      </c>
      <c r="F9">
        <f>E9*37</f>
        <v>21978</v>
      </c>
      <c r="I9" t="s">
        <v>47</v>
      </c>
      <c r="J9">
        <f>J8*3</f>
        <v>36</v>
      </c>
      <c r="L9" s="3" t="s">
        <v>55</v>
      </c>
    </row>
    <row r="10" spans="1:15" x14ac:dyDescent="0.2">
      <c r="A10" s="43" t="s">
        <v>48</v>
      </c>
      <c r="E10">
        <f>E9/96</f>
        <v>6.1875</v>
      </c>
      <c r="F10" t="s">
        <v>62</v>
      </c>
      <c r="G10">
        <f>9*2500</f>
        <v>22500</v>
      </c>
      <c r="I10" t="s">
        <v>64</v>
      </c>
      <c r="J10" s="44">
        <v>14400</v>
      </c>
    </row>
    <row r="11" spans="1:15" x14ac:dyDescent="0.2">
      <c r="A11" t="s">
        <v>49</v>
      </c>
      <c r="L11" s="43" t="s">
        <v>48</v>
      </c>
      <c r="N11" t="s">
        <v>82</v>
      </c>
      <c r="O11" t="s">
        <v>19</v>
      </c>
    </row>
    <row r="12" spans="1:15" x14ac:dyDescent="0.2">
      <c r="A12" t="s">
        <v>50</v>
      </c>
      <c r="L12" s="3" t="s">
        <v>72</v>
      </c>
      <c r="M12" t="s">
        <v>81</v>
      </c>
      <c r="O12">
        <v>504</v>
      </c>
    </row>
    <row r="13" spans="1:15" x14ac:dyDescent="0.2">
      <c r="A13" t="s">
        <v>51</v>
      </c>
      <c r="L13" s="3" t="s">
        <v>73</v>
      </c>
      <c r="M13" t="s">
        <v>80</v>
      </c>
      <c r="O13">
        <v>300</v>
      </c>
    </row>
    <row r="14" spans="1:15" x14ac:dyDescent="0.2">
      <c r="A14" t="s">
        <v>52</v>
      </c>
      <c r="I14" s="3"/>
      <c r="L14" s="45" t="s">
        <v>74</v>
      </c>
      <c r="M14" s="29" t="s">
        <v>89</v>
      </c>
      <c r="N14">
        <v>354</v>
      </c>
      <c r="O14">
        <f>N14*2</f>
        <v>708</v>
      </c>
    </row>
    <row r="15" spans="1:15" x14ac:dyDescent="0.2">
      <c r="A15" t="s">
        <v>27</v>
      </c>
      <c r="B15">
        <f>F9</f>
        <v>21978</v>
      </c>
      <c r="I15" s="3"/>
      <c r="L15" s="3" t="s">
        <v>75</v>
      </c>
      <c r="M15" t="s">
        <v>79</v>
      </c>
      <c r="N15">
        <v>898</v>
      </c>
      <c r="O15">
        <f>4*N15</f>
        <v>3592</v>
      </c>
    </row>
    <row r="16" spans="1:15" x14ac:dyDescent="0.2">
      <c r="I16" s="3"/>
      <c r="L16" s="3" t="s">
        <v>76</v>
      </c>
      <c r="M16" t="s">
        <v>79</v>
      </c>
      <c r="N16">
        <v>365</v>
      </c>
      <c r="O16">
        <f>N16*2</f>
        <v>730</v>
      </c>
    </row>
    <row r="17" spans="1:15" x14ac:dyDescent="0.2">
      <c r="B17" s="43" t="s">
        <v>53</v>
      </c>
      <c r="C17" s="43"/>
      <c r="D17" s="43"/>
      <c r="I17" s="2"/>
      <c r="L17" s="3" t="s">
        <v>77</v>
      </c>
      <c r="M17" t="s">
        <v>78</v>
      </c>
      <c r="N17">
        <v>120</v>
      </c>
      <c r="O17">
        <f>8*N17</f>
        <v>960</v>
      </c>
    </row>
    <row r="18" spans="1:15" x14ac:dyDescent="0.2">
      <c r="A18" s="43" t="s">
        <v>39</v>
      </c>
      <c r="E18" s="43"/>
      <c r="I18" s="3"/>
      <c r="O18">
        <f>SUM(O12:O17)</f>
        <v>6794</v>
      </c>
    </row>
    <row r="19" spans="1:15" x14ac:dyDescent="0.2">
      <c r="A19" t="s">
        <v>86</v>
      </c>
      <c r="B19">
        <v>3</v>
      </c>
      <c r="I19" s="3"/>
    </row>
    <row r="20" spans="1:15" x14ac:dyDescent="0.2">
      <c r="A20" t="s">
        <v>56</v>
      </c>
      <c r="B20">
        <v>3</v>
      </c>
      <c r="I20" s="3"/>
    </row>
    <row r="21" spans="1:15" x14ac:dyDescent="0.2">
      <c r="A21" t="s">
        <v>57</v>
      </c>
      <c r="B21">
        <v>3</v>
      </c>
    </row>
    <row r="22" spans="1:15" x14ac:dyDescent="0.2">
      <c r="A22" t="s">
        <v>87</v>
      </c>
      <c r="B22">
        <v>3</v>
      </c>
    </row>
    <row r="23" spans="1:15" x14ac:dyDescent="0.2">
      <c r="A23" t="s">
        <v>58</v>
      </c>
      <c r="B23">
        <v>3</v>
      </c>
    </row>
    <row r="24" spans="1:15" x14ac:dyDescent="0.2">
      <c r="A24" t="s">
        <v>59</v>
      </c>
      <c r="B24">
        <v>3</v>
      </c>
    </row>
    <row r="25" spans="1:15" x14ac:dyDescent="0.2">
      <c r="A25" t="s">
        <v>88</v>
      </c>
      <c r="B25">
        <v>3</v>
      </c>
    </row>
    <row r="26" spans="1:15" x14ac:dyDescent="0.2">
      <c r="A26" t="s">
        <v>60</v>
      </c>
      <c r="B26">
        <v>3</v>
      </c>
    </row>
    <row r="27" spans="1:15" x14ac:dyDescent="0.2">
      <c r="A27" t="s">
        <v>61</v>
      </c>
      <c r="B27">
        <v>3</v>
      </c>
    </row>
    <row r="28" spans="1:15" x14ac:dyDescent="0.2">
      <c r="B28">
        <f>SUM(B19:B27)</f>
        <v>27</v>
      </c>
    </row>
    <row r="29" spans="1:15" x14ac:dyDescent="0.2">
      <c r="A29" t="s">
        <v>47</v>
      </c>
      <c r="B29">
        <f>B28*15</f>
        <v>405</v>
      </c>
      <c r="C29">
        <f>B29*37</f>
        <v>14985</v>
      </c>
    </row>
    <row r="30" spans="1:15" x14ac:dyDescent="0.2">
      <c r="B30">
        <f>B29/96</f>
        <v>4.21875</v>
      </c>
      <c r="C30" t="s">
        <v>63</v>
      </c>
      <c r="D30">
        <f>6*2500</f>
        <v>15000</v>
      </c>
    </row>
    <row r="31" spans="1:15" x14ac:dyDescent="0.2">
      <c r="A31" s="43" t="s">
        <v>48</v>
      </c>
      <c r="C31" t="s">
        <v>64</v>
      </c>
    </row>
    <row r="32" spans="1:15" x14ac:dyDescent="0.2">
      <c r="A32" t="s">
        <v>49</v>
      </c>
    </row>
    <row r="33" spans="1:2" x14ac:dyDescent="0.2">
      <c r="A33" t="s">
        <v>50</v>
      </c>
    </row>
    <row r="34" spans="1:2" x14ac:dyDescent="0.2">
      <c r="A34" t="s">
        <v>51</v>
      </c>
    </row>
    <row r="35" spans="1:2" x14ac:dyDescent="0.2">
      <c r="A35" t="s">
        <v>52</v>
      </c>
    </row>
    <row r="36" spans="1:2" x14ac:dyDescent="0.2">
      <c r="A36" t="s">
        <v>27</v>
      </c>
      <c r="B36">
        <f>C29</f>
        <v>14985</v>
      </c>
    </row>
    <row r="37" spans="1:2" x14ac:dyDescent="0.2">
      <c r="B37">
        <f>B15+B36</f>
        <v>36963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Greathouse, Leigh</dc:creator>
  <cp:lastModifiedBy>Greathouse, Leigh</cp:lastModifiedBy>
  <cp:lastPrinted>2019-03-27T13:37:01Z</cp:lastPrinted>
  <dcterms:created xsi:type="dcterms:W3CDTF">2019-02-14T17:12:58Z</dcterms:created>
  <dcterms:modified xsi:type="dcterms:W3CDTF">2019-03-29T20:59:32Z</dcterms:modified>
</cp:coreProperties>
</file>