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1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2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13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4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15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drawings/drawing16.xml" ContentType="application/vnd.openxmlformats-officedocument.drawing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7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drawings/drawing18.xml" ContentType="application/vnd.openxmlformats-officedocument.drawing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9.xml" ContentType="application/vnd.openxmlformats-officedocument.drawing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20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drawings/drawing22.xml" ContentType="application/vnd.openxmlformats-officedocument.drawing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23.xml" ContentType="application/vnd.openxmlformats-officedocument.drawing+xml"/>
  <Override PartName="/xl/comments7.xml" ContentType="application/vnd.openxmlformats-officedocument.spreadsheetml.comments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drawings/drawing24.xml" ContentType="application/vnd.openxmlformats-officedocument.drawing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drawings/drawing25.xml" ContentType="application/vnd.openxmlformats-officedocument.drawing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26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drawings/drawing27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drawings/drawing28.xml" ContentType="application/vnd.openxmlformats-officedocument.drawing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\Desktop\CV Matt VI-VII-VIII-IX2018\pliki do GItHub\"/>
    </mc:Choice>
  </mc:AlternateContent>
  <xr:revisionPtr revIDLastSave="0" documentId="13_ncr:1_{62538C42-2C87-4670-B8E3-5986686AFA4B}" xr6:coauthVersionLast="36" xr6:coauthVersionMax="36" xr10:uidLastSave="{00000000-0000-0000-0000-000000000000}"/>
  <bookViews>
    <workbookView xWindow="480" yWindow="30" windowWidth="16275" windowHeight="8760" xr2:uid="{00000000-000D-0000-FFFF-FFFF00000000}"/>
  </bookViews>
  <sheets>
    <sheet name="Arkusz1" sheetId="1" r:id="rId1"/>
    <sheet name="9" sheetId="7" r:id="rId2"/>
    <sheet name="10" sheetId="8" r:id="rId3"/>
    <sheet name="11" sheetId="9" r:id="rId4"/>
    <sheet name="12" sheetId="10" r:id="rId5"/>
    <sheet name="13" sheetId="11" r:id="rId6"/>
    <sheet name="14" sheetId="12" r:id="rId7"/>
    <sheet name="15" sheetId="13" r:id="rId8"/>
    <sheet name="16" sheetId="14" r:id="rId9"/>
    <sheet name="17" sheetId="15" r:id="rId10"/>
    <sheet name="18" sheetId="16" r:id="rId11"/>
    <sheet name="19" sheetId="17" r:id="rId12"/>
    <sheet name="20" sheetId="18" r:id="rId13"/>
    <sheet name="21" sheetId="19" r:id="rId14"/>
    <sheet name="22" sheetId="20" r:id="rId15"/>
    <sheet name="23" sheetId="21" r:id="rId16"/>
    <sheet name="24" sheetId="22" r:id="rId17"/>
    <sheet name="25" sheetId="23" r:id="rId18"/>
    <sheet name="26" sheetId="24" r:id="rId19"/>
    <sheet name="maciek" sheetId="25" r:id="rId20"/>
    <sheet name="27" sheetId="26" r:id="rId21"/>
    <sheet name="28" sheetId="27" r:id="rId22"/>
    <sheet name="29" sheetId="28" r:id="rId23"/>
    <sheet name="30" sheetId="30" r:id="rId24"/>
    <sheet name="31" sheetId="31" r:id="rId25"/>
    <sheet name="32" sheetId="32" r:id="rId26"/>
    <sheet name="33" sheetId="33" r:id="rId27"/>
    <sheet name="34" sheetId="35" r:id="rId28"/>
  </sheets>
  <calcPr calcId="191029"/>
</workbook>
</file>

<file path=xl/calcChain.xml><?xml version="1.0" encoding="utf-8"?>
<calcChain xmlns="http://schemas.openxmlformats.org/spreadsheetml/2006/main">
  <c r="CR24" i="1" l="1"/>
  <c r="CR23" i="1"/>
  <c r="CR22" i="1"/>
  <c r="CR21" i="1"/>
  <c r="E116" i="1" l="1"/>
  <c r="D62" i="1"/>
  <c r="E62" i="1"/>
  <c r="B116" i="1" l="1"/>
  <c r="C116" i="1"/>
  <c r="D116" i="1"/>
  <c r="F116" i="1"/>
  <c r="G116" i="1"/>
  <c r="H116" i="1"/>
  <c r="I116" i="1"/>
  <c r="J116" i="1"/>
  <c r="K116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C62" i="1"/>
  <c r="E61" i="1"/>
  <c r="D61" i="1"/>
  <c r="C61" i="1"/>
  <c r="B68" i="1"/>
  <c r="B67" i="1"/>
  <c r="B66" i="1"/>
  <c r="B65" i="1"/>
  <c r="B64" i="1"/>
  <c r="B63" i="1"/>
  <c r="B62" i="1"/>
  <c r="B61" i="1"/>
  <c r="BD225" i="1"/>
  <c r="BE225" i="1"/>
  <c r="BJ225" i="1" s="1"/>
  <c r="BF225" i="1"/>
  <c r="BG225" i="1"/>
  <c r="AH94" i="1"/>
  <c r="AF94" i="1"/>
  <c r="AC94" i="1"/>
  <c r="AE94" i="1"/>
  <c r="AG94" i="1"/>
  <c r="EV39" i="1" l="1"/>
  <c r="EP39" i="1"/>
  <c r="FI39" i="1"/>
  <c r="FJ39" i="1"/>
  <c r="FK39" i="1"/>
  <c r="FL39" i="1"/>
  <c r="FM39" i="1"/>
  <c r="FB39" i="1"/>
  <c r="EJ39" i="1"/>
  <c r="ED39" i="1"/>
  <c r="DX39" i="1"/>
  <c r="DO39" i="1"/>
  <c r="CP24" i="1"/>
  <c r="CP23" i="1"/>
  <c r="CP22" i="1"/>
  <c r="CP21" i="1"/>
  <c r="CW116" i="1"/>
  <c r="CW117" i="1"/>
  <c r="CW118" i="1" s="1"/>
  <c r="AX5" i="1"/>
  <c r="AY5" i="1"/>
  <c r="AZ5" i="1"/>
  <c r="BA5" i="1"/>
  <c r="AX6" i="1"/>
  <c r="AY6" i="1"/>
  <c r="AZ6" i="1"/>
  <c r="BA6" i="1"/>
  <c r="AX7" i="1"/>
  <c r="AY7" i="1"/>
  <c r="AZ7" i="1"/>
  <c r="BA7" i="1"/>
  <c r="AX8" i="1"/>
  <c r="AY8" i="1"/>
  <c r="AZ8" i="1"/>
  <c r="BA8" i="1"/>
  <c r="AX9" i="1"/>
  <c r="AY9" i="1"/>
  <c r="AZ9" i="1"/>
  <c r="BA9" i="1"/>
  <c r="AE39" i="1"/>
  <c r="AF39" i="1"/>
  <c r="AG39" i="1"/>
  <c r="AI39" i="1"/>
  <c r="AJ39" i="1"/>
  <c r="AK39" i="1"/>
  <c r="AL39" i="1"/>
  <c r="AM39" i="1"/>
  <c r="AN39" i="1"/>
  <c r="AO39" i="1"/>
  <c r="L116" i="1" s="1"/>
  <c r="AC39" i="1"/>
  <c r="BE39" i="1"/>
  <c r="BD39" i="1"/>
  <c r="BG39" i="1"/>
  <c r="BF39" i="1"/>
  <c r="AD39" i="1" l="1"/>
  <c r="BB225" i="1" s="1"/>
  <c r="BG89" i="1"/>
  <c r="BE89" i="1"/>
  <c r="BF89" i="1"/>
  <c r="BD89" i="1"/>
  <c r="CY119" i="1"/>
  <c r="CX119" i="1" s="1"/>
  <c r="CY118" i="1"/>
  <c r="CX118" i="1" s="1"/>
  <c r="CY117" i="1"/>
  <c r="CX117" i="1" s="1"/>
  <c r="CY116" i="1"/>
  <c r="CX116" i="1" s="1"/>
  <c r="CW119" i="1"/>
  <c r="BP39" i="1"/>
  <c r="Z39" i="1"/>
  <c r="AA39" i="1"/>
  <c r="B31" i="35"/>
  <c r="E31" i="35" s="1"/>
  <c r="B30" i="35"/>
  <c r="E30" i="35" s="1"/>
  <c r="B29" i="35"/>
  <c r="E29" i="35" s="1"/>
  <c r="B27" i="35"/>
  <c r="E27" i="35" s="1"/>
  <c r="B26" i="35"/>
  <c r="E26" i="35" s="1"/>
  <c r="B25" i="35"/>
  <c r="E25" i="35" s="1"/>
  <c r="B24" i="35"/>
  <c r="E24" i="35" s="1"/>
  <c r="B23" i="35"/>
  <c r="E23" i="35" s="1"/>
  <c r="L12" i="35"/>
  <c r="K12" i="35"/>
  <c r="J12" i="35"/>
  <c r="I12" i="35"/>
  <c r="L11" i="35"/>
  <c r="K11" i="35"/>
  <c r="J11" i="35"/>
  <c r="I11" i="35"/>
  <c r="L10" i="35"/>
  <c r="K10" i="35"/>
  <c r="K3" i="35" s="1"/>
  <c r="J10" i="35"/>
  <c r="I10" i="35"/>
  <c r="B28" i="35"/>
  <c r="E28" i="35" s="1"/>
  <c r="L9" i="35"/>
  <c r="K9" i="35"/>
  <c r="J9" i="35"/>
  <c r="I9" i="35"/>
  <c r="L8" i="35"/>
  <c r="K8" i="35"/>
  <c r="J8" i="35"/>
  <c r="I8" i="35"/>
  <c r="L7" i="35"/>
  <c r="K7" i="35"/>
  <c r="J7" i="35"/>
  <c r="I7" i="35"/>
  <c r="L6" i="35"/>
  <c r="K6" i="35"/>
  <c r="J6" i="35"/>
  <c r="I6" i="35"/>
  <c r="L5" i="35"/>
  <c r="K5" i="35"/>
  <c r="J5" i="35"/>
  <c r="I5" i="35"/>
  <c r="L4" i="35"/>
  <c r="K4" i="35"/>
  <c r="J4" i="35"/>
  <c r="I4" i="35"/>
  <c r="L3" i="35"/>
  <c r="J3" i="35"/>
  <c r="I3" i="35"/>
  <c r="E3" i="35"/>
  <c r="D3" i="35"/>
  <c r="C3" i="35"/>
  <c r="B3" i="35"/>
  <c r="L2" i="35"/>
  <c r="K2" i="35"/>
  <c r="J2" i="35"/>
  <c r="I2" i="35"/>
  <c r="BQ39" i="1" l="1"/>
  <c r="AD94" i="1"/>
  <c r="E22" i="35"/>
  <c r="B22" i="35"/>
  <c r="DL15" i="1"/>
  <c r="DL14" i="1"/>
  <c r="DL12" i="1"/>
  <c r="DL13" i="1"/>
  <c r="FI36" i="1"/>
  <c r="FI37" i="1"/>
  <c r="FI38" i="1"/>
  <c r="EV35" i="1"/>
  <c r="EV36" i="1"/>
  <c r="EV37" i="1"/>
  <c r="EV38" i="1"/>
  <c r="EP38" i="1"/>
  <c r="EJ38" i="1"/>
  <c r="ED38" i="1"/>
  <c r="FB38" i="1"/>
  <c r="DX38" i="1"/>
  <c r="DO38" i="1"/>
  <c r="BG222" i="1" l="1"/>
  <c r="BD222" i="1"/>
  <c r="BE222" i="1"/>
  <c r="BJ222" i="1" s="1"/>
  <c r="BF222" i="1"/>
  <c r="BD223" i="1"/>
  <c r="BE223" i="1"/>
  <c r="BJ223" i="1" s="1"/>
  <c r="BF223" i="1"/>
  <c r="BG223" i="1"/>
  <c r="BD224" i="1"/>
  <c r="BE224" i="1"/>
  <c r="BJ224" i="1" s="1"/>
  <c r="BF224" i="1"/>
  <c r="BG224" i="1"/>
  <c r="BD221" i="1"/>
  <c r="CP16" i="1"/>
  <c r="CP13" i="1"/>
  <c r="CP12" i="1"/>
  <c r="CP10" i="1"/>
  <c r="CP9" i="1"/>
  <c r="CP7" i="1"/>
  <c r="CP6" i="1"/>
  <c r="B10" i="33" l="1"/>
  <c r="I9" i="33" s="1"/>
  <c r="E10" i="33"/>
  <c r="L9" i="33" s="1"/>
  <c r="L3" i="33" s="1"/>
  <c r="C10" i="33"/>
  <c r="D10" i="33"/>
  <c r="B31" i="33"/>
  <c r="E31" i="33" s="1"/>
  <c r="B30" i="33"/>
  <c r="E30" i="33" s="1"/>
  <c r="B29" i="33"/>
  <c r="E29" i="33" s="1"/>
  <c r="E27" i="33"/>
  <c r="B27" i="33"/>
  <c r="B26" i="33"/>
  <c r="E26" i="33" s="1"/>
  <c r="E25" i="33"/>
  <c r="B25" i="33"/>
  <c r="B24" i="33"/>
  <c r="E24" i="33" s="1"/>
  <c r="B23" i="33"/>
  <c r="E23" i="33" s="1"/>
  <c r="L12" i="33"/>
  <c r="K12" i="33"/>
  <c r="J12" i="33"/>
  <c r="I12" i="33"/>
  <c r="L11" i="33"/>
  <c r="K11" i="33"/>
  <c r="K3" i="33" s="1"/>
  <c r="J11" i="33"/>
  <c r="I11" i="33"/>
  <c r="L10" i="33"/>
  <c r="K10" i="33"/>
  <c r="J10" i="33"/>
  <c r="I10" i="33"/>
  <c r="K9" i="33"/>
  <c r="J9" i="33"/>
  <c r="L8" i="33"/>
  <c r="K8" i="33"/>
  <c r="J8" i="33"/>
  <c r="I8" i="33"/>
  <c r="L7" i="33"/>
  <c r="K7" i="33"/>
  <c r="J7" i="33"/>
  <c r="I7" i="33"/>
  <c r="L6" i="33"/>
  <c r="K6" i="33"/>
  <c r="J6" i="33"/>
  <c r="I6" i="33"/>
  <c r="L5" i="33"/>
  <c r="K5" i="33"/>
  <c r="J5" i="33"/>
  <c r="I5" i="33"/>
  <c r="L4" i="33"/>
  <c r="K4" i="33"/>
  <c r="J4" i="33"/>
  <c r="I4" i="33"/>
  <c r="E3" i="33"/>
  <c r="D3" i="33"/>
  <c r="C3" i="33"/>
  <c r="L2" i="33"/>
  <c r="K2" i="33"/>
  <c r="J2" i="33"/>
  <c r="I2" i="33"/>
  <c r="AE37" i="1"/>
  <c r="AF37" i="1"/>
  <c r="AG37" i="1"/>
  <c r="AH37" i="1"/>
  <c r="AI37" i="1"/>
  <c r="F114" i="1" s="1"/>
  <c r="AJ37" i="1"/>
  <c r="G114" i="1" s="1"/>
  <c r="AK37" i="1"/>
  <c r="H114" i="1" s="1"/>
  <c r="AL37" i="1"/>
  <c r="I114" i="1" s="1"/>
  <c r="AM37" i="1"/>
  <c r="J114" i="1" s="1"/>
  <c r="AN37" i="1"/>
  <c r="K114" i="1" s="1"/>
  <c r="AO37" i="1"/>
  <c r="L114" i="1" s="1"/>
  <c r="AE38" i="1"/>
  <c r="AF38" i="1"/>
  <c r="AG38" i="1"/>
  <c r="AH38" i="1"/>
  <c r="AI38" i="1"/>
  <c r="F115" i="1" s="1"/>
  <c r="AJ38" i="1"/>
  <c r="G115" i="1" s="1"/>
  <c r="AK38" i="1"/>
  <c r="H115" i="1" s="1"/>
  <c r="AL38" i="1"/>
  <c r="I115" i="1" s="1"/>
  <c r="AM38" i="1"/>
  <c r="AN38" i="1"/>
  <c r="AO38" i="1"/>
  <c r="L115" i="1" s="1"/>
  <c r="AF36" i="1"/>
  <c r="AG36" i="1"/>
  <c r="AH36" i="1"/>
  <c r="AI36" i="1"/>
  <c r="F113" i="1" s="1"/>
  <c r="AJ36" i="1"/>
  <c r="G113" i="1" s="1"/>
  <c r="AK36" i="1"/>
  <c r="AL36" i="1"/>
  <c r="AM36" i="1"/>
  <c r="J113" i="1" s="1"/>
  <c r="AN36" i="1"/>
  <c r="K113" i="1" s="1"/>
  <c r="AO36" i="1"/>
  <c r="L113" i="1" s="1"/>
  <c r="AE36" i="1"/>
  <c r="AC37" i="1"/>
  <c r="AC92" i="1" s="1"/>
  <c r="AC38" i="1"/>
  <c r="AC93" i="1" s="1"/>
  <c r="BF37" i="1"/>
  <c r="BK36" i="1"/>
  <c r="BD36" i="1"/>
  <c r="BD38" i="1"/>
  <c r="BF38" i="1"/>
  <c r="BE37" i="1"/>
  <c r="BJ36" i="1"/>
  <c r="BD37" i="1"/>
  <c r="BG37" i="1"/>
  <c r="BM38" i="1"/>
  <c r="BL38" i="1"/>
  <c r="K71" i="1" l="1"/>
  <c r="K72" i="1"/>
  <c r="K73" i="1"/>
  <c r="K74" i="1"/>
  <c r="K75" i="1"/>
  <c r="K76" i="1"/>
  <c r="K77" i="1"/>
  <c r="K78" i="1"/>
  <c r="J71" i="1"/>
  <c r="J72" i="1"/>
  <c r="J73" i="1"/>
  <c r="J74" i="1"/>
  <c r="J75" i="1"/>
  <c r="J76" i="1"/>
  <c r="J77" i="1"/>
  <c r="J78" i="1"/>
  <c r="BK4" i="1"/>
  <c r="BM4" i="1"/>
  <c r="BJ4" i="1"/>
  <c r="BL4" i="1"/>
  <c r="CY115" i="1"/>
  <c r="FJ36" i="1"/>
  <c r="B113" i="1"/>
  <c r="AE91" i="1"/>
  <c r="FM36" i="1"/>
  <c r="E113" i="1"/>
  <c r="K115" i="1"/>
  <c r="AN93" i="1"/>
  <c r="FK38" i="1"/>
  <c r="C115" i="1"/>
  <c r="FJ37" i="1"/>
  <c r="B114" i="1"/>
  <c r="AE92" i="1"/>
  <c r="FK36" i="1"/>
  <c r="C113" i="1"/>
  <c r="FL38" i="1"/>
  <c r="AG93" i="1"/>
  <c r="D115" i="1"/>
  <c r="AL91" i="1"/>
  <c r="I113" i="1"/>
  <c r="H113" i="1"/>
  <c r="FL36" i="1"/>
  <c r="D113" i="1"/>
  <c r="J115" i="1"/>
  <c r="AM93" i="1"/>
  <c r="FJ38" i="1"/>
  <c r="B115" i="1"/>
  <c r="AE93" i="1"/>
  <c r="FM37" i="1"/>
  <c r="AH92" i="1"/>
  <c r="E114" i="1"/>
  <c r="FL37" i="1"/>
  <c r="AG92" i="1"/>
  <c r="D114" i="1"/>
  <c r="FM38" i="1"/>
  <c r="E115" i="1"/>
  <c r="FK37" i="1"/>
  <c r="AF92" i="1"/>
  <c r="C114" i="1"/>
  <c r="BF87" i="1"/>
  <c r="BM88" i="1"/>
  <c r="BL88" i="1"/>
  <c r="BK86" i="1"/>
  <c r="BJ86" i="1"/>
  <c r="BG87" i="1"/>
  <c r="BF88" i="1"/>
  <c r="BE87" i="1"/>
  <c r="BD88" i="1"/>
  <c r="BD86" i="1"/>
  <c r="BD87" i="1"/>
  <c r="CY114" i="1"/>
  <c r="CY113" i="1"/>
  <c r="CY112" i="1"/>
  <c r="CY111" i="1"/>
  <c r="CY110" i="1"/>
  <c r="CY109" i="1"/>
  <c r="CY108" i="1"/>
  <c r="CY107" i="1"/>
  <c r="CY106" i="1"/>
  <c r="CY105" i="1"/>
  <c r="CA36" i="1"/>
  <c r="CA37" i="1" s="1"/>
  <c r="CA38" i="1" s="1"/>
  <c r="CA39" i="1" s="1"/>
  <c r="BZ36" i="1"/>
  <c r="BZ37" i="1" s="1"/>
  <c r="BZ38" i="1" s="1"/>
  <c r="BZ39" i="1" s="1"/>
  <c r="CC38" i="1"/>
  <c r="CB38" i="1"/>
  <c r="CB39" i="1" s="1"/>
  <c r="BP38" i="1"/>
  <c r="BP37" i="1"/>
  <c r="BP36" i="1"/>
  <c r="DH12" i="1"/>
  <c r="DE15" i="1"/>
  <c r="DF14" i="1"/>
  <c r="DF13" i="1"/>
  <c r="DE14" i="1"/>
  <c r="DE12" i="1"/>
  <c r="DF12" i="1"/>
  <c r="DH15" i="1"/>
  <c r="DG13" i="1"/>
  <c r="DF15" i="1"/>
  <c r="DE13" i="1"/>
  <c r="DH14" i="1"/>
  <c r="DG12" i="1"/>
  <c r="DG14" i="1"/>
  <c r="DH13" i="1"/>
  <c r="DG15" i="1"/>
  <c r="AA38" i="1"/>
  <c r="Z38" i="1"/>
  <c r="Z37" i="1"/>
  <c r="AA37" i="1"/>
  <c r="Z36" i="1"/>
  <c r="AA36" i="1"/>
  <c r="B28" i="33"/>
  <c r="B3" i="33"/>
  <c r="J3" i="33"/>
  <c r="I3" i="33"/>
  <c r="E28" i="33"/>
  <c r="E22" i="33" s="1"/>
  <c r="B22" i="33"/>
  <c r="AD37" i="1"/>
  <c r="AD38" i="1"/>
  <c r="AD36" i="1"/>
  <c r="B25" i="32"/>
  <c r="B26" i="32"/>
  <c r="B27" i="32"/>
  <c r="B28" i="32"/>
  <c r="B29" i="32"/>
  <c r="B30" i="32"/>
  <c r="B31" i="32"/>
  <c r="B24" i="32"/>
  <c r="B23" i="32"/>
  <c r="I71" i="1" l="1"/>
  <c r="I72" i="1"/>
  <c r="I73" i="1"/>
  <c r="I74" i="1"/>
  <c r="I75" i="1"/>
  <c r="I76" i="1"/>
  <c r="I77" i="1"/>
  <c r="I78" i="1"/>
  <c r="H71" i="1"/>
  <c r="H72" i="1"/>
  <c r="H73" i="1"/>
  <c r="H74" i="1"/>
  <c r="H76" i="1"/>
  <c r="H77" i="1"/>
  <c r="H75" i="1"/>
  <c r="H78" i="1"/>
  <c r="CC39" i="1"/>
  <c r="DM12" i="1"/>
  <c r="DJ12" i="1"/>
  <c r="DK12" i="1"/>
  <c r="AD92" i="1"/>
  <c r="BB223" i="1"/>
  <c r="DK14" i="1"/>
  <c r="DM14" i="1"/>
  <c r="DJ14" i="1"/>
  <c r="BB224" i="1"/>
  <c r="AD93" i="1"/>
  <c r="DJ15" i="1"/>
  <c r="DK15" i="1"/>
  <c r="DM15" i="1"/>
  <c r="BB222" i="1"/>
  <c r="AD91" i="1"/>
  <c r="DJ13" i="1"/>
  <c r="DM13" i="1"/>
  <c r="DK13" i="1"/>
  <c r="BQ36" i="1"/>
  <c r="BQ37" i="1"/>
  <c r="BQ38" i="1"/>
  <c r="AZ2" i="1"/>
  <c r="BA2" i="1"/>
  <c r="AX2" i="1"/>
  <c r="AY2" i="1"/>
  <c r="DO37" i="1"/>
  <c r="DX37" i="1"/>
  <c r="ED37" i="1"/>
  <c r="EJ37" i="1"/>
  <c r="EP37" i="1"/>
  <c r="FB37" i="1"/>
  <c r="B10" i="32"/>
  <c r="C10" i="32"/>
  <c r="E10" i="32"/>
  <c r="L9" i="32" s="1"/>
  <c r="D10" i="32"/>
  <c r="K9" i="32" s="1"/>
  <c r="E31" i="32"/>
  <c r="E30" i="32"/>
  <c r="E29" i="32"/>
  <c r="E27" i="32"/>
  <c r="E26" i="32"/>
  <c r="E25" i="32"/>
  <c r="E24" i="32"/>
  <c r="L12" i="32"/>
  <c r="K12" i="32"/>
  <c r="J12" i="32"/>
  <c r="I12" i="32"/>
  <c r="L11" i="32"/>
  <c r="K11" i="32"/>
  <c r="J11" i="32"/>
  <c r="I11" i="32"/>
  <c r="J10" i="32"/>
  <c r="L10" i="32"/>
  <c r="K10" i="32"/>
  <c r="I10" i="32"/>
  <c r="I9" i="32"/>
  <c r="J9" i="32"/>
  <c r="L8" i="32"/>
  <c r="K8" i="32"/>
  <c r="J8" i="32"/>
  <c r="I8" i="32"/>
  <c r="L7" i="32"/>
  <c r="K7" i="32"/>
  <c r="J7" i="32"/>
  <c r="I7" i="32"/>
  <c r="L6" i="32"/>
  <c r="K6" i="32"/>
  <c r="J6" i="32"/>
  <c r="I6" i="32"/>
  <c r="L5" i="32"/>
  <c r="K5" i="32"/>
  <c r="J5" i="32"/>
  <c r="I5" i="32"/>
  <c r="L4" i="32"/>
  <c r="K4" i="32"/>
  <c r="J4" i="32"/>
  <c r="I4" i="32"/>
  <c r="E3" i="32"/>
  <c r="D3" i="32"/>
  <c r="B3" i="32"/>
  <c r="L2" i="32"/>
  <c r="K2" i="32"/>
  <c r="J2" i="32"/>
  <c r="I2" i="32"/>
  <c r="J3" i="32" l="1"/>
  <c r="K3" i="32"/>
  <c r="L3" i="32"/>
  <c r="I3" i="32"/>
  <c r="E23" i="32"/>
  <c r="C3" i="32"/>
  <c r="E28" i="32"/>
  <c r="C10" i="31"/>
  <c r="D10" i="31"/>
  <c r="D3" i="31" s="1"/>
  <c r="B10" i="31"/>
  <c r="B3" i="31" s="1"/>
  <c r="B31" i="31"/>
  <c r="E31" i="31" s="1"/>
  <c r="B30" i="31"/>
  <c r="E30" i="31" s="1"/>
  <c r="B29" i="31"/>
  <c r="E29" i="31" s="1"/>
  <c r="B27" i="31"/>
  <c r="E27" i="31" s="1"/>
  <c r="B26" i="31"/>
  <c r="E26" i="31" s="1"/>
  <c r="B25" i="31"/>
  <c r="E25" i="31" s="1"/>
  <c r="B24" i="31"/>
  <c r="E24" i="31" s="1"/>
  <c r="B23" i="31"/>
  <c r="L12" i="31"/>
  <c r="K12" i="31"/>
  <c r="J12" i="31"/>
  <c r="I12" i="31"/>
  <c r="L11" i="31"/>
  <c r="K11" i="31"/>
  <c r="J11" i="31"/>
  <c r="I11" i="31"/>
  <c r="J10" i="31"/>
  <c r="L10" i="31"/>
  <c r="L3" i="31" s="1"/>
  <c r="K10" i="31"/>
  <c r="I10" i="31"/>
  <c r="L9" i="31"/>
  <c r="K9" i="31"/>
  <c r="J9" i="31"/>
  <c r="L8" i="31"/>
  <c r="K8" i="31"/>
  <c r="J8" i="31"/>
  <c r="I8" i="31"/>
  <c r="L7" i="31"/>
  <c r="K7" i="31"/>
  <c r="J7" i="31"/>
  <c r="I7" i="31"/>
  <c r="L6" i="31"/>
  <c r="K6" i="31"/>
  <c r="J6" i="31"/>
  <c r="I6" i="31"/>
  <c r="L5" i="31"/>
  <c r="K5" i="31"/>
  <c r="J5" i="31"/>
  <c r="I5" i="31"/>
  <c r="L4" i="31"/>
  <c r="K4" i="31"/>
  <c r="J4" i="31"/>
  <c r="I4" i="31"/>
  <c r="E3" i="31"/>
  <c r="L2" i="31"/>
  <c r="K2" i="31"/>
  <c r="J2" i="31"/>
  <c r="I2" i="31"/>
  <c r="AC36" i="1"/>
  <c r="AC91" i="1" s="1"/>
  <c r="DO36" i="1"/>
  <c r="DX36" i="1"/>
  <c r="ED36" i="1"/>
  <c r="EJ36" i="1"/>
  <c r="EP36" i="1"/>
  <c r="FB36" i="1"/>
  <c r="E22" i="32" l="1"/>
  <c r="B22" i="32"/>
  <c r="I9" i="31"/>
  <c r="I3" i="31" s="1"/>
  <c r="B28" i="31"/>
  <c r="E28" i="31" s="1"/>
  <c r="J3" i="31"/>
  <c r="K3" i="31"/>
  <c r="B22" i="31"/>
  <c r="E23" i="31"/>
  <c r="E22" i="31" s="1"/>
  <c r="C3" i="31"/>
  <c r="BE221" i="1" l="1"/>
  <c r="BJ221" i="1" s="1"/>
  <c r="BF221" i="1"/>
  <c r="BG221" i="1"/>
  <c r="BD220" i="1"/>
  <c r="BE220" i="1"/>
  <c r="BJ220" i="1" s="1"/>
  <c r="BF220" i="1"/>
  <c r="BG220" i="1"/>
  <c r="AE35" i="1" l="1"/>
  <c r="AF35" i="1"/>
  <c r="AG35" i="1"/>
  <c r="AH35" i="1"/>
  <c r="AI35" i="1"/>
  <c r="AJ35" i="1"/>
  <c r="G112" i="1" s="1"/>
  <c r="AO35" i="1"/>
  <c r="L112" i="1" s="1"/>
  <c r="AC35" i="1"/>
  <c r="AC90" i="1" s="1"/>
  <c r="DO35" i="1"/>
  <c r="DX35" i="1"/>
  <c r="ED35" i="1"/>
  <c r="EJ35" i="1"/>
  <c r="EP35" i="1"/>
  <c r="FB35" i="1"/>
  <c r="FI35" i="1"/>
  <c r="C11" i="30"/>
  <c r="J10" i="30" s="1"/>
  <c r="C10" i="30"/>
  <c r="J9" i="30" s="1"/>
  <c r="D10" i="30"/>
  <c r="B10" i="30"/>
  <c r="B3" i="30" s="1"/>
  <c r="E10" i="30"/>
  <c r="B31" i="30"/>
  <c r="E31" i="30" s="1"/>
  <c r="B30" i="30"/>
  <c r="E30" i="30" s="1"/>
  <c r="B29" i="30"/>
  <c r="E29" i="30" s="1"/>
  <c r="B27" i="30"/>
  <c r="E27" i="30" s="1"/>
  <c r="B26" i="30"/>
  <c r="E26" i="30" s="1"/>
  <c r="B25" i="30"/>
  <c r="E25" i="30" s="1"/>
  <c r="B24" i="30"/>
  <c r="E24" i="30" s="1"/>
  <c r="B23" i="30"/>
  <c r="E23" i="30" s="1"/>
  <c r="L12" i="30"/>
  <c r="K12" i="30"/>
  <c r="J12" i="30"/>
  <c r="I12" i="30"/>
  <c r="L11" i="30"/>
  <c r="K11" i="30"/>
  <c r="J11" i="30"/>
  <c r="I11" i="30"/>
  <c r="K10" i="30"/>
  <c r="L10" i="30"/>
  <c r="I10" i="30"/>
  <c r="L9" i="30"/>
  <c r="K9" i="30"/>
  <c r="L8" i="30"/>
  <c r="K8" i="30"/>
  <c r="J8" i="30"/>
  <c r="I8" i="30"/>
  <c r="L7" i="30"/>
  <c r="K7" i="30"/>
  <c r="J7" i="30"/>
  <c r="I7" i="30"/>
  <c r="L6" i="30"/>
  <c r="K6" i="30"/>
  <c r="J6" i="30"/>
  <c r="I6" i="30"/>
  <c r="L5" i="30"/>
  <c r="K5" i="30"/>
  <c r="J5" i="30"/>
  <c r="I5" i="30"/>
  <c r="L4" i="30"/>
  <c r="K4" i="30"/>
  <c r="J4" i="30"/>
  <c r="I4" i="30"/>
  <c r="E3" i="30"/>
  <c r="D3" i="30"/>
  <c r="L2" i="30"/>
  <c r="K2" i="30"/>
  <c r="J2" i="30"/>
  <c r="I2" i="30"/>
  <c r="BE35" i="1"/>
  <c r="BD35" i="1"/>
  <c r="BG35" i="1"/>
  <c r="G75" i="1" l="1"/>
  <c r="G73" i="1"/>
  <c r="G77" i="1"/>
  <c r="G74" i="1"/>
  <c r="G78" i="1"/>
  <c r="G71" i="1"/>
  <c r="G72" i="1"/>
  <c r="G76" i="1"/>
  <c r="BD85" i="1"/>
  <c r="F112" i="1"/>
  <c r="AI90" i="1"/>
  <c r="AF90" i="1"/>
  <c r="FK35" i="1"/>
  <c r="C112" i="1"/>
  <c r="AD35" i="1"/>
  <c r="FJ35" i="1"/>
  <c r="AE90" i="1"/>
  <c r="B112" i="1"/>
  <c r="AH90" i="1"/>
  <c r="E112" i="1"/>
  <c r="FM35" i="1"/>
  <c r="D112" i="1"/>
  <c r="FL35" i="1"/>
  <c r="CY103" i="1"/>
  <c r="CY102" i="1"/>
  <c r="CY101" i="1"/>
  <c r="BG85" i="1"/>
  <c r="BG86" i="1" s="1"/>
  <c r="BE85" i="1"/>
  <c r="BE86" i="1" s="1"/>
  <c r="I9" i="30"/>
  <c r="I3" i="30" s="1"/>
  <c r="B28" i="30"/>
  <c r="E28" i="30" s="1"/>
  <c r="E22" i="30" s="1"/>
  <c r="J3" i="30"/>
  <c r="K3" i="30"/>
  <c r="L3" i="30"/>
  <c r="C3" i="30"/>
  <c r="BH35" i="1"/>
  <c r="AA35" i="1" l="1"/>
  <c r="Z35" i="1"/>
  <c r="CY104" i="1"/>
  <c r="BH85" i="1"/>
  <c r="BP35" i="1"/>
  <c r="BQ35" i="1" s="1"/>
  <c r="BB221" i="1"/>
  <c r="AD90" i="1"/>
  <c r="B22" i="30"/>
  <c r="AO34" i="1" l="1"/>
  <c r="L111" i="1" s="1"/>
  <c r="AJ34" i="1"/>
  <c r="G111" i="1" s="1"/>
  <c r="AI34" i="1"/>
  <c r="F111" i="1" s="1"/>
  <c r="AH34" i="1"/>
  <c r="AG34" i="1"/>
  <c r="AF34" i="1"/>
  <c r="AE34" i="1"/>
  <c r="AC34" i="1"/>
  <c r="AC89" i="1" s="1"/>
  <c r="DO34" i="1"/>
  <c r="DX34" i="1"/>
  <c r="ED34" i="1"/>
  <c r="EJ34" i="1"/>
  <c r="EP34" i="1"/>
  <c r="EV34" i="1"/>
  <c r="FB34" i="1"/>
  <c r="FI34" i="1"/>
  <c r="BF34" i="1"/>
  <c r="BD34" i="1"/>
  <c r="BE34" i="1"/>
  <c r="BG34" i="1"/>
  <c r="E111" i="1" l="1"/>
  <c r="B111" i="1"/>
  <c r="C111" i="1"/>
  <c r="AG89" i="1"/>
  <c r="AG90" i="1" s="1"/>
  <c r="AG91" i="1" s="1"/>
  <c r="FL34" i="1"/>
  <c r="AD34" i="1"/>
  <c r="AH89" i="1"/>
  <c r="FM34" i="1"/>
  <c r="FJ34" i="1"/>
  <c r="AE89" i="1"/>
  <c r="FK34" i="1"/>
  <c r="AF89" i="1"/>
  <c r="D111" i="1"/>
  <c r="AA34" i="1"/>
  <c r="BF84" i="1"/>
  <c r="BF85" i="1" s="1"/>
  <c r="BF86" i="1" s="1"/>
  <c r="BD84" i="1"/>
  <c r="BG84" i="1"/>
  <c r="BE84" i="1"/>
  <c r="CY100" i="1"/>
  <c r="CY99" i="1"/>
  <c r="CY98" i="1"/>
  <c r="CY97" i="1"/>
  <c r="BP34" i="1"/>
  <c r="Z34" i="1"/>
  <c r="D10" i="28"/>
  <c r="K9" i="28" s="1"/>
  <c r="B10" i="28"/>
  <c r="C10" i="28"/>
  <c r="E10" i="28"/>
  <c r="L9" i="28" s="1"/>
  <c r="D11" i="28"/>
  <c r="K10" i="28" s="1"/>
  <c r="C11" i="28"/>
  <c r="J10" i="28" s="1"/>
  <c r="B31" i="28"/>
  <c r="E31" i="28" s="1"/>
  <c r="B30" i="28"/>
  <c r="E30" i="28" s="1"/>
  <c r="B29" i="28"/>
  <c r="E29" i="28" s="1"/>
  <c r="B27" i="28"/>
  <c r="E27" i="28" s="1"/>
  <c r="B26" i="28"/>
  <c r="E26" i="28" s="1"/>
  <c r="B25" i="28"/>
  <c r="E25" i="28" s="1"/>
  <c r="B24" i="28"/>
  <c r="E24" i="28" s="1"/>
  <c r="B23" i="28"/>
  <c r="E23" i="28" s="1"/>
  <c r="L12" i="28"/>
  <c r="K12" i="28"/>
  <c r="J12" i="28"/>
  <c r="I12" i="28"/>
  <c r="L11" i="28"/>
  <c r="K11" i="28"/>
  <c r="J11" i="28"/>
  <c r="I11" i="28"/>
  <c r="L10" i="28"/>
  <c r="I10" i="28"/>
  <c r="B28" i="28"/>
  <c r="E28" i="28" s="1"/>
  <c r="J9" i="28"/>
  <c r="I9" i="28"/>
  <c r="L8" i="28"/>
  <c r="K8" i="28"/>
  <c r="J8" i="28"/>
  <c r="I8" i="28"/>
  <c r="L7" i="28"/>
  <c r="K7" i="28"/>
  <c r="J7" i="28"/>
  <c r="I7" i="28"/>
  <c r="L6" i="28"/>
  <c r="K6" i="28"/>
  <c r="J6" i="28"/>
  <c r="I6" i="28"/>
  <c r="L5" i="28"/>
  <c r="K5" i="28"/>
  <c r="J5" i="28"/>
  <c r="I5" i="28"/>
  <c r="L4" i="28"/>
  <c r="K4" i="28"/>
  <c r="J4" i="28"/>
  <c r="I4" i="28"/>
  <c r="C3" i="28"/>
  <c r="B3" i="28"/>
  <c r="L2" i="28"/>
  <c r="K2" i="28"/>
  <c r="J2" i="28"/>
  <c r="I2" i="28"/>
  <c r="BQ34" i="1" l="1"/>
  <c r="AD89" i="1"/>
  <c r="BB220" i="1"/>
  <c r="E3" i="28"/>
  <c r="D3" i="28"/>
  <c r="J3" i="28"/>
  <c r="L3" i="28"/>
  <c r="K3" i="28"/>
  <c r="I3" i="28"/>
  <c r="E22" i="28"/>
  <c r="B22" i="28"/>
  <c r="FI7" i="1" l="1"/>
  <c r="FI8" i="1"/>
  <c r="FI9" i="1"/>
  <c r="FI10" i="1"/>
  <c r="FI11" i="1"/>
  <c r="FI12" i="1"/>
  <c r="FI13" i="1"/>
  <c r="FI14" i="1"/>
  <c r="FI15" i="1"/>
  <c r="FI16" i="1"/>
  <c r="FI17" i="1"/>
  <c r="FI18" i="1"/>
  <c r="FI19" i="1"/>
  <c r="FI20" i="1"/>
  <c r="FI21" i="1"/>
  <c r="FI22" i="1"/>
  <c r="FI23" i="1"/>
  <c r="FI24" i="1"/>
  <c r="FI25" i="1"/>
  <c r="FI26" i="1"/>
  <c r="FI27" i="1"/>
  <c r="FI28" i="1"/>
  <c r="FI29" i="1"/>
  <c r="FI30" i="1"/>
  <c r="FI31" i="1"/>
  <c r="FI32" i="1"/>
  <c r="FI33" i="1"/>
  <c r="FI6" i="1"/>
  <c r="FM5" i="1"/>
  <c r="FL5" i="1"/>
  <c r="FK5" i="1"/>
  <c r="FJ5" i="1"/>
  <c r="AE7" i="1"/>
  <c r="AF7" i="1"/>
  <c r="FK7" i="1" s="1"/>
  <c r="AG7" i="1"/>
  <c r="AH7" i="1"/>
  <c r="FM7" i="1" s="1"/>
  <c r="AI7" i="1"/>
  <c r="AJ7" i="1"/>
  <c r="AO7" i="1"/>
  <c r="AE8" i="1"/>
  <c r="AF8" i="1"/>
  <c r="FK8" i="1" s="1"/>
  <c r="AG8" i="1"/>
  <c r="AH8" i="1"/>
  <c r="AI8" i="1"/>
  <c r="AJ8" i="1"/>
  <c r="AO8" i="1"/>
  <c r="AE9" i="1"/>
  <c r="AF9" i="1"/>
  <c r="AG9" i="1"/>
  <c r="AH9" i="1"/>
  <c r="AI9" i="1"/>
  <c r="AJ9" i="1"/>
  <c r="AO9" i="1"/>
  <c r="AE10" i="1"/>
  <c r="AF10" i="1"/>
  <c r="AG10" i="1"/>
  <c r="AH10" i="1"/>
  <c r="FM10" i="1" s="1"/>
  <c r="AI10" i="1"/>
  <c r="AJ10" i="1"/>
  <c r="AO10" i="1"/>
  <c r="AE11" i="1"/>
  <c r="AF11" i="1"/>
  <c r="AG11" i="1"/>
  <c r="AH11" i="1"/>
  <c r="FM11" i="1" s="1"/>
  <c r="AI11" i="1"/>
  <c r="AJ11" i="1"/>
  <c r="AO11" i="1"/>
  <c r="AE12" i="1"/>
  <c r="AF12" i="1"/>
  <c r="AG12" i="1"/>
  <c r="AH12" i="1"/>
  <c r="AI12" i="1"/>
  <c r="AJ12" i="1"/>
  <c r="AO12" i="1"/>
  <c r="AE13" i="1"/>
  <c r="AF13" i="1"/>
  <c r="AG13" i="1"/>
  <c r="AH13" i="1"/>
  <c r="FM13" i="1" s="1"/>
  <c r="AI13" i="1"/>
  <c r="AJ13" i="1"/>
  <c r="AO13" i="1"/>
  <c r="AE14" i="1"/>
  <c r="AF14" i="1"/>
  <c r="FK14" i="1" s="1"/>
  <c r="AG14" i="1"/>
  <c r="AH14" i="1"/>
  <c r="FM14" i="1" s="1"/>
  <c r="AI14" i="1"/>
  <c r="AJ14" i="1"/>
  <c r="AO14" i="1"/>
  <c r="AE15" i="1"/>
  <c r="AF15" i="1"/>
  <c r="FK15" i="1" s="1"/>
  <c r="AG15" i="1"/>
  <c r="AH15" i="1"/>
  <c r="FM15" i="1" s="1"/>
  <c r="AI15" i="1"/>
  <c r="AJ15" i="1"/>
  <c r="AO15" i="1"/>
  <c r="AE16" i="1"/>
  <c r="AF16" i="1"/>
  <c r="AG16" i="1"/>
  <c r="AH16" i="1"/>
  <c r="AI16" i="1"/>
  <c r="AJ16" i="1"/>
  <c r="AO16" i="1"/>
  <c r="AE17" i="1"/>
  <c r="AF17" i="1"/>
  <c r="AG17" i="1"/>
  <c r="AH17" i="1"/>
  <c r="AI17" i="1"/>
  <c r="AJ17" i="1"/>
  <c r="AO17" i="1"/>
  <c r="AE18" i="1"/>
  <c r="AF18" i="1"/>
  <c r="AG18" i="1"/>
  <c r="AH18" i="1"/>
  <c r="FM18" i="1" s="1"/>
  <c r="AI18" i="1"/>
  <c r="AJ18" i="1"/>
  <c r="AO18" i="1"/>
  <c r="AE19" i="1"/>
  <c r="AF19" i="1"/>
  <c r="FK19" i="1" s="1"/>
  <c r="AG19" i="1"/>
  <c r="AH19" i="1"/>
  <c r="AI19" i="1"/>
  <c r="AJ19" i="1"/>
  <c r="AO19" i="1"/>
  <c r="AE20" i="1"/>
  <c r="AF20" i="1"/>
  <c r="FK20" i="1" s="1"/>
  <c r="AG20" i="1"/>
  <c r="AH20" i="1"/>
  <c r="AI20" i="1"/>
  <c r="AJ20" i="1"/>
  <c r="AO20" i="1"/>
  <c r="AE21" i="1"/>
  <c r="AF21" i="1"/>
  <c r="AG21" i="1"/>
  <c r="AH21" i="1"/>
  <c r="AI21" i="1"/>
  <c r="AJ21" i="1"/>
  <c r="AO21" i="1"/>
  <c r="AE22" i="1"/>
  <c r="AF22" i="1"/>
  <c r="AG22" i="1"/>
  <c r="FL22" i="1" s="1"/>
  <c r="AH22" i="1"/>
  <c r="AI22" i="1"/>
  <c r="AJ22" i="1"/>
  <c r="AO22" i="1"/>
  <c r="AE23" i="1"/>
  <c r="AF23" i="1"/>
  <c r="AG23" i="1"/>
  <c r="AH23" i="1"/>
  <c r="FM23" i="1" s="1"/>
  <c r="AI23" i="1"/>
  <c r="AJ23" i="1"/>
  <c r="AO23" i="1"/>
  <c r="AE24" i="1"/>
  <c r="AF24" i="1"/>
  <c r="FK24" i="1" s="1"/>
  <c r="AG24" i="1"/>
  <c r="AH24" i="1"/>
  <c r="AI24" i="1"/>
  <c r="AJ24" i="1"/>
  <c r="AO24" i="1"/>
  <c r="AE25" i="1"/>
  <c r="AF25" i="1"/>
  <c r="AG25" i="1"/>
  <c r="AH25" i="1"/>
  <c r="AI25" i="1"/>
  <c r="AJ25" i="1"/>
  <c r="AO25" i="1"/>
  <c r="AE26" i="1"/>
  <c r="AF26" i="1"/>
  <c r="AG26" i="1"/>
  <c r="AH26" i="1"/>
  <c r="AI26" i="1"/>
  <c r="AJ26" i="1"/>
  <c r="AO26" i="1"/>
  <c r="AE27" i="1"/>
  <c r="AF27" i="1"/>
  <c r="FK27" i="1" s="1"/>
  <c r="AG27" i="1"/>
  <c r="AH27" i="1"/>
  <c r="AI27" i="1"/>
  <c r="AJ27" i="1"/>
  <c r="AO27" i="1"/>
  <c r="AE28" i="1"/>
  <c r="AF28" i="1"/>
  <c r="AG28" i="1"/>
  <c r="AH28" i="1"/>
  <c r="AI28" i="1"/>
  <c r="AJ28" i="1"/>
  <c r="AO28" i="1"/>
  <c r="AE29" i="1"/>
  <c r="AF29" i="1"/>
  <c r="AG29" i="1"/>
  <c r="FL29" i="1" s="1"/>
  <c r="AH29" i="1"/>
  <c r="AI29" i="1"/>
  <c r="AJ29" i="1"/>
  <c r="AO29" i="1"/>
  <c r="AE30" i="1"/>
  <c r="AF30" i="1"/>
  <c r="AG30" i="1"/>
  <c r="FL30" i="1" s="1"/>
  <c r="AH30" i="1"/>
  <c r="FM30" i="1" s="1"/>
  <c r="AI30" i="1"/>
  <c r="AJ30" i="1"/>
  <c r="AO30" i="1"/>
  <c r="AE31" i="1"/>
  <c r="AF31" i="1"/>
  <c r="AG31" i="1"/>
  <c r="FL31" i="1" s="1"/>
  <c r="AH31" i="1"/>
  <c r="AI31" i="1"/>
  <c r="AJ31" i="1"/>
  <c r="AO31" i="1"/>
  <c r="AE32" i="1"/>
  <c r="AF32" i="1"/>
  <c r="FK32" i="1" s="1"/>
  <c r="AG32" i="1"/>
  <c r="AH32" i="1"/>
  <c r="AI32" i="1"/>
  <c r="AJ32" i="1"/>
  <c r="AO32" i="1"/>
  <c r="AE33" i="1"/>
  <c r="AF33" i="1"/>
  <c r="AG33" i="1"/>
  <c r="AH33" i="1"/>
  <c r="AI33" i="1"/>
  <c r="AJ33" i="1"/>
  <c r="AO33" i="1"/>
  <c r="AF6" i="1"/>
  <c r="AG6" i="1"/>
  <c r="AH6" i="1"/>
  <c r="AI6" i="1"/>
  <c r="AJ6" i="1"/>
  <c r="AO6" i="1"/>
  <c r="AE6" i="1"/>
  <c r="CW8" i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7" i="1"/>
  <c r="BG219" i="1"/>
  <c r="BF219" i="1"/>
  <c r="BE219" i="1"/>
  <c r="BJ219" i="1" s="1"/>
  <c r="BD219" i="1"/>
  <c r="AC33" i="1"/>
  <c r="AC88" i="1" s="1"/>
  <c r="DO33" i="1"/>
  <c r="DX33" i="1"/>
  <c r="ED33" i="1"/>
  <c r="EJ33" i="1"/>
  <c r="EP33" i="1"/>
  <c r="EV33" i="1"/>
  <c r="FB33" i="1"/>
  <c r="B25" i="27"/>
  <c r="B26" i="27"/>
  <c r="B27" i="27"/>
  <c r="E27" i="27" s="1"/>
  <c r="B29" i="27"/>
  <c r="E29" i="27" s="1"/>
  <c r="B30" i="27"/>
  <c r="B31" i="27"/>
  <c r="E31" i="27" s="1"/>
  <c r="B24" i="27"/>
  <c r="B23" i="27"/>
  <c r="C10" i="27"/>
  <c r="J9" i="27" s="1"/>
  <c r="B10" i="27"/>
  <c r="E10" i="27"/>
  <c r="D10" i="27"/>
  <c r="E30" i="27"/>
  <c r="E26" i="27"/>
  <c r="E25" i="27"/>
  <c r="E24" i="27"/>
  <c r="E23" i="27"/>
  <c r="L12" i="27"/>
  <c r="K12" i="27"/>
  <c r="J12" i="27"/>
  <c r="I12" i="27"/>
  <c r="L11" i="27"/>
  <c r="K11" i="27"/>
  <c r="J11" i="27"/>
  <c r="I11" i="27"/>
  <c r="L10" i="27"/>
  <c r="K10" i="27"/>
  <c r="J10" i="27"/>
  <c r="I10" i="27"/>
  <c r="L9" i="27"/>
  <c r="K9" i="27"/>
  <c r="L8" i="27"/>
  <c r="K8" i="27"/>
  <c r="J8" i="27"/>
  <c r="I8" i="27"/>
  <c r="L7" i="27"/>
  <c r="K7" i="27"/>
  <c r="J7" i="27"/>
  <c r="I7" i="27"/>
  <c r="L6" i="27"/>
  <c r="K6" i="27"/>
  <c r="J6" i="27"/>
  <c r="I6" i="27"/>
  <c r="L5" i="27"/>
  <c r="K5" i="27"/>
  <c r="J5" i="27"/>
  <c r="I5" i="27"/>
  <c r="L4" i="27"/>
  <c r="K4" i="27"/>
  <c r="J4" i="27"/>
  <c r="I4" i="27"/>
  <c r="L3" i="27"/>
  <c r="E3" i="27"/>
  <c r="D3" i="27"/>
  <c r="L2" i="27"/>
  <c r="K2" i="27"/>
  <c r="J2" i="27"/>
  <c r="I2" i="27"/>
  <c r="BD15" i="1"/>
  <c r="BE12" i="1"/>
  <c r="BH23" i="1"/>
  <c r="BD16" i="1"/>
  <c r="BD22" i="1"/>
  <c r="BI29" i="1"/>
  <c r="BD20" i="1"/>
  <c r="BF26" i="1"/>
  <c r="BG9" i="1"/>
  <c r="BE17" i="1"/>
  <c r="BD9" i="1"/>
  <c r="BF20" i="1"/>
  <c r="BE29" i="1"/>
  <c r="BN21" i="1"/>
  <c r="BI32" i="1"/>
  <c r="BD10" i="1"/>
  <c r="BD33" i="1"/>
  <c r="BI30" i="1"/>
  <c r="BF24" i="1"/>
  <c r="BG24" i="1"/>
  <c r="BF33" i="1"/>
  <c r="BF11" i="1"/>
  <c r="BG32" i="1"/>
  <c r="BD8" i="1"/>
  <c r="BD23" i="1"/>
  <c r="BF23" i="1"/>
  <c r="BD6" i="1"/>
  <c r="BG19" i="1"/>
  <c r="BE31" i="1"/>
  <c r="BF8" i="1"/>
  <c r="BD25" i="1"/>
  <c r="BF27" i="1"/>
  <c r="BF18" i="1"/>
  <c r="BF28" i="1"/>
  <c r="BG33" i="1"/>
  <c r="BE18" i="1"/>
  <c r="BG25" i="1"/>
  <c r="BE6" i="1"/>
  <c r="BF25" i="1"/>
  <c r="BG31" i="1"/>
  <c r="BE11" i="1"/>
  <c r="BF13" i="1"/>
  <c r="BE22" i="1"/>
  <c r="BF7" i="1"/>
  <c r="BD17" i="1"/>
  <c r="BE25" i="1"/>
  <c r="BD19" i="1"/>
  <c r="BG29" i="1"/>
  <c r="BH24" i="1"/>
  <c r="BE26" i="1"/>
  <c r="BD26" i="1"/>
  <c r="BE9" i="1"/>
  <c r="BD13" i="1"/>
  <c r="BE23" i="1"/>
  <c r="BG17" i="1"/>
  <c r="BF16" i="1"/>
  <c r="BD30" i="1"/>
  <c r="BD29" i="1"/>
  <c r="BF14" i="1"/>
  <c r="BD7" i="1"/>
  <c r="BF15" i="1"/>
  <c r="BF12" i="1"/>
  <c r="BD18" i="1"/>
  <c r="BE33" i="1"/>
  <c r="BF6" i="1"/>
  <c r="BE30" i="1"/>
  <c r="BD31" i="1"/>
  <c r="BF17" i="1"/>
  <c r="BD28" i="1"/>
  <c r="BG12" i="1"/>
  <c r="BF10" i="1"/>
  <c r="BF9" i="1"/>
  <c r="BG28" i="1"/>
  <c r="BI31" i="1"/>
  <c r="BG26" i="1"/>
  <c r="BD12" i="1"/>
  <c r="BG20" i="1"/>
  <c r="BE13" i="1"/>
  <c r="BD24" i="1"/>
  <c r="BG16" i="1"/>
  <c r="BD11" i="1"/>
  <c r="BD32" i="1"/>
  <c r="BF19" i="1"/>
  <c r="BE16" i="1"/>
  <c r="BF32" i="1"/>
  <c r="BG22" i="1"/>
  <c r="BE28" i="1"/>
  <c r="BG27" i="1"/>
  <c r="BD14" i="1"/>
  <c r="BD27" i="1"/>
  <c r="BD21" i="1"/>
  <c r="AW6" i="1" l="1"/>
  <c r="AW8" i="1"/>
  <c r="AW7" i="1"/>
  <c r="AW9" i="1"/>
  <c r="FK21" i="1"/>
  <c r="EL39" i="1" s="1"/>
  <c r="AS9" i="1"/>
  <c r="DZ39" i="1"/>
  <c r="AS8" i="1"/>
  <c r="AS7" i="1"/>
  <c r="AS6" i="1"/>
  <c r="AR7" i="1"/>
  <c r="AR6" i="1"/>
  <c r="DY39" i="1"/>
  <c r="AR8" i="1"/>
  <c r="AR9" i="1"/>
  <c r="AV6" i="1"/>
  <c r="AV8" i="1"/>
  <c r="AV7" i="1"/>
  <c r="AV9" i="1"/>
  <c r="FM21" i="1"/>
  <c r="EN39" i="1" s="1"/>
  <c r="EB39" i="1"/>
  <c r="EH39" i="1" s="1"/>
  <c r="AU9" i="1"/>
  <c r="AU6" i="1"/>
  <c r="AU8" i="1"/>
  <c r="AU7" i="1"/>
  <c r="FL21" i="1"/>
  <c r="EM39" i="1" s="1"/>
  <c r="AT9" i="1"/>
  <c r="AT8" i="1"/>
  <c r="AT7" i="1"/>
  <c r="EA39" i="1"/>
  <c r="AT6" i="1"/>
  <c r="BB9" i="1"/>
  <c r="BB8" i="1"/>
  <c r="BB7" i="1"/>
  <c r="BB6" i="1"/>
  <c r="DU39" i="1"/>
  <c r="DU33" i="1"/>
  <c r="DU37" i="1"/>
  <c r="DU34" i="1"/>
  <c r="DU38" i="1"/>
  <c r="DU31" i="1"/>
  <c r="DU35" i="1"/>
  <c r="DU32" i="1"/>
  <c r="DU36" i="1"/>
  <c r="DU25" i="1"/>
  <c r="DU29" i="1"/>
  <c r="DU26" i="1"/>
  <c r="DU30" i="1"/>
  <c r="DU23" i="1"/>
  <c r="DU27" i="1"/>
  <c r="DU24" i="1"/>
  <c r="DU28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P39" i="1"/>
  <c r="DQ39" i="1"/>
  <c r="DR39" i="1"/>
  <c r="DS39" i="1"/>
  <c r="BI4" i="1"/>
  <c r="BH4" i="1"/>
  <c r="BN4" i="1"/>
  <c r="BG4" i="1"/>
  <c r="BF4" i="1"/>
  <c r="BE4" i="1"/>
  <c r="BD4" i="1"/>
  <c r="CP55" i="1"/>
  <c r="CP56" i="1" s="1"/>
  <c r="CP47" i="1"/>
  <c r="CP48" i="1" s="1"/>
  <c r="CP39" i="1"/>
  <c r="CP40" i="1" s="1"/>
  <c r="CP31" i="1"/>
  <c r="CP32" i="1" s="1"/>
  <c r="CP33" i="1" s="1"/>
  <c r="DY36" i="1"/>
  <c r="DY37" i="1"/>
  <c r="DY38" i="1"/>
  <c r="EB36" i="1"/>
  <c r="EB37" i="1"/>
  <c r="EB38" i="1"/>
  <c r="EH38" i="1" s="1"/>
  <c r="EA38" i="1"/>
  <c r="EA36" i="1"/>
  <c r="EA37" i="1"/>
  <c r="DZ38" i="1"/>
  <c r="DZ36" i="1"/>
  <c r="EF36" i="1" s="1"/>
  <c r="DZ37" i="1"/>
  <c r="DP38" i="1"/>
  <c r="DR38" i="1"/>
  <c r="DS38" i="1"/>
  <c r="DQ38" i="1"/>
  <c r="DP37" i="1"/>
  <c r="DR37" i="1"/>
  <c r="DS37" i="1"/>
  <c r="DQ37" i="1"/>
  <c r="DP36" i="1"/>
  <c r="DR36" i="1"/>
  <c r="DS36" i="1"/>
  <c r="DQ36" i="1"/>
  <c r="AF88" i="1"/>
  <c r="FJ32" i="1"/>
  <c r="FM27" i="1"/>
  <c r="FL26" i="1"/>
  <c r="FK25" i="1"/>
  <c r="FJ20" i="1"/>
  <c r="FL18" i="1"/>
  <c r="FK17" i="1"/>
  <c r="FJ12" i="1"/>
  <c r="FK30" i="1"/>
  <c r="FJ29" i="1"/>
  <c r="FM24" i="1"/>
  <c r="FK22" i="1"/>
  <c r="FM20" i="1"/>
  <c r="FK18" i="1"/>
  <c r="FJ17" i="1"/>
  <c r="FJ13" i="1"/>
  <c r="FJ9" i="1"/>
  <c r="FL7" i="1"/>
  <c r="FL32" i="1"/>
  <c r="FK31" i="1"/>
  <c r="FJ30" i="1"/>
  <c r="FM29" i="1"/>
  <c r="FL28" i="1"/>
  <c r="FJ26" i="1"/>
  <c r="FM25" i="1"/>
  <c r="FL24" i="1"/>
  <c r="FK23" i="1"/>
  <c r="FJ22" i="1"/>
  <c r="FL20" i="1"/>
  <c r="FJ18" i="1"/>
  <c r="FM17" i="1"/>
  <c r="FL16" i="1"/>
  <c r="FJ14" i="1"/>
  <c r="FL12" i="1"/>
  <c r="FK11" i="1"/>
  <c r="FJ10" i="1"/>
  <c r="FM9" i="1"/>
  <c r="FL8" i="1"/>
  <c r="FM31" i="1"/>
  <c r="FK29" i="1"/>
  <c r="FJ28" i="1"/>
  <c r="FJ24" i="1"/>
  <c r="FM19" i="1"/>
  <c r="FJ16" i="1"/>
  <c r="FL14" i="1"/>
  <c r="FK13" i="1"/>
  <c r="FL10" i="1"/>
  <c r="FK9" i="1"/>
  <c r="FJ8" i="1"/>
  <c r="FM28" i="1"/>
  <c r="FK26" i="1"/>
  <c r="FJ25" i="1"/>
  <c r="FJ21" i="1"/>
  <c r="EK39" i="1" s="1"/>
  <c r="FM16" i="1"/>
  <c r="FM12" i="1"/>
  <c r="FJ31" i="1"/>
  <c r="FK28" i="1"/>
  <c r="FJ27" i="1"/>
  <c r="FM26" i="1"/>
  <c r="FL25" i="1"/>
  <c r="FJ23" i="1"/>
  <c r="FM22" i="1"/>
  <c r="FJ19" i="1"/>
  <c r="FL17" i="1"/>
  <c r="FK16" i="1"/>
  <c r="FJ15" i="1"/>
  <c r="FL13" i="1"/>
  <c r="FK12" i="1"/>
  <c r="FJ11" i="1"/>
  <c r="FL9" i="1"/>
  <c r="FJ7" i="1"/>
  <c r="DE6" i="1"/>
  <c r="CW98" i="1"/>
  <c r="CX97" i="1"/>
  <c r="AD10" i="1"/>
  <c r="AD26" i="1"/>
  <c r="AD18" i="1"/>
  <c r="FJ6" i="1"/>
  <c r="DY34" i="1"/>
  <c r="DY35" i="1"/>
  <c r="FM6" i="1"/>
  <c r="EB34" i="1"/>
  <c r="EB35" i="1"/>
  <c r="AD24" i="1"/>
  <c r="FM32" i="1"/>
  <c r="AH87" i="1"/>
  <c r="AD19" i="1"/>
  <c r="AD11" i="1"/>
  <c r="AD30" i="1"/>
  <c r="AD22" i="1"/>
  <c r="AD14" i="1"/>
  <c r="AD6" i="1"/>
  <c r="FK6" i="1"/>
  <c r="DZ34" i="1"/>
  <c r="DZ35" i="1"/>
  <c r="EF35" i="1" s="1"/>
  <c r="FM33" i="1"/>
  <c r="AH88" i="1"/>
  <c r="AD16" i="1"/>
  <c r="AD8" i="1"/>
  <c r="EA34" i="1"/>
  <c r="EG34" i="1" s="1"/>
  <c r="EA35" i="1"/>
  <c r="AD27" i="1"/>
  <c r="AD23" i="1"/>
  <c r="AD15" i="1"/>
  <c r="AD28" i="1"/>
  <c r="AD20" i="1"/>
  <c r="AD12" i="1"/>
  <c r="J3" i="27"/>
  <c r="I9" i="27"/>
  <c r="B28" i="27"/>
  <c r="EA33" i="1"/>
  <c r="FL6" i="1"/>
  <c r="B110" i="1"/>
  <c r="FJ33" i="1"/>
  <c r="AD33" i="1"/>
  <c r="BB219" i="1" s="1"/>
  <c r="AE88" i="1"/>
  <c r="AL5" i="1"/>
  <c r="F110" i="1"/>
  <c r="B3" i="27"/>
  <c r="AD32" i="1"/>
  <c r="DZ33" i="1"/>
  <c r="EF33" i="1" s="1"/>
  <c r="FM8" i="1"/>
  <c r="EB33" i="1"/>
  <c r="EH33" i="1" s="1"/>
  <c r="L110" i="1"/>
  <c r="D110" i="1"/>
  <c r="C3" i="27"/>
  <c r="AD29" i="1"/>
  <c r="AD25" i="1"/>
  <c r="AD21" i="1"/>
  <c r="AD17" i="1"/>
  <c r="AD13" i="1"/>
  <c r="AD9" i="1"/>
  <c r="AG88" i="1"/>
  <c r="DY33" i="1"/>
  <c r="G110" i="1"/>
  <c r="C110" i="1"/>
  <c r="FL33" i="1"/>
  <c r="FL27" i="1"/>
  <c r="FL23" i="1"/>
  <c r="FL19" i="1"/>
  <c r="FL15" i="1"/>
  <c r="FL11" i="1"/>
  <c r="FK33" i="1"/>
  <c r="FK10" i="1"/>
  <c r="K3" i="27"/>
  <c r="AD31" i="1"/>
  <c r="AD7" i="1"/>
  <c r="E110" i="1"/>
  <c r="I3" i="27"/>
  <c r="E28" i="27"/>
  <c r="E22" i="27" s="1"/>
  <c r="B22" i="27"/>
  <c r="B31" i="26"/>
  <c r="B25" i="26"/>
  <c r="B26" i="26"/>
  <c r="B27" i="26"/>
  <c r="B29" i="26"/>
  <c r="B30" i="26"/>
  <c r="B24" i="26"/>
  <c r="B23" i="26"/>
  <c r="BB5" i="1" l="1"/>
  <c r="EF39" i="1"/>
  <c r="EG39" i="1"/>
  <c r="EE39" i="1"/>
  <c r="FG39" i="1"/>
  <c r="FF39" i="1" s="1"/>
  <c r="FC39" i="1"/>
  <c r="CP57" i="1"/>
  <c r="CP58" i="1" s="1"/>
  <c r="CP49" i="1"/>
  <c r="CP50" i="1" s="1"/>
  <c r="CP41" i="1"/>
  <c r="CP42" i="1" s="1"/>
  <c r="CP34" i="1"/>
  <c r="EK6" i="1"/>
  <c r="EK38" i="1"/>
  <c r="EK36" i="1"/>
  <c r="EK37" i="1"/>
  <c r="EF37" i="1"/>
  <c r="EG36" i="1"/>
  <c r="EH36" i="1"/>
  <c r="EL6" i="1"/>
  <c r="EL37" i="1"/>
  <c r="EL38" i="1"/>
  <c r="EL36" i="1"/>
  <c r="EN37" i="1"/>
  <c r="EN38" i="1"/>
  <c r="EN36" i="1"/>
  <c r="EG38" i="1"/>
  <c r="FG38" i="1"/>
  <c r="FF38" i="1" s="1"/>
  <c r="EE38" i="1"/>
  <c r="EF38" i="1"/>
  <c r="FG37" i="1"/>
  <c r="FC37" i="1" s="1"/>
  <c r="EE37" i="1"/>
  <c r="EM37" i="1"/>
  <c r="EM38" i="1"/>
  <c r="EM36" i="1"/>
  <c r="EG37" i="1"/>
  <c r="EH37" i="1"/>
  <c r="FG36" i="1"/>
  <c r="FD36" i="1" s="1"/>
  <c r="EE36" i="1"/>
  <c r="EK31" i="1"/>
  <c r="EK7" i="1"/>
  <c r="EK8" i="1"/>
  <c r="CW99" i="1"/>
  <c r="CX98" i="1"/>
  <c r="EK12" i="1"/>
  <c r="EN21" i="1"/>
  <c r="EK13" i="1"/>
  <c r="EK22" i="1"/>
  <c r="AK5" i="1"/>
  <c r="AE5" i="1"/>
  <c r="EK24" i="1"/>
  <c r="EK17" i="1"/>
  <c r="EK28" i="1"/>
  <c r="EK18" i="1"/>
  <c r="EK29" i="1"/>
  <c r="EN20" i="1"/>
  <c r="EN33" i="1"/>
  <c r="EL32" i="1"/>
  <c r="EN28" i="1"/>
  <c r="EN12" i="1"/>
  <c r="EN25" i="1"/>
  <c r="EL8" i="1"/>
  <c r="EK33" i="1"/>
  <c r="EK9" i="1"/>
  <c r="EK14" i="1"/>
  <c r="EK20" i="1"/>
  <c r="EK25" i="1"/>
  <c r="EK30" i="1"/>
  <c r="EN9" i="1"/>
  <c r="EL9" i="1"/>
  <c r="EN13" i="1"/>
  <c r="EN29" i="1"/>
  <c r="EK10" i="1"/>
  <c r="EK16" i="1"/>
  <c r="EK21" i="1"/>
  <c r="EK26" i="1"/>
  <c r="EK32" i="1"/>
  <c r="EL7" i="1"/>
  <c r="AO5" i="1"/>
  <c r="EN31" i="1"/>
  <c r="EN17" i="1"/>
  <c r="EK11" i="1"/>
  <c r="EK15" i="1"/>
  <c r="EK19" i="1"/>
  <c r="EK23" i="1"/>
  <c r="EK27" i="1"/>
  <c r="EL33" i="1"/>
  <c r="EL17" i="1"/>
  <c r="EG35" i="1"/>
  <c r="EF34" i="1"/>
  <c r="EH35" i="1"/>
  <c r="EE35" i="1"/>
  <c r="FG35" i="1"/>
  <c r="FD35" i="1" s="1"/>
  <c r="EL13" i="1"/>
  <c r="EL29" i="1"/>
  <c r="EL21" i="1"/>
  <c r="EL34" i="1"/>
  <c r="EL35" i="1"/>
  <c r="EH34" i="1"/>
  <c r="FG34" i="1"/>
  <c r="FE34" i="1" s="1"/>
  <c r="EE34" i="1"/>
  <c r="EM35" i="1"/>
  <c r="EM34" i="1"/>
  <c r="AD88" i="1"/>
  <c r="AG5" i="1"/>
  <c r="AI5" i="1"/>
  <c r="EN16" i="1"/>
  <c r="EN24" i="1"/>
  <c r="EN32" i="1"/>
  <c r="EL25" i="1"/>
  <c r="EN35" i="1"/>
  <c r="EN34" i="1"/>
  <c r="EK34" i="1"/>
  <c r="EK35" i="1"/>
  <c r="FD39" i="1" l="1"/>
  <c r="FE39" i="1"/>
  <c r="FF37" i="1"/>
  <c r="FD38" i="1"/>
  <c r="FC36" i="1"/>
  <c r="FF36" i="1"/>
  <c r="FE37" i="1"/>
  <c r="FE38" i="1"/>
  <c r="FE36" i="1"/>
  <c r="FC38" i="1"/>
  <c r="FC35" i="1"/>
  <c r="FD37" i="1"/>
  <c r="CW100" i="1"/>
  <c r="CX99" i="1"/>
  <c r="FF35" i="1"/>
  <c r="FE35" i="1"/>
  <c r="FF34" i="1"/>
  <c r="FC34" i="1"/>
  <c r="FD34" i="1"/>
  <c r="AA33" i="1"/>
  <c r="AH5" i="1"/>
  <c r="AF5" i="1"/>
  <c r="AJ5" i="1"/>
  <c r="BD83" i="1"/>
  <c r="CY93" i="1"/>
  <c r="CX93" i="1" s="1"/>
  <c r="BP33" i="1"/>
  <c r="BQ33" i="1" s="1"/>
  <c r="CY94" i="1"/>
  <c r="CX94" i="1" s="1"/>
  <c r="BF83" i="1"/>
  <c r="BG83" i="1"/>
  <c r="CY96" i="1"/>
  <c r="CX96" i="1" s="1"/>
  <c r="BE83" i="1"/>
  <c r="CY95" i="1"/>
  <c r="CX95" i="1" s="1"/>
  <c r="EG33" i="1"/>
  <c r="EL10" i="1"/>
  <c r="EL14" i="1"/>
  <c r="EL18" i="1"/>
  <c r="EL22" i="1"/>
  <c r="EL26" i="1"/>
  <c r="EL30" i="1"/>
  <c r="EE33" i="1"/>
  <c r="FG33" i="1"/>
  <c r="FC33" i="1" s="1"/>
  <c r="EN10" i="1"/>
  <c r="EN14" i="1"/>
  <c r="EN18" i="1"/>
  <c r="EN22" i="1"/>
  <c r="EN26" i="1"/>
  <c r="EN30" i="1"/>
  <c r="EL11" i="1"/>
  <c r="EL15" i="1"/>
  <c r="EL19" i="1"/>
  <c r="EL23" i="1"/>
  <c r="EL27" i="1"/>
  <c r="EL31" i="1"/>
  <c r="EN11" i="1"/>
  <c r="EN15" i="1"/>
  <c r="EN19" i="1"/>
  <c r="EN23" i="1"/>
  <c r="EN27" i="1"/>
  <c r="EL12" i="1"/>
  <c r="EL16" i="1"/>
  <c r="EL20" i="1"/>
  <c r="EL24" i="1"/>
  <c r="EL28" i="1"/>
  <c r="EM33" i="1"/>
  <c r="EM32" i="1"/>
  <c r="EM31" i="1"/>
  <c r="EM30" i="1"/>
  <c r="EM29" i="1"/>
  <c r="EM28" i="1"/>
  <c r="EM27" i="1"/>
  <c r="EM26" i="1"/>
  <c r="EM25" i="1"/>
  <c r="EM24" i="1"/>
  <c r="EM23" i="1"/>
  <c r="EM22" i="1"/>
  <c r="EM21" i="1"/>
  <c r="EM20" i="1"/>
  <c r="EM19" i="1"/>
  <c r="EM18" i="1"/>
  <c r="EM17" i="1"/>
  <c r="EM16" i="1"/>
  <c r="EM15" i="1"/>
  <c r="EM14" i="1"/>
  <c r="EM13" i="1"/>
  <c r="EM12" i="1"/>
  <c r="EM11" i="1"/>
  <c r="EM10" i="1"/>
  <c r="EM9" i="1"/>
  <c r="EM6" i="1"/>
  <c r="EM7" i="1"/>
  <c r="EM8" i="1"/>
  <c r="B10" i="26"/>
  <c r="B28" i="26" s="1"/>
  <c r="C10" i="26"/>
  <c r="D10" i="26"/>
  <c r="K9" i="26" s="1"/>
  <c r="E10" i="26"/>
  <c r="E11" i="26"/>
  <c r="E29" i="26" s="1"/>
  <c r="E31" i="26"/>
  <c r="E30" i="26"/>
  <c r="E27" i="26"/>
  <c r="E26" i="26"/>
  <c r="E25" i="26"/>
  <c r="E24" i="26"/>
  <c r="E23" i="26"/>
  <c r="L12" i="26"/>
  <c r="K12" i="26"/>
  <c r="J12" i="26"/>
  <c r="I12" i="26"/>
  <c r="L11" i="26"/>
  <c r="K11" i="26"/>
  <c r="J11" i="26"/>
  <c r="I11" i="26"/>
  <c r="L10" i="26"/>
  <c r="K10" i="26"/>
  <c r="J10" i="26"/>
  <c r="I10" i="26"/>
  <c r="L9" i="26"/>
  <c r="J9" i="26"/>
  <c r="I9" i="26"/>
  <c r="L8" i="26"/>
  <c r="K8" i="26"/>
  <c r="J8" i="26"/>
  <c r="I8" i="26"/>
  <c r="L7" i="26"/>
  <c r="K7" i="26"/>
  <c r="J7" i="26"/>
  <c r="I7" i="26"/>
  <c r="L6" i="26"/>
  <c r="K6" i="26"/>
  <c r="J6" i="26"/>
  <c r="I6" i="26"/>
  <c r="L5" i="26"/>
  <c r="K5" i="26"/>
  <c r="J5" i="26"/>
  <c r="I5" i="26"/>
  <c r="L4" i="26"/>
  <c r="L3" i="26" s="1"/>
  <c r="K4" i="26"/>
  <c r="J4" i="26"/>
  <c r="I4" i="26"/>
  <c r="E3" i="26"/>
  <c r="C3" i="26"/>
  <c r="B3" i="26"/>
  <c r="L2" i="26"/>
  <c r="K2" i="26"/>
  <c r="J2" i="26"/>
  <c r="I2" i="26"/>
  <c r="CW101" i="1" l="1"/>
  <c r="CX100" i="1"/>
  <c r="FF33" i="1"/>
  <c r="FD33" i="1"/>
  <c r="FE33" i="1"/>
  <c r="J3" i="26"/>
  <c r="D3" i="26"/>
  <c r="I3" i="26"/>
  <c r="K3" i="26"/>
  <c r="E28" i="26"/>
  <c r="E22" i="26" s="1"/>
  <c r="B22" i="26"/>
  <c r="B109" i="1"/>
  <c r="C109" i="1"/>
  <c r="D109" i="1"/>
  <c r="E109" i="1"/>
  <c r="F109" i="1"/>
  <c r="G109" i="1"/>
  <c r="L109" i="1"/>
  <c r="BG218" i="1"/>
  <c r="BF218" i="1"/>
  <c r="BE218" i="1"/>
  <c r="BJ218" i="1" s="1"/>
  <c r="BD218" i="1"/>
  <c r="DY32" i="1"/>
  <c r="DZ32" i="1"/>
  <c r="EF32" i="1" s="1"/>
  <c r="EA32" i="1"/>
  <c r="EB32" i="1"/>
  <c r="EH32" i="1" s="1"/>
  <c r="AG87" i="1"/>
  <c r="AE87" i="1"/>
  <c r="AJ87" i="1"/>
  <c r="BI82" i="1"/>
  <c r="CY92" i="1"/>
  <c r="CX92" i="1" s="1"/>
  <c r="CY90" i="1"/>
  <c r="CX90" i="1" s="1"/>
  <c r="BB218" i="1"/>
  <c r="AC32" i="1"/>
  <c r="AC87" i="1" s="1"/>
  <c r="DO32" i="1"/>
  <c r="DX32" i="1"/>
  <c r="ED32" i="1"/>
  <c r="EJ32" i="1"/>
  <c r="EP32" i="1"/>
  <c r="EV32" i="1"/>
  <c r="FB32" i="1"/>
  <c r="BD82" i="1" l="1"/>
  <c r="AA32" i="1"/>
  <c r="Z32" i="1"/>
  <c r="CW102" i="1"/>
  <c r="CX101" i="1"/>
  <c r="FG32" i="1"/>
  <c r="FC32" i="1" s="1"/>
  <c r="EG32" i="1"/>
  <c r="EE32" i="1"/>
  <c r="BP32" i="1"/>
  <c r="BQ32" i="1" s="1"/>
  <c r="CY89" i="1"/>
  <c r="CX89" i="1" s="1"/>
  <c r="CY91" i="1"/>
  <c r="CX91" i="1" s="1"/>
  <c r="AD87" i="1"/>
  <c r="BG82" i="1"/>
  <c r="BF82" i="1"/>
  <c r="B10" i="25"/>
  <c r="B3" i="25" s="1"/>
  <c r="C10" i="25"/>
  <c r="C3" i="25" s="1"/>
  <c r="B31" i="25"/>
  <c r="E31" i="25" s="1"/>
  <c r="B30" i="25"/>
  <c r="E30" i="25" s="1"/>
  <c r="B29" i="25"/>
  <c r="E29" i="25" s="1"/>
  <c r="B27" i="25"/>
  <c r="E27" i="25" s="1"/>
  <c r="B26" i="25"/>
  <c r="E26" i="25" s="1"/>
  <c r="B25" i="25"/>
  <c r="E25" i="25" s="1"/>
  <c r="B24" i="25"/>
  <c r="E24" i="25" s="1"/>
  <c r="B23" i="25"/>
  <c r="E23" i="25" s="1"/>
  <c r="L12" i="25"/>
  <c r="K12" i="25"/>
  <c r="J12" i="25"/>
  <c r="I12" i="25"/>
  <c r="L11" i="25"/>
  <c r="K11" i="25"/>
  <c r="J11" i="25"/>
  <c r="I11" i="25"/>
  <c r="L10" i="25"/>
  <c r="L3" i="25" s="1"/>
  <c r="K10" i="25"/>
  <c r="J10" i="25"/>
  <c r="I10" i="25"/>
  <c r="B28" i="25"/>
  <c r="L9" i="25"/>
  <c r="K9" i="25"/>
  <c r="J9" i="25"/>
  <c r="I9" i="25"/>
  <c r="L8" i="25"/>
  <c r="K8" i="25"/>
  <c r="J8" i="25"/>
  <c r="I8" i="25"/>
  <c r="L7" i="25"/>
  <c r="K7" i="25"/>
  <c r="J7" i="25"/>
  <c r="I7" i="25"/>
  <c r="L6" i="25"/>
  <c r="K6" i="25"/>
  <c r="J6" i="25"/>
  <c r="I6" i="25"/>
  <c r="L5" i="25"/>
  <c r="K5" i="25"/>
  <c r="J5" i="25"/>
  <c r="I5" i="25"/>
  <c r="L4" i="25"/>
  <c r="K4" i="25"/>
  <c r="J4" i="25"/>
  <c r="J3" i="25" s="1"/>
  <c r="I4" i="25"/>
  <c r="E3" i="25"/>
  <c r="D3" i="25"/>
  <c r="L2" i="25"/>
  <c r="K2" i="25"/>
  <c r="J2" i="25"/>
  <c r="I2" i="25"/>
  <c r="FD32" i="1" l="1"/>
  <c r="FF32" i="1"/>
  <c r="CW103" i="1"/>
  <c r="CX102" i="1"/>
  <c r="K3" i="25"/>
  <c r="FE32" i="1"/>
  <c r="I3" i="25"/>
  <c r="E28" i="25"/>
  <c r="E22" i="25" s="1"/>
  <c r="B22" i="25"/>
  <c r="CW104" i="1" l="1"/>
  <c r="CX103" i="1"/>
  <c r="L108" i="1"/>
  <c r="G108" i="1"/>
  <c r="F108" i="1"/>
  <c r="E108" i="1"/>
  <c r="D108" i="1"/>
  <c r="C108" i="1"/>
  <c r="B108" i="1"/>
  <c r="CX104" i="1" l="1"/>
  <c r="CW105" i="1"/>
  <c r="BG217" i="1"/>
  <c r="BF217" i="1"/>
  <c r="BE217" i="1"/>
  <c r="BJ217" i="1" s="1"/>
  <c r="BD217" i="1"/>
  <c r="BB217" i="1"/>
  <c r="EB31" i="1"/>
  <c r="EH31" i="1" s="1"/>
  <c r="EA31" i="1"/>
  <c r="EG31" i="1" s="1"/>
  <c r="DZ31" i="1"/>
  <c r="EF31" i="1" s="1"/>
  <c r="DY31" i="1"/>
  <c r="EE31" i="1" s="1"/>
  <c r="CW106" i="1" l="1"/>
  <c r="CX105" i="1"/>
  <c r="FG31" i="1"/>
  <c r="FF31" i="1" s="1"/>
  <c r="B10" i="24"/>
  <c r="C10" i="24"/>
  <c r="D10" i="24"/>
  <c r="K9" i="24" s="1"/>
  <c r="E10" i="24"/>
  <c r="C11" i="24"/>
  <c r="B31" i="24"/>
  <c r="E31" i="24" s="1"/>
  <c r="B30" i="24"/>
  <c r="E30" i="24" s="1"/>
  <c r="B27" i="24"/>
  <c r="E27" i="24" s="1"/>
  <c r="B26" i="24"/>
  <c r="E26" i="24" s="1"/>
  <c r="B25" i="24"/>
  <c r="E25" i="24" s="1"/>
  <c r="B24" i="24"/>
  <c r="E24" i="24" s="1"/>
  <c r="B23" i="24"/>
  <c r="E23" i="24" s="1"/>
  <c r="L12" i="24"/>
  <c r="K12" i="24"/>
  <c r="J12" i="24"/>
  <c r="I12" i="24"/>
  <c r="L11" i="24"/>
  <c r="K11" i="24"/>
  <c r="J11" i="24"/>
  <c r="I11" i="24"/>
  <c r="B29" i="24"/>
  <c r="E29" i="24" s="1"/>
  <c r="L10" i="24"/>
  <c r="K10" i="24"/>
  <c r="J10" i="24"/>
  <c r="I10" i="24"/>
  <c r="B28" i="24"/>
  <c r="L9" i="24"/>
  <c r="J9" i="24"/>
  <c r="I9" i="24"/>
  <c r="L8" i="24"/>
  <c r="K8" i="24"/>
  <c r="J8" i="24"/>
  <c r="I8" i="24"/>
  <c r="L7" i="24"/>
  <c r="K7" i="24"/>
  <c r="J7" i="24"/>
  <c r="I7" i="24"/>
  <c r="L6" i="24"/>
  <c r="K6" i="24"/>
  <c r="J6" i="24"/>
  <c r="I6" i="24"/>
  <c r="L5" i="24"/>
  <c r="K5" i="24"/>
  <c r="J5" i="24"/>
  <c r="I5" i="24"/>
  <c r="L4" i="24"/>
  <c r="K4" i="24"/>
  <c r="J4" i="24"/>
  <c r="I4" i="24"/>
  <c r="E3" i="24"/>
  <c r="D3" i="24"/>
  <c r="C3" i="24"/>
  <c r="B3" i="24"/>
  <c r="L2" i="24"/>
  <c r="K2" i="24"/>
  <c r="J2" i="24"/>
  <c r="I2" i="24"/>
  <c r="CW107" i="1" l="1"/>
  <c r="CX106" i="1"/>
  <c r="K3" i="24"/>
  <c r="L3" i="24"/>
  <c r="J3" i="24"/>
  <c r="FE31" i="1"/>
  <c r="FD31" i="1"/>
  <c r="FC31" i="1"/>
  <c r="I3" i="24"/>
  <c r="E28" i="24"/>
  <c r="E22" i="24" s="1"/>
  <c r="B22" i="24"/>
  <c r="AH86" i="1"/>
  <c r="AD86" i="1"/>
  <c r="AE86" i="1"/>
  <c r="AF86" i="1"/>
  <c r="AJ86" i="1"/>
  <c r="BI81" i="1"/>
  <c r="BG81" i="1"/>
  <c r="BE81" i="1"/>
  <c r="AC31" i="1"/>
  <c r="AC86" i="1" s="1"/>
  <c r="DO31" i="1"/>
  <c r="DX31" i="1"/>
  <c r="ED31" i="1"/>
  <c r="EJ31" i="1"/>
  <c r="EP31" i="1"/>
  <c r="EV31" i="1"/>
  <c r="FB31" i="1"/>
  <c r="CW108" i="1" l="1"/>
  <c r="CX107" i="1"/>
  <c r="BD81" i="1"/>
  <c r="AA31" i="1"/>
  <c r="Z31" i="1"/>
  <c r="BP31" i="1"/>
  <c r="BQ31" i="1" s="1"/>
  <c r="CY85" i="1"/>
  <c r="CX85" i="1" s="1"/>
  <c r="CY87" i="1"/>
  <c r="CX87" i="1" s="1"/>
  <c r="CY86" i="1"/>
  <c r="CX86" i="1" s="1"/>
  <c r="CY88" i="1"/>
  <c r="CX88" i="1" s="1"/>
  <c r="L107" i="1"/>
  <c r="G107" i="1"/>
  <c r="F107" i="1"/>
  <c r="E107" i="1"/>
  <c r="D107" i="1"/>
  <c r="C107" i="1"/>
  <c r="B107" i="1"/>
  <c r="FB30" i="1"/>
  <c r="EV30" i="1"/>
  <c r="EP30" i="1"/>
  <c r="EJ30" i="1"/>
  <c r="ED30" i="1"/>
  <c r="EB30" i="1"/>
  <c r="EH30" i="1" s="1"/>
  <c r="EA30" i="1"/>
  <c r="EG30" i="1" s="1"/>
  <c r="DZ30" i="1"/>
  <c r="EF30" i="1" s="1"/>
  <c r="DY30" i="1"/>
  <c r="DX30" i="1"/>
  <c r="DO30" i="1"/>
  <c r="BF216" i="1"/>
  <c r="BE216" i="1"/>
  <c r="BJ216" i="1" s="1"/>
  <c r="BD216" i="1"/>
  <c r="CY83" i="1"/>
  <c r="CX83" i="1" s="1"/>
  <c r="BI80" i="1"/>
  <c r="DH11" i="1"/>
  <c r="DG11" i="1"/>
  <c r="DF11" i="1"/>
  <c r="DE11" i="1"/>
  <c r="DL11" i="1"/>
  <c r="AW2" i="1"/>
  <c r="AJ85" i="1"/>
  <c r="AF85" i="1"/>
  <c r="AE85" i="1"/>
  <c r="AD85" i="1"/>
  <c r="AC30" i="1"/>
  <c r="AC85" i="1" s="1"/>
  <c r="CW109" i="1" l="1"/>
  <c r="CX108" i="1"/>
  <c r="BD80" i="1"/>
  <c r="AA30" i="1"/>
  <c r="Z30" i="1"/>
  <c r="BP30" i="1"/>
  <c r="BQ30" i="1" s="1"/>
  <c r="BE80" i="1"/>
  <c r="BB216" i="1"/>
  <c r="CY82" i="1"/>
  <c r="CX82" i="1" s="1"/>
  <c r="CY84" i="1"/>
  <c r="CX84" i="1" s="1"/>
  <c r="FG30" i="1"/>
  <c r="FF30" i="1" s="1"/>
  <c r="EE30" i="1"/>
  <c r="AW5" i="1"/>
  <c r="B11" i="23"/>
  <c r="B10" i="23"/>
  <c r="C12" i="23"/>
  <c r="C10" i="23"/>
  <c r="D10" i="23"/>
  <c r="B31" i="23"/>
  <c r="E31" i="23" s="1"/>
  <c r="B30" i="23"/>
  <c r="E30" i="23" s="1"/>
  <c r="B29" i="23"/>
  <c r="E29" i="23" s="1"/>
  <c r="B27" i="23"/>
  <c r="E27" i="23" s="1"/>
  <c r="B26" i="23"/>
  <c r="E26" i="23" s="1"/>
  <c r="B25" i="23"/>
  <c r="E25" i="23" s="1"/>
  <c r="B24" i="23"/>
  <c r="E24" i="23" s="1"/>
  <c r="B23" i="23"/>
  <c r="E23" i="23" s="1"/>
  <c r="L12" i="23"/>
  <c r="K12" i="23"/>
  <c r="J12" i="23"/>
  <c r="I12" i="23"/>
  <c r="L11" i="23"/>
  <c r="K11" i="23"/>
  <c r="J11" i="23"/>
  <c r="I11" i="23"/>
  <c r="L10" i="23"/>
  <c r="K10" i="23"/>
  <c r="J10" i="23"/>
  <c r="I10" i="23"/>
  <c r="B28" i="23"/>
  <c r="L9" i="23"/>
  <c r="K9" i="23"/>
  <c r="J9" i="23"/>
  <c r="I9" i="23"/>
  <c r="L8" i="23"/>
  <c r="K8" i="23"/>
  <c r="J8" i="23"/>
  <c r="I8" i="23"/>
  <c r="L7" i="23"/>
  <c r="K7" i="23"/>
  <c r="J7" i="23"/>
  <c r="I7" i="23"/>
  <c r="L6" i="23"/>
  <c r="K6" i="23"/>
  <c r="J6" i="23"/>
  <c r="I6" i="23"/>
  <c r="L5" i="23"/>
  <c r="K5" i="23"/>
  <c r="J5" i="23"/>
  <c r="I5" i="23"/>
  <c r="L4" i="23"/>
  <c r="K4" i="23"/>
  <c r="J4" i="23"/>
  <c r="J3" i="23" s="1"/>
  <c r="I4" i="23"/>
  <c r="L3" i="23"/>
  <c r="K3" i="23"/>
  <c r="E3" i="23"/>
  <c r="D3" i="23"/>
  <c r="C3" i="23"/>
  <c r="B3" i="23"/>
  <c r="L2" i="23"/>
  <c r="K2" i="23"/>
  <c r="J2" i="23"/>
  <c r="I2" i="23"/>
  <c r="CW110" i="1" l="1"/>
  <c r="CX109" i="1"/>
  <c r="FE30" i="1"/>
  <c r="I3" i="23"/>
  <c r="FD30" i="1"/>
  <c r="FC30" i="1"/>
  <c r="E28" i="23"/>
  <c r="E22" i="23" s="1"/>
  <c r="B22" i="23"/>
  <c r="D10" i="22"/>
  <c r="E10" i="22"/>
  <c r="B10" i="22"/>
  <c r="B28" i="22" s="1"/>
  <c r="C10" i="22"/>
  <c r="C11" i="22"/>
  <c r="B31" i="22"/>
  <c r="E31" i="22" s="1"/>
  <c r="B30" i="22"/>
  <c r="E30" i="22" s="1"/>
  <c r="B29" i="22"/>
  <c r="E29" i="22" s="1"/>
  <c r="B27" i="22"/>
  <c r="E27" i="22" s="1"/>
  <c r="B26" i="22"/>
  <c r="E26" i="22" s="1"/>
  <c r="B25" i="22"/>
  <c r="E25" i="22" s="1"/>
  <c r="B24" i="22"/>
  <c r="E24" i="22" s="1"/>
  <c r="B23" i="22"/>
  <c r="E23" i="22" s="1"/>
  <c r="L12" i="22"/>
  <c r="K12" i="22"/>
  <c r="J12" i="22"/>
  <c r="I12" i="22"/>
  <c r="L11" i="22"/>
  <c r="K11" i="22"/>
  <c r="J11" i="22"/>
  <c r="I11" i="22"/>
  <c r="L10" i="22"/>
  <c r="K10" i="22"/>
  <c r="K3" i="22" s="1"/>
  <c r="J10" i="22"/>
  <c r="I10" i="22"/>
  <c r="L9" i="22"/>
  <c r="K9" i="22"/>
  <c r="J9" i="22"/>
  <c r="L8" i="22"/>
  <c r="K8" i="22"/>
  <c r="J8" i="22"/>
  <c r="I8" i="22"/>
  <c r="L7" i="22"/>
  <c r="K7" i="22"/>
  <c r="J7" i="22"/>
  <c r="I7" i="22"/>
  <c r="L6" i="22"/>
  <c r="K6" i="22"/>
  <c r="J6" i="22"/>
  <c r="I6" i="22"/>
  <c r="L5" i="22"/>
  <c r="K5" i="22"/>
  <c r="J5" i="22"/>
  <c r="I5" i="22"/>
  <c r="L4" i="22"/>
  <c r="K4" i="22"/>
  <c r="J4" i="22"/>
  <c r="J3" i="22" s="1"/>
  <c r="I4" i="22"/>
  <c r="L3" i="22"/>
  <c r="E3" i="22"/>
  <c r="D3" i="22"/>
  <c r="C3" i="22"/>
  <c r="B3" i="22"/>
  <c r="L2" i="22"/>
  <c r="K2" i="22"/>
  <c r="J2" i="22"/>
  <c r="I2" i="22"/>
  <c r="CW111" i="1" l="1"/>
  <c r="CX110" i="1"/>
  <c r="I9" i="22"/>
  <c r="I3" i="22"/>
  <c r="E28" i="22"/>
  <c r="E22" i="22" s="1"/>
  <c r="B22" i="22"/>
  <c r="G106" i="1"/>
  <c r="L106" i="1"/>
  <c r="F106" i="1"/>
  <c r="E106" i="1"/>
  <c r="D106" i="1"/>
  <c r="C106" i="1"/>
  <c r="B106" i="1"/>
  <c r="EB29" i="1"/>
  <c r="EH29" i="1" s="1"/>
  <c r="EA29" i="1"/>
  <c r="EG29" i="1" s="1"/>
  <c r="DZ29" i="1"/>
  <c r="EF29" i="1" s="1"/>
  <c r="DY29" i="1"/>
  <c r="BG215" i="1"/>
  <c r="BG216" i="1" s="1"/>
  <c r="BF215" i="1"/>
  <c r="BE215" i="1"/>
  <c r="BJ215" i="1" s="1"/>
  <c r="BD215" i="1"/>
  <c r="BE79" i="1"/>
  <c r="CY80" i="1"/>
  <c r="CX80" i="1" s="1"/>
  <c r="AJ59" i="1"/>
  <c r="AJ84" i="1"/>
  <c r="AE84" i="1"/>
  <c r="AF84" i="1"/>
  <c r="AH84" i="1"/>
  <c r="AD84" i="1"/>
  <c r="AC29" i="1"/>
  <c r="AC84" i="1" s="1"/>
  <c r="DO29" i="1"/>
  <c r="DX29" i="1"/>
  <c r="ED29" i="1"/>
  <c r="EJ29" i="1"/>
  <c r="EP29" i="1"/>
  <c r="EV29" i="1"/>
  <c r="FB29" i="1"/>
  <c r="CW112" i="1" l="1"/>
  <c r="CX111" i="1"/>
  <c r="CY78" i="1"/>
  <c r="CX78" i="1" s="1"/>
  <c r="AA29" i="1"/>
  <c r="FG29" i="1"/>
  <c r="FF29" i="1" s="1"/>
  <c r="BI79" i="1"/>
  <c r="Z29" i="1"/>
  <c r="BP29" i="1"/>
  <c r="BQ29" i="1" s="1"/>
  <c r="BD79" i="1"/>
  <c r="BG79" i="1"/>
  <c r="BG80" i="1" s="1"/>
  <c r="BB215" i="1"/>
  <c r="CY79" i="1"/>
  <c r="CX79" i="1" s="1"/>
  <c r="CY81" i="1"/>
  <c r="CX81" i="1" s="1"/>
  <c r="BY29" i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EE29" i="1"/>
  <c r="EV7" i="1"/>
  <c r="EV8" i="1"/>
  <c r="EV9" i="1"/>
  <c r="EV10" i="1"/>
  <c r="EV11" i="1"/>
  <c r="EV12" i="1"/>
  <c r="EV13" i="1"/>
  <c r="EV14" i="1"/>
  <c r="EV15" i="1"/>
  <c r="EV16" i="1"/>
  <c r="EV17" i="1"/>
  <c r="EV18" i="1"/>
  <c r="EV19" i="1"/>
  <c r="EV20" i="1"/>
  <c r="EV21" i="1"/>
  <c r="EV22" i="1"/>
  <c r="EV23" i="1"/>
  <c r="EV24" i="1"/>
  <c r="EV25" i="1"/>
  <c r="EV26" i="1"/>
  <c r="EV27" i="1"/>
  <c r="EV28" i="1"/>
  <c r="EV6" i="1"/>
  <c r="EX5" i="1"/>
  <c r="EY5" i="1"/>
  <c r="EZ5" i="1"/>
  <c r="EW5" i="1"/>
  <c r="FB6" i="1"/>
  <c r="FB7" i="1"/>
  <c r="FB8" i="1"/>
  <c r="FB9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R5" i="1"/>
  <c r="ES5" i="1"/>
  <c r="ET5" i="1"/>
  <c r="EP6" i="1"/>
  <c r="EQ5" i="1"/>
  <c r="CW113" i="1" l="1"/>
  <c r="CX112" i="1"/>
  <c r="FD29" i="1"/>
  <c r="FC29" i="1"/>
  <c r="FE29" i="1"/>
  <c r="G79" i="1"/>
  <c r="G80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L5" i="1"/>
  <c r="EM5" i="1"/>
  <c r="EN5" i="1"/>
  <c r="EJ6" i="1"/>
  <c r="EK5" i="1"/>
  <c r="EE5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6" i="1"/>
  <c r="EF5" i="1"/>
  <c r="EG5" i="1"/>
  <c r="EH5" i="1"/>
  <c r="CW114" i="1" l="1"/>
  <c r="CX113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6" i="1"/>
  <c r="DQ5" i="1"/>
  <c r="DR5" i="1"/>
  <c r="DS5" i="1"/>
  <c r="DP5" i="1"/>
  <c r="BG78" i="1"/>
  <c r="C10" i="21"/>
  <c r="B23" i="21"/>
  <c r="K57" i="21"/>
  <c r="Q57" i="21"/>
  <c r="K58" i="21"/>
  <c r="Q58" i="21"/>
  <c r="K59" i="21"/>
  <c r="Q59" i="21"/>
  <c r="C60" i="21"/>
  <c r="D60" i="21"/>
  <c r="E60" i="21"/>
  <c r="F60" i="21"/>
  <c r="G60" i="21"/>
  <c r="H60" i="21"/>
  <c r="I60" i="21"/>
  <c r="J60" i="21"/>
  <c r="M60" i="21"/>
  <c r="N60" i="21"/>
  <c r="O60" i="21"/>
  <c r="P60" i="21"/>
  <c r="B25" i="21"/>
  <c r="B26" i="21"/>
  <c r="B27" i="21"/>
  <c r="B29" i="21"/>
  <c r="E29" i="21" s="1"/>
  <c r="B30" i="21"/>
  <c r="B31" i="21"/>
  <c r="E31" i="21" s="1"/>
  <c r="B24" i="21"/>
  <c r="B10" i="21"/>
  <c r="B28" i="21" s="1"/>
  <c r="E10" i="21"/>
  <c r="E3" i="21" s="1"/>
  <c r="D10" i="21"/>
  <c r="C3" i="21"/>
  <c r="E30" i="21"/>
  <c r="E27" i="21"/>
  <c r="E26" i="21"/>
  <c r="E25" i="21"/>
  <c r="E24" i="21"/>
  <c r="L12" i="21"/>
  <c r="K12" i="21"/>
  <c r="J12" i="21"/>
  <c r="I12" i="21"/>
  <c r="L11" i="21"/>
  <c r="K11" i="21"/>
  <c r="J11" i="21"/>
  <c r="I11" i="21"/>
  <c r="L10" i="21"/>
  <c r="K10" i="21"/>
  <c r="J10" i="21"/>
  <c r="I10" i="21"/>
  <c r="K9" i="21"/>
  <c r="L9" i="21"/>
  <c r="I9" i="21"/>
  <c r="L8" i="21"/>
  <c r="K8" i="21"/>
  <c r="J8" i="21"/>
  <c r="I8" i="21"/>
  <c r="L7" i="21"/>
  <c r="K7" i="21"/>
  <c r="J7" i="21"/>
  <c r="I7" i="21"/>
  <c r="L6" i="21"/>
  <c r="K6" i="21"/>
  <c r="J6" i="21"/>
  <c r="I6" i="21"/>
  <c r="L5" i="21"/>
  <c r="K5" i="21"/>
  <c r="J5" i="21"/>
  <c r="I5" i="21"/>
  <c r="L4" i="21"/>
  <c r="K4" i="21"/>
  <c r="J4" i="21"/>
  <c r="I4" i="21"/>
  <c r="D3" i="21"/>
  <c r="B3" i="21"/>
  <c r="L2" i="21"/>
  <c r="K2" i="21"/>
  <c r="J2" i="21"/>
  <c r="I2" i="21"/>
  <c r="BG214" i="1"/>
  <c r="BD214" i="1"/>
  <c r="BE214" i="1"/>
  <c r="BJ214" i="1" s="1"/>
  <c r="BF214" i="1"/>
  <c r="AF83" i="1"/>
  <c r="AE83" i="1"/>
  <c r="AG83" i="1"/>
  <c r="AH83" i="1"/>
  <c r="B105" i="1"/>
  <c r="C105" i="1"/>
  <c r="D105" i="1"/>
  <c r="E105" i="1"/>
  <c r="F105" i="1"/>
  <c r="L105" i="1"/>
  <c r="DX28" i="1"/>
  <c r="DY28" i="1"/>
  <c r="EE28" i="1" s="1"/>
  <c r="DZ28" i="1"/>
  <c r="EF28" i="1" s="1"/>
  <c r="EA28" i="1"/>
  <c r="EG28" i="1" s="1"/>
  <c r="EB28" i="1"/>
  <c r="EH28" i="1" s="1"/>
  <c r="FB28" i="1"/>
  <c r="CY76" i="1"/>
  <c r="CX76" i="1" s="1"/>
  <c r="BE78" i="1"/>
  <c r="AC28" i="1"/>
  <c r="AC83" i="1" s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D5" i="1"/>
  <c r="FE5" i="1"/>
  <c r="FF5" i="1"/>
  <c r="FC5" i="1"/>
  <c r="DY7" i="1"/>
  <c r="DZ7" i="1"/>
  <c r="EA7" i="1"/>
  <c r="DY8" i="1"/>
  <c r="DZ8" i="1"/>
  <c r="EA8" i="1"/>
  <c r="DY9" i="1"/>
  <c r="DZ9" i="1"/>
  <c r="EF9" i="1" s="1"/>
  <c r="EA9" i="1"/>
  <c r="EB9" i="1"/>
  <c r="DY10" i="1"/>
  <c r="EE10" i="1" s="1"/>
  <c r="DZ10" i="1"/>
  <c r="EF10" i="1" s="1"/>
  <c r="EA10" i="1"/>
  <c r="EG10" i="1" s="1"/>
  <c r="EB10" i="1"/>
  <c r="EH10" i="1" s="1"/>
  <c r="DY11" i="1"/>
  <c r="EE11" i="1" s="1"/>
  <c r="DZ11" i="1"/>
  <c r="EF11" i="1" s="1"/>
  <c r="EA11" i="1"/>
  <c r="EG11" i="1" s="1"/>
  <c r="EB11" i="1"/>
  <c r="EH11" i="1" s="1"/>
  <c r="DY12" i="1"/>
  <c r="EE12" i="1" s="1"/>
  <c r="DZ12" i="1"/>
  <c r="EF12" i="1" s="1"/>
  <c r="EA12" i="1"/>
  <c r="EG12" i="1" s="1"/>
  <c r="EB12" i="1"/>
  <c r="EH12" i="1" s="1"/>
  <c r="DY13" i="1"/>
  <c r="EE13" i="1" s="1"/>
  <c r="DZ13" i="1"/>
  <c r="EF13" i="1" s="1"/>
  <c r="EA13" i="1"/>
  <c r="EG13" i="1" s="1"/>
  <c r="EB13" i="1"/>
  <c r="EH13" i="1" s="1"/>
  <c r="DY14" i="1"/>
  <c r="EE14" i="1" s="1"/>
  <c r="DZ14" i="1"/>
  <c r="EF14" i="1" s="1"/>
  <c r="EA14" i="1"/>
  <c r="EG14" i="1" s="1"/>
  <c r="EB14" i="1"/>
  <c r="EH14" i="1" s="1"/>
  <c r="DY15" i="1"/>
  <c r="EE15" i="1" s="1"/>
  <c r="DZ15" i="1"/>
  <c r="EF15" i="1" s="1"/>
  <c r="EA15" i="1"/>
  <c r="EG15" i="1" s="1"/>
  <c r="EB15" i="1"/>
  <c r="EH15" i="1" s="1"/>
  <c r="DY16" i="1"/>
  <c r="EE16" i="1" s="1"/>
  <c r="DZ16" i="1"/>
  <c r="EF16" i="1" s="1"/>
  <c r="EA16" i="1"/>
  <c r="EG16" i="1" s="1"/>
  <c r="EB16" i="1"/>
  <c r="EH16" i="1" s="1"/>
  <c r="DY17" i="1"/>
  <c r="EE17" i="1" s="1"/>
  <c r="DZ17" i="1"/>
  <c r="EF17" i="1" s="1"/>
  <c r="EA17" i="1"/>
  <c r="EG17" i="1" s="1"/>
  <c r="EB17" i="1"/>
  <c r="EH17" i="1" s="1"/>
  <c r="DY18" i="1"/>
  <c r="EE18" i="1" s="1"/>
  <c r="DZ18" i="1"/>
  <c r="EF18" i="1" s="1"/>
  <c r="EA18" i="1"/>
  <c r="EG18" i="1" s="1"/>
  <c r="EB18" i="1"/>
  <c r="EH18" i="1" s="1"/>
  <c r="DY19" i="1"/>
  <c r="EE19" i="1" s="1"/>
  <c r="DZ19" i="1"/>
  <c r="EF19" i="1" s="1"/>
  <c r="EA19" i="1"/>
  <c r="EG19" i="1" s="1"/>
  <c r="EB19" i="1"/>
  <c r="EH19" i="1" s="1"/>
  <c r="DY20" i="1"/>
  <c r="EE20" i="1" s="1"/>
  <c r="DZ20" i="1"/>
  <c r="EF20" i="1" s="1"/>
  <c r="EA20" i="1"/>
  <c r="EG20" i="1" s="1"/>
  <c r="EB20" i="1"/>
  <c r="EH20" i="1" s="1"/>
  <c r="DY21" i="1"/>
  <c r="EE21" i="1" s="1"/>
  <c r="DZ21" i="1"/>
  <c r="EF21" i="1" s="1"/>
  <c r="EA21" i="1"/>
  <c r="EG21" i="1" s="1"/>
  <c r="EB21" i="1"/>
  <c r="EH21" i="1" s="1"/>
  <c r="DY22" i="1"/>
  <c r="EE22" i="1" s="1"/>
  <c r="DZ22" i="1"/>
  <c r="EF22" i="1" s="1"/>
  <c r="EA22" i="1"/>
  <c r="EG22" i="1" s="1"/>
  <c r="EB22" i="1"/>
  <c r="EH22" i="1" s="1"/>
  <c r="DY23" i="1"/>
  <c r="EE23" i="1" s="1"/>
  <c r="DZ23" i="1"/>
  <c r="EF23" i="1" s="1"/>
  <c r="EA23" i="1"/>
  <c r="EG23" i="1" s="1"/>
  <c r="EB23" i="1"/>
  <c r="EH23" i="1" s="1"/>
  <c r="DY24" i="1"/>
  <c r="EE24" i="1" s="1"/>
  <c r="DZ24" i="1"/>
  <c r="EF24" i="1" s="1"/>
  <c r="EA24" i="1"/>
  <c r="EG24" i="1" s="1"/>
  <c r="EB24" i="1"/>
  <c r="EH24" i="1" s="1"/>
  <c r="DY25" i="1"/>
  <c r="EE25" i="1" s="1"/>
  <c r="DZ25" i="1"/>
  <c r="EF25" i="1" s="1"/>
  <c r="EA25" i="1"/>
  <c r="EG25" i="1" s="1"/>
  <c r="EB25" i="1"/>
  <c r="EH25" i="1" s="1"/>
  <c r="DY26" i="1"/>
  <c r="EE26" i="1" s="1"/>
  <c r="DZ26" i="1"/>
  <c r="EF26" i="1" s="1"/>
  <c r="EA26" i="1"/>
  <c r="EG26" i="1" s="1"/>
  <c r="EB26" i="1"/>
  <c r="EH26" i="1" s="1"/>
  <c r="DY27" i="1"/>
  <c r="EE27" i="1" s="1"/>
  <c r="DZ27" i="1"/>
  <c r="EF27" i="1" s="1"/>
  <c r="EA27" i="1"/>
  <c r="EG27" i="1" s="1"/>
  <c r="EB27" i="1"/>
  <c r="EH27" i="1" s="1"/>
  <c r="DZ6" i="1"/>
  <c r="EA6" i="1"/>
  <c r="DY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Z5" i="1"/>
  <c r="EA5" i="1"/>
  <c r="EB5" i="1"/>
  <c r="DY5" i="1"/>
  <c r="DX6" i="1"/>
  <c r="BD77" i="1"/>
  <c r="B10" i="20"/>
  <c r="B28" i="20" s="1"/>
  <c r="D10" i="20"/>
  <c r="K9" i="20" s="1"/>
  <c r="E10" i="20"/>
  <c r="E3" i="20" s="1"/>
  <c r="B31" i="20"/>
  <c r="E31" i="20" s="1"/>
  <c r="B30" i="20"/>
  <c r="E30" i="20" s="1"/>
  <c r="B29" i="20"/>
  <c r="E29" i="20" s="1"/>
  <c r="B27" i="20"/>
  <c r="E27" i="20" s="1"/>
  <c r="B26" i="20"/>
  <c r="E26" i="20" s="1"/>
  <c r="B25" i="20"/>
  <c r="E25" i="20" s="1"/>
  <c r="B24" i="20"/>
  <c r="E24" i="20" s="1"/>
  <c r="B23" i="20"/>
  <c r="E23" i="20" s="1"/>
  <c r="L12" i="20"/>
  <c r="K12" i="20"/>
  <c r="J12" i="20"/>
  <c r="I12" i="20"/>
  <c r="L11" i="20"/>
  <c r="K11" i="20"/>
  <c r="J11" i="20"/>
  <c r="I11" i="20"/>
  <c r="L10" i="20"/>
  <c r="K10" i="20"/>
  <c r="J10" i="20"/>
  <c r="I10" i="20"/>
  <c r="L9" i="20"/>
  <c r="L3" i="20" s="1"/>
  <c r="J9" i="20"/>
  <c r="L8" i="20"/>
  <c r="K8" i="20"/>
  <c r="J8" i="20"/>
  <c r="I8" i="20"/>
  <c r="L7" i="20"/>
  <c r="K7" i="20"/>
  <c r="J7" i="20"/>
  <c r="I7" i="20"/>
  <c r="L6" i="20"/>
  <c r="K6" i="20"/>
  <c r="J6" i="20"/>
  <c r="I6" i="20"/>
  <c r="L5" i="20"/>
  <c r="K5" i="20"/>
  <c r="J5" i="20"/>
  <c r="I5" i="20"/>
  <c r="L4" i="20"/>
  <c r="K4" i="20"/>
  <c r="J4" i="20"/>
  <c r="I4" i="20"/>
  <c r="L2" i="20"/>
  <c r="K2" i="20"/>
  <c r="J2" i="20"/>
  <c r="I2" i="20"/>
  <c r="B104" i="1"/>
  <c r="C104" i="1"/>
  <c r="D104" i="1"/>
  <c r="E104" i="1"/>
  <c r="F104" i="1"/>
  <c r="L104" i="1"/>
  <c r="BD213" i="1"/>
  <c r="BE213" i="1"/>
  <c r="BJ213" i="1" s="1"/>
  <c r="BF213" i="1"/>
  <c r="AE82" i="1"/>
  <c r="AG82" i="1"/>
  <c r="AH82" i="1"/>
  <c r="DH9" i="1"/>
  <c r="DH8" i="1"/>
  <c r="DH7" i="1"/>
  <c r="DH6" i="1"/>
  <c r="DH5" i="1"/>
  <c r="DG9" i="1"/>
  <c r="DG8" i="1"/>
  <c r="DG7" i="1"/>
  <c r="DG6" i="1"/>
  <c r="DG5" i="1"/>
  <c r="DF8" i="1"/>
  <c r="DF7" i="1"/>
  <c r="DF6" i="1"/>
  <c r="DF5" i="1"/>
  <c r="DE9" i="1"/>
  <c r="AD82" i="1"/>
  <c r="AC27" i="1"/>
  <c r="AC82" i="1" s="1"/>
  <c r="CZ13" i="1"/>
  <c r="DB13" i="1"/>
  <c r="CZ10" i="1"/>
  <c r="DB10" i="1"/>
  <c r="CZ11" i="1"/>
  <c r="DB11" i="1"/>
  <c r="CZ12" i="1"/>
  <c r="DB12" i="1"/>
  <c r="CZ16" i="1"/>
  <c r="DB16" i="1"/>
  <c r="CZ14" i="1"/>
  <c r="DB14" i="1"/>
  <c r="CZ15" i="1"/>
  <c r="DB15" i="1"/>
  <c r="CZ17" i="1"/>
  <c r="DB17" i="1"/>
  <c r="CZ18" i="1"/>
  <c r="DB18" i="1"/>
  <c r="CZ19" i="1"/>
  <c r="DB19" i="1"/>
  <c r="CZ20" i="1"/>
  <c r="DB20" i="1"/>
  <c r="CZ21" i="1"/>
  <c r="DB21" i="1"/>
  <c r="CZ22" i="1"/>
  <c r="DB22" i="1"/>
  <c r="CZ23" i="1"/>
  <c r="DB23" i="1"/>
  <c r="CZ24" i="1"/>
  <c r="DB24" i="1"/>
  <c r="CZ25" i="1"/>
  <c r="DB25" i="1"/>
  <c r="CZ26" i="1"/>
  <c r="DB26" i="1"/>
  <c r="CZ27" i="1"/>
  <c r="DB27" i="1"/>
  <c r="CZ28" i="1"/>
  <c r="CZ29" i="1"/>
  <c r="CZ30" i="1"/>
  <c r="CZ31" i="1"/>
  <c r="CZ32" i="1"/>
  <c r="CZ33" i="1"/>
  <c r="CZ34" i="1"/>
  <c r="CZ35" i="1"/>
  <c r="CZ36" i="1"/>
  <c r="CZ40" i="1"/>
  <c r="DB7" i="1"/>
  <c r="DB8" i="1"/>
  <c r="DB9" i="1"/>
  <c r="DB6" i="1"/>
  <c r="E10" i="19"/>
  <c r="E3" i="19" s="1"/>
  <c r="D10" i="19"/>
  <c r="D3" i="19" s="1"/>
  <c r="C10" i="19"/>
  <c r="B10" i="19"/>
  <c r="B31" i="19"/>
  <c r="E31" i="19"/>
  <c r="B30" i="19"/>
  <c r="E30" i="19" s="1"/>
  <c r="B29" i="19"/>
  <c r="E29" i="19"/>
  <c r="B27" i="19"/>
  <c r="E27" i="19" s="1"/>
  <c r="B26" i="19"/>
  <c r="E26" i="19"/>
  <c r="B25" i="19"/>
  <c r="E25" i="19" s="1"/>
  <c r="B24" i="19"/>
  <c r="E24" i="19"/>
  <c r="B23" i="19"/>
  <c r="E23" i="19" s="1"/>
  <c r="L12" i="19"/>
  <c r="K12" i="19"/>
  <c r="J12" i="19"/>
  <c r="I12" i="19"/>
  <c r="L11" i="19"/>
  <c r="K11" i="19"/>
  <c r="J11" i="19"/>
  <c r="I11" i="19"/>
  <c r="L10" i="19"/>
  <c r="K10" i="19"/>
  <c r="J10" i="19"/>
  <c r="I10" i="19"/>
  <c r="L9" i="19"/>
  <c r="K9" i="19"/>
  <c r="J9" i="19"/>
  <c r="I9" i="19"/>
  <c r="L8" i="19"/>
  <c r="K8" i="19"/>
  <c r="J8" i="19"/>
  <c r="I8" i="19"/>
  <c r="L7" i="19"/>
  <c r="K7" i="19"/>
  <c r="J7" i="19"/>
  <c r="I7" i="19"/>
  <c r="L6" i="19"/>
  <c r="K6" i="19"/>
  <c r="J6" i="19"/>
  <c r="I6" i="19"/>
  <c r="L5" i="19"/>
  <c r="K5" i="19"/>
  <c r="J5" i="19"/>
  <c r="I5" i="19"/>
  <c r="L4" i="19"/>
  <c r="K4" i="19"/>
  <c r="J4" i="19"/>
  <c r="I4" i="19"/>
  <c r="L3" i="19"/>
  <c r="K3" i="19"/>
  <c r="J3" i="19"/>
  <c r="C3" i="19"/>
  <c r="B3" i="19"/>
  <c r="L2" i="19"/>
  <c r="K2" i="19"/>
  <c r="J2" i="19"/>
  <c r="I2" i="19"/>
  <c r="B103" i="1"/>
  <c r="C103" i="1"/>
  <c r="D103" i="1"/>
  <c r="E103" i="1"/>
  <c r="F103" i="1"/>
  <c r="L103" i="1"/>
  <c r="BD212" i="1"/>
  <c r="BE212" i="1"/>
  <c r="BJ212" i="1" s="1"/>
  <c r="BF212" i="1"/>
  <c r="BG212" i="1"/>
  <c r="BG213" i="1" s="1"/>
  <c r="AE81" i="1"/>
  <c r="AF81" i="1"/>
  <c r="AG81" i="1"/>
  <c r="AH81" i="1"/>
  <c r="CY68" i="1"/>
  <c r="CX68" i="1" s="1"/>
  <c r="CY70" i="1"/>
  <c r="CX70" i="1" s="1"/>
  <c r="AC26" i="1"/>
  <c r="AC81" i="1" s="1"/>
  <c r="E10" i="18"/>
  <c r="E3" i="18" s="1"/>
  <c r="D10" i="18"/>
  <c r="D3" i="18" s="1"/>
  <c r="C10" i="18"/>
  <c r="J9" i="18" s="1"/>
  <c r="B10" i="18"/>
  <c r="B3" i="18" s="1"/>
  <c r="I2" i="18"/>
  <c r="J2" i="18"/>
  <c r="K2" i="18"/>
  <c r="L2" i="18"/>
  <c r="I4" i="18"/>
  <c r="I5" i="18"/>
  <c r="I6" i="18"/>
  <c r="I7" i="18"/>
  <c r="I8" i="18"/>
  <c r="I9" i="18"/>
  <c r="I10" i="18"/>
  <c r="I11" i="18"/>
  <c r="I12" i="18"/>
  <c r="I3" i="18"/>
  <c r="J4" i="18"/>
  <c r="J3" i="18" s="1"/>
  <c r="J5" i="18"/>
  <c r="J6" i="18"/>
  <c r="J7" i="18"/>
  <c r="J8" i="18"/>
  <c r="J10" i="18"/>
  <c r="J11" i="18"/>
  <c r="J12" i="18"/>
  <c r="K4" i="18"/>
  <c r="K5" i="18"/>
  <c r="K6" i="18"/>
  <c r="K7" i="18"/>
  <c r="K8" i="18"/>
  <c r="K9" i="18"/>
  <c r="K10" i="18"/>
  <c r="K11" i="18"/>
  <c r="K12" i="18"/>
  <c r="K3" i="18"/>
  <c r="L4" i="18"/>
  <c r="L5" i="18"/>
  <c r="L6" i="18"/>
  <c r="L7" i="18"/>
  <c r="L8" i="18"/>
  <c r="L10" i="18"/>
  <c r="L11" i="18"/>
  <c r="L12" i="18"/>
  <c r="B23" i="18"/>
  <c r="E23" i="18" s="1"/>
  <c r="B24" i="18"/>
  <c r="E24" i="18" s="1"/>
  <c r="B25" i="18"/>
  <c r="B26" i="18"/>
  <c r="B27" i="18"/>
  <c r="E27" i="18" s="1"/>
  <c r="B28" i="18"/>
  <c r="E28" i="18" s="1"/>
  <c r="B29" i="18"/>
  <c r="B30" i="18"/>
  <c r="B31" i="18"/>
  <c r="E31" i="18" s="1"/>
  <c r="B22" i="18"/>
  <c r="E25" i="18"/>
  <c r="E26" i="18"/>
  <c r="E29" i="18"/>
  <c r="E30" i="18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L102" i="1"/>
  <c r="E102" i="1"/>
  <c r="D102" i="1"/>
  <c r="C102" i="1"/>
  <c r="B102" i="1"/>
  <c r="L101" i="1"/>
  <c r="E101" i="1"/>
  <c r="D101" i="1"/>
  <c r="C101" i="1"/>
  <c r="B101" i="1"/>
  <c r="L100" i="1"/>
  <c r="E100" i="1"/>
  <c r="D100" i="1"/>
  <c r="C100" i="1"/>
  <c r="B100" i="1"/>
  <c r="L99" i="1"/>
  <c r="E99" i="1"/>
  <c r="D99" i="1"/>
  <c r="C99" i="1"/>
  <c r="B99" i="1"/>
  <c r="AA14" i="1"/>
  <c r="BF57" i="1"/>
  <c r="CY21" i="1"/>
  <c r="CX21" i="1" s="1"/>
  <c r="CY16" i="1"/>
  <c r="CX16" i="1" s="1"/>
  <c r="CY23" i="1"/>
  <c r="CX23" i="1" s="1"/>
  <c r="CY13" i="1"/>
  <c r="CX13" i="1" s="1"/>
  <c r="CY25" i="1"/>
  <c r="CX25" i="1" s="1"/>
  <c r="CY26" i="1"/>
  <c r="CX26" i="1" s="1"/>
  <c r="BE56" i="1"/>
  <c r="BE57" i="1" s="1"/>
  <c r="BE58" i="1" s="1"/>
  <c r="BE59" i="1"/>
  <c r="BE60" i="1" s="1"/>
  <c r="CY30" i="1"/>
  <c r="CX30" i="1" s="1"/>
  <c r="BE63" i="1"/>
  <c r="BE64" i="1" s="1"/>
  <c r="BE65" i="1" s="1"/>
  <c r="CY33" i="1"/>
  <c r="CX33" i="1" s="1"/>
  <c r="CY36" i="1"/>
  <c r="CX36" i="1" s="1"/>
  <c r="CY38" i="1"/>
  <c r="CX38" i="1" s="1"/>
  <c r="CY39" i="1"/>
  <c r="CX39" i="1" s="1"/>
  <c r="CY41" i="1"/>
  <c r="CX41" i="1" s="1"/>
  <c r="CY46" i="1"/>
  <c r="CX46" i="1" s="1"/>
  <c r="BF70" i="1"/>
  <c r="BF71" i="1" s="1"/>
  <c r="BF72" i="1" s="1"/>
  <c r="CY49" i="1"/>
  <c r="CX49" i="1" s="1"/>
  <c r="CY50" i="1"/>
  <c r="CX50" i="1" s="1"/>
  <c r="BD72" i="1"/>
  <c r="CY54" i="1"/>
  <c r="CX54" i="1" s="1"/>
  <c r="CY58" i="1"/>
  <c r="CX58" i="1" s="1"/>
  <c r="BD74" i="1"/>
  <c r="CY60" i="1"/>
  <c r="CX60" i="1" s="1"/>
  <c r="CY62" i="1"/>
  <c r="CX62" i="1" s="1"/>
  <c r="CY65" i="1"/>
  <c r="CX65" i="1" s="1"/>
  <c r="CY66" i="1"/>
  <c r="CX66" i="1" s="1"/>
  <c r="CZ8" i="1"/>
  <c r="CZ6" i="1"/>
  <c r="CZ9" i="1"/>
  <c r="CZ7" i="1"/>
  <c r="BE211" i="1"/>
  <c r="BJ211" i="1" s="1"/>
  <c r="AD80" i="1"/>
  <c r="BD211" i="1"/>
  <c r="BF211" i="1"/>
  <c r="BG211" i="1"/>
  <c r="AF80" i="1"/>
  <c r="AF78" i="1"/>
  <c r="AF79" i="1" s="1"/>
  <c r="AC25" i="1"/>
  <c r="AC80" i="1" s="1"/>
  <c r="AE80" i="1"/>
  <c r="AG80" i="1"/>
  <c r="AH80" i="1"/>
  <c r="CD6" i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BW6" i="1"/>
  <c r="BW7" i="1" s="1"/>
  <c r="BW8" i="1" s="1"/>
  <c r="AD78" i="1"/>
  <c r="E10" i="17"/>
  <c r="D10" i="17"/>
  <c r="K9" i="17" s="1"/>
  <c r="D3" i="17"/>
  <c r="C10" i="17"/>
  <c r="B10" i="17"/>
  <c r="I2" i="17"/>
  <c r="J2" i="17"/>
  <c r="K2" i="17"/>
  <c r="L2" i="17"/>
  <c r="C3" i="17"/>
  <c r="I4" i="17"/>
  <c r="I5" i="17"/>
  <c r="I6" i="17"/>
  <c r="I7" i="17"/>
  <c r="I8" i="17"/>
  <c r="I10" i="17"/>
  <c r="I11" i="17"/>
  <c r="I12" i="17"/>
  <c r="J4" i="17"/>
  <c r="J5" i="17"/>
  <c r="J6" i="17"/>
  <c r="J7" i="17"/>
  <c r="J8" i="17"/>
  <c r="J9" i="17"/>
  <c r="J10" i="17"/>
  <c r="J11" i="17"/>
  <c r="J12" i="17"/>
  <c r="K4" i="17"/>
  <c r="K5" i="17"/>
  <c r="K6" i="17"/>
  <c r="K7" i="17"/>
  <c r="K8" i="17"/>
  <c r="K10" i="17"/>
  <c r="K11" i="17"/>
  <c r="K12" i="17"/>
  <c r="L4" i="17"/>
  <c r="L5" i="17"/>
  <c r="L6" i="17"/>
  <c r="L7" i="17"/>
  <c r="L8" i="17"/>
  <c r="L10" i="17"/>
  <c r="L11" i="17"/>
  <c r="L12" i="17"/>
  <c r="B23" i="17"/>
  <c r="B24" i="17"/>
  <c r="B25" i="17"/>
  <c r="B26" i="17"/>
  <c r="B27" i="17"/>
  <c r="B29" i="17"/>
  <c r="B30" i="17"/>
  <c r="B31" i="17"/>
  <c r="E23" i="17"/>
  <c r="E24" i="17"/>
  <c r="E25" i="17"/>
  <c r="E26" i="17"/>
  <c r="E27" i="17"/>
  <c r="E29" i="17"/>
  <c r="E30" i="17"/>
  <c r="E31" i="17"/>
  <c r="BG203" i="1"/>
  <c r="BG204" i="1" s="1"/>
  <c r="BG205" i="1" s="1"/>
  <c r="BG206" i="1" s="1"/>
  <c r="BG207" i="1" s="1"/>
  <c r="BG208" i="1" s="1"/>
  <c r="BG209" i="1"/>
  <c r="AD62" i="1"/>
  <c r="ET9" i="1"/>
  <c r="AD66" i="1"/>
  <c r="AD68" i="1"/>
  <c r="AD72" i="1"/>
  <c r="AD74" i="1"/>
  <c r="AD76" i="1"/>
  <c r="BG210" i="1"/>
  <c r="BD210" i="1"/>
  <c r="BE210" i="1"/>
  <c r="BJ210" i="1" s="1"/>
  <c r="BF210" i="1"/>
  <c r="AH79" i="1"/>
  <c r="AC24" i="1"/>
  <c r="AC79" i="1" s="1"/>
  <c r="AE79" i="1"/>
  <c r="AG79" i="1"/>
  <c r="AI79" i="1"/>
  <c r="AG75" i="1"/>
  <c r="AG76" i="1" s="1"/>
  <c r="AG77" i="1" s="1"/>
  <c r="E10" i="16"/>
  <c r="L9" i="16" s="1"/>
  <c r="D10" i="16"/>
  <c r="D3" i="16" s="1"/>
  <c r="C10" i="16"/>
  <c r="B10" i="16"/>
  <c r="B3" i="16"/>
  <c r="I2" i="16"/>
  <c r="J2" i="16"/>
  <c r="K2" i="16"/>
  <c r="L2" i="16"/>
  <c r="E3" i="16"/>
  <c r="I4" i="16"/>
  <c r="I5" i="16"/>
  <c r="I6" i="16"/>
  <c r="I3" i="16" s="1"/>
  <c r="I7" i="16"/>
  <c r="I8" i="16"/>
  <c r="I9" i="16"/>
  <c r="I10" i="16"/>
  <c r="I11" i="16"/>
  <c r="I12" i="16"/>
  <c r="J4" i="16"/>
  <c r="J5" i="16"/>
  <c r="J6" i="16"/>
  <c r="J7" i="16"/>
  <c r="J8" i="16"/>
  <c r="J10" i="16"/>
  <c r="J11" i="16"/>
  <c r="J12" i="16"/>
  <c r="K4" i="16"/>
  <c r="K5" i="16"/>
  <c r="K6" i="16"/>
  <c r="K7" i="16"/>
  <c r="K8" i="16"/>
  <c r="K9" i="16"/>
  <c r="K10" i="16"/>
  <c r="K11" i="16"/>
  <c r="K12" i="16"/>
  <c r="K3" i="16"/>
  <c r="L4" i="16"/>
  <c r="L5" i="16"/>
  <c r="L6" i="16"/>
  <c r="L3" i="16" s="1"/>
  <c r="L7" i="16"/>
  <c r="L8" i="16"/>
  <c r="L10" i="16"/>
  <c r="L11" i="16"/>
  <c r="L12" i="16"/>
  <c r="B23" i="16"/>
  <c r="B24" i="16"/>
  <c r="B25" i="16"/>
  <c r="B26" i="16"/>
  <c r="B27" i="16"/>
  <c r="B29" i="16"/>
  <c r="B30" i="16"/>
  <c r="B31" i="16"/>
  <c r="E23" i="16"/>
  <c r="E24" i="16"/>
  <c r="E25" i="16"/>
  <c r="E26" i="16"/>
  <c r="E27" i="16"/>
  <c r="E29" i="16"/>
  <c r="E30" i="16"/>
  <c r="E31" i="16"/>
  <c r="BE209" i="1"/>
  <c r="BJ209" i="1" s="1"/>
  <c r="BF209" i="1"/>
  <c r="BD209" i="1"/>
  <c r="DL9" i="1"/>
  <c r="DL7" i="1"/>
  <c r="DL6" i="1"/>
  <c r="DL8" i="1"/>
  <c r="DL10" i="1"/>
  <c r="DL5" i="1"/>
  <c r="AI78" i="1"/>
  <c r="AG78" i="1"/>
  <c r="AE78" i="1"/>
  <c r="AC7" i="1"/>
  <c r="AC62" i="1" s="1"/>
  <c r="AC8" i="1"/>
  <c r="AC63" i="1" s="1"/>
  <c r="AC9" i="1"/>
  <c r="AC64" i="1" s="1"/>
  <c r="AC10" i="1"/>
  <c r="AC65" i="1" s="1"/>
  <c r="AC11" i="1"/>
  <c r="AC66" i="1" s="1"/>
  <c r="AC12" i="1"/>
  <c r="AC67" i="1" s="1"/>
  <c r="AC13" i="1"/>
  <c r="AC68" i="1" s="1"/>
  <c r="AC14" i="1"/>
  <c r="AC69" i="1" s="1"/>
  <c r="AC15" i="1"/>
  <c r="AC70" i="1" s="1"/>
  <c r="AC16" i="1"/>
  <c r="AC71" i="1" s="1"/>
  <c r="AC17" i="1"/>
  <c r="AC72" i="1" s="1"/>
  <c r="AC18" i="1"/>
  <c r="AC73" i="1" s="1"/>
  <c r="AC19" i="1"/>
  <c r="AC74" i="1" s="1"/>
  <c r="AC20" i="1"/>
  <c r="AC75" i="1" s="1"/>
  <c r="AC21" i="1"/>
  <c r="AC76" i="1" s="1"/>
  <c r="AC22" i="1"/>
  <c r="AC77" i="1" s="1"/>
  <c r="AC23" i="1"/>
  <c r="AC78" i="1" s="1"/>
  <c r="AC6" i="1"/>
  <c r="AC61" i="1" s="1"/>
  <c r="AF60" i="1"/>
  <c r="AG60" i="1"/>
  <c r="AH60" i="1"/>
  <c r="AI60" i="1"/>
  <c r="AO60" i="1"/>
  <c r="AE60" i="1"/>
  <c r="AI59" i="1"/>
  <c r="B10" i="15"/>
  <c r="B25" i="15"/>
  <c r="E25" i="15" s="1"/>
  <c r="B26" i="15"/>
  <c r="B27" i="15"/>
  <c r="E27" i="15" s="1"/>
  <c r="B29" i="15"/>
  <c r="B30" i="15"/>
  <c r="E30" i="15" s="1"/>
  <c r="B31" i="15"/>
  <c r="E31" i="15" s="1"/>
  <c r="B24" i="15"/>
  <c r="B23" i="15"/>
  <c r="E10" i="15"/>
  <c r="C10" i="15"/>
  <c r="C3" i="15" s="1"/>
  <c r="I2" i="15"/>
  <c r="J2" i="15"/>
  <c r="K2" i="15"/>
  <c r="L2" i="15"/>
  <c r="B3" i="15"/>
  <c r="D3" i="15"/>
  <c r="I4" i="15"/>
  <c r="I5" i="15"/>
  <c r="I6" i="15"/>
  <c r="I7" i="15"/>
  <c r="I8" i="15"/>
  <c r="I9" i="15"/>
  <c r="I10" i="15"/>
  <c r="I11" i="15"/>
  <c r="I12" i="15"/>
  <c r="J4" i="15"/>
  <c r="J5" i="15"/>
  <c r="J6" i="15"/>
  <c r="J7" i="15"/>
  <c r="J8" i="15"/>
  <c r="J10" i="15"/>
  <c r="J11" i="15"/>
  <c r="J12" i="15"/>
  <c r="K4" i="15"/>
  <c r="K5" i="15"/>
  <c r="K6" i="15"/>
  <c r="K7" i="15"/>
  <c r="K8" i="15"/>
  <c r="K9" i="15"/>
  <c r="K10" i="15"/>
  <c r="K11" i="15"/>
  <c r="K12" i="15"/>
  <c r="L4" i="15"/>
  <c r="L5" i="15"/>
  <c r="L6" i="15"/>
  <c r="L7" i="15"/>
  <c r="L8" i="15"/>
  <c r="L10" i="15"/>
  <c r="L11" i="15"/>
  <c r="L12" i="15"/>
  <c r="E26" i="15"/>
  <c r="E29" i="15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BE208" i="1"/>
  <c r="BJ208" i="1" s="1"/>
  <c r="BF208" i="1"/>
  <c r="BF206" i="1"/>
  <c r="BF207" i="1" s="1"/>
  <c r="BD208" i="1"/>
  <c r="AH75" i="1"/>
  <c r="AH76" i="1" s="1"/>
  <c r="AF73" i="1"/>
  <c r="AF74" i="1" s="1"/>
  <c r="AF75" i="1" s="1"/>
  <c r="AF76" i="1" s="1"/>
  <c r="AF77" i="1"/>
  <c r="AH77" i="1"/>
  <c r="AE77" i="1"/>
  <c r="B25" i="14"/>
  <c r="B26" i="14"/>
  <c r="B27" i="14"/>
  <c r="B29" i="14"/>
  <c r="B30" i="14"/>
  <c r="B31" i="14"/>
  <c r="B24" i="14"/>
  <c r="B23" i="14"/>
  <c r="C10" i="14"/>
  <c r="B10" i="14"/>
  <c r="I2" i="14"/>
  <c r="J2" i="14"/>
  <c r="K2" i="14"/>
  <c r="L2" i="14"/>
  <c r="D3" i="14"/>
  <c r="E3" i="14"/>
  <c r="I4" i="14"/>
  <c r="I5" i="14"/>
  <c r="I6" i="14"/>
  <c r="I7" i="14"/>
  <c r="I8" i="14"/>
  <c r="I9" i="14"/>
  <c r="I10" i="14"/>
  <c r="I11" i="14"/>
  <c r="I12" i="14"/>
  <c r="J4" i="14"/>
  <c r="J5" i="14"/>
  <c r="J6" i="14"/>
  <c r="J7" i="14"/>
  <c r="J8" i="14"/>
  <c r="J11" i="14"/>
  <c r="J12" i="14"/>
  <c r="J10" i="14"/>
  <c r="K4" i="14"/>
  <c r="K5" i="14"/>
  <c r="K6" i="14"/>
  <c r="K7" i="14"/>
  <c r="K8" i="14"/>
  <c r="K9" i="14"/>
  <c r="K10" i="14"/>
  <c r="K11" i="14"/>
  <c r="K12" i="14"/>
  <c r="L4" i="14"/>
  <c r="L5" i="14"/>
  <c r="L6" i="14"/>
  <c r="L7" i="14"/>
  <c r="L8" i="14"/>
  <c r="L9" i="14"/>
  <c r="L10" i="14"/>
  <c r="L11" i="14"/>
  <c r="L12" i="14"/>
  <c r="BE207" i="1"/>
  <c r="BJ207" i="1" s="1"/>
  <c r="BD207" i="1"/>
  <c r="AF59" i="1"/>
  <c r="AG59" i="1"/>
  <c r="AH59" i="1"/>
  <c r="AO59" i="1"/>
  <c r="AE59" i="1"/>
  <c r="AE76" i="1"/>
  <c r="AO76" i="1"/>
  <c r="BE193" i="1"/>
  <c r="BJ193" i="1" s="1"/>
  <c r="BE194" i="1"/>
  <c r="BJ194" i="1" s="1"/>
  <c r="BE195" i="1"/>
  <c r="BJ195" i="1" s="1"/>
  <c r="BE196" i="1"/>
  <c r="BJ196" i="1" s="1"/>
  <c r="BE197" i="1"/>
  <c r="BJ197" i="1" s="1"/>
  <c r="BE198" i="1"/>
  <c r="BJ198" i="1" s="1"/>
  <c r="BE199" i="1"/>
  <c r="BJ199" i="1" s="1"/>
  <c r="BE200" i="1"/>
  <c r="BJ200" i="1" s="1"/>
  <c r="BE201" i="1"/>
  <c r="BJ201" i="1" s="1"/>
  <c r="BE202" i="1"/>
  <c r="BJ202" i="1" s="1"/>
  <c r="BE203" i="1"/>
  <c r="BJ203" i="1" s="1"/>
  <c r="BE204" i="1"/>
  <c r="BJ204" i="1" s="1"/>
  <c r="BE205" i="1"/>
  <c r="BJ205" i="1" s="1"/>
  <c r="BE206" i="1"/>
  <c r="BJ206" i="1" s="1"/>
  <c r="BE192" i="1"/>
  <c r="BJ192" i="1" s="1"/>
  <c r="BG198" i="1"/>
  <c r="BG199" i="1" s="1"/>
  <c r="BG200" i="1" s="1"/>
  <c r="BG201" i="1" s="1"/>
  <c r="BG202" i="1"/>
  <c r="BG195" i="1"/>
  <c r="BG196" i="1" s="1"/>
  <c r="BG197" i="1" s="1"/>
  <c r="BF199" i="1"/>
  <c r="BF200" i="1" s="1"/>
  <c r="BF201" i="1" s="1"/>
  <c r="BF195" i="1"/>
  <c r="BF196" i="1" s="1"/>
  <c r="BF192" i="1"/>
  <c r="BF193" i="1" s="1"/>
  <c r="BF194" i="1" s="1"/>
  <c r="BD206" i="1"/>
  <c r="BF205" i="1"/>
  <c r="BD205" i="1"/>
  <c r="BF204" i="1"/>
  <c r="BD204" i="1"/>
  <c r="BF203" i="1"/>
  <c r="BD203" i="1"/>
  <c r="BF202" i="1"/>
  <c r="BD202" i="1"/>
  <c r="BD201" i="1"/>
  <c r="BD200" i="1"/>
  <c r="BD199" i="1"/>
  <c r="BF198" i="1"/>
  <c r="BD198" i="1"/>
  <c r="BF197" i="1"/>
  <c r="BD197" i="1"/>
  <c r="BD196" i="1"/>
  <c r="BD195" i="1"/>
  <c r="BD194" i="1"/>
  <c r="BD193" i="1"/>
  <c r="BD192" i="1"/>
  <c r="B30" i="13"/>
  <c r="E30" i="13" s="1"/>
  <c r="B23" i="13"/>
  <c r="B10" i="13"/>
  <c r="E10" i="13"/>
  <c r="D10" i="13"/>
  <c r="I2" i="13"/>
  <c r="J2" i="13"/>
  <c r="K2" i="13"/>
  <c r="L2" i="13"/>
  <c r="B3" i="13"/>
  <c r="C3" i="13"/>
  <c r="I4" i="13"/>
  <c r="I5" i="13"/>
  <c r="I6" i="13"/>
  <c r="I7" i="13"/>
  <c r="I8" i="13"/>
  <c r="I9" i="13"/>
  <c r="I10" i="13"/>
  <c r="I11" i="13"/>
  <c r="I12" i="13"/>
  <c r="K4" i="13"/>
  <c r="K5" i="13"/>
  <c r="K6" i="13"/>
  <c r="K7" i="13"/>
  <c r="K8" i="13"/>
  <c r="K10" i="13"/>
  <c r="K11" i="13"/>
  <c r="K12" i="13"/>
  <c r="L4" i="13"/>
  <c r="L5" i="13"/>
  <c r="L6" i="13"/>
  <c r="L7" i="13"/>
  <c r="L8" i="13"/>
  <c r="L10" i="13"/>
  <c r="L11" i="13"/>
  <c r="L12" i="13"/>
  <c r="J4" i="13"/>
  <c r="J5" i="13"/>
  <c r="J6" i="13"/>
  <c r="J7" i="13"/>
  <c r="J8" i="13"/>
  <c r="J9" i="13"/>
  <c r="J10" i="13"/>
  <c r="J11" i="13"/>
  <c r="J12" i="13"/>
  <c r="B24" i="13"/>
  <c r="B25" i="13"/>
  <c r="B26" i="13"/>
  <c r="E26" i="13"/>
  <c r="B27" i="13"/>
  <c r="B28" i="13"/>
  <c r="E28" i="13" s="1"/>
  <c r="B29" i="13"/>
  <c r="B31" i="13"/>
  <c r="E31" i="13" s="1"/>
  <c r="E23" i="13"/>
  <c r="E25" i="13"/>
  <c r="E27" i="13"/>
  <c r="E29" i="13"/>
  <c r="AE75" i="1"/>
  <c r="B10" i="12"/>
  <c r="D10" i="12"/>
  <c r="K9" i="12" s="1"/>
  <c r="E10" i="12"/>
  <c r="C3" i="12"/>
  <c r="I2" i="12"/>
  <c r="J2" i="12"/>
  <c r="K2" i="12"/>
  <c r="L2" i="12"/>
  <c r="D3" i="12"/>
  <c r="E3" i="12"/>
  <c r="I4" i="12"/>
  <c r="I5" i="12"/>
  <c r="I6" i="12"/>
  <c r="I7" i="12"/>
  <c r="I8" i="12"/>
  <c r="I9" i="12"/>
  <c r="I10" i="12"/>
  <c r="I11" i="12"/>
  <c r="I12" i="12"/>
  <c r="J4" i="12"/>
  <c r="J5" i="12"/>
  <c r="J6" i="12"/>
  <c r="J7" i="12"/>
  <c r="J8" i="12"/>
  <c r="J9" i="12"/>
  <c r="J10" i="12"/>
  <c r="J11" i="12"/>
  <c r="J12" i="12"/>
  <c r="K4" i="12"/>
  <c r="K5" i="12"/>
  <c r="K6" i="12"/>
  <c r="K7" i="12"/>
  <c r="K8" i="12"/>
  <c r="K10" i="12"/>
  <c r="K11" i="12"/>
  <c r="K12" i="12"/>
  <c r="L4" i="12"/>
  <c r="L5" i="12"/>
  <c r="L6" i="12"/>
  <c r="L7" i="12"/>
  <c r="L8" i="12"/>
  <c r="L9" i="12"/>
  <c r="L10" i="12"/>
  <c r="L11" i="12"/>
  <c r="L12" i="12"/>
  <c r="B23" i="12"/>
  <c r="E23" i="12" s="1"/>
  <c r="B24" i="12"/>
  <c r="B25" i="12"/>
  <c r="B26" i="12"/>
  <c r="E26" i="12" s="1"/>
  <c r="B27" i="12"/>
  <c r="E27" i="12"/>
  <c r="B29" i="12"/>
  <c r="E29" i="12" s="1"/>
  <c r="B31" i="12"/>
  <c r="E31" i="12" s="1"/>
  <c r="E24" i="12"/>
  <c r="AE74" i="1"/>
  <c r="AG74" i="1"/>
  <c r="AH74" i="1"/>
  <c r="L2" i="11"/>
  <c r="K2" i="11"/>
  <c r="J2" i="11"/>
  <c r="I2" i="11"/>
  <c r="D10" i="11"/>
  <c r="B10" i="11"/>
  <c r="C3" i="11"/>
  <c r="E3" i="11"/>
  <c r="I4" i="11"/>
  <c r="I5" i="11"/>
  <c r="I6" i="11"/>
  <c r="I7" i="11"/>
  <c r="I8" i="11"/>
  <c r="I10" i="11"/>
  <c r="I11" i="11"/>
  <c r="I12" i="11"/>
  <c r="J4" i="11"/>
  <c r="J5" i="11"/>
  <c r="J6" i="11"/>
  <c r="J7" i="11"/>
  <c r="J8" i="11"/>
  <c r="J9" i="11"/>
  <c r="J10" i="11"/>
  <c r="J11" i="11"/>
  <c r="J12" i="11"/>
  <c r="K4" i="11"/>
  <c r="K5" i="11"/>
  <c r="K6" i="11"/>
  <c r="K7" i="11"/>
  <c r="K8" i="11"/>
  <c r="K10" i="11"/>
  <c r="K11" i="11"/>
  <c r="K12" i="11"/>
  <c r="L4" i="11"/>
  <c r="L5" i="11"/>
  <c r="L6" i="11"/>
  <c r="L7" i="11"/>
  <c r="L8" i="11"/>
  <c r="L9" i="11"/>
  <c r="L10" i="11"/>
  <c r="L11" i="11"/>
  <c r="L12" i="11"/>
  <c r="B23" i="11"/>
  <c r="E23" i="11" s="1"/>
  <c r="B24" i="11"/>
  <c r="B25" i="11"/>
  <c r="E25" i="11" s="1"/>
  <c r="B26" i="11"/>
  <c r="E26" i="11" s="1"/>
  <c r="B27" i="11"/>
  <c r="E27" i="11" s="1"/>
  <c r="B28" i="11"/>
  <c r="E28" i="11" s="1"/>
  <c r="B29" i="11"/>
  <c r="E29" i="11"/>
  <c r="B31" i="11"/>
  <c r="E31" i="11" s="1"/>
  <c r="AE73" i="1"/>
  <c r="AG73" i="1"/>
  <c r="B3" i="10"/>
  <c r="C3" i="10"/>
  <c r="D3" i="10"/>
  <c r="E3" i="10"/>
  <c r="I4" i="10"/>
  <c r="I5" i="10"/>
  <c r="I6" i="10"/>
  <c r="I7" i="10"/>
  <c r="I8" i="10"/>
  <c r="I9" i="10"/>
  <c r="I10" i="10"/>
  <c r="I11" i="10"/>
  <c r="I12" i="10"/>
  <c r="J4" i="10"/>
  <c r="J5" i="10"/>
  <c r="J6" i="10"/>
  <c r="J7" i="10"/>
  <c r="J8" i="10"/>
  <c r="J9" i="10"/>
  <c r="J10" i="10"/>
  <c r="J11" i="10"/>
  <c r="J12" i="10"/>
  <c r="K4" i="10"/>
  <c r="K5" i="10"/>
  <c r="K6" i="10"/>
  <c r="K7" i="10"/>
  <c r="K8" i="10"/>
  <c r="K9" i="10"/>
  <c r="K10" i="10"/>
  <c r="K11" i="10"/>
  <c r="K12" i="10"/>
  <c r="L4" i="10"/>
  <c r="L5" i="10"/>
  <c r="L6" i="10"/>
  <c r="L7" i="10"/>
  <c r="L8" i="10"/>
  <c r="L9" i="10"/>
  <c r="L10" i="10"/>
  <c r="L11" i="10"/>
  <c r="L12" i="10"/>
  <c r="B23" i="10"/>
  <c r="E23" i="10" s="1"/>
  <c r="B24" i="10"/>
  <c r="B25" i="10"/>
  <c r="B26" i="10"/>
  <c r="E26" i="10"/>
  <c r="B27" i="10"/>
  <c r="B28" i="10"/>
  <c r="E28" i="10" s="1"/>
  <c r="B29" i="10"/>
  <c r="E29" i="10" s="1"/>
  <c r="B31" i="10"/>
  <c r="E31" i="10" s="1"/>
  <c r="E22" i="10" s="1"/>
  <c r="E25" i="10"/>
  <c r="E27" i="10"/>
  <c r="BD67" i="1"/>
  <c r="AE72" i="1"/>
  <c r="AF72" i="1"/>
  <c r="AG72" i="1"/>
  <c r="AH72" i="1"/>
  <c r="BF58" i="1"/>
  <c r="BD65" i="1"/>
  <c r="L12" i="9"/>
  <c r="K12" i="9"/>
  <c r="J12" i="9"/>
  <c r="L11" i="9"/>
  <c r="K11" i="9"/>
  <c r="J11" i="9"/>
  <c r="L10" i="9"/>
  <c r="K10" i="9"/>
  <c r="J10" i="9"/>
  <c r="L9" i="9"/>
  <c r="K9" i="9"/>
  <c r="J9" i="9"/>
  <c r="L8" i="9"/>
  <c r="K8" i="9"/>
  <c r="J8" i="9"/>
  <c r="L7" i="9"/>
  <c r="K7" i="9"/>
  <c r="J7" i="9"/>
  <c r="L6" i="9"/>
  <c r="K6" i="9"/>
  <c r="J6" i="9"/>
  <c r="L5" i="9"/>
  <c r="K5" i="9"/>
  <c r="J5" i="9"/>
  <c r="L4" i="9"/>
  <c r="L3" i="9" s="1"/>
  <c r="K4" i="9"/>
  <c r="J4" i="9"/>
  <c r="J3" i="9" s="1"/>
  <c r="I11" i="9"/>
  <c r="K3" i="9"/>
  <c r="C3" i="9"/>
  <c r="D3" i="9"/>
  <c r="E3" i="9"/>
  <c r="B3" i="9"/>
  <c r="I4" i="9"/>
  <c r="I5" i="9"/>
  <c r="I6" i="9"/>
  <c r="I7" i="9"/>
  <c r="I8" i="9"/>
  <c r="I9" i="9"/>
  <c r="I10" i="9"/>
  <c r="I12" i="9"/>
  <c r="B23" i="9"/>
  <c r="E23" i="9" s="1"/>
  <c r="B24" i="9"/>
  <c r="B25" i="9"/>
  <c r="B26" i="9"/>
  <c r="E26" i="9"/>
  <c r="B27" i="9"/>
  <c r="B28" i="9"/>
  <c r="E28" i="9" s="1"/>
  <c r="B29" i="9"/>
  <c r="E29" i="9" s="1"/>
  <c r="B31" i="9"/>
  <c r="E31" i="9" s="1"/>
  <c r="E22" i="9" s="1"/>
  <c r="E25" i="9"/>
  <c r="E27" i="9"/>
  <c r="AF71" i="1"/>
  <c r="AG71" i="1"/>
  <c r="AH71" i="1"/>
  <c r="AE71" i="1"/>
  <c r="B3" i="8"/>
  <c r="C3" i="8"/>
  <c r="G4" i="8"/>
  <c r="G5" i="8"/>
  <c r="G6" i="8"/>
  <c r="G7" i="8"/>
  <c r="G9" i="8"/>
  <c r="G10" i="8"/>
  <c r="G8" i="8"/>
  <c r="G11" i="8"/>
  <c r="H4" i="8"/>
  <c r="H5" i="8"/>
  <c r="H6" i="8"/>
  <c r="H9" i="8"/>
  <c r="H10" i="8"/>
  <c r="H7" i="8"/>
  <c r="H8" i="8"/>
  <c r="H11" i="8"/>
  <c r="B22" i="8"/>
  <c r="B23" i="8"/>
  <c r="B24" i="8"/>
  <c r="B25" i="8"/>
  <c r="C25" i="8" s="1"/>
  <c r="B27" i="8"/>
  <c r="C27" i="8" s="1"/>
  <c r="B28" i="8"/>
  <c r="C28" i="8"/>
  <c r="B26" i="8"/>
  <c r="B29" i="8"/>
  <c r="C29" i="8" s="1"/>
  <c r="C22" i="8"/>
  <c r="C24" i="8"/>
  <c r="C26" i="8"/>
  <c r="AE70" i="1"/>
  <c r="AG70" i="1"/>
  <c r="B24" i="7"/>
  <c r="C24" i="7" s="1"/>
  <c r="B25" i="7"/>
  <c r="C25" i="7" s="1"/>
  <c r="B26" i="7"/>
  <c r="B27" i="7"/>
  <c r="C27" i="7" s="1"/>
  <c r="B28" i="7"/>
  <c r="C28" i="7" s="1"/>
  <c r="B29" i="7"/>
  <c r="C29" i="7" s="1"/>
  <c r="C26" i="7"/>
  <c r="B23" i="7"/>
  <c r="C23" i="7" s="1"/>
  <c r="B22" i="7"/>
  <c r="G6" i="7"/>
  <c r="H6" i="7"/>
  <c r="G7" i="7"/>
  <c r="H7" i="7"/>
  <c r="G8" i="7"/>
  <c r="H8" i="7"/>
  <c r="G9" i="7"/>
  <c r="H9" i="7"/>
  <c r="G10" i="7"/>
  <c r="H10" i="7"/>
  <c r="G11" i="7"/>
  <c r="H11" i="7"/>
  <c r="H5" i="7"/>
  <c r="G5" i="7"/>
  <c r="H4" i="7"/>
  <c r="H3" i="7" s="1"/>
  <c r="G4" i="7"/>
  <c r="G3" i="7" s="1"/>
  <c r="C3" i="7"/>
  <c r="B3" i="7"/>
  <c r="AE69" i="1"/>
  <c r="AG69" i="1"/>
  <c r="AE68" i="1"/>
  <c r="AF68" i="1"/>
  <c r="AG68" i="1"/>
  <c r="AH67" i="1"/>
  <c r="AE67" i="1"/>
  <c r="AF67" i="1"/>
  <c r="AG67" i="1"/>
  <c r="AF66" i="1"/>
  <c r="AE66" i="1"/>
  <c r="AG66" i="1"/>
  <c r="AE65" i="1"/>
  <c r="AG65" i="1"/>
  <c r="AE62" i="1"/>
  <c r="AG62" i="1"/>
  <c r="AE63" i="1"/>
  <c r="AG63" i="1"/>
  <c r="AE64" i="1"/>
  <c r="AF64" i="1"/>
  <c r="AG64" i="1"/>
  <c r="AH64" i="1"/>
  <c r="AF61" i="1"/>
  <c r="AG61" i="1"/>
  <c r="AE61" i="1"/>
  <c r="BG76" i="1"/>
  <c r="AD81" i="1"/>
  <c r="B22" i="10"/>
  <c r="E24" i="10"/>
  <c r="C23" i="8"/>
  <c r="C21" i="8" s="1"/>
  <c r="B22" i="9"/>
  <c r="E24" i="9"/>
  <c r="J9" i="14"/>
  <c r="C3" i="14"/>
  <c r="E23" i="15"/>
  <c r="B28" i="19"/>
  <c r="I3" i="19"/>
  <c r="E28" i="19"/>
  <c r="B22" i="19"/>
  <c r="AD70" i="1"/>
  <c r="BB212" i="1"/>
  <c r="BP21" i="1"/>
  <c r="BQ21" i="1" s="1"/>
  <c r="BB200" i="1"/>
  <c r="CY32" i="1"/>
  <c r="CX32" i="1" s="1"/>
  <c r="BF59" i="1"/>
  <c r="CY8" i="1"/>
  <c r="CX8" i="1" s="1"/>
  <c r="AD65" i="1"/>
  <c r="BD69" i="1"/>
  <c r="BD71" i="1"/>
  <c r="BB204" i="1"/>
  <c r="BB208" i="1"/>
  <c r="AD67" i="1"/>
  <c r="AD71" i="1"/>
  <c r="BG66" i="1"/>
  <c r="BE66" i="1"/>
  <c r="BF75" i="1"/>
  <c r="BD70" i="1"/>
  <c r="BD68" i="1"/>
  <c r="BF60" i="1"/>
  <c r="DF9" i="1"/>
  <c r="DE5" i="1"/>
  <c r="B3" i="20"/>
  <c r="I9" i="20"/>
  <c r="I3" i="20"/>
  <c r="E28" i="20"/>
  <c r="B22" i="20"/>
  <c r="E22" i="20"/>
  <c r="CY71" i="1"/>
  <c r="CX71" i="1" s="1"/>
  <c r="I3" i="21"/>
  <c r="L3" i="21"/>
  <c r="J9" i="21"/>
  <c r="J3" i="21"/>
  <c r="K3" i="21"/>
  <c r="E23" i="21"/>
  <c r="L73" i="1" l="1"/>
  <c r="L77" i="1"/>
  <c r="L71" i="1"/>
  <c r="L75" i="1"/>
  <c r="L74" i="1"/>
  <c r="L72" i="1"/>
  <c r="L76" i="1"/>
  <c r="L78" i="1"/>
  <c r="B78" i="1"/>
  <c r="B74" i="1"/>
  <c r="B77" i="1"/>
  <c r="B73" i="1"/>
  <c r="B76" i="1"/>
  <c r="B72" i="1"/>
  <c r="B75" i="1"/>
  <c r="B71" i="1"/>
  <c r="E78" i="1"/>
  <c r="E75" i="1"/>
  <c r="E73" i="1"/>
  <c r="E76" i="1"/>
  <c r="E72" i="1"/>
  <c r="E77" i="1"/>
  <c r="E74" i="1"/>
  <c r="E71" i="1"/>
  <c r="D78" i="1"/>
  <c r="D74" i="1"/>
  <c r="D72" i="1"/>
  <c r="D75" i="1"/>
  <c r="D77" i="1"/>
  <c r="D73" i="1"/>
  <c r="D76" i="1"/>
  <c r="D71" i="1"/>
  <c r="C78" i="1"/>
  <c r="C74" i="1"/>
  <c r="C72" i="1"/>
  <c r="C75" i="1"/>
  <c r="C71" i="1"/>
  <c r="C77" i="1"/>
  <c r="C73" i="1"/>
  <c r="C76" i="1"/>
  <c r="F71" i="1"/>
  <c r="F75" i="1"/>
  <c r="F74" i="1"/>
  <c r="F78" i="1"/>
  <c r="F73" i="1"/>
  <c r="F77" i="1"/>
  <c r="F72" i="1"/>
  <c r="F76" i="1"/>
  <c r="CW115" i="1"/>
  <c r="CX115" i="1" s="1"/>
  <c r="CX114" i="1"/>
  <c r="BF61" i="1"/>
  <c r="AA26" i="1"/>
  <c r="Z15" i="1"/>
  <c r="CY20" i="1"/>
  <c r="CX20" i="1" s="1"/>
  <c r="CY42" i="1"/>
  <c r="CX42" i="1" s="1"/>
  <c r="AA18" i="1"/>
  <c r="AM5" i="1"/>
  <c r="AA6" i="1"/>
  <c r="DP35" i="1"/>
  <c r="DP34" i="1"/>
  <c r="Z6" i="1"/>
  <c r="CY67" i="1"/>
  <c r="CX67" i="1" s="1"/>
  <c r="AA17" i="1"/>
  <c r="DR34" i="1"/>
  <c r="DR35" i="1"/>
  <c r="CY14" i="1"/>
  <c r="CX14" i="1" s="1"/>
  <c r="AA13" i="1"/>
  <c r="AA9" i="1"/>
  <c r="CY72" i="1"/>
  <c r="CX72" i="1" s="1"/>
  <c r="AA27" i="1"/>
  <c r="CY77" i="1"/>
  <c r="CX77" i="1" s="1"/>
  <c r="BE61" i="1"/>
  <c r="BE67" i="1"/>
  <c r="CY52" i="1"/>
  <c r="CX52" i="1" s="1"/>
  <c r="AA22" i="1"/>
  <c r="CY44" i="1"/>
  <c r="CX44" i="1" s="1"/>
  <c r="AA19" i="1"/>
  <c r="AN5" i="1"/>
  <c r="DQ35" i="1"/>
  <c r="DQ34" i="1"/>
  <c r="CY22" i="1"/>
  <c r="CX22" i="1" s="1"/>
  <c r="DS34" i="1"/>
  <c r="DS35" i="1"/>
  <c r="BD66" i="1"/>
  <c r="AA16" i="1"/>
  <c r="BD62" i="1"/>
  <c r="AA12" i="1"/>
  <c r="AA8" i="1"/>
  <c r="CY10" i="1"/>
  <c r="CX10" i="1" s="1"/>
  <c r="AA10" i="1"/>
  <c r="BP11" i="1"/>
  <c r="BQ11" i="1" s="1"/>
  <c r="BD76" i="1"/>
  <c r="BE68" i="1"/>
  <c r="BE69" i="1" s="1"/>
  <c r="BE70" i="1" s="1"/>
  <c r="BE71" i="1" s="1"/>
  <c r="BD64" i="1"/>
  <c r="BD75" i="1"/>
  <c r="AA25" i="1"/>
  <c r="CY59" i="1"/>
  <c r="CX59" i="1" s="1"/>
  <c r="AA24" i="1"/>
  <c r="BD73" i="1"/>
  <c r="AA23" i="1"/>
  <c r="AA21" i="1"/>
  <c r="CY47" i="1"/>
  <c r="CX47" i="1" s="1"/>
  <c r="AA20" i="1"/>
  <c r="Z18" i="1"/>
  <c r="CY17" i="1"/>
  <c r="CX17" i="1" s="1"/>
  <c r="AA15" i="1"/>
  <c r="CY11" i="1"/>
  <c r="CX11" i="1" s="1"/>
  <c r="AA11" i="1"/>
  <c r="AA7" i="1"/>
  <c r="BD78" i="1"/>
  <c r="AA28" i="1"/>
  <c r="B22" i="21"/>
  <c r="E28" i="21"/>
  <c r="E22" i="18"/>
  <c r="E22" i="19"/>
  <c r="G3" i="8"/>
  <c r="L3" i="12"/>
  <c r="DQ33" i="1"/>
  <c r="DQ32" i="1"/>
  <c r="C3" i="18"/>
  <c r="J3" i="20"/>
  <c r="B28" i="15"/>
  <c r="E28" i="15" s="1"/>
  <c r="J3" i="11"/>
  <c r="DS33" i="1"/>
  <c r="DS32" i="1"/>
  <c r="DP33" i="1"/>
  <c r="DP32" i="1"/>
  <c r="Z26" i="1"/>
  <c r="E22" i="21"/>
  <c r="L3" i="11"/>
  <c r="J3" i="12"/>
  <c r="J3" i="13"/>
  <c r="K3" i="14"/>
  <c r="J9" i="15"/>
  <c r="BP19" i="1"/>
  <c r="BQ19" i="1" s="1"/>
  <c r="DR33" i="1"/>
  <c r="DR32" i="1"/>
  <c r="L9" i="18"/>
  <c r="L3" i="18" s="1"/>
  <c r="K3" i="20"/>
  <c r="ET10" i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BG59" i="1"/>
  <c r="DS31" i="1"/>
  <c r="DS29" i="1"/>
  <c r="DS30" i="1"/>
  <c r="CY28" i="1"/>
  <c r="CX28" i="1" s="1"/>
  <c r="CP38" i="1"/>
  <c r="CP37" i="1"/>
  <c r="DQ31" i="1"/>
  <c r="DQ30" i="1"/>
  <c r="BT6" i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DP31" i="1"/>
  <c r="DP30" i="1"/>
  <c r="CY51" i="1"/>
  <c r="CX51" i="1" s="1"/>
  <c r="BV6" i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DR31" i="1"/>
  <c r="DR30" i="1"/>
  <c r="Z9" i="1"/>
  <c r="DH10" i="1"/>
  <c r="BF77" i="1"/>
  <c r="BP27" i="1"/>
  <c r="BQ27" i="1" s="1"/>
  <c r="Z14" i="1"/>
  <c r="BF62" i="1"/>
  <c r="Z20" i="1"/>
  <c r="Z24" i="1"/>
  <c r="Z10" i="1"/>
  <c r="BP20" i="1"/>
  <c r="BQ20" i="1" s="1"/>
  <c r="BE76" i="1"/>
  <c r="BE77" i="1" s="1"/>
  <c r="BD63" i="1"/>
  <c r="BF67" i="1"/>
  <c r="BG70" i="1"/>
  <c r="BG71" i="1" s="1"/>
  <c r="DF10" i="1"/>
  <c r="CD21" i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BP25" i="1"/>
  <c r="BQ25" i="1" s="1"/>
  <c r="BP23" i="1"/>
  <c r="BQ23" i="1" s="1"/>
  <c r="BP8" i="1"/>
  <c r="BQ8" i="1" s="1"/>
  <c r="DG10" i="1"/>
  <c r="DM11" i="1"/>
  <c r="AR2" i="1"/>
  <c r="A65" i="1"/>
  <c r="H65" i="1" s="1"/>
  <c r="A63" i="1"/>
  <c r="H63" i="1" s="1"/>
  <c r="Z28" i="1"/>
  <c r="BP28" i="1"/>
  <c r="BQ28" i="1" s="1"/>
  <c r="Z11" i="1"/>
  <c r="BF65" i="1"/>
  <c r="BU6" i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P24" i="1"/>
  <c r="BQ24" i="1" s="1"/>
  <c r="BD58" i="1"/>
  <c r="BP15" i="1"/>
  <c r="BQ15" i="1" s="1"/>
  <c r="BP7" i="1"/>
  <c r="BQ7" i="1" s="1"/>
  <c r="Z17" i="1"/>
  <c r="BP13" i="1"/>
  <c r="BQ13" i="1" s="1"/>
  <c r="Z13" i="1"/>
  <c r="BB205" i="1"/>
  <c r="BD56" i="1"/>
  <c r="FG28" i="1"/>
  <c r="BP26" i="1"/>
  <c r="BQ26" i="1" s="1"/>
  <c r="BP12" i="1"/>
  <c r="BQ12" i="1" s="1"/>
  <c r="CY19" i="1"/>
  <c r="CX19" i="1" s="1"/>
  <c r="DR29" i="1"/>
  <c r="CY34" i="1"/>
  <c r="CX34" i="1" s="1"/>
  <c r="DQ29" i="1"/>
  <c r="CY6" i="1"/>
  <c r="CX6" i="1" s="1"/>
  <c r="DP29" i="1"/>
  <c r="ES6" i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Q6" i="1"/>
  <c r="ER6" i="1"/>
  <c r="BF74" i="1"/>
  <c r="BH74" i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G69" i="1"/>
  <c r="AD61" i="1"/>
  <c r="BG72" i="1"/>
  <c r="BG73" i="1" s="1"/>
  <c r="BG75" i="1"/>
  <c r="BP14" i="1"/>
  <c r="BQ14" i="1" s="1"/>
  <c r="BP6" i="1"/>
  <c r="BQ6" i="1" s="1"/>
  <c r="BB203" i="1"/>
  <c r="BB207" i="1"/>
  <c r="AD64" i="1"/>
  <c r="BF56" i="1"/>
  <c r="BF64" i="1"/>
  <c r="BD61" i="1"/>
  <c r="BW9" i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CU22" i="1"/>
  <c r="AD77" i="1"/>
  <c r="AD73" i="1"/>
  <c r="BB202" i="1"/>
  <c r="AD69" i="1"/>
  <c r="BB198" i="1"/>
  <c r="BB196" i="1"/>
  <c r="EE6" i="1"/>
  <c r="FG6" i="1"/>
  <c r="FC6" i="1" s="1"/>
  <c r="EF6" i="1"/>
  <c r="EG9" i="1"/>
  <c r="EE9" i="1"/>
  <c r="FG9" i="1"/>
  <c r="FD9" i="1" s="1"/>
  <c r="EF8" i="1"/>
  <c r="EG7" i="1"/>
  <c r="EE7" i="1"/>
  <c r="FG7" i="1"/>
  <c r="FC7" i="1" s="1"/>
  <c r="BB214" i="1"/>
  <c r="BB192" i="1"/>
  <c r="BB201" i="1"/>
  <c r="BB199" i="1"/>
  <c r="BB197" i="1"/>
  <c r="BB195" i="1"/>
  <c r="BB193" i="1"/>
  <c r="BB209" i="1"/>
  <c r="BB211" i="1"/>
  <c r="BB213" i="1"/>
  <c r="EG6" i="1"/>
  <c r="EH9" i="1"/>
  <c r="EG8" i="1"/>
  <c r="EE8" i="1"/>
  <c r="FG8" i="1"/>
  <c r="FC8" i="1" s="1"/>
  <c r="EF7" i="1"/>
  <c r="DJ6" i="1"/>
  <c r="A61" i="1"/>
  <c r="H61" i="1" s="1"/>
  <c r="Z27" i="1"/>
  <c r="AD75" i="1"/>
  <c r="BB206" i="1"/>
  <c r="BB194" i="1"/>
  <c r="AD63" i="1"/>
  <c r="AD79" i="1"/>
  <c r="BB210" i="1"/>
  <c r="CY64" i="1"/>
  <c r="CX64" i="1" s="1"/>
  <c r="BE75" i="1"/>
  <c r="CY55" i="1"/>
  <c r="CX55" i="1" s="1"/>
  <c r="Z23" i="1"/>
  <c r="Z22" i="1"/>
  <c r="BP22" i="1"/>
  <c r="BQ22" i="1" s="1"/>
  <c r="BN71" i="1"/>
  <c r="Z21" i="1"/>
  <c r="CY48" i="1"/>
  <c r="CX48" i="1" s="1"/>
  <c r="CY37" i="1"/>
  <c r="CX37" i="1" s="1"/>
  <c r="BP17" i="1"/>
  <c r="BQ17" i="1" s="1"/>
  <c r="CY35" i="1"/>
  <c r="CX35" i="1" s="1"/>
  <c r="BG62" i="1"/>
  <c r="BG63" i="1" s="1"/>
  <c r="BG64" i="1" s="1"/>
  <c r="BG65" i="1" s="1"/>
  <c r="CY18" i="1"/>
  <c r="CX18" i="1" s="1"/>
  <c r="BP16" i="1"/>
  <c r="BQ16" i="1" s="1"/>
  <c r="Z16" i="1"/>
  <c r="CY15" i="1"/>
  <c r="CX15" i="1" s="1"/>
  <c r="CY12" i="1"/>
  <c r="CX12" i="1" s="1"/>
  <c r="Z12" i="1"/>
  <c r="BD60" i="1"/>
  <c r="BP10" i="1"/>
  <c r="BQ10" i="1" s="1"/>
  <c r="Z8" i="1"/>
  <c r="BF76" i="1"/>
  <c r="CY69" i="1"/>
  <c r="CX69" i="1" s="1"/>
  <c r="CY63" i="1"/>
  <c r="CX63" i="1" s="1"/>
  <c r="Z25" i="1"/>
  <c r="BX23" i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H73" i="1"/>
  <c r="CY56" i="1"/>
  <c r="CX56" i="1" s="1"/>
  <c r="BE73" i="1"/>
  <c r="BE74" i="1" s="1"/>
  <c r="CY45" i="1"/>
  <c r="CX45" i="1" s="1"/>
  <c r="Z19" i="1"/>
  <c r="BF69" i="1"/>
  <c r="CY40" i="1"/>
  <c r="CX40" i="1" s="1"/>
  <c r="BG67" i="1"/>
  <c r="CY29" i="1"/>
  <c r="CX29" i="1" s="1"/>
  <c r="BP9" i="1"/>
  <c r="BQ9" i="1" s="1"/>
  <c r="CY24" i="1"/>
  <c r="CX24" i="1" s="1"/>
  <c r="BF63" i="1"/>
  <c r="CY7" i="1"/>
  <c r="CX7" i="1" s="1"/>
  <c r="BD57" i="1"/>
  <c r="Z7" i="1"/>
  <c r="AU2" i="1"/>
  <c r="DE8" i="1"/>
  <c r="DK8" i="1" s="1"/>
  <c r="A68" i="1"/>
  <c r="H68" i="1" s="1"/>
  <c r="A67" i="1"/>
  <c r="H67" i="1" s="1"/>
  <c r="A66" i="1"/>
  <c r="H66" i="1" s="1"/>
  <c r="A64" i="1"/>
  <c r="H64" i="1" s="1"/>
  <c r="A62" i="1"/>
  <c r="H62" i="1" s="1"/>
  <c r="BG77" i="1"/>
  <c r="CY73" i="1"/>
  <c r="CX73" i="1" s="1"/>
  <c r="CU21" i="1"/>
  <c r="BB2" i="1"/>
  <c r="AS2" i="1"/>
  <c r="AS5" i="1"/>
  <c r="AT2" i="1"/>
  <c r="DK9" i="1"/>
  <c r="DJ9" i="1"/>
  <c r="DE7" i="1"/>
  <c r="DK7" i="1" s="1"/>
  <c r="AU5" i="1"/>
  <c r="AV2" i="1"/>
  <c r="DE10" i="1"/>
  <c r="H3" i="8"/>
  <c r="E24" i="11"/>
  <c r="E22" i="11" s="1"/>
  <c r="B22" i="11"/>
  <c r="E25" i="12"/>
  <c r="B22" i="12"/>
  <c r="B3" i="12"/>
  <c r="B28" i="12"/>
  <c r="E28" i="12" s="1"/>
  <c r="E24" i="13"/>
  <c r="E22" i="13" s="1"/>
  <c r="B22" i="13"/>
  <c r="D3" i="13"/>
  <c r="K9" i="13"/>
  <c r="K3" i="13" s="1"/>
  <c r="K3" i="15"/>
  <c r="I3" i="15"/>
  <c r="E3" i="15"/>
  <c r="L9" i="15"/>
  <c r="E24" i="15"/>
  <c r="E22" i="15" s="1"/>
  <c r="B22" i="15"/>
  <c r="C3" i="16"/>
  <c r="J9" i="16"/>
  <c r="J3" i="16" s="1"/>
  <c r="B28" i="16"/>
  <c r="K3" i="17"/>
  <c r="CY61" i="1"/>
  <c r="CX61" i="1" s="1"/>
  <c r="BG74" i="1"/>
  <c r="CY53" i="1"/>
  <c r="CX53" i="1" s="1"/>
  <c r="BE72" i="1"/>
  <c r="CY43" i="1"/>
  <c r="CX43" i="1" s="1"/>
  <c r="BP18" i="1"/>
  <c r="BQ18" i="1" s="1"/>
  <c r="BF68" i="1"/>
  <c r="CY27" i="1"/>
  <c r="CX27" i="1" s="1"/>
  <c r="BF66" i="1"/>
  <c r="I3" i="9"/>
  <c r="L3" i="10"/>
  <c r="J3" i="10"/>
  <c r="I3" i="11"/>
  <c r="K9" i="11"/>
  <c r="K3" i="11" s="1"/>
  <c r="D3" i="11"/>
  <c r="J3" i="14"/>
  <c r="B3" i="14"/>
  <c r="B28" i="14"/>
  <c r="B22" i="14" s="1"/>
  <c r="C22" i="7"/>
  <c r="C21" i="7" s="1"/>
  <c r="B21" i="7"/>
  <c r="B21" i="8"/>
  <c r="K3" i="10"/>
  <c r="I3" i="10"/>
  <c r="B3" i="11"/>
  <c r="I9" i="11"/>
  <c r="K3" i="12"/>
  <c r="I3" i="12"/>
  <c r="I3" i="13"/>
  <c r="E3" i="13"/>
  <c r="L9" i="13"/>
  <c r="L3" i="13" s="1"/>
  <c r="L3" i="14"/>
  <c r="I3" i="14"/>
  <c r="L3" i="15"/>
  <c r="J3" i="15"/>
  <c r="E22" i="17"/>
  <c r="L3" i="17"/>
  <c r="J3" i="17"/>
  <c r="B3" i="17"/>
  <c r="I9" i="17"/>
  <c r="I3" i="17" s="1"/>
  <c r="B28" i="17"/>
  <c r="E28" i="17" s="1"/>
  <c r="E3" i="17"/>
  <c r="L9" i="17"/>
  <c r="CY57" i="1"/>
  <c r="CX57" i="1" s="1"/>
  <c r="BF73" i="1"/>
  <c r="CY31" i="1"/>
  <c r="CX31" i="1" s="1"/>
  <c r="BE62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CY9" i="1"/>
  <c r="CX9" i="1" s="1"/>
  <c r="BD59" i="1"/>
  <c r="DS10" i="1"/>
  <c r="DS12" i="1"/>
  <c r="DS14" i="1"/>
  <c r="DS16" i="1"/>
  <c r="DS18" i="1"/>
  <c r="DS20" i="1"/>
  <c r="DS22" i="1"/>
  <c r="DS24" i="1"/>
  <c r="DS26" i="1"/>
  <c r="DS28" i="1"/>
  <c r="DS9" i="1"/>
  <c r="DS11" i="1"/>
  <c r="DS13" i="1"/>
  <c r="DS15" i="1"/>
  <c r="DS17" i="1"/>
  <c r="DS19" i="1"/>
  <c r="DS21" i="1"/>
  <c r="DS23" i="1"/>
  <c r="DS25" i="1"/>
  <c r="DS27" i="1"/>
  <c r="DR24" i="1"/>
  <c r="DR25" i="1"/>
  <c r="DR26" i="1"/>
  <c r="DR27" i="1"/>
  <c r="DR28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P27" i="1"/>
  <c r="DP25" i="1"/>
  <c r="DP23" i="1"/>
  <c r="DP21" i="1"/>
  <c r="DP19" i="1"/>
  <c r="DP17" i="1"/>
  <c r="DP15" i="1"/>
  <c r="DP13" i="1"/>
  <c r="DP11" i="1"/>
  <c r="DP9" i="1"/>
  <c r="DP7" i="1"/>
  <c r="DU6" i="1"/>
  <c r="DP28" i="1"/>
  <c r="DP26" i="1"/>
  <c r="DP24" i="1"/>
  <c r="DP22" i="1"/>
  <c r="DP20" i="1"/>
  <c r="DP18" i="1"/>
  <c r="DP16" i="1"/>
  <c r="DP14" i="1"/>
  <c r="DP12" i="1"/>
  <c r="DP10" i="1"/>
  <c r="DP8" i="1"/>
  <c r="DP6" i="1"/>
  <c r="FG27" i="1"/>
  <c r="FE27" i="1" s="1"/>
  <c r="FG25" i="1"/>
  <c r="FE25" i="1" s="1"/>
  <c r="FG23" i="1"/>
  <c r="FE23" i="1" s="1"/>
  <c r="FG21" i="1"/>
  <c r="FE21" i="1" s="1"/>
  <c r="FG19" i="1"/>
  <c r="FE19" i="1" s="1"/>
  <c r="FG17" i="1"/>
  <c r="FE17" i="1" s="1"/>
  <c r="FG15" i="1"/>
  <c r="FE15" i="1" s="1"/>
  <c r="FG13" i="1"/>
  <c r="FE13" i="1" s="1"/>
  <c r="FG11" i="1"/>
  <c r="FE11" i="1" s="1"/>
  <c r="D3" i="20"/>
  <c r="CU24" i="1"/>
  <c r="CR26" i="1"/>
  <c r="CU23" i="1"/>
  <c r="FG26" i="1"/>
  <c r="FC26" i="1" s="1"/>
  <c r="FG24" i="1"/>
  <c r="FC24" i="1" s="1"/>
  <c r="FG22" i="1"/>
  <c r="FC22" i="1" s="1"/>
  <c r="FG20" i="1"/>
  <c r="FC20" i="1" s="1"/>
  <c r="FG18" i="1"/>
  <c r="FC18" i="1" s="1"/>
  <c r="FG16" i="1"/>
  <c r="FC16" i="1" s="1"/>
  <c r="FG14" i="1"/>
  <c r="FC14" i="1" s="1"/>
  <c r="FG12" i="1"/>
  <c r="FC12" i="1" s="1"/>
  <c r="FG10" i="1"/>
  <c r="FC10" i="1" s="1"/>
  <c r="CY75" i="1"/>
  <c r="CX75" i="1" s="1"/>
  <c r="BF78" i="1"/>
  <c r="BF79" i="1" s="1"/>
  <c r="BF80" i="1" s="1"/>
  <c r="BF81" i="1" s="1"/>
  <c r="AR5" i="1"/>
  <c r="AT5" i="1"/>
  <c r="AV5" i="1"/>
  <c r="CY74" i="1"/>
  <c r="CX74" i="1" s="1"/>
  <c r="AD83" i="1"/>
  <c r="DK5" i="1"/>
  <c r="DM5" i="1"/>
  <c r="DJ5" i="1"/>
  <c r="DM9" i="1"/>
  <c r="DT6" i="1" l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C116" i="1"/>
  <c r="CJ116" i="1" s="1"/>
  <c r="CL116" i="1" s="1"/>
  <c r="DC117" i="1"/>
  <c r="CK117" i="1" s="1"/>
  <c r="DC118" i="1"/>
  <c r="CI118" i="1" s="1"/>
  <c r="DC119" i="1"/>
  <c r="CI119" i="1" s="1"/>
  <c r="CI116" i="1"/>
  <c r="P72" i="1"/>
  <c r="P76" i="1"/>
  <c r="P73" i="1"/>
  <c r="P77" i="1"/>
  <c r="P71" i="1"/>
  <c r="P74" i="1"/>
  <c r="P78" i="1"/>
  <c r="P75" i="1"/>
  <c r="R72" i="1"/>
  <c r="R76" i="1"/>
  <c r="R73" i="1"/>
  <c r="R71" i="1"/>
  <c r="R75" i="1"/>
  <c r="R77" i="1"/>
  <c r="R74" i="1"/>
  <c r="R78" i="1"/>
  <c r="Q71" i="1"/>
  <c r="Q75" i="1"/>
  <c r="Q74" i="1"/>
  <c r="Q78" i="1"/>
  <c r="Q73" i="1"/>
  <c r="Q77" i="1"/>
  <c r="Q72" i="1"/>
  <c r="Q76" i="1"/>
  <c r="S73" i="1"/>
  <c r="S77" i="1"/>
  <c r="S78" i="1"/>
  <c r="S72" i="1"/>
  <c r="S76" i="1"/>
  <c r="S74" i="1"/>
  <c r="S71" i="1"/>
  <c r="S75" i="1"/>
  <c r="DC105" i="1"/>
  <c r="CJ105" i="1" s="1"/>
  <c r="DC109" i="1"/>
  <c r="CJ109" i="1" s="1"/>
  <c r="DC113" i="1"/>
  <c r="CJ113" i="1" s="1"/>
  <c r="DC106" i="1"/>
  <c r="CJ106" i="1" s="1"/>
  <c r="DC110" i="1"/>
  <c r="CJ110" i="1" s="1"/>
  <c r="DC114" i="1"/>
  <c r="CJ114" i="1" s="1"/>
  <c r="DC107" i="1"/>
  <c r="CJ107" i="1" s="1"/>
  <c r="DC111" i="1"/>
  <c r="CJ111" i="1" s="1"/>
  <c r="DC115" i="1"/>
  <c r="CJ115" i="1" s="1"/>
  <c r="DC108" i="1"/>
  <c r="CJ108" i="1" s="1"/>
  <c r="DC112" i="1"/>
  <c r="CJ112" i="1" s="1"/>
  <c r="DC104" i="1"/>
  <c r="DK6" i="1"/>
  <c r="DC98" i="1"/>
  <c r="DC100" i="1"/>
  <c r="DC103" i="1"/>
  <c r="DC99" i="1"/>
  <c r="DC102" i="1"/>
  <c r="DC97" i="1"/>
  <c r="DC101" i="1"/>
  <c r="A72" i="1"/>
  <c r="E80" i="1"/>
  <c r="C80" i="1"/>
  <c r="A77" i="1"/>
  <c r="F79" i="1"/>
  <c r="A78" i="1"/>
  <c r="L80" i="1"/>
  <c r="DJ8" i="1"/>
  <c r="A73" i="1"/>
  <c r="A71" i="1"/>
  <c r="DJ7" i="1"/>
  <c r="A74" i="1"/>
  <c r="F80" i="1"/>
  <c r="L79" i="1"/>
  <c r="FC13" i="1"/>
  <c r="FF25" i="1"/>
  <c r="DK10" i="1"/>
  <c r="DJ10" i="1"/>
  <c r="E22" i="12"/>
  <c r="FD6" i="1"/>
  <c r="ER7" i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DC95" i="1"/>
  <c r="CJ95" i="1" s="1"/>
  <c r="DC94" i="1"/>
  <c r="CJ94" i="1" s="1"/>
  <c r="DC96" i="1"/>
  <c r="CJ96" i="1" s="1"/>
  <c r="DC93" i="1"/>
  <c r="CJ93" i="1" s="1"/>
  <c r="DM6" i="1"/>
  <c r="DM8" i="1"/>
  <c r="ES31" i="1"/>
  <c r="ES32" i="1" s="1"/>
  <c r="ES33" i="1" s="1"/>
  <c r="ES34" i="1" s="1"/>
  <c r="FD7" i="1"/>
  <c r="ET31" i="1"/>
  <c r="ET32" i="1" s="1"/>
  <c r="ET33" i="1" s="1"/>
  <c r="ET34" i="1" s="1"/>
  <c r="DC89" i="1"/>
  <c r="DC92" i="1"/>
  <c r="CJ92" i="1" s="1"/>
  <c r="DC90" i="1"/>
  <c r="DC91" i="1"/>
  <c r="DC85" i="1"/>
  <c r="DC86" i="1"/>
  <c r="DC88" i="1"/>
  <c r="DC87" i="1"/>
  <c r="DC82" i="1"/>
  <c r="DC84" i="1"/>
  <c r="DC83" i="1"/>
  <c r="DM7" i="1"/>
  <c r="DM10" i="1"/>
  <c r="DJ11" i="1"/>
  <c r="DK11" i="1"/>
  <c r="FC21" i="1"/>
  <c r="FD17" i="1"/>
  <c r="FC28" i="1"/>
  <c r="FF28" i="1"/>
  <c r="FE28" i="1"/>
  <c r="FD28" i="1"/>
  <c r="B80" i="1"/>
  <c r="FE6" i="1"/>
  <c r="A76" i="1"/>
  <c r="DC79" i="1"/>
  <c r="DC81" i="1"/>
  <c r="DC78" i="1"/>
  <c r="DC80" i="1"/>
  <c r="A75" i="1"/>
  <c r="FC17" i="1"/>
  <c r="FC25" i="1"/>
  <c r="FF13" i="1"/>
  <c r="FF21" i="1"/>
  <c r="B79" i="1"/>
  <c r="FF9" i="1"/>
  <c r="FC9" i="1"/>
  <c r="C79" i="1"/>
  <c r="EQ7" i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Y6" i="1"/>
  <c r="EX6" i="1"/>
  <c r="EW6" i="1"/>
  <c r="FF11" i="1"/>
  <c r="FD15" i="1"/>
  <c r="FF19" i="1"/>
  <c r="FF23" i="1"/>
  <c r="FF27" i="1"/>
  <c r="FE8" i="1"/>
  <c r="FE7" i="1"/>
  <c r="FD8" i="1"/>
  <c r="FE9" i="1"/>
  <c r="E79" i="1"/>
  <c r="FD10" i="1"/>
  <c r="FD18" i="1"/>
  <c r="D79" i="1"/>
  <c r="D80" i="1"/>
  <c r="B22" i="16"/>
  <c r="E28" i="16"/>
  <c r="E22" i="16" s="1"/>
  <c r="FC11" i="1"/>
  <c r="FC15" i="1"/>
  <c r="FC19" i="1"/>
  <c r="FC23" i="1"/>
  <c r="FC27" i="1"/>
  <c r="FD11" i="1"/>
  <c r="FD13" i="1"/>
  <c r="FD14" i="1"/>
  <c r="FF15" i="1"/>
  <c r="FF17" i="1"/>
  <c r="FD19" i="1"/>
  <c r="FD21" i="1"/>
  <c r="FD23" i="1"/>
  <c r="FD25" i="1"/>
  <c r="FD27" i="1"/>
  <c r="B22" i="17"/>
  <c r="DC24" i="1"/>
  <c r="DC67" i="1"/>
  <c r="DC41" i="1"/>
  <c r="DC16" i="1"/>
  <c r="DC35" i="1"/>
  <c r="FF10" i="1"/>
  <c r="FF12" i="1"/>
  <c r="FF14" i="1"/>
  <c r="FF16" i="1"/>
  <c r="FF18" i="1"/>
  <c r="FF20" i="1"/>
  <c r="FF22" i="1"/>
  <c r="FF24" i="1"/>
  <c r="FF26" i="1"/>
  <c r="FE10" i="1"/>
  <c r="FE12" i="1"/>
  <c r="FE14" i="1"/>
  <c r="FE16" i="1"/>
  <c r="FE18" i="1"/>
  <c r="FE20" i="1"/>
  <c r="FE22" i="1"/>
  <c r="FE24" i="1"/>
  <c r="FE26" i="1"/>
  <c r="DC19" i="1"/>
  <c r="DC21" i="1"/>
  <c r="DC36" i="1"/>
  <c r="DC42" i="1"/>
  <c r="DC39" i="1"/>
  <c r="DC29" i="1"/>
  <c r="DC28" i="1"/>
  <c r="DC6" i="1"/>
  <c r="DC70" i="1"/>
  <c r="DC48" i="1"/>
  <c r="DC9" i="1"/>
  <c r="DC18" i="1"/>
  <c r="DC15" i="1"/>
  <c r="DC76" i="1"/>
  <c r="DC72" i="1"/>
  <c r="DC52" i="1"/>
  <c r="DC46" i="1"/>
  <c r="DC77" i="1"/>
  <c r="DC26" i="1"/>
  <c r="DC23" i="1"/>
  <c r="DC74" i="1"/>
  <c r="DC40" i="1"/>
  <c r="DC17" i="1"/>
  <c r="DC54" i="1"/>
  <c r="DC45" i="1"/>
  <c r="DC12" i="1"/>
  <c r="DC65" i="1"/>
  <c r="DC66" i="1"/>
  <c r="DC63" i="1"/>
  <c r="DC69" i="1"/>
  <c r="DC57" i="1"/>
  <c r="DC30" i="1"/>
  <c r="DC43" i="1"/>
  <c r="FD12" i="1"/>
  <c r="FD16" i="1"/>
  <c r="FD20" i="1"/>
  <c r="FD22" i="1"/>
  <c r="FD24" i="1"/>
  <c r="FD26" i="1"/>
  <c r="DC51" i="1"/>
  <c r="DC13" i="1"/>
  <c r="DC44" i="1"/>
  <c r="DC10" i="1"/>
  <c r="DC7" i="1"/>
  <c r="DC71" i="1"/>
  <c r="DC37" i="1"/>
  <c r="DC20" i="1"/>
  <c r="DC38" i="1"/>
  <c r="DC59" i="1"/>
  <c r="DC56" i="1"/>
  <c r="DC68" i="1"/>
  <c r="DC50" i="1"/>
  <c r="DC47" i="1"/>
  <c r="DC64" i="1"/>
  <c r="DC60" i="1"/>
  <c r="DC14" i="1"/>
  <c r="DC11" i="1"/>
  <c r="DC33" i="1"/>
  <c r="DC58" i="1"/>
  <c r="DC55" i="1"/>
  <c r="DC32" i="1"/>
  <c r="DC25" i="1"/>
  <c r="DC22" i="1"/>
  <c r="DC27" i="1"/>
  <c r="DC53" i="1"/>
  <c r="DC73" i="1"/>
  <c r="DC34" i="1"/>
  <c r="DC31" i="1"/>
  <c r="DC61" i="1"/>
  <c r="DC8" i="1"/>
  <c r="DC49" i="1"/>
  <c r="DC62" i="1"/>
  <c r="DC75" i="1"/>
  <c r="CJ118" i="1" l="1"/>
  <c r="CL118" i="1" s="1"/>
  <c r="CJ117" i="1"/>
  <c r="CL117" i="1" s="1"/>
  <c r="CH116" i="1"/>
  <c r="CK116" i="1"/>
  <c r="CJ119" i="1"/>
  <c r="CL119" i="1" s="1"/>
  <c r="CH118" i="1"/>
  <c r="CK118" i="1"/>
  <c r="CI117" i="1"/>
  <c r="CH117" i="1"/>
  <c r="CH119" i="1"/>
  <c r="CK119" i="1"/>
  <c r="DE21" i="1"/>
  <c r="DH21" i="1" s="1"/>
  <c r="AT17" i="1" s="1"/>
  <c r="DE22" i="1"/>
  <c r="DE27" i="1"/>
  <c r="DE26" i="1"/>
  <c r="DE20" i="1"/>
  <c r="DE25" i="1"/>
  <c r="DE18" i="1"/>
  <c r="DE17" i="1"/>
  <c r="DE23" i="1"/>
  <c r="DE24" i="1"/>
  <c r="DE19" i="1"/>
  <c r="CH104" i="1"/>
  <c r="CJ104" i="1"/>
  <c r="CL104" i="1" s="1"/>
  <c r="CH97" i="1"/>
  <c r="CJ97" i="1"/>
  <c r="CL97" i="1" s="1"/>
  <c r="CH100" i="1"/>
  <c r="CJ100" i="1"/>
  <c r="CL100" i="1" s="1"/>
  <c r="CI101" i="1"/>
  <c r="CJ101" i="1"/>
  <c r="CL101" i="1" s="1"/>
  <c r="CH103" i="1"/>
  <c r="CJ103" i="1"/>
  <c r="CL103" i="1" s="1"/>
  <c r="CH102" i="1"/>
  <c r="CJ102" i="1"/>
  <c r="CL102" i="1" s="1"/>
  <c r="CH98" i="1"/>
  <c r="CJ98" i="1"/>
  <c r="CJ99" i="1"/>
  <c r="CL99" i="1" s="1"/>
  <c r="CI111" i="1"/>
  <c r="CH111" i="1"/>
  <c r="CH106" i="1"/>
  <c r="CI106" i="1"/>
  <c r="CI112" i="1"/>
  <c r="CH112" i="1"/>
  <c r="CI107" i="1"/>
  <c r="CH107" i="1"/>
  <c r="CH113" i="1"/>
  <c r="CI113" i="1"/>
  <c r="CI108" i="1"/>
  <c r="CH108" i="1"/>
  <c r="CH114" i="1"/>
  <c r="CI114" i="1"/>
  <c r="CH109" i="1"/>
  <c r="CI109" i="1"/>
  <c r="CI115" i="1"/>
  <c r="CH115" i="1"/>
  <c r="CH110" i="1"/>
  <c r="CI110" i="1"/>
  <c r="CH105" i="1"/>
  <c r="CI105" i="1"/>
  <c r="CL115" i="1"/>
  <c r="CK115" i="1"/>
  <c r="CL114" i="1"/>
  <c r="CK114" i="1"/>
  <c r="CL113" i="1"/>
  <c r="CK113" i="1"/>
  <c r="CL112" i="1"/>
  <c r="CK112" i="1"/>
  <c r="CK111" i="1"/>
  <c r="CL111" i="1"/>
  <c r="CL110" i="1"/>
  <c r="CK110" i="1"/>
  <c r="CL109" i="1"/>
  <c r="CK109" i="1"/>
  <c r="CL108" i="1"/>
  <c r="CK108" i="1"/>
  <c r="CK107" i="1"/>
  <c r="CL107" i="1"/>
  <c r="CK106" i="1"/>
  <c r="CL106" i="1"/>
  <c r="CK105" i="1"/>
  <c r="CL105" i="1"/>
  <c r="CI100" i="1"/>
  <c r="CI98" i="1"/>
  <c r="CL98" i="1"/>
  <c r="CI102" i="1"/>
  <c r="CK98" i="1"/>
  <c r="CK102" i="1"/>
  <c r="CK103" i="1"/>
  <c r="CK101" i="1"/>
  <c r="CK104" i="1"/>
  <c r="CH101" i="1"/>
  <c r="CI103" i="1"/>
  <c r="CK100" i="1"/>
  <c r="CK97" i="1"/>
  <c r="CI99" i="1"/>
  <c r="CH99" i="1"/>
  <c r="CK99" i="1"/>
  <c r="CI104" i="1"/>
  <c r="CI97" i="1"/>
  <c r="ET35" i="1"/>
  <c r="ES35" i="1"/>
  <c r="ER35" i="1"/>
  <c r="CK87" i="1"/>
  <c r="CH87" i="1"/>
  <c r="CI87" i="1"/>
  <c r="CJ87" i="1"/>
  <c r="CL87" i="1" s="1"/>
  <c r="CI94" i="1"/>
  <c r="CL94" i="1"/>
  <c r="CH94" i="1"/>
  <c r="CK94" i="1"/>
  <c r="CI78" i="1"/>
  <c r="CJ78" i="1"/>
  <c r="CL78" i="1" s="1"/>
  <c r="CK78" i="1"/>
  <c r="CH78" i="1"/>
  <c r="CK83" i="1"/>
  <c r="CH83" i="1"/>
  <c r="CI83" i="1"/>
  <c r="CJ83" i="1"/>
  <c r="CL83" i="1" s="1"/>
  <c r="CI88" i="1"/>
  <c r="CJ88" i="1"/>
  <c r="CL88" i="1" s="1"/>
  <c r="CH88" i="1"/>
  <c r="CK88" i="1"/>
  <c r="CI90" i="1"/>
  <c r="CJ90" i="1"/>
  <c r="CL90" i="1" s="1"/>
  <c r="CH90" i="1"/>
  <c r="CK90" i="1"/>
  <c r="CK95" i="1"/>
  <c r="CH95" i="1"/>
  <c r="CI95" i="1"/>
  <c r="CL95" i="1"/>
  <c r="CI80" i="1"/>
  <c r="CJ80" i="1"/>
  <c r="CL80" i="1" s="1"/>
  <c r="CK80" i="1"/>
  <c r="CH80" i="1"/>
  <c r="CK91" i="1"/>
  <c r="CH91" i="1"/>
  <c r="CI91" i="1"/>
  <c r="CJ91" i="1"/>
  <c r="CL91" i="1" s="1"/>
  <c r="CK81" i="1"/>
  <c r="CH81" i="1"/>
  <c r="CJ81" i="1"/>
  <c r="CL81" i="1" s="1"/>
  <c r="CI81" i="1"/>
  <c r="CI84" i="1"/>
  <c r="CJ84" i="1"/>
  <c r="CL84" i="1" s="1"/>
  <c r="CH84" i="1"/>
  <c r="CK84" i="1"/>
  <c r="CI86" i="1"/>
  <c r="CJ86" i="1"/>
  <c r="CL86" i="1" s="1"/>
  <c r="CH86" i="1"/>
  <c r="CK86" i="1"/>
  <c r="CI92" i="1"/>
  <c r="CL92" i="1"/>
  <c r="CH92" i="1"/>
  <c r="CK92" i="1"/>
  <c r="CK93" i="1"/>
  <c r="CH93" i="1"/>
  <c r="CL93" i="1"/>
  <c r="CI93" i="1"/>
  <c r="CK79" i="1"/>
  <c r="CH79" i="1"/>
  <c r="CI79" i="1"/>
  <c r="CJ79" i="1"/>
  <c r="CL79" i="1" s="1"/>
  <c r="CI82" i="1"/>
  <c r="CJ82" i="1"/>
  <c r="CL82" i="1" s="1"/>
  <c r="CH82" i="1"/>
  <c r="CK82" i="1"/>
  <c r="CK85" i="1"/>
  <c r="CH85" i="1"/>
  <c r="CJ85" i="1"/>
  <c r="CL85" i="1" s="1"/>
  <c r="CI85" i="1"/>
  <c r="CK89" i="1"/>
  <c r="CH89" i="1"/>
  <c r="CJ89" i="1"/>
  <c r="CL89" i="1" s="1"/>
  <c r="CI89" i="1"/>
  <c r="CI96" i="1"/>
  <c r="CL96" i="1"/>
  <c r="CH96" i="1"/>
  <c r="CK96" i="1"/>
  <c r="EW7" i="1"/>
  <c r="EY7" i="1"/>
  <c r="EX7" i="1"/>
  <c r="CH28" i="1"/>
  <c r="CJ28" i="1"/>
  <c r="CL28" i="1" s="1"/>
  <c r="CI28" i="1"/>
  <c r="CK28" i="1"/>
  <c r="EW29" i="1"/>
  <c r="EQ30" i="1"/>
  <c r="CH75" i="1"/>
  <c r="CI75" i="1"/>
  <c r="CH62" i="1"/>
  <c r="CI62" i="1"/>
  <c r="CH8" i="1"/>
  <c r="CI8" i="1"/>
  <c r="CH31" i="1"/>
  <c r="CI31" i="1"/>
  <c r="CH73" i="1"/>
  <c r="CI73" i="1"/>
  <c r="CH27" i="1"/>
  <c r="CI27" i="1"/>
  <c r="CH25" i="1"/>
  <c r="CI25" i="1"/>
  <c r="CH55" i="1"/>
  <c r="CI55" i="1"/>
  <c r="CH33" i="1"/>
  <c r="CI33" i="1"/>
  <c r="CH14" i="1"/>
  <c r="CI14" i="1"/>
  <c r="CH64" i="1"/>
  <c r="CI64" i="1"/>
  <c r="CH50" i="1"/>
  <c r="CI50" i="1"/>
  <c r="CH56" i="1"/>
  <c r="CI56" i="1"/>
  <c r="CH38" i="1"/>
  <c r="CI38" i="1"/>
  <c r="CH37" i="1"/>
  <c r="CI37" i="1"/>
  <c r="CI7" i="1"/>
  <c r="CH7" i="1"/>
  <c r="CH44" i="1"/>
  <c r="CI44" i="1"/>
  <c r="CH51" i="1"/>
  <c r="CI51" i="1"/>
  <c r="CH30" i="1"/>
  <c r="CI30" i="1"/>
  <c r="CH69" i="1"/>
  <c r="CI69" i="1"/>
  <c r="CH66" i="1"/>
  <c r="CI66" i="1"/>
  <c r="CH12" i="1"/>
  <c r="CI12" i="1"/>
  <c r="CH54" i="1"/>
  <c r="CI54" i="1"/>
  <c r="CH40" i="1"/>
  <c r="CI40" i="1"/>
  <c r="CH23" i="1"/>
  <c r="CI23" i="1"/>
  <c r="CH77" i="1"/>
  <c r="CI77" i="1"/>
  <c r="CH52" i="1"/>
  <c r="CI52" i="1"/>
  <c r="CH76" i="1"/>
  <c r="CI76" i="1"/>
  <c r="CH18" i="1"/>
  <c r="CI18" i="1"/>
  <c r="CH48" i="1"/>
  <c r="CI48" i="1"/>
  <c r="CH29" i="1"/>
  <c r="CI29" i="1"/>
  <c r="CH42" i="1"/>
  <c r="CI42" i="1"/>
  <c r="CH21" i="1"/>
  <c r="CI21" i="1"/>
  <c r="CH35" i="1"/>
  <c r="CI35" i="1"/>
  <c r="CH41" i="1"/>
  <c r="CI41" i="1"/>
  <c r="CH24" i="1"/>
  <c r="CI24" i="1"/>
  <c r="CH49" i="1"/>
  <c r="CI49" i="1"/>
  <c r="CH61" i="1"/>
  <c r="CI61" i="1"/>
  <c r="CH34" i="1"/>
  <c r="CI34" i="1"/>
  <c r="CH53" i="1"/>
  <c r="CI53" i="1"/>
  <c r="CH22" i="1"/>
  <c r="CI22" i="1"/>
  <c r="CH32" i="1"/>
  <c r="CI32" i="1"/>
  <c r="CH58" i="1"/>
  <c r="CI58" i="1"/>
  <c r="CH11" i="1"/>
  <c r="CI11" i="1"/>
  <c r="CH60" i="1"/>
  <c r="CI60" i="1"/>
  <c r="CH47" i="1"/>
  <c r="CI47" i="1"/>
  <c r="CH68" i="1"/>
  <c r="CI68" i="1"/>
  <c r="CH59" i="1"/>
  <c r="CI59" i="1"/>
  <c r="CH20" i="1"/>
  <c r="CI20" i="1"/>
  <c r="CH71" i="1"/>
  <c r="CI71" i="1"/>
  <c r="CH10" i="1"/>
  <c r="CI10" i="1"/>
  <c r="CH13" i="1"/>
  <c r="CI13" i="1"/>
  <c r="CH43" i="1"/>
  <c r="CI43" i="1"/>
  <c r="CH57" i="1"/>
  <c r="CI57" i="1"/>
  <c r="CH63" i="1"/>
  <c r="CI63" i="1"/>
  <c r="CH65" i="1"/>
  <c r="CI65" i="1"/>
  <c r="CH45" i="1"/>
  <c r="CI45" i="1"/>
  <c r="CH17" i="1"/>
  <c r="CI17" i="1"/>
  <c r="CH74" i="1"/>
  <c r="CI74" i="1"/>
  <c r="CH26" i="1"/>
  <c r="CI26" i="1"/>
  <c r="CH46" i="1"/>
  <c r="CI46" i="1"/>
  <c r="CH72" i="1"/>
  <c r="CI72" i="1"/>
  <c r="CH15" i="1"/>
  <c r="CI15" i="1"/>
  <c r="CH9" i="1"/>
  <c r="CI9" i="1"/>
  <c r="CH70" i="1"/>
  <c r="CI70" i="1"/>
  <c r="CH39" i="1"/>
  <c r="CI39" i="1"/>
  <c r="CH36" i="1"/>
  <c r="CI36" i="1"/>
  <c r="CH19" i="1"/>
  <c r="CI19" i="1"/>
  <c r="CH16" i="1"/>
  <c r="CI16" i="1"/>
  <c r="CH67" i="1"/>
  <c r="CI67" i="1"/>
  <c r="P79" i="1"/>
  <c r="EX29" i="1"/>
  <c r="EZ29" i="1"/>
  <c r="EY29" i="1"/>
  <c r="EW8" i="1"/>
  <c r="EY8" i="1"/>
  <c r="EX8" i="1"/>
  <c r="Q79" i="1"/>
  <c r="R79" i="1"/>
  <c r="S79" i="1"/>
  <c r="CJ75" i="1"/>
  <c r="CL75" i="1" s="1"/>
  <c r="CK75" i="1"/>
  <c r="CJ49" i="1"/>
  <c r="CL49" i="1" s="1"/>
  <c r="CK49" i="1"/>
  <c r="CJ61" i="1"/>
  <c r="CL61" i="1" s="1"/>
  <c r="CK61" i="1"/>
  <c r="CJ34" i="1"/>
  <c r="CL34" i="1" s="1"/>
  <c r="CK34" i="1"/>
  <c r="CJ53" i="1"/>
  <c r="CL53" i="1" s="1"/>
  <c r="CK53" i="1"/>
  <c r="CJ22" i="1"/>
  <c r="CL22" i="1" s="1"/>
  <c r="CK22" i="1"/>
  <c r="CK32" i="1"/>
  <c r="CJ32" i="1"/>
  <c r="CL32" i="1" s="1"/>
  <c r="CJ58" i="1"/>
  <c r="CL58" i="1" s="1"/>
  <c r="CK58" i="1"/>
  <c r="CJ11" i="1"/>
  <c r="CL11" i="1" s="1"/>
  <c r="CK11" i="1"/>
  <c r="CK60" i="1"/>
  <c r="CJ60" i="1"/>
  <c r="CL60" i="1" s="1"/>
  <c r="CJ47" i="1"/>
  <c r="CL47" i="1" s="1"/>
  <c r="CK47" i="1"/>
  <c r="CJ68" i="1"/>
  <c r="CL68" i="1" s="1"/>
  <c r="CK68" i="1"/>
  <c r="CJ59" i="1"/>
  <c r="CL59" i="1" s="1"/>
  <c r="CK59" i="1"/>
  <c r="CK20" i="1"/>
  <c r="CJ20" i="1"/>
  <c r="CL20" i="1" s="1"/>
  <c r="CK71" i="1"/>
  <c r="CJ71" i="1"/>
  <c r="CL71" i="1" s="1"/>
  <c r="CK10" i="1"/>
  <c r="CJ10" i="1"/>
  <c r="CL10" i="1" s="1"/>
  <c r="CK13" i="1"/>
  <c r="CJ13" i="1"/>
  <c r="CL13" i="1" s="1"/>
  <c r="CJ30" i="1"/>
  <c r="CL30" i="1" s="1"/>
  <c r="CK30" i="1"/>
  <c r="CK69" i="1"/>
  <c r="CJ69" i="1"/>
  <c r="CL69" i="1" s="1"/>
  <c r="CK66" i="1"/>
  <c r="CJ66" i="1"/>
  <c r="CL66" i="1" s="1"/>
  <c r="CK12" i="1"/>
  <c r="CJ12" i="1"/>
  <c r="CL12" i="1" s="1"/>
  <c r="CK54" i="1"/>
  <c r="CJ54" i="1"/>
  <c r="CL54" i="1" s="1"/>
  <c r="CJ40" i="1"/>
  <c r="CL40" i="1" s="1"/>
  <c r="CK40" i="1"/>
  <c r="CJ23" i="1"/>
  <c r="CL23" i="1" s="1"/>
  <c r="CK23" i="1"/>
  <c r="CJ77" i="1"/>
  <c r="CL77" i="1" s="1"/>
  <c r="CK77" i="1"/>
  <c r="CK52" i="1"/>
  <c r="CJ52" i="1"/>
  <c r="CL52" i="1" s="1"/>
  <c r="CK76" i="1"/>
  <c r="CJ76" i="1"/>
  <c r="CL76" i="1" s="1"/>
  <c r="CJ18" i="1"/>
  <c r="CL18" i="1" s="1"/>
  <c r="CK18" i="1"/>
  <c r="CK48" i="1"/>
  <c r="CJ48" i="1"/>
  <c r="CL48" i="1" s="1"/>
  <c r="CJ6" i="1"/>
  <c r="CL6" i="1" s="1"/>
  <c r="CH6" i="1"/>
  <c r="CK6" i="1"/>
  <c r="CI6" i="1"/>
  <c r="CK29" i="1"/>
  <c r="CJ29" i="1"/>
  <c r="CL29" i="1" s="1"/>
  <c r="CJ42" i="1"/>
  <c r="CL42" i="1" s="1"/>
  <c r="CK42" i="1"/>
  <c r="CK21" i="1"/>
  <c r="CJ21" i="1"/>
  <c r="CL21" i="1" s="1"/>
  <c r="CK16" i="1"/>
  <c r="CJ16" i="1"/>
  <c r="CL16" i="1" s="1"/>
  <c r="CK67" i="1"/>
  <c r="CJ67" i="1"/>
  <c r="CL67" i="1" s="1"/>
  <c r="CJ62" i="1"/>
  <c r="CL62" i="1" s="1"/>
  <c r="CK62" i="1"/>
  <c r="CK8" i="1"/>
  <c r="CJ8" i="1"/>
  <c r="CL8" i="1" s="1"/>
  <c r="CJ31" i="1"/>
  <c r="CL31" i="1" s="1"/>
  <c r="CK31" i="1"/>
  <c r="CK73" i="1"/>
  <c r="CJ73" i="1"/>
  <c r="CL73" i="1" s="1"/>
  <c r="CJ27" i="1"/>
  <c r="CL27" i="1" s="1"/>
  <c r="CK27" i="1"/>
  <c r="CJ25" i="1"/>
  <c r="CL25" i="1" s="1"/>
  <c r="CK25" i="1"/>
  <c r="CJ55" i="1"/>
  <c r="CL55" i="1" s="1"/>
  <c r="CK55" i="1"/>
  <c r="CJ33" i="1"/>
  <c r="CL33" i="1" s="1"/>
  <c r="CK33" i="1"/>
  <c r="CK14" i="1"/>
  <c r="CJ14" i="1"/>
  <c r="CL14" i="1" s="1"/>
  <c r="CJ64" i="1"/>
  <c r="CL64" i="1" s="1"/>
  <c r="CK64" i="1"/>
  <c r="CJ50" i="1"/>
  <c r="CL50" i="1" s="1"/>
  <c r="CK50" i="1"/>
  <c r="CK56" i="1"/>
  <c r="CJ56" i="1"/>
  <c r="CL56" i="1" s="1"/>
  <c r="CJ38" i="1"/>
  <c r="CL38" i="1" s="1"/>
  <c r="CK38" i="1"/>
  <c r="CJ37" i="1"/>
  <c r="CL37" i="1" s="1"/>
  <c r="CK37" i="1"/>
  <c r="CK7" i="1"/>
  <c r="CJ7" i="1"/>
  <c r="CL7" i="1" s="1"/>
  <c r="CJ44" i="1"/>
  <c r="CL44" i="1" s="1"/>
  <c r="CK44" i="1"/>
  <c r="CK51" i="1"/>
  <c r="CJ51" i="1"/>
  <c r="CL51" i="1" s="1"/>
  <c r="CK43" i="1"/>
  <c r="CJ43" i="1"/>
  <c r="CL43" i="1" s="1"/>
  <c r="CJ57" i="1"/>
  <c r="CL57" i="1" s="1"/>
  <c r="CK57" i="1"/>
  <c r="CK63" i="1"/>
  <c r="CJ63" i="1"/>
  <c r="CL63" i="1" s="1"/>
  <c r="CK65" i="1"/>
  <c r="CJ65" i="1"/>
  <c r="CL65" i="1" s="1"/>
  <c r="CK45" i="1"/>
  <c r="CJ45" i="1"/>
  <c r="CL45" i="1" s="1"/>
  <c r="CK17" i="1"/>
  <c r="CJ17" i="1"/>
  <c r="CL17" i="1" s="1"/>
  <c r="CJ74" i="1"/>
  <c r="CL74" i="1" s="1"/>
  <c r="CK74" i="1"/>
  <c r="CJ26" i="1"/>
  <c r="CL26" i="1" s="1"/>
  <c r="CK26" i="1"/>
  <c r="CJ46" i="1"/>
  <c r="CL46" i="1" s="1"/>
  <c r="CK46" i="1"/>
  <c r="CJ72" i="1"/>
  <c r="CL72" i="1" s="1"/>
  <c r="CK72" i="1"/>
  <c r="CJ15" i="1"/>
  <c r="CL15" i="1" s="1"/>
  <c r="CK15" i="1"/>
  <c r="CJ9" i="1"/>
  <c r="CL9" i="1" s="1"/>
  <c r="CK9" i="1"/>
  <c r="CJ70" i="1"/>
  <c r="CL70" i="1" s="1"/>
  <c r="CK70" i="1"/>
  <c r="CK39" i="1"/>
  <c r="CJ39" i="1"/>
  <c r="CL39" i="1" s="1"/>
  <c r="CJ36" i="1"/>
  <c r="CL36" i="1" s="1"/>
  <c r="CK36" i="1"/>
  <c r="CJ19" i="1"/>
  <c r="CL19" i="1" s="1"/>
  <c r="CK19" i="1"/>
  <c r="CJ35" i="1"/>
  <c r="CL35" i="1" s="1"/>
  <c r="CK35" i="1"/>
  <c r="CJ41" i="1"/>
  <c r="CL41" i="1" s="1"/>
  <c r="CK41" i="1"/>
  <c r="CJ24" i="1"/>
  <c r="CL24" i="1" s="1"/>
  <c r="CK24" i="1"/>
  <c r="CG117" i="1" l="1"/>
  <c r="CG118" i="1" s="1"/>
  <c r="CG119" i="1" s="1"/>
  <c r="DF21" i="1"/>
  <c r="AR17" i="1" s="1"/>
  <c r="DG21" i="1"/>
  <c r="AS17" i="1" s="1"/>
  <c r="ES36" i="1"/>
  <c r="DG24" i="1"/>
  <c r="AS20" i="1" s="1"/>
  <c r="DF24" i="1"/>
  <c r="AR20" i="1" s="1"/>
  <c r="DH24" i="1"/>
  <c r="AT20" i="1" s="1"/>
  <c r="DG25" i="1"/>
  <c r="AS21" i="1" s="1"/>
  <c r="DF25" i="1"/>
  <c r="AR21" i="1" s="1"/>
  <c r="DH25" i="1"/>
  <c r="AT21" i="1" s="1"/>
  <c r="DG22" i="1"/>
  <c r="AS18" i="1" s="1"/>
  <c r="DF22" i="1"/>
  <c r="AR18" i="1" s="1"/>
  <c r="DH22" i="1"/>
  <c r="AT18" i="1" s="1"/>
  <c r="ET36" i="1"/>
  <c r="DG23" i="1"/>
  <c r="AS19" i="1" s="1"/>
  <c r="DF23" i="1"/>
  <c r="AR19" i="1" s="1"/>
  <c r="DH23" i="1"/>
  <c r="AT19" i="1" s="1"/>
  <c r="DG20" i="1"/>
  <c r="AS16" i="1" s="1"/>
  <c r="DF20" i="1"/>
  <c r="AR16" i="1" s="1"/>
  <c r="DH20" i="1"/>
  <c r="AT16" i="1" s="1"/>
  <c r="DG17" i="1"/>
  <c r="AS13" i="1" s="1"/>
  <c r="DF17" i="1"/>
  <c r="AR13" i="1" s="1"/>
  <c r="DH17" i="1"/>
  <c r="AT13" i="1" s="1"/>
  <c r="DG26" i="1"/>
  <c r="AS22" i="1" s="1"/>
  <c r="DF26" i="1"/>
  <c r="AR22" i="1" s="1"/>
  <c r="DH26" i="1"/>
  <c r="AT22" i="1" s="1"/>
  <c r="ER36" i="1"/>
  <c r="DG19" i="1"/>
  <c r="AS15" i="1" s="1"/>
  <c r="DF19" i="1"/>
  <c r="AR15" i="1" s="1"/>
  <c r="DH19" i="1"/>
  <c r="AT15" i="1" s="1"/>
  <c r="DG18" i="1"/>
  <c r="AS14" i="1" s="1"/>
  <c r="DF18" i="1"/>
  <c r="AR14" i="1" s="1"/>
  <c r="DH18" i="1"/>
  <c r="AT14" i="1" s="1"/>
  <c r="DG27" i="1"/>
  <c r="AS23" i="1" s="1"/>
  <c r="DF27" i="1"/>
  <c r="AR23" i="1" s="1"/>
  <c r="DH27" i="1"/>
  <c r="AT23" i="1" s="1"/>
  <c r="CG9" i="1"/>
  <c r="CS42" i="1"/>
  <c r="EQ31" i="1"/>
  <c r="EQ32" i="1" s="1"/>
  <c r="EQ33" i="1" s="1"/>
  <c r="EQ34" i="1" s="1"/>
  <c r="EW30" i="1"/>
  <c r="EZ30" i="1"/>
  <c r="EY30" i="1"/>
  <c r="EX30" i="1"/>
  <c r="CG7" i="1"/>
  <c r="CG10" i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8" i="1"/>
  <c r="EX9" i="1"/>
  <c r="EZ9" i="1"/>
  <c r="EW9" i="1"/>
  <c r="EY9" i="1"/>
  <c r="AQ18" i="1" l="1"/>
  <c r="AQ19" i="1" s="1"/>
  <c r="AQ20" i="1" s="1"/>
  <c r="AQ14" i="1"/>
  <c r="AQ15" i="1" s="1"/>
  <c r="AQ22" i="1"/>
  <c r="AQ16" i="1"/>
  <c r="AQ17" i="1"/>
  <c r="ET37" i="1"/>
  <c r="ER37" i="1"/>
  <c r="AQ23" i="1"/>
  <c r="AQ21" i="1"/>
  <c r="ES37" i="1"/>
  <c r="EW34" i="1"/>
  <c r="EQ35" i="1"/>
  <c r="EZ34" i="1"/>
  <c r="EX34" i="1"/>
  <c r="EY34" i="1"/>
  <c r="EW33" i="1"/>
  <c r="EZ33" i="1"/>
  <c r="EY33" i="1"/>
  <c r="EX33" i="1"/>
  <c r="EW32" i="1"/>
  <c r="EZ32" i="1"/>
  <c r="EY32" i="1"/>
  <c r="EX32" i="1"/>
  <c r="EW31" i="1"/>
  <c r="EZ31" i="1"/>
  <c r="EY31" i="1"/>
  <c r="EX31" i="1"/>
  <c r="EX10" i="1"/>
  <c r="EZ10" i="1"/>
  <c r="EW10" i="1"/>
  <c r="EY10" i="1"/>
  <c r="ET38" i="1" l="1"/>
  <c r="ET39" i="1" s="1"/>
  <c r="ES38" i="1"/>
  <c r="ES39" i="1" s="1"/>
  <c r="EW35" i="1"/>
  <c r="EQ36" i="1"/>
  <c r="EZ35" i="1"/>
  <c r="EY35" i="1"/>
  <c r="EX35" i="1"/>
  <c r="ER38" i="1"/>
  <c r="ER39" i="1" s="1"/>
  <c r="EX11" i="1"/>
  <c r="EZ11" i="1"/>
  <c r="EW11" i="1"/>
  <c r="EY11" i="1"/>
  <c r="EQ37" i="1" l="1"/>
  <c r="EW36" i="1"/>
  <c r="EZ36" i="1"/>
  <c r="EX36" i="1"/>
  <c r="EY36" i="1"/>
  <c r="EX12" i="1"/>
  <c r="EZ12" i="1"/>
  <c r="EW12" i="1"/>
  <c r="EY12" i="1"/>
  <c r="EQ38" i="1" l="1"/>
  <c r="EQ39" i="1" s="1"/>
  <c r="EW37" i="1"/>
  <c r="EY37" i="1"/>
  <c r="EX37" i="1"/>
  <c r="EZ37" i="1"/>
  <c r="EX13" i="1"/>
  <c r="EZ13" i="1"/>
  <c r="EW13" i="1"/>
  <c r="EY13" i="1"/>
  <c r="EW39" i="1" l="1"/>
  <c r="EY39" i="1"/>
  <c r="EZ39" i="1"/>
  <c r="EX39" i="1"/>
  <c r="EW38" i="1"/>
  <c r="EZ38" i="1"/>
  <c r="EY38" i="1"/>
  <c r="EX38" i="1"/>
  <c r="EX14" i="1"/>
  <c r="EZ14" i="1"/>
  <c r="EW14" i="1"/>
  <c r="EY14" i="1"/>
  <c r="EX15" i="1" l="1"/>
  <c r="EZ15" i="1"/>
  <c r="EW15" i="1"/>
  <c r="EY15" i="1"/>
  <c r="EX16" i="1" l="1"/>
  <c r="EZ16" i="1"/>
  <c r="EW16" i="1"/>
  <c r="EY16" i="1"/>
  <c r="EX17" i="1" l="1"/>
  <c r="EZ17" i="1"/>
  <c r="EW17" i="1"/>
  <c r="EY17" i="1"/>
  <c r="EX18" i="1" l="1"/>
  <c r="EZ18" i="1"/>
  <c r="EW18" i="1"/>
  <c r="EY18" i="1"/>
  <c r="EX19" i="1" l="1"/>
  <c r="EZ19" i="1"/>
  <c r="EW19" i="1"/>
  <c r="EY19" i="1"/>
  <c r="EX20" i="1" l="1"/>
  <c r="EZ20" i="1"/>
  <c r="EW20" i="1"/>
  <c r="EY20" i="1"/>
  <c r="EX21" i="1" l="1"/>
  <c r="EZ21" i="1"/>
  <c r="EW21" i="1"/>
  <c r="EY21" i="1"/>
  <c r="EX22" i="1" l="1"/>
  <c r="EZ22" i="1"/>
  <c r="EW22" i="1"/>
  <c r="EY22" i="1"/>
  <c r="EX23" i="1" l="1"/>
  <c r="EZ23" i="1"/>
  <c r="EW23" i="1"/>
  <c r="EY23" i="1"/>
  <c r="EX24" i="1" l="1"/>
  <c r="EZ24" i="1"/>
  <c r="EW24" i="1"/>
  <c r="EY24" i="1"/>
  <c r="EX25" i="1" l="1"/>
  <c r="EZ25" i="1"/>
  <c r="EW25" i="1"/>
  <c r="EY25" i="1"/>
  <c r="EX26" i="1" l="1"/>
  <c r="EZ26" i="1"/>
  <c r="EW26" i="1"/>
  <c r="EY26" i="1"/>
  <c r="EX27" i="1" l="1"/>
  <c r="EZ27" i="1"/>
  <c r="EW27" i="1"/>
  <c r="EY27" i="1"/>
  <c r="EX28" i="1" l="1"/>
  <c r="EZ28" i="1"/>
  <c r="EW28" i="1"/>
  <c r="EY28" i="1"/>
  <c r="CP30" i="1"/>
  <c r="CP29" i="1"/>
  <c r="CS34" i="1" l="1"/>
  <c r="CP53" i="1"/>
  <c r="CP54" i="1"/>
  <c r="CP46" i="1"/>
  <c r="CP45" i="1"/>
  <c r="Z33" i="1"/>
  <c r="CS58" i="1" l="1"/>
  <c r="CS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  <author>Matt</author>
  </authors>
  <commentList>
    <comment ref="U19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Zdecydowała ilość wielbłądów:
4 - Agnieszka,
1 - Mateusz.</t>
        </r>
      </text>
    </comment>
    <comment ref="V3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Zdecydowała ilość wielbłądów:
4 - Mateusz,
0 - Agnieszka.</t>
        </r>
      </text>
    </comment>
    <comment ref="S39" authorId="1" shapeId="0" xr:uid="{A16C3BD0-9C4E-4306-8C46-6D1DF65A9F53}">
      <text>
        <r>
          <rPr>
            <b/>
            <sz val="9"/>
            <color indexed="81"/>
            <rFont val="Tahoma"/>
            <charset val="1"/>
          </rPr>
          <t>Matt:</t>
        </r>
        <r>
          <rPr>
            <sz val="9"/>
            <color indexed="81"/>
            <rFont val="Tahoma"/>
            <charset val="1"/>
          </rPr>
          <t xml:space="preserve">
Identyczna ilość punktów i wielbłądów, 3. miejsce ex aequo.</t>
        </r>
      </text>
    </comment>
    <comment ref="X39" authorId="1" shapeId="0" xr:uid="{27195589-BDBE-493D-AEEA-F02363862E85}">
      <text>
        <r>
          <rPr>
            <b/>
            <sz val="9"/>
            <color indexed="81"/>
            <rFont val="Tahoma"/>
            <charset val="1"/>
          </rPr>
          <t>Matt:</t>
        </r>
        <r>
          <rPr>
            <sz val="9"/>
            <color indexed="81"/>
            <rFont val="Tahoma"/>
            <charset val="1"/>
          </rPr>
          <t xml:space="preserve">
Identyczna ilość wielbłądów, 3. miejsce ex aequo.</t>
        </r>
      </text>
    </comment>
    <comment ref="AH39" authorId="1" shapeId="0" xr:uid="{4C2809F8-7273-4E04-89E6-1A758CED9CAC}">
      <text>
        <r>
          <rPr>
            <b/>
            <sz val="9"/>
            <color indexed="81"/>
            <rFont val="Tahoma"/>
            <charset val="1"/>
          </rPr>
          <t>Matt:</t>
        </r>
        <r>
          <rPr>
            <sz val="9"/>
            <color indexed="81"/>
            <rFont val="Tahoma"/>
            <charset val="1"/>
          </rPr>
          <t xml:space="preserve">
Tu nie ma formuły, ręcznie zmieniłem, bo miejsce ex aequo.</t>
        </r>
      </text>
    </comment>
    <comment ref="CZ44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Poza klasyczną kolejnością, żeby Agnieszka która wygrała mając w tej grze tyle samo punktów, by była wyżej na liście.</t>
        </r>
      </text>
    </comment>
    <comment ref="CZ46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Poza klasyczną kolejnością, żeby Agnieszka która wygrała mając w tej grze tyle samo punktów, by była wyżej na liście.</t>
        </r>
      </text>
    </comment>
    <comment ref="E116" authorId="1" shapeId="0" xr:uid="{1C6E416F-1C2E-4127-B3C7-A81E88B9D230}">
      <text>
        <r>
          <rPr>
            <b/>
            <sz val="9"/>
            <color indexed="81"/>
            <rFont val="Tahoma"/>
            <charset val="1"/>
          </rPr>
          <t>Matt:</t>
        </r>
        <r>
          <rPr>
            <sz val="9"/>
            <color indexed="81"/>
            <rFont val="Tahoma"/>
            <charset val="1"/>
          </rPr>
          <t xml:space="preserve">
Formuła zmieniona ręcznie, bo było miejsce ex-aequo.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</authors>
  <commentList>
    <comment ref="C1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Nie miał domka tam, ale użył z wybierania.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</authors>
  <commentList>
    <comment ref="B1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Poprzez wybranie dowolnego miasta.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</authors>
  <commentList>
    <comment ref="E1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Tutaj został zrealizowany podwójnie bonus miejski z małego miasta za 3 pkt (bezpośrednio oraz jednocześnie przez wybranie dowolnego małego bonusu).</t>
        </r>
      </text>
    </comment>
    <comment ref="B1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Poprzez wybranie dowolnego miasta.</t>
        </r>
      </text>
    </comment>
    <comment ref="E1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Raz za wejście na niego w piątej rundzie i dwa razy za realizację karty miasta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</authors>
  <commentList>
    <comment ref="C1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Dwa razy użyta karta miasta zamiany: 
1xwielbłąd + 1xpieprz -&gt; 2pkt zw + 2talary. 
Akcja x3 za pierwszym i drugim razem.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M</author>
  </authors>
  <commentList>
    <comment ref="C1" authorId="0" shapeId="0" xr:uid="{00000000-0006-0000-1700-000001000000}">
      <text>
        <r>
          <rPr>
            <b/>
            <sz val="9"/>
            <color indexed="81"/>
            <rFont val="Tahoma"/>
            <family val="2"/>
            <charset val="238"/>
          </rPr>
          <t>mr M:</t>
        </r>
        <r>
          <rPr>
            <sz val="9"/>
            <color indexed="81"/>
            <rFont val="Tahoma"/>
            <family val="2"/>
            <charset val="238"/>
          </rPr>
          <t xml:space="preserve">
Wg gry wyszło 68, ale się nie zgadza. Musiało być podliczone o 1pkt więcej niż było faktycznie, zapewne 3pkt za surowce, ew. to przesunięcie pionka.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</author>
  </authors>
  <commentList>
    <comment ref="E1" authorId="0" shapeId="0" xr:uid="{20186B6A-D069-463C-B23B-5CA007B76D3B}">
      <text>
        <r>
          <rPr>
            <b/>
            <sz val="9"/>
            <color indexed="81"/>
            <rFont val="Tahoma"/>
            <family val="2"/>
            <charset val="238"/>
          </rPr>
          <t>Matt:</t>
        </r>
        <r>
          <rPr>
            <sz val="9"/>
            <color indexed="81"/>
            <rFont val="Tahoma"/>
            <family val="2"/>
            <charset val="238"/>
          </rPr>
          <t xml:space="preserve">
Na grze było 65 punktów, ale musiało gdzieś zabraknąć jednego przesunięcia. U reszty się zgadzało.</t>
        </r>
      </text>
    </comment>
  </commentList>
</comments>
</file>

<file path=xl/sharedStrings.xml><?xml version="1.0" encoding="utf-8"?>
<sst xmlns="http://schemas.openxmlformats.org/spreadsheetml/2006/main" count="1959" uniqueCount="158">
  <si>
    <t>lp.</t>
  </si>
  <si>
    <t>graczy</t>
  </si>
  <si>
    <t>I</t>
  </si>
  <si>
    <t>II</t>
  </si>
  <si>
    <t>III</t>
  </si>
  <si>
    <t>IV</t>
  </si>
  <si>
    <t>Mateusz</t>
  </si>
  <si>
    <t>Marcin</t>
  </si>
  <si>
    <t>Justyna</t>
  </si>
  <si>
    <t>Agnieszka</t>
  </si>
  <si>
    <t>gracz</t>
  </si>
  <si>
    <t>wyniki</t>
  </si>
  <si>
    <t>graczy/gier</t>
  </si>
  <si>
    <t>największe różnice</t>
  </si>
  <si>
    <t>1st-2nd</t>
  </si>
  <si>
    <t>1st-last</t>
  </si>
  <si>
    <t>miejsca / gier</t>
  </si>
  <si>
    <t>suma danych miejsc</t>
  </si>
  <si>
    <t>średnia</t>
  </si>
  <si>
    <t>suma punktów zwycięstwa</t>
  </si>
  <si>
    <t>punkty zwycięstwa na grę na osobę</t>
  </si>
  <si>
    <t>punkty zwycięstwa</t>
  </si>
  <si>
    <t>miejsce</t>
  </si>
  <si>
    <t>miejsca</t>
  </si>
  <si>
    <t>gier na osobę</t>
  </si>
  <si>
    <t>klasyfikacja wszechczasów wg miejsc (kryteria olimpijskie):</t>
  </si>
  <si>
    <t>za domki</t>
  </si>
  <si>
    <t>karty miast</t>
  </si>
  <si>
    <t>kontrakty</t>
  </si>
  <si>
    <t>max kontraktów</t>
  </si>
  <si>
    <t>surowce pekin</t>
  </si>
  <si>
    <t>żetony</t>
  </si>
  <si>
    <t>pekin</t>
  </si>
  <si>
    <t>ilośc miast celów</t>
  </si>
  <si>
    <t>realizacja celów</t>
  </si>
  <si>
    <t>gra nr 9</t>
  </si>
  <si>
    <t>cele + miasta</t>
  </si>
  <si>
    <t>SUMA</t>
  </si>
  <si>
    <t>RÓŻNICA</t>
  </si>
  <si>
    <t>gra nr 10</t>
  </si>
  <si>
    <t>max</t>
  </si>
  <si>
    <t>mało</t>
  </si>
  <si>
    <t>dużo</t>
  </si>
  <si>
    <r>
      <t>15</t>
    </r>
    <r>
      <rPr>
        <sz val="8"/>
        <color indexed="22"/>
        <rFont val="Arial"/>
        <family val="2"/>
        <charset val="238"/>
      </rPr>
      <t>/25</t>
    </r>
  </si>
  <si>
    <t>bonus miejski</t>
  </si>
  <si>
    <t>gra nr 11</t>
  </si>
  <si>
    <t>średnio</t>
  </si>
  <si>
    <t>nieistotne</t>
  </si>
  <si>
    <t>pkt</t>
  </si>
  <si>
    <t>kto</t>
  </si>
  <si>
    <t>gra nr 12</t>
  </si>
  <si>
    <t>suma</t>
  </si>
  <si>
    <t>suma na gracza</t>
  </si>
  <si>
    <t>lowest 1st</t>
  </si>
  <si>
    <t>highest 1st</t>
  </si>
  <si>
    <t>highest 2nd</t>
  </si>
  <si>
    <t>lowest 2nd</t>
  </si>
  <si>
    <t>highest 3rd</t>
  </si>
  <si>
    <t>lowest 3rd</t>
  </si>
  <si>
    <t>highest 4th</t>
  </si>
  <si>
    <t>lowest 4th</t>
  </si>
  <si>
    <t xml:space="preserve"> </t>
  </si>
  <si>
    <t>średnia max</t>
  </si>
  <si>
    <t>średnia min</t>
  </si>
  <si>
    <t>15/25</t>
  </si>
  <si>
    <t>gra nr 14</t>
  </si>
  <si>
    <t>gra nr 13</t>
  </si>
  <si>
    <t>średnie miejsce:</t>
  </si>
  <si>
    <t>gra nr 15</t>
  </si>
  <si>
    <t>rywalizacja między 1st a 2nd</t>
  </si>
  <si>
    <t>razy</t>
  </si>
  <si>
    <t>60-69</t>
  </si>
  <si>
    <t>70-79</t>
  </si>
  <si>
    <t>80 lub więcej</t>
  </si>
  <si>
    <t>59 lub mniej</t>
  </si>
  <si>
    <t>raz</t>
  </si>
  <si>
    <t>procent sukcesu</t>
  </si>
  <si>
    <t>nr gry</t>
  </si>
  <si>
    <t>data</t>
  </si>
  <si>
    <t>bazar</t>
  </si>
  <si>
    <t>dwa piony</t>
  </si>
  <si>
    <t>nie płaci</t>
  </si>
  <si>
    <t>biała kość</t>
  </si>
  <si>
    <t>oazy</t>
  </si>
  <si>
    <t>dobiera</t>
  </si>
  <si>
    <t>∑</t>
  </si>
  <si>
    <t>% wygranych</t>
  </si>
  <si>
    <t>ile przetestowanych</t>
  </si>
  <si>
    <t>∑ gier</t>
  </si>
  <si>
    <t>Siedlar</t>
  </si>
  <si>
    <t>gra nr 16</t>
  </si>
  <si>
    <t>gra nr 17</t>
  </si>
  <si>
    <t>ile razy tyle nie wystarczyło</t>
  </si>
  <si>
    <t>wygrany zebrał punktów:</t>
  </si>
  <si>
    <t>Dominika</t>
  </si>
  <si>
    <t>gra nr 18</t>
  </si>
  <si>
    <t>gra nr 20</t>
  </si>
  <si>
    <t>gra nr 19</t>
  </si>
  <si>
    <t>gra nr 21</t>
  </si>
  <si>
    <t>gra nr 22</t>
  </si>
  <si>
    <t>MAX</t>
  </si>
  <si>
    <t>gra nr 23</t>
  </si>
  <si>
    <t>ile razy</t>
  </si>
  <si>
    <t>pieprz</t>
  </si>
  <si>
    <t>jedwab</t>
  </si>
  <si>
    <t>złoto</t>
  </si>
  <si>
    <t>khan</t>
  </si>
  <si>
    <t>bonus</t>
  </si>
  <si>
    <t>to są źródła surowców Mateusza w grze nr 23:</t>
  </si>
  <si>
    <t>konkrakty po kolei ile i jakich surowców potrzebowały:</t>
  </si>
  <si>
    <t>1)</t>
  </si>
  <si>
    <t>dlaczego 10 razy bonus miejski małego miasta na surowce?</t>
  </si>
  <si>
    <t>2)</t>
  </si>
  <si>
    <t>Bo od IV tury miał dostęp do wybierania bonusa i za każdym razem (2 razy) wybrał surowce</t>
  </si>
  <si>
    <t>Bo od II tury miał dostęp do bonusa z surowcem (4 razy)</t>
  </si>
  <si>
    <t>3)</t>
  </si>
  <si>
    <t>Bo trzy razy użył karty miasta użycia bonus z małego miasta i wybrał kolejno:</t>
  </si>
  <si>
    <t>a)</t>
  </si>
  <si>
    <t>b)</t>
  </si>
  <si>
    <t>c)</t>
  </si>
  <si>
    <t>surowce i losowanie a poprzez losowanie surowce (2 razy)</t>
  </si>
  <si>
    <t>surowce (1 raz)</t>
  </si>
  <si>
    <t>surowce i pieniążka (1 raz)</t>
  </si>
  <si>
    <t>co razem daje 10 razy! :D</t>
  </si>
  <si>
    <t>wszyscy</t>
  </si>
  <si>
    <t>Magda</t>
  </si>
  <si>
    <t>gra nr 24</t>
  </si>
  <si>
    <t>gra nr 25</t>
  </si>
  <si>
    <t>max:</t>
  </si>
  <si>
    <t>min:</t>
  </si>
  <si>
    <t>pkt.</t>
  </si>
  <si>
    <t>gra nr 26</t>
  </si>
  <si>
    <t>treningowa gra z Maćkiem (nierankingowa)</t>
  </si>
  <si>
    <t>Maciek</t>
  </si>
  <si>
    <t>dobieranie</t>
  </si>
  <si>
    <t>gra nr 27</t>
  </si>
  <si>
    <t>gra nr 28</t>
  </si>
  <si>
    <t>tab pomocnicza do średniej w skali czasu, ale bez zer</t>
  </si>
  <si>
    <t>gra nr 29</t>
  </si>
  <si>
    <t>ruchów</t>
  </si>
  <si>
    <t>alexandria - o - ormuz - karachi - o - xian - pekin - dolne o - lan_zhou - kashgar</t>
  </si>
  <si>
    <t>alexandroa - o - adana - kochi - o - xian - pekin - dolne o - lan_zhou</t>
  </si>
  <si>
    <t>o - moskwa - anxi - karakorum - o - dolne o - pekin - xian - o - karachi</t>
  </si>
  <si>
    <t>o - moskwa - anxi - karakorum - o - dolne o - pekin - xian - o - karachi - o - kochi - adana - o - alexandra</t>
  </si>
  <si>
    <t>I 5th - II 8th - III 10th - IV 12th - V 15th</t>
  </si>
  <si>
    <t>I 3th - II 7th - III 8th - IV 9th - V 11th CHYBA TAK, ale nie dam głowy.</t>
  </si>
  <si>
    <t>gra nr 30</t>
  </si>
  <si>
    <t>^to coś źle liczy osobom które nie grały.</t>
  </si>
  <si>
    <t>Agnieszka P.</t>
  </si>
  <si>
    <t>Michał</t>
  </si>
  <si>
    <t>gra nr 31</t>
  </si>
  <si>
    <t>gra nr 32</t>
  </si>
  <si>
    <t>Maciek T.</t>
  </si>
  <si>
    <t>Ela</t>
  </si>
  <si>
    <t>gra nr 33</t>
  </si>
  <si>
    <t>2 wielbłądy</t>
  </si>
  <si>
    <t>domki</t>
  </si>
  <si>
    <t>Damian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</si>
</sst>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;\-General;&quot;&quot;"/>
    <numFmt numFmtId="165" formatCode="\+General;\-General;0"/>
    <numFmt numFmtId="166" formatCode="&quot;na &quot;0"/>
    <numFmt numFmtId="167" formatCode="[$-F800]dddd\,\ mmmm\ dd\,\ yyyy"/>
    <numFmt numFmtId="168" formatCode="0.0%"/>
    <numFmt numFmtId="169" formatCode="0.000"/>
    <numFmt numFmtId="170" formatCode="[$-415]d\ mmm\ yy;@"/>
  </numFmts>
  <fonts count="16" x14ac:knownFonts="1">
    <font>
      <sz val="10"/>
      <name val="Arial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color indexed="22"/>
      <name val="Arial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7"/>
      <name val="Arial"/>
      <family val="2"/>
      <charset val="238"/>
    </font>
    <font>
      <sz val="10"/>
      <color indexed="46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indexed="46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7"/>
      <color theme="1"/>
      <name val="Calibri"/>
      <family val="2"/>
      <charset val="238"/>
      <scheme val="minor"/>
    </font>
    <font>
      <b/>
      <sz val="10"/>
      <color rgb="FFFF0000"/>
      <name val="Arial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22"/>
      </left>
      <right/>
      <top/>
      <bottom/>
      <diagonal/>
    </border>
    <border>
      <left/>
      <right style="hair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2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2" xfId="0" applyBorder="1"/>
    <xf numFmtId="165" fontId="0" fillId="0" borderId="0" xfId="0" applyNumberFormat="1"/>
    <xf numFmtId="165" fontId="0" fillId="0" borderId="2" xfId="0" applyNumberFormat="1" applyBorder="1"/>
    <xf numFmtId="0" fontId="2" fillId="0" borderId="0" xfId="0" applyFont="1"/>
    <xf numFmtId="0" fontId="2" fillId="0" borderId="0" xfId="0" applyFont="1" applyAlignment="1">
      <alignment horizontal="right"/>
    </xf>
    <xf numFmtId="165" fontId="0" fillId="0" borderId="0" xfId="0" applyNumberFormat="1" applyBorder="1"/>
    <xf numFmtId="0" fontId="0" fillId="2" borderId="0" xfId="0" applyFill="1"/>
    <xf numFmtId="165" fontId="0" fillId="2" borderId="0" xfId="0" applyNumberForma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2" xfId="0" applyFill="1" applyBorder="1"/>
    <xf numFmtId="165" fontId="0" fillId="2" borderId="2" xfId="0" applyNumberFormat="1" applyFill="1" applyBorder="1"/>
    <xf numFmtId="0" fontId="0" fillId="0" borderId="0" xfId="0" applyAlignment="1">
      <alignment horizontal="center"/>
    </xf>
    <xf numFmtId="164" fontId="0" fillId="3" borderId="1" xfId="0" applyNumberFormat="1" applyFill="1" applyBorder="1"/>
    <xf numFmtId="164" fontId="0" fillId="0" borderId="0" xfId="0" applyNumberFormat="1"/>
    <xf numFmtId="0" fontId="0" fillId="0" borderId="0" xfId="0" applyBorder="1" applyAlignment="1">
      <alignment horizontal="center"/>
    </xf>
    <xf numFmtId="0" fontId="6" fillId="0" borderId="0" xfId="0" applyFont="1" applyAlignment="1">
      <alignment horizontal="left"/>
    </xf>
    <xf numFmtId="2" fontId="2" fillId="0" borderId="3" xfId="0" applyNumberFormat="1" applyFont="1" applyBorder="1"/>
    <xf numFmtId="164" fontId="2" fillId="0" borderId="4" xfId="0" applyNumberFormat="1" applyFont="1" applyBorder="1"/>
    <xf numFmtId="2" fontId="2" fillId="0" borderId="5" xfId="0" applyNumberFormat="1" applyFont="1" applyBorder="1"/>
    <xf numFmtId="0" fontId="0" fillId="0" borderId="6" xfId="0" applyBorder="1"/>
    <xf numFmtId="164" fontId="0" fillId="0" borderId="7" xfId="0" applyNumberFormat="1" applyBorder="1"/>
    <xf numFmtId="0" fontId="0" fillId="0" borderId="3" xfId="0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3" borderId="0" xfId="0" applyFill="1"/>
    <xf numFmtId="0" fontId="0" fillId="0" borderId="1" xfId="0" applyNumberFormat="1" applyBorder="1"/>
    <xf numFmtId="0" fontId="0" fillId="0" borderId="0" xfId="0" applyFill="1"/>
    <xf numFmtId="0" fontId="0" fillId="0" borderId="0" xfId="0" applyAlignment="1">
      <alignment horizontal="right"/>
    </xf>
    <xf numFmtId="165" fontId="0" fillId="0" borderId="0" xfId="0" applyNumberFormat="1" applyFill="1"/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0" fillId="0" borderId="2" xfId="0" applyFill="1" applyBorder="1"/>
    <xf numFmtId="165" fontId="0" fillId="0" borderId="2" xfId="0" applyNumberFormat="1" applyFill="1" applyBorder="1"/>
    <xf numFmtId="0" fontId="0" fillId="0" borderId="11" xfId="0" applyBorder="1" applyAlignment="1">
      <alignment horizontal="right"/>
    </xf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4" borderId="0" xfId="0" applyFill="1"/>
    <xf numFmtId="164" fontId="0" fillId="4" borderId="0" xfId="0" applyNumberFormat="1" applyFill="1"/>
    <xf numFmtId="9" fontId="0" fillId="0" borderId="0" xfId="1" applyFont="1" applyAlignment="1">
      <alignment horizontal="left"/>
    </xf>
    <xf numFmtId="164" fontId="7" fillId="0" borderId="0" xfId="0" applyNumberFormat="1" applyFont="1"/>
    <xf numFmtId="166" fontId="2" fillId="0" borderId="0" xfId="0" applyNumberFormat="1" applyFont="1"/>
    <xf numFmtId="167" fontId="0" fillId="0" borderId="0" xfId="0" applyNumberFormat="1"/>
    <xf numFmtId="0" fontId="2" fillId="0" borderId="0" xfId="0" applyFont="1" applyFill="1" applyBorder="1" applyAlignment="1">
      <alignment horizontal="center"/>
    </xf>
    <xf numFmtId="9" fontId="0" fillId="0" borderId="1" xfId="1" applyFont="1" applyBorder="1"/>
    <xf numFmtId="0" fontId="2" fillId="0" borderId="0" xfId="0" applyFont="1" applyFill="1" applyBorder="1"/>
    <xf numFmtId="0" fontId="0" fillId="0" borderId="0" xfId="0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8" fillId="0" borderId="1" xfId="0" applyFont="1" applyBorder="1"/>
    <xf numFmtId="168" fontId="0" fillId="0" borderId="0" xfId="1" applyNumberFormat="1" applyFont="1" applyAlignment="1">
      <alignment horizontal="left"/>
    </xf>
    <xf numFmtId="9" fontId="0" fillId="0" borderId="0" xfId="0" applyNumberFormat="1"/>
    <xf numFmtId="0" fontId="0" fillId="8" borderId="1" xfId="0" applyFill="1" applyBorder="1"/>
    <xf numFmtId="0" fontId="9" fillId="0" borderId="1" xfId="0" applyFont="1" applyBorder="1"/>
    <xf numFmtId="0" fontId="2" fillId="0" borderId="0" xfId="0" applyFont="1" applyAlignment="1">
      <alignment horizontal="left"/>
    </xf>
    <xf numFmtId="0" fontId="2" fillId="0" borderId="17" xfId="0" applyFont="1" applyFill="1" applyBorder="1"/>
    <xf numFmtId="0" fontId="0" fillId="0" borderId="18" xfId="0" applyFill="1" applyBorder="1"/>
    <xf numFmtId="0" fontId="0" fillId="0" borderId="17" xfId="0" applyFill="1" applyBorder="1"/>
    <xf numFmtId="1" fontId="0" fillId="4" borderId="0" xfId="0" applyNumberFormat="1" applyFill="1"/>
    <xf numFmtId="169" fontId="0" fillId="0" borderId="1" xfId="0" applyNumberFormat="1" applyBorder="1"/>
    <xf numFmtId="0" fontId="9" fillId="4" borderId="0" xfId="0" applyFont="1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164" fontId="0" fillId="0" borderId="19" xfId="0" applyNumberFormat="1" applyBorder="1"/>
    <xf numFmtId="164" fontId="0" fillId="0" borderId="17" xfId="0" applyNumberFormat="1" applyFill="1" applyBorder="1"/>
    <xf numFmtId="164" fontId="0" fillId="0" borderId="20" xfId="0" applyNumberFormat="1" applyBorder="1"/>
    <xf numFmtId="164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center"/>
    </xf>
    <xf numFmtId="2" fontId="0" fillId="0" borderId="0" xfId="0" applyNumberFormat="1" applyBorder="1"/>
    <xf numFmtId="2" fontId="0" fillId="0" borderId="0" xfId="0" applyNumberFormat="1"/>
    <xf numFmtId="170" fontId="0" fillId="0" borderId="0" xfId="0" applyNumberFormat="1"/>
    <xf numFmtId="0" fontId="1" fillId="0" borderId="1" xfId="0" applyFont="1" applyBorder="1"/>
    <xf numFmtId="0" fontId="0" fillId="11" borderId="0" xfId="0" applyFill="1"/>
    <xf numFmtId="0" fontId="1" fillId="12" borderId="0" xfId="0" applyFont="1" applyFill="1"/>
    <xf numFmtId="0" fontId="13" fillId="13" borderId="0" xfId="0" applyFont="1" applyFill="1"/>
    <xf numFmtId="0" fontId="1" fillId="4" borderId="0" xfId="0" applyFont="1" applyFill="1"/>
    <xf numFmtId="0" fontId="1" fillId="0" borderId="0" xfId="0" applyFont="1"/>
    <xf numFmtId="0" fontId="0" fillId="14" borderId="0" xfId="0" applyFill="1"/>
    <xf numFmtId="0" fontId="0" fillId="15" borderId="0" xfId="0" applyFill="1"/>
    <xf numFmtId="0" fontId="1" fillId="0" borderId="3" xfId="0" applyFont="1" applyBorder="1"/>
    <xf numFmtId="0" fontId="1" fillId="0" borderId="2" xfId="0" applyFont="1" applyBorder="1"/>
    <xf numFmtId="0" fontId="0" fillId="16" borderId="1" xfId="0" applyFill="1" applyBorder="1"/>
    <xf numFmtId="0" fontId="0" fillId="16" borderId="1" xfId="0" applyFill="1" applyBorder="1" applyAlignment="1">
      <alignment horizontal="right"/>
    </xf>
    <xf numFmtId="0" fontId="1" fillId="17" borderId="1" xfId="0" applyFont="1" applyFill="1" applyBorder="1"/>
    <xf numFmtId="164" fontId="0" fillId="17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Normalny" xfId="0" builtinId="0"/>
    <cellStyle name="Procentowy" xfId="1" builtinId="5"/>
  </cellStyles>
  <dxfs count="160">
    <dxf>
      <numFmt numFmtId="164" formatCode="General;\-General;&quot;&quot;"/>
    </dxf>
    <dxf>
      <font>
        <b/>
        <i val="0"/>
        <u/>
      </font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</font>
      <fill>
        <patternFill>
          <bgColor rgb="FF99CCFF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color rgb="FFFF0000"/>
      </font>
      <border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499984740745262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ndense val="0"/>
        <extend val="0"/>
      </font>
      <fill>
        <patternFill>
          <bgColor indexed="26"/>
        </patternFill>
      </fill>
    </dxf>
    <dxf>
      <font>
        <b val="0"/>
        <i val="0"/>
      </font>
      <fill>
        <patternFill>
          <bgColor rgb="FFFFFFCC"/>
        </patternFill>
      </fill>
    </dxf>
    <dxf>
      <font>
        <b/>
        <i val="0"/>
        <condense val="0"/>
        <extend val="0"/>
      </font>
      <fill>
        <patternFill>
          <bgColor rgb="FFFFFF00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u/>
      </font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ill>
        <patternFill patternType="lightTrellis">
          <fgColor indexed="22"/>
          <bgColor indexed="9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ill>
        <patternFill patternType="lightTrellis">
          <fgColor indexed="22"/>
          <bgColor indexed="9"/>
        </patternFill>
      </fill>
    </dxf>
    <dxf>
      <font>
        <condense val="0"/>
        <extend val="0"/>
        <color indexed="9"/>
      </font>
      <fill>
        <patternFill>
          <bgColor indexed="60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ont>
        <b/>
        <i val="0"/>
        <condense val="0"/>
        <extend val="0"/>
      </font>
      <fill>
        <patternFill>
          <bgColor indexed="26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  <dxf>
      <font>
        <b val="0"/>
        <i val="0"/>
        <condense val="0"/>
        <extend val="0"/>
        <color indexed="9"/>
      </font>
      <fill>
        <patternFill>
          <bgColor indexed="8"/>
        </patternFill>
      </fill>
    </dxf>
    <dxf>
      <font>
        <b/>
        <i val="0"/>
        <condense val="0"/>
        <extend val="0"/>
        <color indexed="9"/>
      </font>
      <fill>
        <patternFill>
          <bgColor indexed="60"/>
        </patternFill>
      </fill>
    </dxf>
    <dxf>
      <font>
        <b/>
        <i val="0"/>
        <condense val="0"/>
        <extend val="0"/>
      </font>
      <fill>
        <patternFill>
          <bgColor indexed="22"/>
        </patternFill>
      </fill>
    </dxf>
    <dxf>
      <font>
        <b/>
        <i val="0"/>
        <condense val="0"/>
        <extend val="0"/>
      </font>
      <fill>
        <patternFill>
          <bgColor indexed="51"/>
        </patternFill>
      </fill>
    </dxf>
  </dxfs>
  <tableStyles count="0" defaultTableStyle="TableStyleMedium2" defaultPivotStyle="PivotStyleLight16"/>
  <colors>
    <mruColors>
      <color rgb="FF993300"/>
      <color rgb="FFFFFFCC"/>
      <color rgb="FFCC0066"/>
      <color rgb="FFFF00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21473617785916E-2"/>
          <c:y val="7.1428709830554452E-2"/>
          <c:w val="0.93774697854100375"/>
          <c:h val="0.78373167730747251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25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Arkusz1!$BQ$6:$BQ$39</c:f>
              <c:numCache>
                <c:formatCode>0.00</c:formatCode>
                <c:ptCount val="34"/>
                <c:pt idx="0">
                  <c:v>54.333333333333336</c:v>
                </c:pt>
                <c:pt idx="1">
                  <c:v>56.5</c:v>
                </c:pt>
                <c:pt idx="2">
                  <c:v>58</c:v>
                </c:pt>
                <c:pt idx="3">
                  <c:v>57.25</c:v>
                </c:pt>
                <c:pt idx="4">
                  <c:v>63.5</c:v>
                </c:pt>
                <c:pt idx="5">
                  <c:v>64.333333333333329</c:v>
                </c:pt>
                <c:pt idx="6">
                  <c:v>57.25</c:v>
                </c:pt>
                <c:pt idx="7">
                  <c:v>71.666666666666671</c:v>
                </c:pt>
                <c:pt idx="8">
                  <c:v>69.5</c:v>
                </c:pt>
                <c:pt idx="9">
                  <c:v>61</c:v>
                </c:pt>
                <c:pt idx="10">
                  <c:v>62</c:v>
                </c:pt>
                <c:pt idx="11">
                  <c:v>71.5</c:v>
                </c:pt>
                <c:pt idx="12">
                  <c:v>65</c:v>
                </c:pt>
                <c:pt idx="13">
                  <c:v>60.333333333333336</c:v>
                </c:pt>
                <c:pt idx="14">
                  <c:v>71.666666666666671</c:v>
                </c:pt>
                <c:pt idx="15">
                  <c:v>77</c:v>
                </c:pt>
                <c:pt idx="16">
                  <c:v>73</c:v>
                </c:pt>
                <c:pt idx="17">
                  <c:v>66.75</c:v>
                </c:pt>
                <c:pt idx="18">
                  <c:v>60</c:v>
                </c:pt>
                <c:pt idx="19">
                  <c:v>64.75</c:v>
                </c:pt>
                <c:pt idx="20">
                  <c:v>63.75</c:v>
                </c:pt>
                <c:pt idx="21">
                  <c:v>69.333333333333329</c:v>
                </c:pt>
                <c:pt idx="22">
                  <c:v>59.5</c:v>
                </c:pt>
                <c:pt idx="23">
                  <c:v>65</c:v>
                </c:pt>
                <c:pt idx="24">
                  <c:v>66.333333333333329</c:v>
                </c:pt>
                <c:pt idx="25">
                  <c:v>77</c:v>
                </c:pt>
                <c:pt idx="26">
                  <c:v>59.5</c:v>
                </c:pt>
                <c:pt idx="27">
                  <c:v>63.25</c:v>
                </c:pt>
                <c:pt idx="28">
                  <c:v>69.5</c:v>
                </c:pt>
                <c:pt idx="29">
                  <c:v>61.75</c:v>
                </c:pt>
                <c:pt idx="30">
                  <c:v>67.333333333333329</c:v>
                </c:pt>
                <c:pt idx="31">
                  <c:v>64.25</c:v>
                </c:pt>
                <c:pt idx="32">
                  <c:v>63</c:v>
                </c:pt>
                <c:pt idx="3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B-4F34-8E87-9BF48D05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2592"/>
        <c:axId val="132918080"/>
      </c:lineChart>
      <c:catAx>
        <c:axId val="10078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291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18080"/>
        <c:scaling>
          <c:orientation val="minMax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782592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96836388293785E-2"/>
          <c:y val="6.8965600183767156E-2"/>
          <c:w val="0.80288015953782477"/>
          <c:h val="0.80788274500984381"/>
        </c:manualLayout>
      </c:layout>
      <c:lineChart>
        <c:grouping val="standard"/>
        <c:varyColors val="0"/>
        <c:ser>
          <c:idx val="0"/>
          <c:order val="0"/>
          <c:tx>
            <c:strRef>
              <c:f>Arkusz1!$DY$5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Arkusz1!$DX$6:$DX$39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Arkusz1!$DY$6:$DY$39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5-4BFC-B879-0F70919A7DF2}"/>
            </c:ext>
          </c:extLst>
        </c:ser>
        <c:ser>
          <c:idx val="1"/>
          <c:order val="1"/>
          <c:tx>
            <c:strRef>
              <c:f>Arkusz1!$DZ$5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EF5-4BFC-B879-0F70919A7DF2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EF5-4BFC-B879-0F70919A7DF2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DEF5-4BFC-B879-0F70919A7DF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4-DEF5-4BFC-B879-0F70919A7DF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5-DEF5-4BFC-B879-0F70919A7DF2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6-DEF5-4BFC-B879-0F70919A7DF2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7-DEF5-4BFC-B879-0F70919A7DF2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8-DEF5-4BFC-B879-0F70919A7DF2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9-DEF5-4BFC-B879-0F70919A7DF2}"/>
              </c:ext>
            </c:extLst>
          </c:dPt>
          <c:cat>
            <c:numRef>
              <c:f>Arkusz1!$DX$6:$DX$39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Arkusz1!$DZ$6:$DZ$39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F5-4BFC-B879-0F70919A7DF2}"/>
            </c:ext>
          </c:extLst>
        </c:ser>
        <c:ser>
          <c:idx val="2"/>
          <c:order val="2"/>
          <c:tx>
            <c:strRef>
              <c:f>Arkusz1!$EA$5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B-DEF5-4BFC-B879-0F70919A7DF2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C-DEF5-4BFC-B879-0F70919A7DF2}"/>
              </c:ext>
            </c:extLst>
          </c:dPt>
          <c:cat>
            <c:numRef>
              <c:f>Arkusz1!$DX$6:$DX$39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Arkusz1!$EA$6:$EA$39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F5-4BFC-B879-0F70919A7DF2}"/>
            </c:ext>
          </c:extLst>
        </c:ser>
        <c:ser>
          <c:idx val="3"/>
          <c:order val="3"/>
          <c:tx>
            <c:strRef>
              <c:f>Arkusz1!$EB$5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E-DEF5-4BFC-B879-0F70919A7DF2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F-DEF5-4BFC-B879-0F70919A7DF2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DEF5-4BFC-B879-0F70919A7DF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DEF5-4BFC-B879-0F70919A7DF2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2-DEF5-4BFC-B879-0F70919A7DF2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3-DEF5-4BFC-B879-0F70919A7DF2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4-DEF5-4BFC-B879-0F70919A7DF2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5-DEF5-4BFC-B879-0F70919A7DF2}"/>
              </c:ext>
            </c:extLst>
          </c:dPt>
          <c:cat>
            <c:numRef>
              <c:f>Arkusz1!$DX$6:$DX$39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Arkusz1!$EB$6:$EB$39</c:f>
              <c:numCache>
                <c:formatCode>General</c:formatCode>
                <c:ptCount val="34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EF5-4BFC-B879-0F70919A7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742592"/>
        <c:axId val="133483904"/>
      </c:lineChart>
      <c:catAx>
        <c:axId val="1337425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483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8390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742592"/>
        <c:crosses val="autoZero"/>
        <c:crossBetween val="midCat"/>
        <c:maj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5862668329244"/>
          <c:y val="0.29556676105142027"/>
          <c:w val="0.13178306200097079"/>
          <c:h val="0.3571433743195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'29'!$H$4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'29'!$I$4:$L$4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1-4DCF-B659-530E1269D26F}"/>
            </c:ext>
          </c:extLst>
        </c:ser>
        <c:ser>
          <c:idx val="1"/>
          <c:order val="1"/>
          <c:tx>
            <c:strRef>
              <c:f>'29'!$H$5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1-4DCF-B659-530E1269D26F}"/>
            </c:ext>
          </c:extLst>
        </c:ser>
        <c:ser>
          <c:idx val="2"/>
          <c:order val="2"/>
          <c:tx>
            <c:strRef>
              <c:f>'29'!$H$6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'29'!$I$6:$L$6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1-4DCF-B659-530E1269D26F}"/>
            </c:ext>
          </c:extLst>
        </c:ser>
        <c:ser>
          <c:idx val="3"/>
          <c:order val="3"/>
          <c:tx>
            <c:strRef>
              <c:f>'29'!$H$7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1-4DCF-B659-530E1269D26F}"/>
            </c:ext>
          </c:extLst>
        </c:ser>
        <c:ser>
          <c:idx val="4"/>
          <c:order val="4"/>
          <c:tx>
            <c:strRef>
              <c:f>'29'!$H$8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1-4DCF-B659-530E1269D26F}"/>
            </c:ext>
          </c:extLst>
        </c:ser>
        <c:ser>
          <c:idx val="5"/>
          <c:order val="5"/>
          <c:tx>
            <c:strRef>
              <c:f>'29'!$H$9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'29'!$I$9:$L$9</c:f>
              <c:numCache>
                <c:formatCode>General</c:formatCode>
                <c:ptCount val="4"/>
                <c:pt idx="0">
                  <c:v>38</c:v>
                </c:pt>
                <c:pt idx="1">
                  <c:v>8</c:v>
                </c:pt>
                <c:pt idx="2">
                  <c:v>23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1-4DCF-B659-530E1269D26F}"/>
            </c:ext>
          </c:extLst>
        </c:ser>
        <c:ser>
          <c:idx val="6"/>
          <c:order val="6"/>
          <c:tx>
            <c:strRef>
              <c:f>'29'!$H$10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'29'!$I$10:$L$10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1-4DCF-B659-530E1269D26F}"/>
            </c:ext>
          </c:extLst>
        </c:ser>
        <c:ser>
          <c:idx val="7"/>
          <c:order val="7"/>
          <c:tx>
            <c:strRef>
              <c:f>'29'!$H$11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61-4DCF-B659-530E1269D26F}"/>
            </c:ext>
          </c:extLst>
        </c:ser>
        <c:ser>
          <c:idx val="8"/>
          <c:order val="8"/>
          <c:tx>
            <c:strRef>
              <c:f>'29'!$H$12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'29'!$I$12:$L$12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61-4DCF-B659-530E1269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'29'!$H$4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'29'!$I$4:$L$4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1-4F3E-84C0-2D4116DFC337}"/>
            </c:ext>
          </c:extLst>
        </c:ser>
        <c:ser>
          <c:idx val="1"/>
          <c:order val="1"/>
          <c:tx>
            <c:strRef>
              <c:f>'29'!$H$5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1-4F3E-84C0-2D4116DFC337}"/>
            </c:ext>
          </c:extLst>
        </c:ser>
        <c:ser>
          <c:idx val="2"/>
          <c:order val="2"/>
          <c:tx>
            <c:strRef>
              <c:f>'29'!$H$6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'29'!$I$6:$L$6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1-4F3E-84C0-2D4116DFC337}"/>
            </c:ext>
          </c:extLst>
        </c:ser>
        <c:ser>
          <c:idx val="3"/>
          <c:order val="3"/>
          <c:tx>
            <c:strRef>
              <c:f>'29'!$H$7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1-4F3E-84C0-2D4116DFC337}"/>
            </c:ext>
          </c:extLst>
        </c:ser>
        <c:ser>
          <c:idx val="4"/>
          <c:order val="4"/>
          <c:tx>
            <c:strRef>
              <c:f>'29'!$H$8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1-4F3E-84C0-2D4116DFC337}"/>
            </c:ext>
          </c:extLst>
        </c:ser>
        <c:ser>
          <c:idx val="5"/>
          <c:order val="5"/>
          <c:tx>
            <c:strRef>
              <c:f>'29'!$H$9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'29'!$I$9:$L$9</c:f>
              <c:numCache>
                <c:formatCode>General</c:formatCode>
                <c:ptCount val="4"/>
                <c:pt idx="0">
                  <c:v>38</c:v>
                </c:pt>
                <c:pt idx="1">
                  <c:v>8</c:v>
                </c:pt>
                <c:pt idx="2">
                  <c:v>23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B1-4F3E-84C0-2D4116DFC337}"/>
            </c:ext>
          </c:extLst>
        </c:ser>
        <c:ser>
          <c:idx val="6"/>
          <c:order val="6"/>
          <c:tx>
            <c:strRef>
              <c:f>'29'!$H$10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'29'!$I$10:$L$10</c:f>
              <c:numCache>
                <c:formatCode>General</c:formatCode>
                <c:ptCount val="4"/>
                <c:pt idx="0">
                  <c:v>0</c:v>
                </c:pt>
                <c:pt idx="1">
                  <c:v>22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1-4F3E-84C0-2D4116DFC337}"/>
            </c:ext>
          </c:extLst>
        </c:ser>
        <c:ser>
          <c:idx val="7"/>
          <c:order val="7"/>
          <c:tx>
            <c:strRef>
              <c:f>'29'!$H$11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B1-4F3E-84C0-2D4116DFC337}"/>
            </c:ext>
          </c:extLst>
        </c:ser>
        <c:ser>
          <c:idx val="8"/>
          <c:order val="8"/>
          <c:tx>
            <c:strRef>
              <c:f>'29'!$H$12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'29'!$I$12:$L$12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B1-4F3E-84C0-2D4116DFC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'29'!$B$23:$B$31</c:f>
              <c:numCache>
                <c:formatCode>\+General;\-General;0</c:formatCode>
                <c:ptCount val="9"/>
                <c:pt idx="0">
                  <c:v>14</c:v>
                </c:pt>
                <c:pt idx="1">
                  <c:v>9</c:v>
                </c:pt>
                <c:pt idx="2">
                  <c:v>0</c:v>
                </c:pt>
                <c:pt idx="3">
                  <c:v>-2</c:v>
                </c:pt>
                <c:pt idx="4">
                  <c:v>-7</c:v>
                </c:pt>
                <c:pt idx="5">
                  <c:v>-8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29-4FAC-A454-108556D1C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'29'!$I$2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'29'!$I$4:$I$12</c:f>
              <c:numCache>
                <c:formatCode>General</c:formatCode>
                <c:ptCount val="9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38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2-42BC-B693-10C270FEB2A7}"/>
            </c:ext>
          </c:extLst>
        </c:ser>
        <c:ser>
          <c:idx val="1"/>
          <c:order val="1"/>
          <c:tx>
            <c:strRef>
              <c:f>'29'!$J$2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'29'!$J$4:$J$12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8</c:v>
                </c:pt>
                <c:pt idx="6">
                  <c:v>22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2-42BC-B693-10C270FEB2A7}"/>
            </c:ext>
          </c:extLst>
        </c:ser>
        <c:ser>
          <c:idx val="2"/>
          <c:order val="2"/>
          <c:tx>
            <c:strRef>
              <c:f>'29'!$K$2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'29'!$K$4:$K$12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23</c:v>
                </c:pt>
                <c:pt idx="6">
                  <c:v>14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2-42BC-B693-10C270FEB2A7}"/>
            </c:ext>
          </c:extLst>
        </c:ser>
        <c:ser>
          <c:idx val="3"/>
          <c:order val="3"/>
          <c:tx>
            <c:strRef>
              <c:f>'29'!$L$2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'29'!$L$4:$L$12</c:f>
              <c:numCache>
                <c:formatCode>General</c:formatCode>
                <c:ptCount val="9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F2-42BC-B693-10C270FEB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'30'!$H$4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'30'!$I$4:$L$4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7-46DC-B41E-99E0E829E35E}"/>
            </c:ext>
          </c:extLst>
        </c:ser>
        <c:ser>
          <c:idx val="1"/>
          <c:order val="1"/>
          <c:tx>
            <c:strRef>
              <c:f>'30'!$H$5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7-46DC-B41E-99E0E829E35E}"/>
            </c:ext>
          </c:extLst>
        </c:ser>
        <c:ser>
          <c:idx val="2"/>
          <c:order val="2"/>
          <c:tx>
            <c:strRef>
              <c:f>'30'!$H$6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7-46DC-B41E-99E0E829E35E}"/>
            </c:ext>
          </c:extLst>
        </c:ser>
        <c:ser>
          <c:idx val="3"/>
          <c:order val="3"/>
          <c:tx>
            <c:strRef>
              <c:f>'30'!$H$7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F7-46DC-B41E-99E0E829E35E}"/>
            </c:ext>
          </c:extLst>
        </c:ser>
        <c:ser>
          <c:idx val="4"/>
          <c:order val="4"/>
          <c:tx>
            <c:strRef>
              <c:f>'30'!$H$8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F7-46DC-B41E-99E0E829E35E}"/>
            </c:ext>
          </c:extLst>
        </c:ser>
        <c:ser>
          <c:idx val="5"/>
          <c:order val="5"/>
          <c:tx>
            <c:strRef>
              <c:f>'30'!$H$9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'30'!$I$9:$L$9</c:f>
              <c:numCache>
                <c:formatCode>General</c:formatCode>
                <c:ptCount val="4"/>
                <c:pt idx="0">
                  <c:v>27</c:v>
                </c:pt>
                <c:pt idx="1">
                  <c:v>5</c:v>
                </c:pt>
                <c:pt idx="2">
                  <c:v>26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7-46DC-B41E-99E0E829E35E}"/>
            </c:ext>
          </c:extLst>
        </c:ser>
        <c:ser>
          <c:idx val="6"/>
          <c:order val="6"/>
          <c:tx>
            <c:strRef>
              <c:f>'30'!$H$10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'30'!$I$10:$L$10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F7-46DC-B41E-99E0E829E35E}"/>
            </c:ext>
          </c:extLst>
        </c:ser>
        <c:ser>
          <c:idx val="7"/>
          <c:order val="7"/>
          <c:tx>
            <c:strRef>
              <c:f>'30'!$H$11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'30'!$I$11:$L$11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F7-46DC-B41E-99E0E829E35E}"/>
            </c:ext>
          </c:extLst>
        </c:ser>
        <c:ser>
          <c:idx val="8"/>
          <c:order val="8"/>
          <c:tx>
            <c:strRef>
              <c:f>'30'!$H$12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F7-46DC-B41E-99E0E829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'30'!$I$4:$L$4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10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8-472C-A24D-F6501E6308A8}"/>
            </c:ext>
          </c:extLst>
        </c:ser>
        <c:ser>
          <c:idx val="1"/>
          <c:order val="1"/>
          <c:tx>
            <c:strRef>
              <c:f>'30'!$H$5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8-472C-A24D-F6501E6308A8}"/>
            </c:ext>
          </c:extLst>
        </c:ser>
        <c:ser>
          <c:idx val="2"/>
          <c:order val="2"/>
          <c:tx>
            <c:strRef>
              <c:f>'30'!$H$6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8-472C-A24D-F6501E6308A8}"/>
            </c:ext>
          </c:extLst>
        </c:ser>
        <c:ser>
          <c:idx val="3"/>
          <c:order val="3"/>
          <c:tx>
            <c:strRef>
              <c:f>'30'!$H$7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68-472C-A24D-F6501E6308A8}"/>
            </c:ext>
          </c:extLst>
        </c:ser>
        <c:ser>
          <c:idx val="4"/>
          <c:order val="4"/>
          <c:tx>
            <c:strRef>
              <c:f>'30'!$H$8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68-472C-A24D-F6501E6308A8}"/>
            </c:ext>
          </c:extLst>
        </c:ser>
        <c:ser>
          <c:idx val="5"/>
          <c:order val="5"/>
          <c:tx>
            <c:strRef>
              <c:f>'30'!$H$9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'30'!$I$9:$L$9</c:f>
              <c:numCache>
                <c:formatCode>General</c:formatCode>
                <c:ptCount val="4"/>
                <c:pt idx="0">
                  <c:v>27</c:v>
                </c:pt>
                <c:pt idx="1">
                  <c:v>5</c:v>
                </c:pt>
                <c:pt idx="2">
                  <c:v>26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68-472C-A24D-F6501E6308A8}"/>
            </c:ext>
          </c:extLst>
        </c:ser>
        <c:ser>
          <c:idx val="6"/>
          <c:order val="6"/>
          <c:tx>
            <c:strRef>
              <c:f>'30'!$H$10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'30'!$I$10:$L$10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68-472C-A24D-F6501E6308A8}"/>
            </c:ext>
          </c:extLst>
        </c:ser>
        <c:ser>
          <c:idx val="7"/>
          <c:order val="7"/>
          <c:tx>
            <c:strRef>
              <c:f>'30'!$H$11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'30'!$I$11:$L$11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68-472C-A24D-F6501E6308A8}"/>
            </c:ext>
          </c:extLst>
        </c:ser>
        <c:ser>
          <c:idx val="8"/>
          <c:order val="8"/>
          <c:tx>
            <c:strRef>
              <c:f>'30'!$H$12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Dominika</c:v>
                </c:pt>
                <c:pt idx="3">
                  <c:v>Agnieszka</c:v>
                </c:pt>
              </c:strCache>
            </c:strRef>
          </c:cat>
          <c:val>
            <c:numRef>
              <c:f>'30'!$I$12:$L$12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68-472C-A24D-F6501E63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'30'!$B$23:$B$31</c:f>
              <c:numCache>
                <c:formatCode>\+General;\-General;0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-1</c:v>
                </c:pt>
                <c:pt idx="3">
                  <c:v>0</c:v>
                </c:pt>
                <c:pt idx="4">
                  <c:v>-7</c:v>
                </c:pt>
                <c:pt idx="5">
                  <c:v>-4</c:v>
                </c:pt>
                <c:pt idx="6">
                  <c:v>-12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C-4742-94AC-BD5F96139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'30'!$I$4:$I$12</c:f>
              <c:numCache>
                <c:formatCode>General</c:formatCode>
                <c:ptCount val="9"/>
                <c:pt idx="0">
                  <c:v>22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6-48B8-A0FA-6AE7139C0E9C}"/>
            </c:ext>
          </c:extLst>
        </c:ser>
        <c:ser>
          <c:idx val="1"/>
          <c:order val="1"/>
          <c:tx>
            <c:strRef>
              <c:f>'30'!$J$2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'30'!$J$4:$J$12</c:f>
              <c:numCache>
                <c:formatCode>General</c:formatCode>
                <c:ptCount val="9"/>
                <c:pt idx="0">
                  <c:v>12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30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6-48B8-A0FA-6AE7139C0E9C}"/>
            </c:ext>
          </c:extLst>
        </c:ser>
        <c:ser>
          <c:idx val="2"/>
          <c:order val="2"/>
          <c:tx>
            <c:strRef>
              <c:f>'30'!$K$2</c:f>
              <c:strCache>
                <c:ptCount val="1"/>
                <c:pt idx="0">
                  <c:v>Dominika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'30'!$K$4:$K$12</c:f>
              <c:numCache>
                <c:formatCode>General</c:formatCode>
                <c:ptCount val="9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6-48B8-A0FA-6AE7139C0E9C}"/>
            </c:ext>
          </c:extLst>
        </c:ser>
        <c:ser>
          <c:idx val="3"/>
          <c:order val="3"/>
          <c:tx>
            <c:strRef>
              <c:f>'30'!$L$2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'30'!$L$4:$L$12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31</c:v>
                </c:pt>
                <c:pt idx="6">
                  <c:v>12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6-48B8-A0FA-6AE7139C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'31'!$I$4:$L$4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4-467F-A263-57E6CDC15C9A}"/>
            </c:ext>
          </c:extLst>
        </c:ser>
        <c:ser>
          <c:idx val="1"/>
          <c:order val="1"/>
          <c:tx>
            <c:strRef>
              <c:f>'31'!$H$5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4-467F-A263-57E6CDC15C9A}"/>
            </c:ext>
          </c:extLst>
        </c:ser>
        <c:ser>
          <c:idx val="2"/>
          <c:order val="2"/>
          <c:tx>
            <c:strRef>
              <c:f>'31'!$H$6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34-467F-A263-57E6CDC15C9A}"/>
            </c:ext>
          </c:extLst>
        </c:ser>
        <c:ser>
          <c:idx val="3"/>
          <c:order val="3"/>
          <c:tx>
            <c:strRef>
              <c:f>'31'!$H$7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34-467F-A263-57E6CDC15C9A}"/>
            </c:ext>
          </c:extLst>
        </c:ser>
        <c:ser>
          <c:idx val="4"/>
          <c:order val="4"/>
          <c:tx>
            <c:strRef>
              <c:f>'31'!$H$8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'31'!$I$8:$L$8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34-467F-A263-57E6CDC15C9A}"/>
            </c:ext>
          </c:extLst>
        </c:ser>
        <c:ser>
          <c:idx val="5"/>
          <c:order val="5"/>
          <c:tx>
            <c:strRef>
              <c:f>'31'!$H$9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'31'!$I$9:$L$9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34-467F-A263-57E6CDC15C9A}"/>
            </c:ext>
          </c:extLst>
        </c:ser>
        <c:ser>
          <c:idx val="6"/>
          <c:order val="6"/>
          <c:tx>
            <c:strRef>
              <c:f>'31'!$H$10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34-467F-A263-57E6CDC15C9A}"/>
            </c:ext>
          </c:extLst>
        </c:ser>
        <c:ser>
          <c:idx val="7"/>
          <c:order val="7"/>
          <c:tx>
            <c:strRef>
              <c:f>'31'!$H$11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34-467F-A263-57E6CDC15C9A}"/>
            </c:ext>
          </c:extLst>
        </c:ser>
        <c:ser>
          <c:idx val="8"/>
          <c:order val="8"/>
          <c:tx>
            <c:strRef>
              <c:f>'31'!$H$12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'31'!$I$12:$L$12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34-467F-A263-57E6CDC15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'31'!$I$4:$L$4</c:f>
              <c:numCache>
                <c:formatCode>General</c:formatCode>
                <c:ptCount val="4"/>
                <c:pt idx="0">
                  <c:v>21</c:v>
                </c:pt>
                <c:pt idx="1">
                  <c:v>19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A4E-977B-2425C3CB422E}"/>
            </c:ext>
          </c:extLst>
        </c:ser>
        <c:ser>
          <c:idx val="1"/>
          <c:order val="1"/>
          <c:tx>
            <c:strRef>
              <c:f>'31'!$H$5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2-4A4E-977B-2425C3CB422E}"/>
            </c:ext>
          </c:extLst>
        </c:ser>
        <c:ser>
          <c:idx val="2"/>
          <c:order val="2"/>
          <c:tx>
            <c:strRef>
              <c:f>'31'!$H$6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2-4A4E-977B-2425C3CB422E}"/>
            </c:ext>
          </c:extLst>
        </c:ser>
        <c:ser>
          <c:idx val="3"/>
          <c:order val="3"/>
          <c:tx>
            <c:strRef>
              <c:f>'31'!$H$7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2-4A4E-977B-2425C3CB422E}"/>
            </c:ext>
          </c:extLst>
        </c:ser>
        <c:ser>
          <c:idx val="4"/>
          <c:order val="4"/>
          <c:tx>
            <c:strRef>
              <c:f>'31'!$H$8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'31'!$I$8:$L$8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2-4A4E-977B-2425C3CB422E}"/>
            </c:ext>
          </c:extLst>
        </c:ser>
        <c:ser>
          <c:idx val="5"/>
          <c:order val="5"/>
          <c:tx>
            <c:strRef>
              <c:f>'31'!$H$9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'31'!$I$9:$L$9</c:f>
              <c:numCache>
                <c:formatCode>General</c:formatCode>
                <c:ptCount val="4"/>
                <c:pt idx="0">
                  <c:v>26</c:v>
                </c:pt>
                <c:pt idx="1">
                  <c:v>30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E2-4A4E-977B-2425C3CB422E}"/>
            </c:ext>
          </c:extLst>
        </c:ser>
        <c:ser>
          <c:idx val="6"/>
          <c:order val="6"/>
          <c:tx>
            <c:strRef>
              <c:f>'31'!$H$10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E2-4A4E-977B-2425C3CB422E}"/>
            </c:ext>
          </c:extLst>
        </c:ser>
        <c:ser>
          <c:idx val="7"/>
          <c:order val="7"/>
          <c:tx>
            <c:strRef>
              <c:f>'31'!$H$11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E2-4A4E-977B-2425C3CB422E}"/>
            </c:ext>
          </c:extLst>
        </c:ser>
        <c:ser>
          <c:idx val="8"/>
          <c:order val="8"/>
          <c:tx>
            <c:strRef>
              <c:f>'31'!$H$12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'31'!$I$2:$L$2</c:f>
              <c:strCache>
                <c:ptCount val="4"/>
                <c:pt idx="0">
                  <c:v>Mateusz</c:v>
                </c:pt>
                <c:pt idx="1">
                  <c:v>Agnieszka P.</c:v>
                </c:pt>
                <c:pt idx="2">
                  <c:v>Michał</c:v>
                </c:pt>
                <c:pt idx="3">
                  <c:v>0</c:v>
                </c:pt>
              </c:strCache>
            </c:strRef>
          </c:cat>
          <c:val>
            <c:numRef>
              <c:f>'31'!$I$12:$L$12</c:f>
              <c:numCache>
                <c:formatCode>General</c:formatCode>
                <c:ptCount val="4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E2-4A4E-977B-2425C3CB4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Arkusz1!$BD$55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Arkusz1!$BD$56:$BD$89</c:f>
              <c:numCache>
                <c:formatCode>General;\-General;""</c:formatCode>
                <c:ptCount val="34"/>
                <c:pt idx="0">
                  <c:v>62</c:v>
                </c:pt>
                <c:pt idx="1">
                  <c:v>55</c:v>
                </c:pt>
                <c:pt idx="2">
                  <c:v>67</c:v>
                </c:pt>
                <c:pt idx="3">
                  <c:v>57</c:v>
                </c:pt>
                <c:pt idx="4">
                  <c:v>55</c:v>
                </c:pt>
                <c:pt idx="5">
                  <c:v>76</c:v>
                </c:pt>
                <c:pt idx="6">
                  <c:v>39</c:v>
                </c:pt>
                <c:pt idx="7">
                  <c:v>74</c:v>
                </c:pt>
                <c:pt idx="8">
                  <c:v>73</c:v>
                </c:pt>
                <c:pt idx="9">
                  <c:v>72</c:v>
                </c:pt>
                <c:pt idx="10">
                  <c:v>74</c:v>
                </c:pt>
                <c:pt idx="11">
                  <c:v>63</c:v>
                </c:pt>
                <c:pt idx="12">
                  <c:v>68</c:v>
                </c:pt>
                <c:pt idx="13">
                  <c:v>65</c:v>
                </c:pt>
                <c:pt idx="14">
                  <c:v>83</c:v>
                </c:pt>
                <c:pt idx="15">
                  <c:v>95</c:v>
                </c:pt>
                <c:pt idx="16">
                  <c:v>79</c:v>
                </c:pt>
                <c:pt idx="17">
                  <c:v>41</c:v>
                </c:pt>
                <c:pt idx="18">
                  <c:v>71</c:v>
                </c:pt>
                <c:pt idx="19">
                  <c:v>62</c:v>
                </c:pt>
                <c:pt idx="20">
                  <c:v>69</c:v>
                </c:pt>
                <c:pt idx="21">
                  <c:v>70</c:v>
                </c:pt>
                <c:pt idx="22">
                  <c:v>86</c:v>
                </c:pt>
                <c:pt idx="23">
                  <c:v>58</c:v>
                </c:pt>
                <c:pt idx="24">
                  <c:v>70</c:v>
                </c:pt>
                <c:pt idx="25">
                  <c:v>85</c:v>
                </c:pt>
                <c:pt idx="26">
                  <c:v>73</c:v>
                </c:pt>
                <c:pt idx="27">
                  <c:v>73</c:v>
                </c:pt>
                <c:pt idx="28">
                  <c:v>80</c:v>
                </c:pt>
                <c:pt idx="29">
                  <c:v>67</c:v>
                </c:pt>
                <c:pt idx="30">
                  <c:v>82</c:v>
                </c:pt>
                <c:pt idx="31">
                  <c:v>82</c:v>
                </c:pt>
                <c:pt idx="32">
                  <c:v>79</c:v>
                </c:pt>
                <c:pt idx="3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2-405C-B19C-AEC03B76F2E4}"/>
            </c:ext>
          </c:extLst>
        </c:ser>
        <c:ser>
          <c:idx val="1"/>
          <c:order val="1"/>
          <c:tx>
            <c:strRef>
              <c:f>Arkusz1!$BE$55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A32-405C-B19C-AEC03B76F2E4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A32-405C-B19C-AEC03B76F2E4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A32-405C-B19C-AEC03B76F2E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A32-405C-B19C-AEC03B76F2E4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A32-405C-B19C-AEC03B76F2E4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A32-405C-B19C-AEC03B76F2E4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A32-405C-B19C-AEC03B76F2E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A32-405C-B19C-AEC03B76F2E4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7A32-405C-B19C-AEC03B76F2E4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7A32-405C-B19C-AEC03B76F2E4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7A32-405C-B19C-AEC03B76F2E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7A32-405C-B19C-AEC03B76F2E4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C-A237-42EE-9881-A80BEC1A0D6F}"/>
              </c:ext>
            </c:extLst>
          </c:dPt>
          <c:val>
            <c:numRef>
              <c:f>Arkusz1!$BE$56:$BE$89</c:f>
              <c:numCache>
                <c:formatCode>General;\-General;""</c:formatCode>
                <c:ptCount val="34"/>
                <c:pt idx="0">
                  <c:v>60</c:v>
                </c:pt>
                <c:pt idx="1">
                  <c:v>58.666666666666664</c:v>
                </c:pt>
                <c:pt idx="2">
                  <c:v>57.333333333333329</c:v>
                </c:pt>
                <c:pt idx="3">
                  <c:v>56</c:v>
                </c:pt>
                <c:pt idx="4">
                  <c:v>53.5</c:v>
                </c:pt>
                <c:pt idx="5">
                  <c:v>51</c:v>
                </c:pt>
                <c:pt idx="6">
                  <c:v>64</c:v>
                </c:pt>
                <c:pt idx="7">
                  <c:v>56</c:v>
                </c:pt>
                <c:pt idx="8">
                  <c:v>60.333333333333336</c:v>
                </c:pt>
                <c:pt idx="9">
                  <c:v>64.666666666666671</c:v>
                </c:pt>
                <c:pt idx="10">
                  <c:v>69</c:v>
                </c:pt>
                <c:pt idx="11">
                  <c:v>83</c:v>
                </c:pt>
                <c:pt idx="12">
                  <c:v>52</c:v>
                </c:pt>
                <c:pt idx="13">
                  <c:v>59</c:v>
                </c:pt>
                <c:pt idx="14">
                  <c:v>66</c:v>
                </c:pt>
                <c:pt idx="15">
                  <c:v>73</c:v>
                </c:pt>
                <c:pt idx="16">
                  <c:v>80</c:v>
                </c:pt>
                <c:pt idx="17">
                  <c:v>105</c:v>
                </c:pt>
                <c:pt idx="18">
                  <c:v>82.5</c:v>
                </c:pt>
                <c:pt idx="19">
                  <c:v>60</c:v>
                </c:pt>
                <c:pt idx="20">
                  <c:v>72</c:v>
                </c:pt>
                <c:pt idx="21">
                  <c:v>61</c:v>
                </c:pt>
                <c:pt idx="22">
                  <c:v>50</c:v>
                </c:pt>
                <c:pt idx="23">
                  <c:v>62</c:v>
                </c:pt>
                <c:pt idx="24">
                  <c:v>71</c:v>
                </c:pt>
                <c:pt idx="25">
                  <c:v>89</c:v>
                </c:pt>
                <c:pt idx="26">
                  <c:v>85.5</c:v>
                </c:pt>
                <c:pt idx="27">
                  <c:v>82</c:v>
                </c:pt>
                <c:pt idx="28">
                  <c:v>64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65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32-405C-B19C-AEC03B76F2E4}"/>
            </c:ext>
          </c:extLst>
        </c:ser>
        <c:ser>
          <c:idx val="2"/>
          <c:order val="2"/>
          <c:tx>
            <c:strRef>
              <c:f>Arkusz1!$BF$55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A32-405C-B19C-AEC03B76F2E4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A32-405C-B19C-AEC03B76F2E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7A32-405C-B19C-AEC03B76F2E4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7A32-405C-B19C-AEC03B76F2E4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7A32-405C-B19C-AEC03B76F2E4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7A32-405C-B19C-AEC03B76F2E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7A32-405C-B19C-AEC03B76F2E4}"/>
              </c:ext>
            </c:extLst>
          </c:dPt>
          <c:val>
            <c:numRef>
              <c:f>Arkusz1!$BF$56:$BF$89</c:f>
              <c:numCache>
                <c:formatCode>General;\-General;""</c:formatCode>
                <c:ptCount val="34"/>
                <c:pt idx="0">
                  <c:v>41</c:v>
                </c:pt>
                <c:pt idx="1">
                  <c:v>58</c:v>
                </c:pt>
                <c:pt idx="2">
                  <c:v>49</c:v>
                </c:pt>
                <c:pt idx="3">
                  <c:v>67</c:v>
                </c:pt>
                <c:pt idx="4">
                  <c:v>72</c:v>
                </c:pt>
                <c:pt idx="5">
                  <c:v>66</c:v>
                </c:pt>
                <c:pt idx="6">
                  <c:v>74</c:v>
                </c:pt>
                <c:pt idx="7">
                  <c:v>85</c:v>
                </c:pt>
                <c:pt idx="8">
                  <c:v>66</c:v>
                </c:pt>
                <c:pt idx="9">
                  <c:v>50</c:v>
                </c:pt>
                <c:pt idx="10">
                  <c:v>55</c:v>
                </c:pt>
                <c:pt idx="11">
                  <c:v>76</c:v>
                </c:pt>
                <c:pt idx="12">
                  <c:v>75</c:v>
                </c:pt>
                <c:pt idx="13">
                  <c:v>51</c:v>
                </c:pt>
                <c:pt idx="14">
                  <c:v>51</c:v>
                </c:pt>
                <c:pt idx="15">
                  <c:v>54.666666666666664</c:v>
                </c:pt>
                <c:pt idx="16">
                  <c:v>58.333333333333329</c:v>
                </c:pt>
                <c:pt idx="17">
                  <c:v>61</c:v>
                </c:pt>
                <c:pt idx="18">
                  <c:v>79</c:v>
                </c:pt>
                <c:pt idx="19">
                  <c:v>76</c:v>
                </c:pt>
                <c:pt idx="20">
                  <c:v>49</c:v>
                </c:pt>
                <c:pt idx="21">
                  <c:v>72</c:v>
                </c:pt>
                <c:pt idx="22">
                  <c:v>35</c:v>
                </c:pt>
                <c:pt idx="23">
                  <c:v>43.25</c:v>
                </c:pt>
                <c:pt idx="24">
                  <c:v>51.5</c:v>
                </c:pt>
                <c:pt idx="25">
                  <c:v>59.75</c:v>
                </c:pt>
                <c:pt idx="26">
                  <c:v>67</c:v>
                </c:pt>
                <c:pt idx="27">
                  <c:v>45</c:v>
                </c:pt>
                <c:pt idx="28">
                  <c:v>68</c:v>
                </c:pt>
                <c:pt idx="29">
                  <c:v>63.666666666666664</c:v>
                </c:pt>
                <c:pt idx="30">
                  <c:v>59.333333333333329</c:v>
                </c:pt>
                <c:pt idx="31">
                  <c:v>55</c:v>
                </c:pt>
                <c:pt idx="32">
                  <c:v>55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32-405C-B19C-AEC03B76F2E4}"/>
            </c:ext>
          </c:extLst>
        </c:ser>
        <c:ser>
          <c:idx val="3"/>
          <c:order val="3"/>
          <c:tx>
            <c:strRef>
              <c:f>Arkusz1!$BG$55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7A32-405C-B19C-AEC03B76F2E4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7A32-405C-B19C-AEC03B76F2E4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7A32-405C-B19C-AEC03B76F2E4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7A32-405C-B19C-AEC03B76F2E4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7A32-405C-B19C-AEC03B76F2E4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7A32-405C-B19C-AEC03B76F2E4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7A32-405C-B19C-AEC03B76F2E4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7A32-405C-B19C-AEC03B76F2E4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7A32-405C-B19C-AEC03B76F2E4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7A32-405C-B19C-AEC03B76F2E4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B-A237-42EE-9881-A80BEC1A0D6F}"/>
              </c:ext>
            </c:extLst>
          </c:dPt>
          <c:val>
            <c:numRef>
              <c:f>Arkusz1!$BG$56:$BG$89</c:f>
              <c:numCache>
                <c:formatCode>General;\-General;""</c:formatCode>
                <c:ptCount val="34"/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52</c:v>
                </c:pt>
                <c:pt idx="7">
                  <c:v>51.5</c:v>
                </c:pt>
                <c:pt idx="8">
                  <c:v>51</c:v>
                </c:pt>
                <c:pt idx="9">
                  <c:v>50.5</c:v>
                </c:pt>
                <c:pt idx="10">
                  <c:v>50</c:v>
                </c:pt>
                <c:pt idx="11">
                  <c:v>64</c:v>
                </c:pt>
                <c:pt idx="12" formatCode="General">
                  <c:v>64.5</c:v>
                </c:pt>
                <c:pt idx="13">
                  <c:v>65</c:v>
                </c:pt>
                <c:pt idx="14">
                  <c:v>81</c:v>
                </c:pt>
                <c:pt idx="15">
                  <c:v>70.5</c:v>
                </c:pt>
                <c:pt idx="16">
                  <c:v>60</c:v>
                </c:pt>
                <c:pt idx="17">
                  <c:v>56.5</c:v>
                </c:pt>
                <c:pt idx="18">
                  <c:v>53</c:v>
                </c:pt>
                <c:pt idx="19">
                  <c:v>61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76</c:v>
                </c:pt>
                <c:pt idx="24">
                  <c:v>80.5</c:v>
                </c:pt>
                <c:pt idx="25">
                  <c:v>85</c:v>
                </c:pt>
                <c:pt idx="26">
                  <c:v>39</c:v>
                </c:pt>
                <c:pt idx="27">
                  <c:v>53</c:v>
                </c:pt>
                <c:pt idx="28">
                  <c:v>66</c:v>
                </c:pt>
                <c:pt idx="29">
                  <c:v>87</c:v>
                </c:pt>
                <c:pt idx="30">
                  <c:v>73</c:v>
                </c:pt>
                <c:pt idx="31">
                  <c:v>59</c:v>
                </c:pt>
                <c:pt idx="32">
                  <c:v>64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A32-405C-B19C-AEC03B76F2E4}"/>
            </c:ext>
          </c:extLst>
        </c:ser>
        <c:ser>
          <c:idx val="4"/>
          <c:order val="4"/>
          <c:tx>
            <c:strRef>
              <c:f>Arkusz1!$BH$55</c:f>
              <c:strCache>
                <c:ptCount val="1"/>
                <c:pt idx="0">
                  <c:v>Dominika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8000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7A32-405C-B19C-AEC03B76F2E4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7A32-405C-B19C-AEC03B76F2E4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7A32-405C-B19C-AEC03B76F2E4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7A32-405C-B19C-AEC03B76F2E4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7A32-405C-B19C-AEC03B76F2E4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7A32-405C-B19C-AEC03B76F2E4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7A32-405C-B19C-AEC03B76F2E4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7A32-405C-B19C-AEC03B76F2E4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7A32-405C-B19C-AEC03B76F2E4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A-7A32-405C-B19C-AEC03B76F2E4}"/>
              </c:ext>
            </c:extLst>
          </c:dPt>
          <c:val>
            <c:numRef>
              <c:f>Arkusz1!$BH$56:$BH$89</c:f>
              <c:numCache>
                <c:formatCode>General;\-General;""</c:formatCode>
                <c:ptCount val="34"/>
                <c:pt idx="17">
                  <c:v>60</c:v>
                </c:pt>
                <c:pt idx="18">
                  <c:v>37</c:v>
                </c:pt>
                <c:pt idx="19">
                  <c:v>36.909090909090907</c:v>
                </c:pt>
                <c:pt idx="20">
                  <c:v>36.818181818181813</c:v>
                </c:pt>
                <c:pt idx="21">
                  <c:v>36.72727272727272</c:v>
                </c:pt>
                <c:pt idx="22">
                  <c:v>36.636363636363626</c:v>
                </c:pt>
                <c:pt idx="23">
                  <c:v>36.545454545454533</c:v>
                </c:pt>
                <c:pt idx="24">
                  <c:v>36.454545454545439</c:v>
                </c:pt>
                <c:pt idx="25">
                  <c:v>36.363636363636346</c:v>
                </c:pt>
                <c:pt idx="26">
                  <c:v>36.272727272727252</c:v>
                </c:pt>
                <c:pt idx="27">
                  <c:v>36.181818181818159</c:v>
                </c:pt>
                <c:pt idx="28">
                  <c:v>36.090909090909065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A32-405C-B19C-AEC03B76F2E4}"/>
            </c:ext>
          </c:extLst>
        </c:ser>
        <c:ser>
          <c:idx val="5"/>
          <c:order val="5"/>
          <c:tx>
            <c:strRef>
              <c:f>Arkusz1!$BI$55</c:f>
              <c:strCache>
                <c:ptCount val="1"/>
                <c:pt idx="0">
                  <c:v>Magda</c:v>
                </c:pt>
              </c:strCache>
            </c:strRef>
          </c:tx>
          <c:spPr>
            <a:ln w="38100">
              <a:solidFill>
                <a:srgbClr val="FFC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val>
            <c:numRef>
              <c:f>Arkusz1!$BI$56:$BI$89</c:f>
              <c:numCache>
                <c:formatCode>General;\-General;""</c:formatCode>
                <c:ptCount val="34"/>
                <c:pt idx="23">
                  <c:v>64</c:v>
                </c:pt>
                <c:pt idx="24">
                  <c:v>58</c:v>
                </c:pt>
                <c:pt idx="25">
                  <c:v>49</c:v>
                </c:pt>
                <c:pt idx="2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A32-405C-B19C-AEC03B76F2E4}"/>
            </c:ext>
          </c:extLst>
        </c:ser>
        <c:ser>
          <c:idx val="6"/>
          <c:order val="6"/>
          <c:tx>
            <c:strRef>
              <c:f>Arkusz1!$BJ$55</c:f>
              <c:strCache>
                <c:ptCount val="1"/>
                <c:pt idx="0">
                  <c:v>Agnieszka P.</c:v>
                </c:pt>
              </c:strCache>
            </c:strRef>
          </c:tx>
          <c:spPr>
            <a:ln>
              <a:solidFill>
                <a:srgbClr val="FF0066"/>
              </a:solidFill>
            </a:ln>
          </c:spPr>
          <c:marker>
            <c:symbol val="circle"/>
            <c:size val="10"/>
            <c:spPr>
              <a:solidFill>
                <a:srgbClr val="FF0066"/>
              </a:solidFill>
              <a:ln>
                <a:solidFill>
                  <a:srgbClr val="FF0000"/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2D-7A32-405C-B19C-AEC03B76F2E4}"/>
              </c:ext>
            </c:extLst>
          </c:dPt>
          <c:val>
            <c:numRef>
              <c:f>Arkusz1!$BJ$56:$BJ$89</c:f>
              <c:numCache>
                <c:formatCode>General;\-General;""</c:formatCode>
                <c:ptCount val="34"/>
                <c:pt idx="3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A32-405C-B19C-AEC03B76F2E4}"/>
            </c:ext>
          </c:extLst>
        </c:ser>
        <c:ser>
          <c:idx val="7"/>
          <c:order val="7"/>
          <c:tx>
            <c:strRef>
              <c:f>Arkusz1!$BK$55</c:f>
              <c:strCache>
                <c:ptCount val="1"/>
                <c:pt idx="0">
                  <c:v>Michał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val>
            <c:numRef>
              <c:f>Arkusz1!$BK$56:$BK$89</c:f>
              <c:numCache>
                <c:formatCode>General;\-General;""</c:formatCode>
                <c:ptCount val="34"/>
                <c:pt idx="30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A32-405C-B19C-AEC03B76F2E4}"/>
            </c:ext>
          </c:extLst>
        </c:ser>
        <c:ser>
          <c:idx val="8"/>
          <c:order val="8"/>
          <c:tx>
            <c:strRef>
              <c:f>Arkusz1!$BL$55</c:f>
              <c:strCache>
                <c:ptCount val="1"/>
                <c:pt idx="0">
                  <c:v>Maciek T.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30-7A32-405C-B19C-AEC03B76F2E4}"/>
              </c:ext>
            </c:extLst>
          </c:dPt>
          <c:val>
            <c:numRef>
              <c:f>Arkusz1!$BL$56:$BL$89</c:f>
              <c:numCache>
                <c:formatCode>General;\-General;""</c:formatCode>
                <c:ptCount val="34"/>
                <c:pt idx="3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7A32-405C-B19C-AEC03B76F2E4}"/>
            </c:ext>
          </c:extLst>
        </c:ser>
        <c:ser>
          <c:idx val="9"/>
          <c:order val="9"/>
          <c:tx>
            <c:strRef>
              <c:f>Arkusz1!$BM$55</c:f>
              <c:strCache>
                <c:ptCount val="1"/>
                <c:pt idx="0">
                  <c:v>Ela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32-7A32-405C-B19C-AEC03B76F2E4}"/>
              </c:ext>
            </c:extLst>
          </c:dPt>
          <c:val>
            <c:numRef>
              <c:f>Arkusz1!$BM$56:$BM$89</c:f>
              <c:numCache>
                <c:formatCode>General;\-General;""</c:formatCode>
                <c:ptCount val="34"/>
                <c:pt idx="3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7A32-405C-B19C-AEC03B76F2E4}"/>
            </c:ext>
          </c:extLst>
        </c:ser>
        <c:ser>
          <c:idx val="10"/>
          <c:order val="10"/>
          <c:tx>
            <c:strRef>
              <c:f>Arkusz1!$BN$55</c:f>
              <c:strCache>
                <c:ptCount val="1"/>
                <c:pt idx="0">
                  <c:v>Damian</c:v>
                </c:pt>
              </c:strCache>
            </c:strRef>
          </c:tx>
          <c:marker>
            <c:symbol val="circle"/>
            <c:size val="10"/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35-7A32-405C-B19C-AEC03B76F2E4}"/>
              </c:ext>
            </c:extLst>
          </c:dPt>
          <c:val>
            <c:numRef>
              <c:f>Arkusz1!$BN$56:$BN$89</c:f>
              <c:numCache>
                <c:formatCode>General;\-General;""</c:formatCode>
                <c:ptCount val="34"/>
                <c:pt idx="1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7A32-405C-B19C-AEC03B76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3104"/>
        <c:axId val="132915776"/>
      </c:lineChart>
      <c:catAx>
        <c:axId val="100783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2915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15776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78310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0544633599368852"/>
          <c:h val="0.694914358957216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'31'!$B$23:$B$31</c:f>
              <c:numCache>
                <c:formatCode>\+General;\-General;0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26</c:v>
                </c:pt>
                <c:pt idx="6">
                  <c:v>0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06C-8567-1433EBEA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'31'!$I$2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'31'!$I$4:$I$12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26</c:v>
                </c:pt>
                <c:pt idx="6">
                  <c:v>0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5-4454-9936-94999A87454A}"/>
            </c:ext>
          </c:extLst>
        </c:ser>
        <c:ser>
          <c:idx val="1"/>
          <c:order val="1"/>
          <c:tx>
            <c:strRef>
              <c:f>'31'!$J$2</c:f>
              <c:strCache>
                <c:ptCount val="1"/>
                <c:pt idx="0">
                  <c:v>Agnieszka P.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'31'!$J$4:$J$12</c:f>
              <c:numCache>
                <c:formatCode>General</c:formatCode>
                <c:ptCount val="9"/>
                <c:pt idx="0">
                  <c:v>19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5-4454-9936-94999A87454A}"/>
            </c:ext>
          </c:extLst>
        </c:ser>
        <c:ser>
          <c:idx val="2"/>
          <c:order val="2"/>
          <c:tx>
            <c:strRef>
              <c:f>'31'!$K$2</c:f>
              <c:strCache>
                <c:ptCount val="1"/>
                <c:pt idx="0">
                  <c:v>Michał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'31'!$K$4:$K$12</c:f>
              <c:numCache>
                <c:formatCode>General</c:formatCode>
                <c:ptCount val="9"/>
                <c:pt idx="0">
                  <c:v>20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75-4454-9936-94999A87454A}"/>
            </c:ext>
          </c:extLst>
        </c:ser>
        <c:ser>
          <c:idx val="3"/>
          <c:order val="3"/>
          <c:tx>
            <c:strRef>
              <c:f>'31'!$L$2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'31'!$L$4:$L$12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75-4454-9936-94999A874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'32'!$I$4:$L$4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B-4526-A447-02CB5F07E76B}"/>
            </c:ext>
          </c:extLst>
        </c:ser>
        <c:ser>
          <c:idx val="1"/>
          <c:order val="1"/>
          <c:tx>
            <c:strRef>
              <c:f>'32'!$H$5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DB-4526-A447-02CB5F07E76B}"/>
            </c:ext>
          </c:extLst>
        </c:ser>
        <c:ser>
          <c:idx val="2"/>
          <c:order val="2"/>
          <c:tx>
            <c:strRef>
              <c:f>'32'!$H$6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DB-4526-A447-02CB5F07E76B}"/>
            </c:ext>
          </c:extLst>
        </c:ser>
        <c:ser>
          <c:idx val="3"/>
          <c:order val="3"/>
          <c:tx>
            <c:strRef>
              <c:f>'32'!$H$7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DB-4526-A447-02CB5F07E76B}"/>
            </c:ext>
          </c:extLst>
        </c:ser>
        <c:ser>
          <c:idx val="4"/>
          <c:order val="4"/>
          <c:tx>
            <c:strRef>
              <c:f>'32'!$H$8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DB-4526-A447-02CB5F07E76B}"/>
            </c:ext>
          </c:extLst>
        </c:ser>
        <c:ser>
          <c:idx val="5"/>
          <c:order val="5"/>
          <c:tx>
            <c:strRef>
              <c:f>'32'!$H$9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'32'!$I$9:$L$9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DB-4526-A447-02CB5F07E76B}"/>
            </c:ext>
          </c:extLst>
        </c:ser>
        <c:ser>
          <c:idx val="6"/>
          <c:order val="6"/>
          <c:tx>
            <c:strRef>
              <c:f>'32'!$H$10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'32'!$I$10:$L$10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DB-4526-A447-02CB5F07E76B}"/>
            </c:ext>
          </c:extLst>
        </c:ser>
        <c:ser>
          <c:idx val="7"/>
          <c:order val="7"/>
          <c:tx>
            <c:strRef>
              <c:f>'32'!$H$11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DB-4526-A447-02CB5F07E76B}"/>
            </c:ext>
          </c:extLst>
        </c:ser>
        <c:ser>
          <c:idx val="8"/>
          <c:order val="8"/>
          <c:tx>
            <c:strRef>
              <c:f>'32'!$H$12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ADB-4526-A447-02CB5F07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'32'!$B$23:$B$31</c:f>
              <c:numCache>
                <c:formatCode>\+General;\-General;0</c:formatCode>
                <c:ptCount val="9"/>
                <c:pt idx="0">
                  <c:v>3</c:v>
                </c:pt>
                <c:pt idx="1">
                  <c:v>-3</c:v>
                </c:pt>
                <c:pt idx="2">
                  <c:v>1</c:v>
                </c:pt>
                <c:pt idx="3">
                  <c:v>-2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9-4D85-A952-5841DF2D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'32'!$I$4:$I$12</c:f>
              <c:numCache>
                <c:formatCode>General</c:formatCode>
                <c:ptCount val="9"/>
                <c:pt idx="0">
                  <c:v>22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29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5-42A3-B1FF-611871937A90}"/>
            </c:ext>
          </c:extLst>
        </c:ser>
        <c:ser>
          <c:idx val="1"/>
          <c:order val="1"/>
          <c:tx>
            <c:strRef>
              <c:f>'32'!$J$2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'32'!$J$4:$J$12</c:f>
              <c:numCache>
                <c:formatCode>General</c:formatCode>
                <c:ptCount val="9"/>
                <c:pt idx="0">
                  <c:v>19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26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5-42A3-B1FF-611871937A90}"/>
            </c:ext>
          </c:extLst>
        </c:ser>
        <c:ser>
          <c:idx val="2"/>
          <c:order val="2"/>
          <c:tx>
            <c:strRef>
              <c:f>'32'!$K$2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'32'!$K$4:$K$12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5-42A3-B1FF-611871937A90}"/>
            </c:ext>
          </c:extLst>
        </c:ser>
        <c:ser>
          <c:idx val="3"/>
          <c:order val="3"/>
          <c:tx>
            <c:strRef>
              <c:f>'32'!$L$2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'32'!$L$4:$L$12</c:f>
              <c:numCache>
                <c:formatCode>General</c:formatCode>
                <c:ptCount val="9"/>
                <c:pt idx="0">
                  <c:v>15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27</c:v>
                </c:pt>
                <c:pt idx="6">
                  <c:v>6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A5-42A3-B1FF-61187193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'32'!$I$4:$L$4</c:f>
              <c:numCache>
                <c:formatCode>General</c:formatCode>
                <c:ptCount val="4"/>
                <c:pt idx="0">
                  <c:v>22</c:v>
                </c:pt>
                <c:pt idx="1">
                  <c:v>19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0-4E39-A924-21442686AE2E}"/>
            </c:ext>
          </c:extLst>
        </c:ser>
        <c:ser>
          <c:idx val="1"/>
          <c:order val="1"/>
          <c:tx>
            <c:strRef>
              <c:f>'32'!$H$5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0-4E39-A924-21442686AE2E}"/>
            </c:ext>
          </c:extLst>
        </c:ser>
        <c:ser>
          <c:idx val="2"/>
          <c:order val="2"/>
          <c:tx>
            <c:strRef>
              <c:f>'32'!$H$6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60-4E39-A924-21442686AE2E}"/>
            </c:ext>
          </c:extLst>
        </c:ser>
        <c:ser>
          <c:idx val="3"/>
          <c:order val="3"/>
          <c:tx>
            <c:strRef>
              <c:f>'32'!$H$7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60-4E39-A924-21442686AE2E}"/>
            </c:ext>
          </c:extLst>
        </c:ser>
        <c:ser>
          <c:idx val="4"/>
          <c:order val="4"/>
          <c:tx>
            <c:strRef>
              <c:f>'32'!$H$8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60-4E39-A924-21442686AE2E}"/>
            </c:ext>
          </c:extLst>
        </c:ser>
        <c:ser>
          <c:idx val="5"/>
          <c:order val="5"/>
          <c:tx>
            <c:strRef>
              <c:f>'32'!$H$9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'32'!$I$9:$L$9</c:f>
              <c:numCache>
                <c:formatCode>General</c:formatCode>
                <c:ptCount val="4"/>
                <c:pt idx="0">
                  <c:v>29</c:v>
                </c:pt>
                <c:pt idx="1">
                  <c:v>26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60-4E39-A924-21442686AE2E}"/>
            </c:ext>
          </c:extLst>
        </c:ser>
        <c:ser>
          <c:idx val="6"/>
          <c:order val="6"/>
          <c:tx>
            <c:strRef>
              <c:f>'32'!$H$10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'32'!$I$10:$L$10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60-4E39-A924-21442686AE2E}"/>
            </c:ext>
          </c:extLst>
        </c:ser>
        <c:ser>
          <c:idx val="7"/>
          <c:order val="7"/>
          <c:tx>
            <c:strRef>
              <c:f>'32'!$H$11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60-4E39-A924-21442686AE2E}"/>
            </c:ext>
          </c:extLst>
        </c:ser>
        <c:ser>
          <c:idx val="8"/>
          <c:order val="8"/>
          <c:tx>
            <c:strRef>
              <c:f>'32'!$H$12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'32'!$I$12:$L$12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60-4E39-A924-21442686A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'33'!$I$4:$L$4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4-4EB1-A373-80125D1133C2}"/>
            </c:ext>
          </c:extLst>
        </c:ser>
        <c:ser>
          <c:idx val="1"/>
          <c:order val="1"/>
          <c:tx>
            <c:strRef>
              <c:f>'33'!$H$5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4-4EB1-A373-80125D1133C2}"/>
            </c:ext>
          </c:extLst>
        </c:ser>
        <c:ser>
          <c:idx val="2"/>
          <c:order val="2"/>
          <c:tx>
            <c:strRef>
              <c:f>'33'!$H$6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74-4EB1-A373-80125D1133C2}"/>
            </c:ext>
          </c:extLst>
        </c:ser>
        <c:ser>
          <c:idx val="3"/>
          <c:order val="3"/>
          <c:tx>
            <c:strRef>
              <c:f>'33'!$H$7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'33'!$I$7:$L$7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74-4EB1-A373-80125D1133C2}"/>
            </c:ext>
          </c:extLst>
        </c:ser>
        <c:ser>
          <c:idx val="4"/>
          <c:order val="4"/>
          <c:tx>
            <c:strRef>
              <c:f>'33'!$H$8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74-4EB1-A373-80125D1133C2}"/>
            </c:ext>
          </c:extLst>
        </c:ser>
        <c:ser>
          <c:idx val="5"/>
          <c:order val="5"/>
          <c:tx>
            <c:strRef>
              <c:f>'33'!$H$9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'33'!$I$9:$L$9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35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74-4EB1-A373-80125D1133C2}"/>
            </c:ext>
          </c:extLst>
        </c:ser>
        <c:ser>
          <c:idx val="6"/>
          <c:order val="6"/>
          <c:tx>
            <c:strRef>
              <c:f>'33'!$H$10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74-4EB1-A373-80125D1133C2}"/>
            </c:ext>
          </c:extLst>
        </c:ser>
        <c:ser>
          <c:idx val="7"/>
          <c:order val="7"/>
          <c:tx>
            <c:strRef>
              <c:f>'33'!$H$11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'33'!$I$11:$L$11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74-4EB1-A373-80125D1133C2}"/>
            </c:ext>
          </c:extLst>
        </c:ser>
        <c:ser>
          <c:idx val="8"/>
          <c:order val="8"/>
          <c:tx>
            <c:strRef>
              <c:f>'33'!$H$12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74-4EB1-A373-80125D113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'33'!$B$23:$B$31</c:f>
              <c:numCache>
                <c:formatCode>\+General;\-General;0</c:formatCode>
                <c:ptCount val="9"/>
                <c:pt idx="0">
                  <c:v>4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9</c:v>
                </c:pt>
                <c:pt idx="6">
                  <c:v>0</c:v>
                </c:pt>
                <c:pt idx="7">
                  <c:v>-3</c:v>
                </c:pt>
                <c:pt idx="8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2-411C-B858-D06EE520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'33'!$I$4:$I$12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1-4B2B-B07C-05DD013279A3}"/>
            </c:ext>
          </c:extLst>
        </c:ser>
        <c:ser>
          <c:idx val="1"/>
          <c:order val="1"/>
          <c:tx>
            <c:strRef>
              <c:f>'33'!$J$2</c:f>
              <c:strCache>
                <c:ptCount val="1"/>
                <c:pt idx="0">
                  <c:v>Maciek T.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'33'!$J$4:$J$12</c:f>
              <c:numCache>
                <c:formatCode>General</c:formatCode>
                <c:ptCount val="9"/>
                <c:pt idx="0">
                  <c:v>18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25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1-4B2B-B07C-05DD013279A3}"/>
            </c:ext>
          </c:extLst>
        </c:ser>
        <c:ser>
          <c:idx val="2"/>
          <c:order val="2"/>
          <c:tx>
            <c:strRef>
              <c:f>'33'!$K$2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'33'!$K$4:$K$12</c:f>
              <c:numCache>
                <c:formatCode>General</c:formatCode>
                <c:ptCount val="9"/>
                <c:pt idx="0">
                  <c:v>18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C1-4B2B-B07C-05DD013279A3}"/>
            </c:ext>
          </c:extLst>
        </c:ser>
        <c:ser>
          <c:idx val="3"/>
          <c:order val="3"/>
          <c:tx>
            <c:strRef>
              <c:f>'33'!$L$2</c:f>
              <c:strCache>
                <c:ptCount val="1"/>
                <c:pt idx="0">
                  <c:v>Ela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'33'!$L$4:$L$12</c:f>
              <c:numCache>
                <c:formatCode>General</c:formatCode>
                <c:ptCount val="9"/>
                <c:pt idx="0">
                  <c:v>17</c:v>
                </c:pt>
                <c:pt idx="1">
                  <c:v>7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C1-4B2B-B07C-05DD0132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'33'!$I$4:$L$4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D-422D-B06F-9C737E46D35A}"/>
            </c:ext>
          </c:extLst>
        </c:ser>
        <c:ser>
          <c:idx val="1"/>
          <c:order val="1"/>
          <c:tx>
            <c:strRef>
              <c:f>'33'!$H$5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DD-422D-B06F-9C737E46D35A}"/>
            </c:ext>
          </c:extLst>
        </c:ser>
        <c:ser>
          <c:idx val="2"/>
          <c:order val="2"/>
          <c:tx>
            <c:strRef>
              <c:f>'33'!$H$6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DD-422D-B06F-9C737E46D35A}"/>
            </c:ext>
          </c:extLst>
        </c:ser>
        <c:ser>
          <c:idx val="3"/>
          <c:order val="3"/>
          <c:tx>
            <c:strRef>
              <c:f>'33'!$H$7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'33'!$I$7:$L$7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D-422D-B06F-9C737E46D35A}"/>
            </c:ext>
          </c:extLst>
        </c:ser>
        <c:ser>
          <c:idx val="4"/>
          <c:order val="4"/>
          <c:tx>
            <c:strRef>
              <c:f>'33'!$H$8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DD-422D-B06F-9C737E46D35A}"/>
            </c:ext>
          </c:extLst>
        </c:ser>
        <c:ser>
          <c:idx val="5"/>
          <c:order val="5"/>
          <c:tx>
            <c:strRef>
              <c:f>'33'!$H$9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'33'!$I$9:$L$9</c:f>
              <c:numCache>
                <c:formatCode>General</c:formatCode>
                <c:ptCount val="4"/>
                <c:pt idx="0">
                  <c:v>34</c:v>
                </c:pt>
                <c:pt idx="1">
                  <c:v>25</c:v>
                </c:pt>
                <c:pt idx="2">
                  <c:v>35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DD-422D-B06F-9C737E46D35A}"/>
            </c:ext>
          </c:extLst>
        </c:ser>
        <c:ser>
          <c:idx val="6"/>
          <c:order val="6"/>
          <c:tx>
            <c:strRef>
              <c:f>'33'!$H$10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DD-422D-B06F-9C737E46D35A}"/>
            </c:ext>
          </c:extLst>
        </c:ser>
        <c:ser>
          <c:idx val="7"/>
          <c:order val="7"/>
          <c:tx>
            <c:strRef>
              <c:f>'33'!$H$11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'33'!$I$11:$L$11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DD-422D-B06F-9C737E46D35A}"/>
            </c:ext>
          </c:extLst>
        </c:ser>
        <c:ser>
          <c:idx val="8"/>
          <c:order val="8"/>
          <c:tx>
            <c:strRef>
              <c:f>'33'!$H$12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'33'!$I$2:$L$2</c:f>
              <c:strCache>
                <c:ptCount val="4"/>
                <c:pt idx="0">
                  <c:v>Mateusz</c:v>
                </c:pt>
                <c:pt idx="1">
                  <c:v>Maciek T.</c:v>
                </c:pt>
                <c:pt idx="2">
                  <c:v>Justyna</c:v>
                </c:pt>
                <c:pt idx="3">
                  <c:v>Ela</c:v>
                </c:pt>
              </c:strCache>
            </c:strRef>
          </c:cat>
          <c:val>
            <c:numRef>
              <c:f>'33'!$I$12:$L$12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DD-422D-B06F-9C737E46D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Arkusz1!$EK$5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Arkusz1!$EK$6:$EK$39</c:f>
              <c:numCache>
                <c:formatCode>General;\-General;""</c:formatCode>
                <c:ptCount val="34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1.8571428571428572</c:v>
                </c:pt>
                <c:pt idx="7">
                  <c:v>1.875</c:v>
                </c:pt>
                <c:pt idx="8">
                  <c:v>1.7777777777777777</c:v>
                </c:pt>
                <c:pt idx="9">
                  <c:v>1.7</c:v>
                </c:pt>
                <c:pt idx="10">
                  <c:v>1.6363636363636365</c:v>
                </c:pt>
                <c:pt idx="11">
                  <c:v>1.8333333333333333</c:v>
                </c:pt>
                <c:pt idx="12">
                  <c:v>1.8461538461538463</c:v>
                </c:pt>
                <c:pt idx="13">
                  <c:v>1.8571428571428572</c:v>
                </c:pt>
                <c:pt idx="14">
                  <c:v>1.8</c:v>
                </c:pt>
                <c:pt idx="15">
                  <c:v>1.75</c:v>
                </c:pt>
                <c:pt idx="16">
                  <c:v>1.7647058823529411</c:v>
                </c:pt>
                <c:pt idx="17">
                  <c:v>1.8888888888888888</c:v>
                </c:pt>
                <c:pt idx="18">
                  <c:v>1.8947368421052631</c:v>
                </c:pt>
                <c:pt idx="19">
                  <c:v>1.9</c:v>
                </c:pt>
                <c:pt idx="20">
                  <c:v>1.9047619047619047</c:v>
                </c:pt>
                <c:pt idx="21">
                  <c:v>1.9090909090909092</c:v>
                </c:pt>
                <c:pt idx="22">
                  <c:v>1.8695652173913044</c:v>
                </c:pt>
                <c:pt idx="23">
                  <c:v>1.9583333333333333</c:v>
                </c:pt>
                <c:pt idx="24">
                  <c:v>1.96</c:v>
                </c:pt>
                <c:pt idx="25">
                  <c:v>1.9615384615384615</c:v>
                </c:pt>
                <c:pt idx="26">
                  <c:v>1.9259259259259258</c:v>
                </c:pt>
                <c:pt idx="27">
                  <c:v>1.9285714285714286</c:v>
                </c:pt>
                <c:pt idx="28">
                  <c:v>1.896551724137931</c:v>
                </c:pt>
                <c:pt idx="29">
                  <c:v>1.9</c:v>
                </c:pt>
                <c:pt idx="30">
                  <c:v>1.8709677419354838</c:v>
                </c:pt>
                <c:pt idx="31">
                  <c:v>1.84375</c:v>
                </c:pt>
                <c:pt idx="32">
                  <c:v>1.8181818181818181</c:v>
                </c:pt>
                <c:pt idx="33">
                  <c:v>1.7941176470588236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D-4511-8AD6-4C5E780BC0D9}"/>
            </c:ext>
          </c:extLst>
        </c:ser>
        <c:ser>
          <c:idx val="1"/>
          <c:order val="1"/>
          <c:tx>
            <c:strRef>
              <c:f>Arkusz1!$EL$5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B5D-4511-8AD6-4C5E780BC0D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DB5D-4511-8AD6-4C5E780BC0D9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DB5D-4511-8AD6-4C5E780BC0D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DB5D-4511-8AD6-4C5E780BC0D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DB5D-4511-8AD6-4C5E780BC0D9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B5D-4511-8AD6-4C5E780BC0D9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B5D-4511-8AD6-4C5E780BC0D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DB5D-4511-8AD6-4C5E780BC0D9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DB5D-4511-8AD6-4C5E780BC0D9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DB5D-4511-8AD6-4C5E780BC0D9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DB5D-4511-8AD6-4C5E780BC0D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DB5D-4511-8AD6-4C5E780BC0D9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DB5D-4511-8AD6-4C5E780BC0D9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Arkusz1!$EL$6:$EL$39</c:f>
              <c:numCache>
                <c:formatCode>General;\-General;""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2.6666666666666665</c:v>
                </c:pt>
                <c:pt idx="6">
                  <c:v>2.5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2.5</c:v>
                </c:pt>
                <c:pt idx="11">
                  <c:v>2.2857142857142856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2.2222222222222223</c:v>
                </c:pt>
                <c:pt idx="17">
                  <c:v>2.1</c:v>
                </c:pt>
                <c:pt idx="18">
                  <c:v>2.1</c:v>
                </c:pt>
                <c:pt idx="19">
                  <c:v>2.2727272727272729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2.2307692307692308</c:v>
                </c:pt>
                <c:pt idx="23">
                  <c:v>2.2857142857142856</c:v>
                </c:pt>
                <c:pt idx="24">
                  <c:v>2.2000000000000002</c:v>
                </c:pt>
                <c:pt idx="25">
                  <c:v>2.125</c:v>
                </c:pt>
                <c:pt idx="26">
                  <c:v>2.125</c:v>
                </c:pt>
                <c:pt idx="27">
                  <c:v>2.0588235294117645</c:v>
                </c:pt>
                <c:pt idx="28">
                  <c:v>2.1666666666666665</c:v>
                </c:pt>
                <c:pt idx="29">
                  <c:v>2.2105263157894739</c:v>
                </c:pt>
                <c:pt idx="30">
                  <c:v>2.2105263157894739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5D-4511-8AD6-4C5E780BC0D9}"/>
            </c:ext>
          </c:extLst>
        </c:ser>
        <c:ser>
          <c:idx val="2"/>
          <c:order val="2"/>
          <c:tx>
            <c:strRef>
              <c:f>Arkusz1!$EM$5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DB5D-4511-8AD6-4C5E780BC0D9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DB5D-4511-8AD6-4C5E780BC0D9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DB5D-4511-8AD6-4C5E780BC0D9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DB5D-4511-8AD6-4C5E780BC0D9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DB5D-4511-8AD6-4C5E780BC0D9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DB5D-4511-8AD6-4C5E780BC0D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DB5D-4511-8AD6-4C5E780BC0D9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Arkusz1!$EM$6:$EM$39</c:f>
              <c:numCache>
                <c:formatCode>General;\-General;""</c:formatCode>
                <c:ptCount val="3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1.75</c:v>
                </c:pt>
                <c:pt idx="4">
                  <c:v>1.6</c:v>
                </c:pt>
                <c:pt idx="5">
                  <c:v>1.6666666666666667</c:v>
                </c:pt>
                <c:pt idx="6">
                  <c:v>1.5714285714285714</c:v>
                </c:pt>
                <c:pt idx="7">
                  <c:v>1.5</c:v>
                </c:pt>
                <c:pt idx="8">
                  <c:v>1.5555555555555556</c:v>
                </c:pt>
                <c:pt idx="9">
                  <c:v>1.6</c:v>
                </c:pt>
                <c:pt idx="10">
                  <c:v>1.7272727272727273</c:v>
                </c:pt>
                <c:pt idx="11">
                  <c:v>1.75</c:v>
                </c:pt>
                <c:pt idx="12">
                  <c:v>1.6923076923076923</c:v>
                </c:pt>
                <c:pt idx="13">
                  <c:v>1.7857142857142858</c:v>
                </c:pt>
                <c:pt idx="14">
                  <c:v>1.8666666666666667</c:v>
                </c:pt>
                <c:pt idx="15">
                  <c:v>1.8666666666666667</c:v>
                </c:pt>
                <c:pt idx="16">
                  <c:v>1.8666666666666667</c:v>
                </c:pt>
                <c:pt idx="17">
                  <c:v>1.875</c:v>
                </c:pt>
                <c:pt idx="18">
                  <c:v>1.8235294117647058</c:v>
                </c:pt>
                <c:pt idx="19">
                  <c:v>1.7777777777777777</c:v>
                </c:pt>
                <c:pt idx="20">
                  <c:v>1.8947368421052631</c:v>
                </c:pt>
                <c:pt idx="21">
                  <c:v>1.85</c:v>
                </c:pt>
                <c:pt idx="22">
                  <c:v>1.9523809523809523</c:v>
                </c:pt>
                <c:pt idx="23">
                  <c:v>1.9523809523809523</c:v>
                </c:pt>
                <c:pt idx="24">
                  <c:v>1.9523809523809523</c:v>
                </c:pt>
                <c:pt idx="25">
                  <c:v>1.9523809523809523</c:v>
                </c:pt>
                <c:pt idx="26">
                  <c:v>1.9545454545454546</c:v>
                </c:pt>
                <c:pt idx="27">
                  <c:v>2.0434782608695654</c:v>
                </c:pt>
                <c:pt idx="28">
                  <c:v>2.0416666666666665</c:v>
                </c:pt>
                <c:pt idx="29">
                  <c:v>2.0416666666666665</c:v>
                </c:pt>
                <c:pt idx="30">
                  <c:v>2.0416666666666665</c:v>
                </c:pt>
                <c:pt idx="31">
                  <c:v>2.12</c:v>
                </c:pt>
                <c:pt idx="32">
                  <c:v>2.1538461538461537</c:v>
                </c:pt>
                <c:pt idx="33">
                  <c:v>2.1481481481481484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B5D-4511-8AD6-4C5E780BC0D9}"/>
            </c:ext>
          </c:extLst>
        </c:ser>
        <c:ser>
          <c:idx val="3"/>
          <c:order val="3"/>
          <c:tx>
            <c:strRef>
              <c:f>Arkusz1!$EN$5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DB5D-4511-8AD6-4C5E780BC0D9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DB5D-4511-8AD6-4C5E780BC0D9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DB5D-4511-8AD6-4C5E780BC0D9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DB5D-4511-8AD6-4C5E780BC0D9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DB5D-4511-8AD6-4C5E780BC0D9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DB5D-4511-8AD6-4C5E780BC0D9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DB5D-4511-8AD6-4C5E780BC0D9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DB5D-4511-8AD6-4C5E780BC0D9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DB5D-4511-8AD6-4C5E780BC0D9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DB5D-4511-8AD6-4C5E780BC0D9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DB5D-4511-8AD6-4C5E780BC0D9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Arkusz1!$EN$6:$EN$39</c:f>
              <c:numCache>
                <c:formatCode>General;\-General;""</c:formatCode>
                <c:ptCount val="34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3.6666666666666665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2.8333333333333335</c:v>
                </c:pt>
                <c:pt idx="15">
                  <c:v>2.8333333333333335</c:v>
                </c:pt>
                <c:pt idx="16">
                  <c:v>2.8571428571428572</c:v>
                </c:pt>
                <c:pt idx="17">
                  <c:v>2.8571428571428572</c:v>
                </c:pt>
                <c:pt idx="18">
                  <c:v>2.875</c:v>
                </c:pt>
                <c:pt idx="19">
                  <c:v>2.8888888888888888</c:v>
                </c:pt>
                <c:pt idx="20">
                  <c:v>2.9</c:v>
                </c:pt>
                <c:pt idx="21">
                  <c:v>2.9090909090909092</c:v>
                </c:pt>
                <c:pt idx="22">
                  <c:v>2.8333333333333335</c:v>
                </c:pt>
                <c:pt idx="23">
                  <c:v>2.6923076923076925</c:v>
                </c:pt>
                <c:pt idx="24">
                  <c:v>2.6923076923076925</c:v>
                </c:pt>
                <c:pt idx="25">
                  <c:v>2.7142857142857144</c:v>
                </c:pt>
                <c:pt idx="26">
                  <c:v>2.8</c:v>
                </c:pt>
                <c:pt idx="27">
                  <c:v>2.8125</c:v>
                </c:pt>
                <c:pt idx="28">
                  <c:v>2.8235294117647061</c:v>
                </c:pt>
                <c:pt idx="29">
                  <c:v>2.7222222222222223</c:v>
                </c:pt>
                <c:pt idx="30">
                  <c:v>2.7222222222222223</c:v>
                </c:pt>
                <c:pt idx="31">
                  <c:v>2.736842105263158</c:v>
                </c:pt>
                <c:pt idx="32">
                  <c:v>2.736842105263158</c:v>
                </c:pt>
                <c:pt idx="33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B5D-4511-8AD6-4C5E780BC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5152"/>
        <c:axId val="134400832"/>
      </c:lineChart>
      <c:catAx>
        <c:axId val="133745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400832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34400832"/>
        <c:scaling>
          <c:orientation val="maxMin"/>
          <c:max val="4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745152"/>
        <c:crosses val="autoZero"/>
        <c:crossBetween val="midCat"/>
        <c:maj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3162834645669291"/>
          <c:h val="0.44593433173794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'34'!$I$4:$L$4</c:f>
              <c:numCache>
                <c:formatCode>General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4-4F39-B010-2BFF91C08237}"/>
            </c:ext>
          </c:extLst>
        </c:ser>
        <c:ser>
          <c:idx val="1"/>
          <c:order val="1"/>
          <c:tx>
            <c:strRef>
              <c:f>'34'!$H$5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4-4F39-B010-2BFF91C08237}"/>
            </c:ext>
          </c:extLst>
        </c:ser>
        <c:ser>
          <c:idx val="2"/>
          <c:order val="2"/>
          <c:tx>
            <c:strRef>
              <c:f>'34'!$H$6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'34'!$I$6:$L$6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94-4F39-B010-2BFF91C08237}"/>
            </c:ext>
          </c:extLst>
        </c:ser>
        <c:ser>
          <c:idx val="3"/>
          <c:order val="3"/>
          <c:tx>
            <c:strRef>
              <c:f>'34'!$H$7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'34'!$I$7:$L$7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94-4F39-B010-2BFF91C08237}"/>
            </c:ext>
          </c:extLst>
        </c:ser>
        <c:ser>
          <c:idx val="4"/>
          <c:order val="4"/>
          <c:tx>
            <c:strRef>
              <c:f>'34'!$H$8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94-4F39-B010-2BFF91C08237}"/>
            </c:ext>
          </c:extLst>
        </c:ser>
        <c:ser>
          <c:idx val="5"/>
          <c:order val="5"/>
          <c:tx>
            <c:strRef>
              <c:f>'34'!$H$9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'34'!$I$9:$L$9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94-4F39-B010-2BFF91C08237}"/>
            </c:ext>
          </c:extLst>
        </c:ser>
        <c:ser>
          <c:idx val="6"/>
          <c:order val="6"/>
          <c:tx>
            <c:strRef>
              <c:f>'34'!$H$10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'34'!$I$10:$L$10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94-4F39-B010-2BFF91C08237}"/>
            </c:ext>
          </c:extLst>
        </c:ser>
        <c:ser>
          <c:idx val="7"/>
          <c:order val="7"/>
          <c:tx>
            <c:strRef>
              <c:f>'34'!$H$11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'34'!$I$11:$L$11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94-4F39-B010-2BFF91C08237}"/>
            </c:ext>
          </c:extLst>
        </c:ser>
        <c:ser>
          <c:idx val="8"/>
          <c:order val="8"/>
          <c:tx>
            <c:strRef>
              <c:f>'34'!$H$12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94-4F39-B010-2BFF91C08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'34'!$B$23:$B$31</c:f>
              <c:numCache>
                <c:formatCode>\+General;\-General;0</c:formatCode>
                <c:ptCount val="9"/>
                <c:pt idx="0">
                  <c:v>8</c:v>
                </c:pt>
                <c:pt idx="1">
                  <c:v>3</c:v>
                </c:pt>
                <c:pt idx="2">
                  <c:v>-4</c:v>
                </c:pt>
                <c:pt idx="3">
                  <c:v>1</c:v>
                </c:pt>
                <c:pt idx="4">
                  <c:v>7</c:v>
                </c:pt>
                <c:pt idx="5">
                  <c:v>30</c:v>
                </c:pt>
                <c:pt idx="6">
                  <c:v>-12</c:v>
                </c:pt>
                <c:pt idx="7">
                  <c:v>3</c:v>
                </c:pt>
                <c:pt idx="8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D-4583-9201-A3449051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'34'!$I$2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'34'!$I$4:$I$12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33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4-46BB-8889-00004150A209}"/>
            </c:ext>
          </c:extLst>
        </c:ser>
        <c:ser>
          <c:idx val="1"/>
          <c:order val="1"/>
          <c:tx>
            <c:strRef>
              <c:f>'34'!$J$2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'34'!$J$4:$J$12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4-46BB-8889-00004150A209}"/>
            </c:ext>
          </c:extLst>
        </c:ser>
        <c:ser>
          <c:idx val="2"/>
          <c:order val="2"/>
          <c:tx>
            <c:strRef>
              <c:f>'34'!$K$2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'34'!$K$4:$K$12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40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4-46BB-8889-00004150A209}"/>
            </c:ext>
          </c:extLst>
        </c:ser>
        <c:ser>
          <c:idx val="3"/>
          <c:order val="3"/>
          <c:tx>
            <c:strRef>
              <c:f>'34'!$L$2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'34'!$L$4:$L$12</c:f>
              <c:numCache>
                <c:formatCode>General</c:formatCode>
                <c:ptCount val="9"/>
                <c:pt idx="0">
                  <c:v>13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36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4-46BB-8889-00004150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'34'!$I$4:$L$4</c:f>
              <c:numCache>
                <c:formatCode>General</c:formatCode>
                <c:ptCount val="4"/>
                <c:pt idx="0">
                  <c:v>23</c:v>
                </c:pt>
                <c:pt idx="1">
                  <c:v>15</c:v>
                </c:pt>
                <c:pt idx="2">
                  <c:v>21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8D3-8EF9-15040152BBE8}"/>
            </c:ext>
          </c:extLst>
        </c:ser>
        <c:ser>
          <c:idx val="1"/>
          <c:order val="1"/>
          <c:tx>
            <c:strRef>
              <c:f>'34'!$H$5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8-48D3-8EF9-15040152BBE8}"/>
            </c:ext>
          </c:extLst>
        </c:ser>
        <c:ser>
          <c:idx val="2"/>
          <c:order val="2"/>
          <c:tx>
            <c:strRef>
              <c:f>'34'!$H$6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'34'!$I$6:$L$6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8-48D3-8EF9-15040152BBE8}"/>
            </c:ext>
          </c:extLst>
        </c:ser>
        <c:ser>
          <c:idx val="3"/>
          <c:order val="3"/>
          <c:tx>
            <c:strRef>
              <c:f>'34'!$H$7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'34'!$I$7:$L$7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38-48D3-8EF9-15040152BBE8}"/>
            </c:ext>
          </c:extLst>
        </c:ser>
        <c:ser>
          <c:idx val="4"/>
          <c:order val="4"/>
          <c:tx>
            <c:strRef>
              <c:f>'34'!$H$8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38-48D3-8EF9-15040152BBE8}"/>
            </c:ext>
          </c:extLst>
        </c:ser>
        <c:ser>
          <c:idx val="5"/>
          <c:order val="5"/>
          <c:tx>
            <c:strRef>
              <c:f>'34'!$H$9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'34'!$I$9:$L$9</c:f>
              <c:numCache>
                <c:formatCode>General</c:formatCode>
                <c:ptCount val="4"/>
                <c:pt idx="0">
                  <c:v>33</c:v>
                </c:pt>
                <c:pt idx="1">
                  <c:v>3</c:v>
                </c:pt>
                <c:pt idx="2">
                  <c:v>40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38-48D3-8EF9-15040152BBE8}"/>
            </c:ext>
          </c:extLst>
        </c:ser>
        <c:ser>
          <c:idx val="6"/>
          <c:order val="6"/>
          <c:tx>
            <c:strRef>
              <c:f>'34'!$H$10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'34'!$I$10:$L$10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38-48D3-8EF9-15040152BBE8}"/>
            </c:ext>
          </c:extLst>
        </c:ser>
        <c:ser>
          <c:idx val="7"/>
          <c:order val="7"/>
          <c:tx>
            <c:strRef>
              <c:f>'34'!$H$11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'34'!$I$11:$L$11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38-48D3-8EF9-15040152BBE8}"/>
            </c:ext>
          </c:extLst>
        </c:ser>
        <c:ser>
          <c:idx val="8"/>
          <c:order val="8"/>
          <c:tx>
            <c:strRef>
              <c:f>'34'!$H$12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'34'!$I$2:$L$2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'34'!$I$12:$L$12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38-48D3-8EF9-15040152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Arkusz1!$EK$5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Arkusz1!$EK$6:$EK$39</c:f>
              <c:numCache>
                <c:formatCode>General;\-General;""</c:formatCode>
                <c:ptCount val="34"/>
                <c:pt idx="0">
                  <c:v>1</c:v>
                </c:pt>
                <c:pt idx="1">
                  <c:v>1.5</c:v>
                </c:pt>
                <c:pt idx="2">
                  <c:v>1.3333333333333333</c:v>
                </c:pt>
                <c:pt idx="3">
                  <c:v>1.5</c:v>
                </c:pt>
                <c:pt idx="4">
                  <c:v>1.6</c:v>
                </c:pt>
                <c:pt idx="5">
                  <c:v>1.5</c:v>
                </c:pt>
                <c:pt idx="6">
                  <c:v>1.8571428571428572</c:v>
                </c:pt>
                <c:pt idx="7">
                  <c:v>1.875</c:v>
                </c:pt>
                <c:pt idx="8">
                  <c:v>1.7777777777777777</c:v>
                </c:pt>
                <c:pt idx="9">
                  <c:v>1.7</c:v>
                </c:pt>
                <c:pt idx="10">
                  <c:v>1.6363636363636365</c:v>
                </c:pt>
                <c:pt idx="11">
                  <c:v>1.8333333333333333</c:v>
                </c:pt>
                <c:pt idx="12">
                  <c:v>1.8461538461538463</c:v>
                </c:pt>
                <c:pt idx="13">
                  <c:v>1.8571428571428572</c:v>
                </c:pt>
                <c:pt idx="14">
                  <c:v>1.8</c:v>
                </c:pt>
                <c:pt idx="15">
                  <c:v>1.75</c:v>
                </c:pt>
                <c:pt idx="16">
                  <c:v>1.7647058823529411</c:v>
                </c:pt>
                <c:pt idx="17">
                  <c:v>1.8888888888888888</c:v>
                </c:pt>
                <c:pt idx="18">
                  <c:v>1.8947368421052631</c:v>
                </c:pt>
                <c:pt idx="19">
                  <c:v>1.9</c:v>
                </c:pt>
                <c:pt idx="20">
                  <c:v>1.9047619047619047</c:v>
                </c:pt>
                <c:pt idx="21">
                  <c:v>1.9090909090909092</c:v>
                </c:pt>
                <c:pt idx="22">
                  <c:v>1.8695652173913044</c:v>
                </c:pt>
                <c:pt idx="23">
                  <c:v>1.9583333333333333</c:v>
                </c:pt>
                <c:pt idx="24">
                  <c:v>1.96</c:v>
                </c:pt>
                <c:pt idx="25">
                  <c:v>1.9615384615384615</c:v>
                </c:pt>
                <c:pt idx="26">
                  <c:v>1.9259259259259258</c:v>
                </c:pt>
                <c:pt idx="27">
                  <c:v>1.9285714285714286</c:v>
                </c:pt>
                <c:pt idx="28">
                  <c:v>1.896551724137931</c:v>
                </c:pt>
                <c:pt idx="29">
                  <c:v>1.9</c:v>
                </c:pt>
                <c:pt idx="30">
                  <c:v>1.8709677419354838</c:v>
                </c:pt>
                <c:pt idx="31">
                  <c:v>1.84375</c:v>
                </c:pt>
                <c:pt idx="32">
                  <c:v>1.8181818181818181</c:v>
                </c:pt>
                <c:pt idx="33">
                  <c:v>1.7941176470588236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F-46C9-9CBC-2220469A9B70}"/>
            </c:ext>
          </c:extLst>
        </c:ser>
        <c:ser>
          <c:idx val="1"/>
          <c:order val="1"/>
          <c:tx>
            <c:strRef>
              <c:f>Arkusz1!$EL$5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1DF-46C9-9CBC-2220469A9B70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1DF-46C9-9CBC-2220469A9B70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1DF-46C9-9CBC-2220469A9B7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1DF-46C9-9CBC-2220469A9B7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1DF-46C9-9CBC-2220469A9B70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1DF-46C9-9CBC-2220469A9B70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1DF-46C9-9CBC-2220469A9B70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1DF-46C9-9CBC-2220469A9B70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1DF-46C9-9CBC-2220469A9B70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1DF-46C9-9CBC-2220469A9B70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1DF-46C9-9CBC-2220469A9B70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B1DF-46C9-9CBC-2220469A9B70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F-B1DF-46C9-9CBC-2220469A9B70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Arkusz1!$EL$6:$EL$39</c:f>
              <c:numCache>
                <c:formatCode>General;\-General;""</c:formatCode>
                <c:ptCount val="3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2.5</c:v>
                </c:pt>
                <c:pt idx="4">
                  <c:v>2.5</c:v>
                </c:pt>
                <c:pt idx="5">
                  <c:v>2.6666666666666665</c:v>
                </c:pt>
                <c:pt idx="6">
                  <c:v>2.5</c:v>
                </c:pt>
                <c:pt idx="7">
                  <c:v>2.6</c:v>
                </c:pt>
                <c:pt idx="8">
                  <c:v>2.6</c:v>
                </c:pt>
                <c:pt idx="9">
                  <c:v>2.6</c:v>
                </c:pt>
                <c:pt idx="10">
                  <c:v>2.5</c:v>
                </c:pt>
                <c:pt idx="11">
                  <c:v>2.2857142857142856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2.2222222222222223</c:v>
                </c:pt>
                <c:pt idx="17">
                  <c:v>2.1</c:v>
                </c:pt>
                <c:pt idx="18">
                  <c:v>2.1</c:v>
                </c:pt>
                <c:pt idx="19">
                  <c:v>2.2727272727272729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2.2307692307692308</c:v>
                </c:pt>
                <c:pt idx="23">
                  <c:v>2.2857142857142856</c:v>
                </c:pt>
                <c:pt idx="24">
                  <c:v>2.2000000000000002</c:v>
                </c:pt>
                <c:pt idx="25">
                  <c:v>2.125</c:v>
                </c:pt>
                <c:pt idx="26">
                  <c:v>2.125</c:v>
                </c:pt>
                <c:pt idx="27">
                  <c:v>2.0588235294117645</c:v>
                </c:pt>
                <c:pt idx="28">
                  <c:v>2.1666666666666665</c:v>
                </c:pt>
                <c:pt idx="29">
                  <c:v>2.2105263157894739</c:v>
                </c:pt>
                <c:pt idx="30">
                  <c:v>2.2105263157894739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2.2380952380952381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1DF-46C9-9CBC-2220469A9B70}"/>
            </c:ext>
          </c:extLst>
        </c:ser>
        <c:ser>
          <c:idx val="2"/>
          <c:order val="2"/>
          <c:tx>
            <c:strRef>
              <c:f>Arkusz1!$EM$5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1DF-46C9-9CBC-2220469A9B70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1DF-46C9-9CBC-2220469A9B70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1DF-46C9-9CBC-2220469A9B70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1DF-46C9-9CBC-2220469A9B70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1DF-46C9-9CBC-2220469A9B70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B1DF-46C9-9CBC-2220469A9B70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B1DF-46C9-9CBC-2220469A9B70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Arkusz1!$EM$6:$EM$39</c:f>
              <c:numCache>
                <c:formatCode>General;\-General;""</c:formatCode>
                <c:ptCount val="3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1.75</c:v>
                </c:pt>
                <c:pt idx="4">
                  <c:v>1.6</c:v>
                </c:pt>
                <c:pt idx="5">
                  <c:v>1.6666666666666667</c:v>
                </c:pt>
                <c:pt idx="6">
                  <c:v>1.5714285714285714</c:v>
                </c:pt>
                <c:pt idx="7">
                  <c:v>1.5</c:v>
                </c:pt>
                <c:pt idx="8">
                  <c:v>1.5555555555555556</c:v>
                </c:pt>
                <c:pt idx="9">
                  <c:v>1.6</c:v>
                </c:pt>
                <c:pt idx="10">
                  <c:v>1.7272727272727273</c:v>
                </c:pt>
                <c:pt idx="11">
                  <c:v>1.75</c:v>
                </c:pt>
                <c:pt idx="12">
                  <c:v>1.6923076923076923</c:v>
                </c:pt>
                <c:pt idx="13">
                  <c:v>1.7857142857142858</c:v>
                </c:pt>
                <c:pt idx="14">
                  <c:v>1.8666666666666667</c:v>
                </c:pt>
                <c:pt idx="15">
                  <c:v>1.8666666666666667</c:v>
                </c:pt>
                <c:pt idx="16">
                  <c:v>1.8666666666666667</c:v>
                </c:pt>
                <c:pt idx="17">
                  <c:v>1.875</c:v>
                </c:pt>
                <c:pt idx="18">
                  <c:v>1.8235294117647058</c:v>
                </c:pt>
                <c:pt idx="19">
                  <c:v>1.7777777777777777</c:v>
                </c:pt>
                <c:pt idx="20">
                  <c:v>1.8947368421052631</c:v>
                </c:pt>
                <c:pt idx="21">
                  <c:v>1.85</c:v>
                </c:pt>
                <c:pt idx="22">
                  <c:v>1.9523809523809523</c:v>
                </c:pt>
                <c:pt idx="23">
                  <c:v>1.9523809523809523</c:v>
                </c:pt>
                <c:pt idx="24">
                  <c:v>1.9523809523809523</c:v>
                </c:pt>
                <c:pt idx="25">
                  <c:v>1.9523809523809523</c:v>
                </c:pt>
                <c:pt idx="26">
                  <c:v>1.9545454545454546</c:v>
                </c:pt>
                <c:pt idx="27">
                  <c:v>2.0434782608695654</c:v>
                </c:pt>
                <c:pt idx="28">
                  <c:v>2.0416666666666665</c:v>
                </c:pt>
                <c:pt idx="29">
                  <c:v>2.0416666666666665</c:v>
                </c:pt>
                <c:pt idx="30">
                  <c:v>2.0416666666666665</c:v>
                </c:pt>
                <c:pt idx="31">
                  <c:v>2.12</c:v>
                </c:pt>
                <c:pt idx="32">
                  <c:v>2.1538461538461537</c:v>
                </c:pt>
                <c:pt idx="33">
                  <c:v>2.1481481481481484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1DF-46C9-9CBC-2220469A9B70}"/>
            </c:ext>
          </c:extLst>
        </c:ser>
        <c:ser>
          <c:idx val="3"/>
          <c:order val="3"/>
          <c:tx>
            <c:strRef>
              <c:f>Arkusz1!$EN$5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1DF-46C9-9CBC-2220469A9B70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1DF-46C9-9CBC-2220469A9B70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B1DF-46C9-9CBC-2220469A9B70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B1DF-46C9-9CBC-2220469A9B70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B1DF-46C9-9CBC-2220469A9B70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B1DF-46C9-9CBC-2220469A9B70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B1DF-46C9-9CBC-2220469A9B70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B1DF-46C9-9CBC-2220469A9B70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B1DF-46C9-9CBC-2220469A9B70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B1DF-46C9-9CBC-2220469A9B70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B1DF-46C9-9CBC-2220469A9B70}"/>
              </c:ext>
            </c:extLst>
          </c:dPt>
          <c:cat>
            <c:numRef>
              <c:f>Arkusz1!$EJ$6:$EJ$39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Arkusz1!$EN$6:$EN$39</c:f>
              <c:numCache>
                <c:formatCode>General;\-General;""</c:formatCode>
                <c:ptCount val="34"/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3.6666666666666665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2.8333333333333335</c:v>
                </c:pt>
                <c:pt idx="15">
                  <c:v>2.8333333333333335</c:v>
                </c:pt>
                <c:pt idx="16">
                  <c:v>2.8571428571428572</c:v>
                </c:pt>
                <c:pt idx="17">
                  <c:v>2.8571428571428572</c:v>
                </c:pt>
                <c:pt idx="18">
                  <c:v>2.875</c:v>
                </c:pt>
                <c:pt idx="19">
                  <c:v>2.8888888888888888</c:v>
                </c:pt>
                <c:pt idx="20">
                  <c:v>2.9</c:v>
                </c:pt>
                <c:pt idx="21">
                  <c:v>2.9090909090909092</c:v>
                </c:pt>
                <c:pt idx="22">
                  <c:v>2.8333333333333335</c:v>
                </c:pt>
                <c:pt idx="23">
                  <c:v>2.6923076923076925</c:v>
                </c:pt>
                <c:pt idx="24">
                  <c:v>2.6923076923076925</c:v>
                </c:pt>
                <c:pt idx="25">
                  <c:v>2.7142857142857144</c:v>
                </c:pt>
                <c:pt idx="26">
                  <c:v>2.8</c:v>
                </c:pt>
                <c:pt idx="27">
                  <c:v>2.8125</c:v>
                </c:pt>
                <c:pt idx="28">
                  <c:v>2.8235294117647061</c:v>
                </c:pt>
                <c:pt idx="29">
                  <c:v>2.7222222222222223</c:v>
                </c:pt>
                <c:pt idx="30">
                  <c:v>2.7222222222222223</c:v>
                </c:pt>
                <c:pt idx="31">
                  <c:v>2.736842105263158</c:v>
                </c:pt>
                <c:pt idx="32">
                  <c:v>2.736842105263158</c:v>
                </c:pt>
                <c:pt idx="33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1DF-46C9-9CBC-2220469A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6176"/>
        <c:axId val="134403136"/>
      </c:lineChart>
      <c:catAx>
        <c:axId val="133746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403136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34403136"/>
        <c:scaling>
          <c:orientation val="maxMin"/>
          <c:max val="3"/>
          <c:min val="1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746176"/>
        <c:crosses val="autoZero"/>
        <c:crossBetween val="midCat"/>
        <c:majorUnit val="0.30000000000000004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3162834645669291"/>
          <c:h val="0.44593433173794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Arkusz1!$EQ$5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Arkusz1!$EP$6:$EP$39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Arkusz1!$EQ$6:$EQ$39</c:f>
              <c:numCache>
                <c:formatCode>General</c:formatCode>
                <c:ptCount val="3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  <c:pt idx="17">
                  <c:v>37</c:v>
                </c:pt>
                <c:pt idx="18">
                  <c:v>40</c:v>
                </c:pt>
                <c:pt idx="19">
                  <c:v>43</c:v>
                </c:pt>
                <c:pt idx="20">
                  <c:v>46</c:v>
                </c:pt>
                <c:pt idx="21">
                  <c:v>48</c:v>
                </c:pt>
                <c:pt idx="22">
                  <c:v>52</c:v>
                </c:pt>
                <c:pt idx="23">
                  <c:v>53</c:v>
                </c:pt>
                <c:pt idx="24">
                  <c:v>55</c:v>
                </c:pt>
                <c:pt idx="25">
                  <c:v>58</c:v>
                </c:pt>
                <c:pt idx="26">
                  <c:v>62</c:v>
                </c:pt>
                <c:pt idx="27">
                  <c:v>65</c:v>
                </c:pt>
                <c:pt idx="28">
                  <c:v>69</c:v>
                </c:pt>
                <c:pt idx="29">
                  <c:v>72</c:v>
                </c:pt>
                <c:pt idx="30">
                  <c:v>75</c:v>
                </c:pt>
                <c:pt idx="31">
                  <c:v>79</c:v>
                </c:pt>
                <c:pt idx="32">
                  <c:v>83</c:v>
                </c:pt>
                <c:pt idx="33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9-48E7-B09D-56E617FA2632}"/>
            </c:ext>
          </c:extLst>
        </c:ser>
        <c:ser>
          <c:idx val="1"/>
          <c:order val="1"/>
          <c:tx>
            <c:strRef>
              <c:f>Arkusz1!$ER$5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BB9-48E7-B09D-56E617FA2632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BB9-48E7-B09D-56E617FA2632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BBB9-48E7-B09D-56E617FA263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BB9-48E7-B09D-56E617FA263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BB9-48E7-B09D-56E617FA2632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BB9-48E7-B09D-56E617FA2632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BB9-48E7-B09D-56E617FA263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BB9-48E7-B09D-56E617FA2632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BB9-48E7-B09D-56E617FA2632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BB9-48E7-B09D-56E617FA2632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BB9-48E7-B09D-56E617FA263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E739-45B6-81E7-37B99DF96655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E739-45B6-81E7-37B99DF96655}"/>
              </c:ext>
            </c:extLst>
          </c:dPt>
          <c:cat>
            <c:numRef>
              <c:f>Arkusz1!$EP$6:$EP$39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Arkusz1!$ER$6:$ER$39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28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38</c:v>
                </c:pt>
                <c:pt idx="21">
                  <c:v>39</c:v>
                </c:pt>
                <c:pt idx="22">
                  <c:v>41</c:v>
                </c:pt>
                <c:pt idx="23">
                  <c:v>43</c:v>
                </c:pt>
                <c:pt idx="24">
                  <c:v>46</c:v>
                </c:pt>
                <c:pt idx="25">
                  <c:v>50</c:v>
                </c:pt>
                <c:pt idx="26">
                  <c:v>51</c:v>
                </c:pt>
                <c:pt idx="27">
                  <c:v>55</c:v>
                </c:pt>
                <c:pt idx="28">
                  <c:v>56</c:v>
                </c:pt>
                <c:pt idx="29">
                  <c:v>58</c:v>
                </c:pt>
                <c:pt idx="30">
                  <c:v>59</c:v>
                </c:pt>
                <c:pt idx="31">
                  <c:v>62</c:v>
                </c:pt>
                <c:pt idx="32">
                  <c:v>63</c:v>
                </c:pt>
                <c:pt idx="3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BB9-48E7-B09D-56E617FA2632}"/>
            </c:ext>
          </c:extLst>
        </c:ser>
        <c:ser>
          <c:idx val="2"/>
          <c:order val="2"/>
          <c:tx>
            <c:strRef>
              <c:f>Arkusz1!$ES$5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BBB9-48E7-B09D-56E617FA2632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BB9-48E7-B09D-56E617FA2632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BB9-48E7-B09D-56E617FA2632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BB9-48E7-B09D-56E617FA2632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BB9-48E7-B09D-56E617FA2632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BB9-48E7-B09D-56E617FA263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E739-45B6-81E7-37B99DF96655}"/>
              </c:ext>
            </c:extLst>
          </c:dPt>
          <c:cat>
            <c:numRef>
              <c:f>Arkusz1!$EP$6:$EP$39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Arkusz1!$ES$6:$ES$39</c:f>
              <c:numCache>
                <c:formatCode>General</c:formatCode>
                <c:ptCount val="3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36</c:v>
                </c:pt>
                <c:pt idx="18">
                  <c:v>40</c:v>
                </c:pt>
                <c:pt idx="19">
                  <c:v>44</c:v>
                </c:pt>
                <c:pt idx="20">
                  <c:v>45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55</c:v>
                </c:pt>
                <c:pt idx="27">
                  <c:v>56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64</c:v>
                </c:pt>
                <c:pt idx="3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BB9-48E7-B09D-56E617FA2632}"/>
            </c:ext>
          </c:extLst>
        </c:ser>
        <c:ser>
          <c:idx val="3"/>
          <c:order val="3"/>
          <c:tx>
            <c:strRef>
              <c:f>Arkusz1!$ET$5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BB9-48E7-B09D-56E617FA2632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BBB9-48E7-B09D-56E617FA2632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BBB9-48E7-B09D-56E617FA2632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BBB9-48E7-B09D-56E617FA2632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BBB9-48E7-B09D-56E617FA2632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BBB9-48E7-B09D-56E617FA2632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BBB9-48E7-B09D-56E617FA2632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BBB9-48E7-B09D-56E617FA2632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BBB9-48E7-B09D-56E617FA2632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E739-45B6-81E7-37B99DF96655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E739-45B6-81E7-37B99DF96655}"/>
              </c:ext>
            </c:extLst>
          </c:dPt>
          <c:cat>
            <c:numRef>
              <c:f>Arkusz1!$EP$6:$EP$39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Arkusz1!$ET$6:$ET$39</c:f>
              <c:numCache>
                <c:formatCode>General</c:formatCode>
                <c:ptCount val="34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22</c:v>
                </c:pt>
                <c:pt idx="19">
                  <c:v>24</c:v>
                </c:pt>
                <c:pt idx="20">
                  <c:v>26</c:v>
                </c:pt>
                <c:pt idx="21">
                  <c:v>27</c:v>
                </c:pt>
                <c:pt idx="22">
                  <c:v>30</c:v>
                </c:pt>
                <c:pt idx="23">
                  <c:v>34</c:v>
                </c:pt>
                <c:pt idx="24">
                  <c:v>35</c:v>
                </c:pt>
                <c:pt idx="25">
                  <c:v>37</c:v>
                </c:pt>
                <c:pt idx="26">
                  <c:v>38</c:v>
                </c:pt>
                <c:pt idx="27">
                  <c:v>40</c:v>
                </c:pt>
                <c:pt idx="28">
                  <c:v>42</c:v>
                </c:pt>
                <c:pt idx="29">
                  <c:v>46</c:v>
                </c:pt>
                <c:pt idx="30">
                  <c:v>47</c:v>
                </c:pt>
                <c:pt idx="31">
                  <c:v>49</c:v>
                </c:pt>
                <c:pt idx="32">
                  <c:v>50</c:v>
                </c:pt>
                <c:pt idx="3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BB9-48E7-B09D-56E617FA2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1328"/>
        <c:axId val="134538944"/>
      </c:lineChart>
      <c:catAx>
        <c:axId val="1340513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53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53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051328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4315789473684215"/>
          <c:h val="0.39951083320467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Arkusz1!$EW$5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Arkusz1!$EV$6:$EV$39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Arkusz1!$EW$6:$EW$39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7-4B22-A6EA-AA8C6EB19CC7}"/>
            </c:ext>
          </c:extLst>
        </c:ser>
        <c:ser>
          <c:idx val="1"/>
          <c:order val="1"/>
          <c:tx>
            <c:strRef>
              <c:f>Arkusz1!$EX$5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557-4B22-A6EA-AA8C6EB19CC7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557-4B22-A6EA-AA8C6EB19CC7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557-4B22-A6EA-AA8C6EB19CC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557-4B22-A6EA-AA8C6EB19CC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557-4B22-A6EA-AA8C6EB19CC7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4557-4B22-A6EA-AA8C6EB19CC7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557-4B22-A6EA-AA8C6EB19CC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557-4B22-A6EA-AA8C6EB19CC7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557-4B22-A6EA-AA8C6EB19CC7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4557-4B22-A6EA-AA8C6EB19CC7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4557-4B22-A6EA-AA8C6EB19CC7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66E0-4E88-BC86-8ED18E0BCF01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66E0-4E88-BC86-8ED18E0BCF01}"/>
              </c:ext>
            </c:extLst>
          </c:dPt>
          <c:cat>
            <c:numRef>
              <c:f>Arkusz1!$EV$6:$EV$39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Arkusz1!$EX$6:$EX$39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5</c:v>
                </c:pt>
                <c:pt idx="18">
                  <c:v>7</c:v>
                </c:pt>
                <c:pt idx="19">
                  <c:v>10</c:v>
                </c:pt>
                <c:pt idx="20">
                  <c:v>8</c:v>
                </c:pt>
                <c:pt idx="21">
                  <c:v>9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11</c:v>
                </c:pt>
                <c:pt idx="27">
                  <c:v>10</c:v>
                </c:pt>
                <c:pt idx="28">
                  <c:v>13</c:v>
                </c:pt>
                <c:pt idx="29">
                  <c:v>14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557-4B22-A6EA-AA8C6EB19CC7}"/>
            </c:ext>
          </c:extLst>
        </c:ser>
        <c:ser>
          <c:idx val="2"/>
          <c:order val="2"/>
          <c:tx>
            <c:strRef>
              <c:f>Arkusz1!$EY$5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4557-4B22-A6EA-AA8C6EB19CC7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4557-4B22-A6EA-AA8C6EB19CC7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4557-4B22-A6EA-AA8C6EB19CC7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4557-4B22-A6EA-AA8C6EB19CC7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4557-4B22-A6EA-AA8C6EB19CC7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4557-4B22-A6EA-AA8C6EB19CC7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66E0-4E88-BC86-8ED18E0BCF01}"/>
              </c:ext>
            </c:extLst>
          </c:dPt>
          <c:cat>
            <c:numRef>
              <c:f>Arkusz1!$EV$6:$EV$39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Arkusz1!$EY$6:$EY$39</c:f>
              <c:numCache>
                <c:formatCode>General</c:formatCode>
                <c:ptCount val="3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7</c:v>
                </c:pt>
                <c:pt idx="27">
                  <c:v>9</c:v>
                </c:pt>
                <c:pt idx="28">
                  <c:v>10</c:v>
                </c:pt>
                <c:pt idx="29">
                  <c:v>12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557-4B22-A6EA-AA8C6EB19CC7}"/>
            </c:ext>
          </c:extLst>
        </c:ser>
        <c:ser>
          <c:idx val="3"/>
          <c:order val="3"/>
          <c:tx>
            <c:strRef>
              <c:f>Arkusz1!$EZ$5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4557-4B22-A6EA-AA8C6EB19CC7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4557-4B22-A6EA-AA8C6EB19CC7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4557-4B22-A6EA-AA8C6EB19CC7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4557-4B22-A6EA-AA8C6EB19CC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4557-4B22-A6EA-AA8C6EB19CC7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4557-4B22-A6EA-AA8C6EB19CC7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4557-4B22-A6EA-AA8C6EB19CC7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4557-4B22-A6EA-AA8C6EB19CC7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4557-4B22-A6EA-AA8C6EB19CC7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66E0-4E88-BC86-8ED18E0BCF01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66E0-4E88-BC86-8ED18E0BCF01}"/>
              </c:ext>
            </c:extLst>
          </c:dPt>
          <c:cat>
            <c:numRef>
              <c:f>Arkusz1!$EV$6:$EV$39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Arkusz1!$EZ$6:$EZ$39</c:f>
              <c:numCache>
                <c:formatCode>General</c:formatCode>
                <c:ptCount val="34"/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17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21</c:v>
                </c:pt>
                <c:pt idx="26">
                  <c:v>24</c:v>
                </c:pt>
                <c:pt idx="27">
                  <c:v>25</c:v>
                </c:pt>
                <c:pt idx="28">
                  <c:v>27</c:v>
                </c:pt>
                <c:pt idx="29">
                  <c:v>26</c:v>
                </c:pt>
                <c:pt idx="30">
                  <c:v>28</c:v>
                </c:pt>
                <c:pt idx="31">
                  <c:v>30</c:v>
                </c:pt>
                <c:pt idx="32">
                  <c:v>33</c:v>
                </c:pt>
                <c:pt idx="3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557-4B22-A6EA-AA8C6EB1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2352"/>
        <c:axId val="134541248"/>
      </c:lineChart>
      <c:catAx>
        <c:axId val="134052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541248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34541248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052352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3162834645669291"/>
          <c:h val="0.44593433173794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8275190930923412E-2"/>
          <c:w val="0.61964811728603841"/>
          <c:h val="0.79021158902332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'9'!$F$4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'9'!$G$4:$H$4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A2E-AA47-CF6DE5231BB2}"/>
            </c:ext>
          </c:extLst>
        </c:ser>
        <c:ser>
          <c:idx val="1"/>
          <c:order val="1"/>
          <c:tx>
            <c:strRef>
              <c:f>'9'!$F$5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'9'!$G$5:$H$5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A2E-AA47-CF6DE5231BB2}"/>
            </c:ext>
          </c:extLst>
        </c:ser>
        <c:ser>
          <c:idx val="2"/>
          <c:order val="2"/>
          <c:tx>
            <c:strRef>
              <c:f>'9'!$F$6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'9'!$G$6:$H$6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9-4A2E-AA47-CF6DE5231BB2}"/>
            </c:ext>
          </c:extLst>
        </c:ser>
        <c:ser>
          <c:idx val="3"/>
          <c:order val="3"/>
          <c:tx>
            <c:strRef>
              <c:f>'9'!$F$7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'9'!$G$7:$H$7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9-4A2E-AA47-CF6DE5231BB2}"/>
            </c:ext>
          </c:extLst>
        </c:ser>
        <c:ser>
          <c:idx val="4"/>
          <c:order val="4"/>
          <c:tx>
            <c:strRef>
              <c:f>'9'!$F$8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'9'!$G$8:$H$8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9-4A2E-AA47-CF6DE5231BB2}"/>
            </c:ext>
          </c:extLst>
        </c:ser>
        <c:ser>
          <c:idx val="5"/>
          <c:order val="5"/>
          <c:tx>
            <c:strRef>
              <c:f>'9'!$F$9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'9'!$G$9:$H$9</c:f>
              <c:numCache>
                <c:formatCode>General</c:formatCode>
                <c:ptCount val="2"/>
                <c:pt idx="0">
                  <c:v>22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39-4A2E-AA47-CF6DE5231BB2}"/>
            </c:ext>
          </c:extLst>
        </c:ser>
        <c:ser>
          <c:idx val="6"/>
          <c:order val="6"/>
          <c:tx>
            <c:strRef>
              <c:f>'9'!$F$10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'9'!$G$10:$H$10</c:f>
              <c:numCache>
                <c:formatCode>General</c:formatCode>
                <c:ptCount val="2"/>
                <c:pt idx="0">
                  <c:v>8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39-4A2E-AA47-CF6DE5231BB2}"/>
            </c:ext>
          </c:extLst>
        </c:ser>
        <c:ser>
          <c:idx val="7"/>
          <c:order val="7"/>
          <c:tx>
            <c:strRef>
              <c:f>'9'!$F$11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'9'!$G$11:$H$11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39-4A2E-AA47-CF6DE523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14176"/>
        <c:axId val="135225920"/>
      </c:barChart>
      <c:catAx>
        <c:axId val="1361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22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2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14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7505900923223758"/>
          <c:w val="0.23929497477802686"/>
          <c:h val="0.35664409081731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8275190930923412E-2"/>
          <c:w val="0.61964811728603841"/>
          <c:h val="0.79021158902332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'9'!$F$4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'9'!$G$4:$H$4</c:f>
              <c:numCache>
                <c:formatCode>General</c:formatCode>
                <c:ptCount val="2"/>
                <c:pt idx="0">
                  <c:v>25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6-44D8-BC21-EAF983DAF5E9}"/>
            </c:ext>
          </c:extLst>
        </c:ser>
        <c:ser>
          <c:idx val="1"/>
          <c:order val="1"/>
          <c:tx>
            <c:strRef>
              <c:f>'9'!$F$5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'9'!$G$5:$H$5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6-44D8-BC21-EAF983DAF5E9}"/>
            </c:ext>
          </c:extLst>
        </c:ser>
        <c:ser>
          <c:idx val="2"/>
          <c:order val="2"/>
          <c:tx>
            <c:strRef>
              <c:f>'9'!$F$6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'9'!$G$6:$H$6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6-44D8-BC21-EAF983DAF5E9}"/>
            </c:ext>
          </c:extLst>
        </c:ser>
        <c:ser>
          <c:idx val="3"/>
          <c:order val="3"/>
          <c:tx>
            <c:strRef>
              <c:f>'9'!$F$7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'9'!$G$7:$H$7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6-44D8-BC21-EAF983DAF5E9}"/>
            </c:ext>
          </c:extLst>
        </c:ser>
        <c:ser>
          <c:idx val="4"/>
          <c:order val="4"/>
          <c:tx>
            <c:strRef>
              <c:f>'9'!$F$8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'9'!$G$8:$H$8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6-44D8-BC21-EAF983DAF5E9}"/>
            </c:ext>
          </c:extLst>
        </c:ser>
        <c:ser>
          <c:idx val="5"/>
          <c:order val="5"/>
          <c:tx>
            <c:strRef>
              <c:f>'9'!$F$9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'9'!$G$9:$H$9</c:f>
              <c:numCache>
                <c:formatCode>General</c:formatCode>
                <c:ptCount val="2"/>
                <c:pt idx="0">
                  <c:v>22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6-44D8-BC21-EAF983DAF5E9}"/>
            </c:ext>
          </c:extLst>
        </c:ser>
        <c:ser>
          <c:idx val="6"/>
          <c:order val="6"/>
          <c:tx>
            <c:strRef>
              <c:f>'9'!$F$10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'9'!$G$10:$H$10</c:f>
              <c:numCache>
                <c:formatCode>General</c:formatCode>
                <c:ptCount val="2"/>
                <c:pt idx="0">
                  <c:v>8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46-44D8-BC21-EAF983DAF5E9}"/>
            </c:ext>
          </c:extLst>
        </c:ser>
        <c:ser>
          <c:idx val="7"/>
          <c:order val="7"/>
          <c:tx>
            <c:strRef>
              <c:f>'9'!$F$11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'9'!$G$11:$H$11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46-44D8-BC21-EAF983DAF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16224"/>
        <c:axId val="135228224"/>
      </c:barChart>
      <c:catAx>
        <c:axId val="13611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228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28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16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7505900923223758"/>
          <c:w val="0.23929497477802686"/>
          <c:h val="0.35664409081731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64824120603015E-2"/>
          <c:y val="5.8139600903434889E-2"/>
          <c:w val="0.71105527638190957"/>
          <c:h val="0.70697754698576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'9'!$G$2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'9'!$F$4:$F$11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'9'!$G$4:$G$11</c:f>
              <c:numCache>
                <c:formatCode>General</c:formatCode>
                <c:ptCount val="8"/>
                <c:pt idx="0">
                  <c:v>25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9F3-9BA8-CD46C4071B17}"/>
            </c:ext>
          </c:extLst>
        </c:ser>
        <c:ser>
          <c:idx val="1"/>
          <c:order val="1"/>
          <c:tx>
            <c:strRef>
              <c:f>'9'!$H$2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'9'!$F$4:$F$11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'9'!$H$4:$H$11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15</c:v>
                </c:pt>
                <c:pt idx="6">
                  <c:v>40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8-49F3-9BA8-CD46C40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16736"/>
        <c:axId val="135230528"/>
      </c:barChart>
      <c:catAx>
        <c:axId val="13611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23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3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1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65829145728642"/>
          <c:y val="0.36744234877617038"/>
          <c:w val="0.14824120603015079"/>
          <c:h val="9.06976744186046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48597181115782E-2"/>
          <c:y val="6.6489448046677668E-2"/>
          <c:w val="0.88712957063115971"/>
          <c:h val="0.8696819804505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'9'!$A$22:$A$29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'9'!$B$22:$B$29</c:f>
              <c:numCache>
                <c:formatCode>\+General;\-General;0</c:formatCode>
                <c:ptCount val="8"/>
                <c:pt idx="0">
                  <c:v>22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7</c:v>
                </c:pt>
                <c:pt idx="6">
                  <c:v>-32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1D8-9CEF-482B88707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17248"/>
        <c:axId val="135232832"/>
      </c:barChart>
      <c:catAx>
        <c:axId val="1361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5232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232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1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417346447983225E-2"/>
          <c:y val="7.1287197640003908E-2"/>
          <c:w val="0.9275594117400543"/>
          <c:h val="0.78415917404004298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25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Arkusz1!$U$6:$U$39</c:f>
              <c:numCache>
                <c:formatCode>General;\-General;""</c:formatCode>
                <c:ptCount val="34"/>
                <c:pt idx="0">
                  <c:v>62</c:v>
                </c:pt>
                <c:pt idx="1">
                  <c:v>58</c:v>
                </c:pt>
                <c:pt idx="2">
                  <c:v>67</c:v>
                </c:pt>
                <c:pt idx="3">
                  <c:v>67</c:v>
                </c:pt>
                <c:pt idx="4">
                  <c:v>72</c:v>
                </c:pt>
                <c:pt idx="5">
                  <c:v>76</c:v>
                </c:pt>
                <c:pt idx="6">
                  <c:v>74</c:v>
                </c:pt>
                <c:pt idx="7">
                  <c:v>85</c:v>
                </c:pt>
                <c:pt idx="8">
                  <c:v>73</c:v>
                </c:pt>
                <c:pt idx="9">
                  <c:v>72</c:v>
                </c:pt>
                <c:pt idx="10">
                  <c:v>74</c:v>
                </c:pt>
                <c:pt idx="11">
                  <c:v>83</c:v>
                </c:pt>
                <c:pt idx="12" formatCode="General">
                  <c:v>75</c:v>
                </c:pt>
                <c:pt idx="13" formatCode="General">
                  <c:v>65</c:v>
                </c:pt>
                <c:pt idx="14" formatCode="General">
                  <c:v>83</c:v>
                </c:pt>
                <c:pt idx="15" formatCode="General">
                  <c:v>95</c:v>
                </c:pt>
                <c:pt idx="16" formatCode="General">
                  <c:v>80</c:v>
                </c:pt>
                <c:pt idx="17" formatCode="General">
                  <c:v>105</c:v>
                </c:pt>
                <c:pt idx="18" formatCode="General">
                  <c:v>79</c:v>
                </c:pt>
                <c:pt idx="19" formatCode="General">
                  <c:v>76</c:v>
                </c:pt>
                <c:pt idx="20" formatCode="General">
                  <c:v>72</c:v>
                </c:pt>
                <c:pt idx="21" formatCode="General">
                  <c:v>72</c:v>
                </c:pt>
                <c:pt idx="22" formatCode="General">
                  <c:v>86</c:v>
                </c:pt>
                <c:pt idx="23" formatCode="General">
                  <c:v>76</c:v>
                </c:pt>
                <c:pt idx="24" formatCode="General">
                  <c:v>71</c:v>
                </c:pt>
                <c:pt idx="25" formatCode="General">
                  <c:v>89</c:v>
                </c:pt>
                <c:pt idx="26" formatCode="General">
                  <c:v>73</c:v>
                </c:pt>
                <c:pt idx="27" formatCode="General">
                  <c:v>82</c:v>
                </c:pt>
                <c:pt idx="28" formatCode="General">
                  <c:v>80</c:v>
                </c:pt>
                <c:pt idx="29" formatCode="General">
                  <c:v>87</c:v>
                </c:pt>
                <c:pt idx="30" formatCode="General">
                  <c:v>82</c:v>
                </c:pt>
                <c:pt idx="31" formatCode="General">
                  <c:v>82</c:v>
                </c:pt>
                <c:pt idx="32" formatCode="General">
                  <c:v>79</c:v>
                </c:pt>
                <c:pt idx="33" formatCode="General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9-408C-8DEF-4056172E8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2080"/>
        <c:axId val="132919808"/>
      </c:lineChart>
      <c:catAx>
        <c:axId val="10078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291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19808"/>
        <c:scaling>
          <c:orientation val="minMax"/>
          <c:min val="5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75">
                <a:fgClr>
                  <a:srgbClr val="C0C0C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782080"/>
        <c:crosses val="autoZero"/>
        <c:crossBetween val="between"/>
        <c:majorUnit val="10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pattFill prst="pct25">
            <a:fgClr>
              <a:srgbClr val="808080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8275190930923412E-2"/>
          <c:w val="0.61964811728603841"/>
          <c:h val="0.790211589023321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'10'!$F$4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'10'!$G$4:$H$4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2E7-AFDB-F0E10AEA3349}"/>
            </c:ext>
          </c:extLst>
        </c:ser>
        <c:ser>
          <c:idx val="1"/>
          <c:order val="1"/>
          <c:tx>
            <c:strRef>
              <c:f>'10'!$F$5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'10'!$G$5:$H$5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F-42E7-AFDB-F0E10AEA3349}"/>
            </c:ext>
          </c:extLst>
        </c:ser>
        <c:ser>
          <c:idx val="2"/>
          <c:order val="2"/>
          <c:tx>
            <c:strRef>
              <c:f>'10'!$F$6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'10'!$G$6:$H$6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1F-42E7-AFDB-F0E10AEA3349}"/>
            </c:ext>
          </c:extLst>
        </c:ser>
        <c:ser>
          <c:idx val="3"/>
          <c:order val="3"/>
          <c:tx>
            <c:strRef>
              <c:f>'10'!$F$7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'10'!$G$7:$H$7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1F-42E7-AFDB-F0E10AEA3349}"/>
            </c:ext>
          </c:extLst>
        </c:ser>
        <c:ser>
          <c:idx val="4"/>
          <c:order val="4"/>
          <c:tx>
            <c:strRef>
              <c:f>'10'!$F$8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'10'!$G$8:$H$8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F-42E7-AFDB-F0E10AEA3349}"/>
            </c:ext>
          </c:extLst>
        </c:ser>
        <c:ser>
          <c:idx val="5"/>
          <c:order val="5"/>
          <c:tx>
            <c:strRef>
              <c:f>'10'!$F$9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'10'!$G$9:$H$9</c:f>
              <c:numCache>
                <c:formatCode>General</c:formatCode>
                <c:ptCount val="2"/>
                <c:pt idx="0">
                  <c:v>44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1F-42E7-AFDB-F0E10AEA3349}"/>
            </c:ext>
          </c:extLst>
        </c:ser>
        <c:ser>
          <c:idx val="6"/>
          <c:order val="6"/>
          <c:tx>
            <c:strRef>
              <c:f>'10'!$F$10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'10'!$G$10:$H$10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1F-42E7-AFDB-F0E10AEA3349}"/>
            </c:ext>
          </c:extLst>
        </c:ser>
        <c:ser>
          <c:idx val="7"/>
          <c:order val="7"/>
          <c:tx>
            <c:strRef>
              <c:f>'10'!$F$11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'10'!$G$11:$H$11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51F-42E7-AFDB-F0E10AEA3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96096"/>
        <c:axId val="136651904"/>
      </c:barChart>
      <c:catAx>
        <c:axId val="13619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65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51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7505900923223758"/>
          <c:w val="0.23929497477802686"/>
          <c:h val="0.35664409081731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8275190930923412E-2"/>
          <c:w val="0.61964811728603841"/>
          <c:h val="0.790211589023321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'10'!$F$4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'10'!$G$4:$H$4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D-4328-BC8D-56FF0E9689FB}"/>
            </c:ext>
          </c:extLst>
        </c:ser>
        <c:ser>
          <c:idx val="1"/>
          <c:order val="1"/>
          <c:tx>
            <c:strRef>
              <c:f>'10'!$F$5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'10'!$G$5:$H$5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FD-4328-BC8D-56FF0E9689FB}"/>
            </c:ext>
          </c:extLst>
        </c:ser>
        <c:ser>
          <c:idx val="2"/>
          <c:order val="2"/>
          <c:tx>
            <c:strRef>
              <c:f>'10'!$F$6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'10'!$G$6:$H$6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FD-4328-BC8D-56FF0E9689FB}"/>
            </c:ext>
          </c:extLst>
        </c:ser>
        <c:ser>
          <c:idx val="3"/>
          <c:order val="3"/>
          <c:tx>
            <c:strRef>
              <c:f>'10'!$F$7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'10'!$G$7:$H$7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FD-4328-BC8D-56FF0E9689FB}"/>
            </c:ext>
          </c:extLst>
        </c:ser>
        <c:ser>
          <c:idx val="4"/>
          <c:order val="4"/>
          <c:tx>
            <c:strRef>
              <c:f>'10'!$F$8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'10'!$G$8:$H$8</c:f>
              <c:numCache>
                <c:formatCode>General</c:formatCode>
                <c:ptCount val="2"/>
                <c:pt idx="0">
                  <c:v>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FD-4328-BC8D-56FF0E9689FB}"/>
            </c:ext>
          </c:extLst>
        </c:ser>
        <c:ser>
          <c:idx val="5"/>
          <c:order val="5"/>
          <c:tx>
            <c:strRef>
              <c:f>'10'!$F$9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'10'!$G$9:$H$9</c:f>
              <c:numCache>
                <c:formatCode>General</c:formatCode>
                <c:ptCount val="2"/>
                <c:pt idx="0">
                  <c:v>44</c:v>
                </c:pt>
                <c:pt idx="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FD-4328-BC8D-56FF0E9689FB}"/>
            </c:ext>
          </c:extLst>
        </c:ser>
        <c:ser>
          <c:idx val="6"/>
          <c:order val="6"/>
          <c:tx>
            <c:strRef>
              <c:f>'10'!$F$10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'10'!$G$10:$H$10</c:f>
              <c:numCache>
                <c:formatCode>General</c:formatCode>
                <c:ptCount val="2"/>
                <c:pt idx="0">
                  <c:v>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FD-4328-BC8D-56FF0E9689FB}"/>
            </c:ext>
          </c:extLst>
        </c:ser>
        <c:ser>
          <c:idx val="7"/>
          <c:order val="7"/>
          <c:tx>
            <c:strRef>
              <c:f>'10'!$F$11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'10'!$G$2:$H$2</c:f>
              <c:strCache>
                <c:ptCount val="2"/>
                <c:pt idx="0">
                  <c:v>Mateusz</c:v>
                </c:pt>
                <c:pt idx="1">
                  <c:v>Justyna</c:v>
                </c:pt>
              </c:strCache>
            </c:strRef>
          </c:cat>
          <c:val>
            <c:numRef>
              <c:f>'10'!$G$11:$H$11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FD-4328-BC8D-56FF0E96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98144"/>
        <c:axId val="136654208"/>
      </c:barChart>
      <c:catAx>
        <c:axId val="13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65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5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7505900923223758"/>
          <c:w val="0.23929497477802686"/>
          <c:h val="0.356644090817319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964824120603015E-2"/>
          <c:y val="5.8139600903434889E-2"/>
          <c:w val="0.71105527638190957"/>
          <c:h val="0.70697754698576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'10'!$G$2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'10'!$F$4:$F$11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'10'!$G$4:$G$11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44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3-4DF3-ABDA-4E9BD8CB5BF1}"/>
            </c:ext>
          </c:extLst>
        </c:ser>
        <c:ser>
          <c:idx val="1"/>
          <c:order val="1"/>
          <c:tx>
            <c:strRef>
              <c:f>'10'!$H$2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'10'!$F$4:$F$11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'10'!$H$4:$H$11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19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3-4DF3-ABDA-4E9BD8CB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98656"/>
        <c:axId val="136656512"/>
      </c:barChart>
      <c:catAx>
        <c:axId val="1361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656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656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65829145728642"/>
          <c:y val="0.36744234877617038"/>
          <c:w val="0.14824120603015079"/>
          <c:h val="9.069767441860465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48597181115782E-2"/>
          <c:y val="6.6489448046677668E-2"/>
          <c:w val="0.88712957063115971"/>
          <c:h val="0.869681980450543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'10'!$A$22:$A$29</c:f>
              <c:strCache>
                <c:ptCount val="8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za domki</c:v>
                </c:pt>
              </c:strCache>
            </c:strRef>
          </c:cat>
          <c:val>
            <c:numRef>
              <c:f>'10'!$B$22:$B$29</c:f>
              <c:numCache>
                <c:formatCode>\+General;\-General;0</c:formatCode>
                <c:ptCount val="8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-1</c:v>
                </c:pt>
                <c:pt idx="4">
                  <c:v>7</c:v>
                </c:pt>
                <c:pt idx="5">
                  <c:v>25</c:v>
                </c:pt>
                <c:pt idx="6">
                  <c:v>-6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2-44A5-9849-B668DC63F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99680"/>
        <c:axId val="136167424"/>
      </c:barChart>
      <c:catAx>
        <c:axId val="1361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6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167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'11'!$I$4:$L$4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D-4D98-BE31-603FD3FE33CE}"/>
            </c:ext>
          </c:extLst>
        </c:ser>
        <c:ser>
          <c:idx val="1"/>
          <c:order val="1"/>
          <c:tx>
            <c:strRef>
              <c:f>'11'!$H$5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D-4D98-BE31-603FD3FE33CE}"/>
            </c:ext>
          </c:extLst>
        </c:ser>
        <c:ser>
          <c:idx val="2"/>
          <c:order val="2"/>
          <c:tx>
            <c:strRef>
              <c:f>'11'!$H$6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1D-4D98-BE31-603FD3FE33CE}"/>
            </c:ext>
          </c:extLst>
        </c:ser>
        <c:ser>
          <c:idx val="3"/>
          <c:order val="3"/>
          <c:tx>
            <c:strRef>
              <c:f>'11'!$H$7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D-4D98-BE31-603FD3FE33CE}"/>
            </c:ext>
          </c:extLst>
        </c:ser>
        <c:ser>
          <c:idx val="4"/>
          <c:order val="4"/>
          <c:tx>
            <c:strRef>
              <c:f>'11'!$H$8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1D-4D98-BE31-603FD3FE33CE}"/>
            </c:ext>
          </c:extLst>
        </c:ser>
        <c:ser>
          <c:idx val="5"/>
          <c:order val="5"/>
          <c:tx>
            <c:strRef>
              <c:f>'11'!$H$9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'11'!$I$9:$L$9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D-4D98-BE31-603FD3FE33CE}"/>
            </c:ext>
          </c:extLst>
        </c:ser>
        <c:ser>
          <c:idx val="6"/>
          <c:order val="6"/>
          <c:tx>
            <c:strRef>
              <c:f>'11'!$H$10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'11'!$I$10:$L$10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D-4D98-BE31-603FD3FE33CE}"/>
            </c:ext>
          </c:extLst>
        </c:ser>
        <c:ser>
          <c:idx val="7"/>
          <c:order val="7"/>
          <c:tx>
            <c:strRef>
              <c:f>'11'!$H$11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'11'!$I$11:$L$11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1D-4D98-BE31-603FD3FE33CE}"/>
            </c:ext>
          </c:extLst>
        </c:ser>
        <c:ser>
          <c:idx val="8"/>
          <c:order val="8"/>
          <c:tx>
            <c:strRef>
              <c:f>'11'!$H$12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1D-4D98-BE31-603FD3FE3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99168"/>
        <c:axId val="136169152"/>
      </c:barChart>
      <c:catAx>
        <c:axId val="13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6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16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9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'11'!$I$4:$L$4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D-4D72-8E0C-7132E8F41B5B}"/>
            </c:ext>
          </c:extLst>
        </c:ser>
        <c:ser>
          <c:idx val="1"/>
          <c:order val="1"/>
          <c:tx>
            <c:strRef>
              <c:f>'11'!$H$5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D-4D72-8E0C-7132E8F41B5B}"/>
            </c:ext>
          </c:extLst>
        </c:ser>
        <c:ser>
          <c:idx val="2"/>
          <c:order val="2"/>
          <c:tx>
            <c:strRef>
              <c:f>'11'!$H$6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D-4D72-8E0C-7132E8F41B5B}"/>
            </c:ext>
          </c:extLst>
        </c:ser>
        <c:ser>
          <c:idx val="3"/>
          <c:order val="3"/>
          <c:tx>
            <c:strRef>
              <c:f>'11'!$H$7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D-4D72-8E0C-7132E8F41B5B}"/>
            </c:ext>
          </c:extLst>
        </c:ser>
        <c:ser>
          <c:idx val="4"/>
          <c:order val="4"/>
          <c:tx>
            <c:strRef>
              <c:f>'11'!$H$8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D-4D72-8E0C-7132E8F41B5B}"/>
            </c:ext>
          </c:extLst>
        </c:ser>
        <c:ser>
          <c:idx val="5"/>
          <c:order val="5"/>
          <c:tx>
            <c:strRef>
              <c:f>'11'!$H$9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'11'!$I$9:$L$9</c:f>
              <c:numCache>
                <c:formatCode>General</c:formatCode>
                <c:ptCount val="4"/>
                <c:pt idx="0">
                  <c:v>42</c:v>
                </c:pt>
                <c:pt idx="1">
                  <c:v>35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D-4D72-8E0C-7132E8F41B5B}"/>
            </c:ext>
          </c:extLst>
        </c:ser>
        <c:ser>
          <c:idx val="6"/>
          <c:order val="6"/>
          <c:tx>
            <c:strRef>
              <c:f>'11'!$H$10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'11'!$I$10:$L$10</c:f>
              <c:numCache>
                <c:formatCode>General</c:formatCode>
                <c:ptCount val="4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D-4D72-8E0C-7132E8F41B5B}"/>
            </c:ext>
          </c:extLst>
        </c:ser>
        <c:ser>
          <c:idx val="7"/>
          <c:order val="7"/>
          <c:tx>
            <c:strRef>
              <c:f>'11'!$H$11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'11'!$I$11:$L$11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D-4D72-8E0C-7132E8F41B5B}"/>
            </c:ext>
          </c:extLst>
        </c:ser>
        <c:ser>
          <c:idx val="8"/>
          <c:order val="8"/>
          <c:tx>
            <c:strRef>
              <c:f>'11'!$H$12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'11'!$I$12:$L$12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AD-4D72-8E0C-7132E8F4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37120"/>
        <c:axId val="136171456"/>
      </c:barChart>
      <c:catAx>
        <c:axId val="1368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7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17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83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69326683291769E-2"/>
          <c:y val="5.55556761190888E-2"/>
          <c:w val="0.6882793017456359"/>
          <c:h val="0.72000156250339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'11'!$I$2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'11'!$I$4:$I$12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42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A-4770-BBAE-7287CC844883}"/>
            </c:ext>
          </c:extLst>
        </c:ser>
        <c:ser>
          <c:idx val="1"/>
          <c:order val="1"/>
          <c:tx>
            <c:strRef>
              <c:f>'11'!$J$2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'11'!$J$4:$J$12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11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1A-4770-BBAE-7287CC844883}"/>
            </c:ext>
          </c:extLst>
        </c:ser>
        <c:ser>
          <c:idx val="2"/>
          <c:order val="2"/>
          <c:tx>
            <c:strRef>
              <c:f>'11'!$K$2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'11'!$K$4:$K$12</c:f>
              <c:numCache>
                <c:formatCode>General</c:formatCode>
                <c:ptCount val="9"/>
                <c:pt idx="0">
                  <c:v>24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A-4770-BBAE-7287CC844883}"/>
            </c:ext>
          </c:extLst>
        </c:ser>
        <c:ser>
          <c:idx val="3"/>
          <c:order val="3"/>
          <c:tx>
            <c:strRef>
              <c:f>'11'!$L$2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'11'!$L$4:$L$12</c:f>
              <c:numCache>
                <c:formatCode>General</c:formatCode>
                <c:ptCount val="9"/>
                <c:pt idx="0">
                  <c:v>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A-4770-BBAE-7287CC844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02592"/>
        <c:axId val="136173760"/>
      </c:barChart>
      <c:catAx>
        <c:axId val="1363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7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17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302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98004987531169"/>
          <c:y val="0.33111181102362208"/>
          <c:w val="0.17206982543640892"/>
          <c:h val="0.171111577719451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'11'!$A$23:$A$31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'11'!$B$23:$B$31</c:f>
              <c:numCache>
                <c:formatCode>\+General;\-General;0</c:formatCode>
                <c:ptCount val="9"/>
                <c:pt idx="0">
                  <c:v>-10</c:v>
                </c:pt>
                <c:pt idx="1">
                  <c:v>10</c:v>
                </c:pt>
                <c:pt idx="2">
                  <c:v>-1</c:v>
                </c:pt>
                <c:pt idx="3">
                  <c:v>1</c:v>
                </c:pt>
                <c:pt idx="4">
                  <c:v>7</c:v>
                </c:pt>
                <c:pt idx="5">
                  <c:v>21</c:v>
                </c:pt>
                <c:pt idx="6">
                  <c:v>-4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2-4085-8D69-A351A1E1D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197120"/>
        <c:axId val="136495680"/>
      </c:barChart>
      <c:catAx>
        <c:axId val="13619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49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95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197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'12'!$I$4:$L$4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2-46F0-8F61-35ED89FCA9BC}"/>
            </c:ext>
          </c:extLst>
        </c:ser>
        <c:ser>
          <c:idx val="1"/>
          <c:order val="1"/>
          <c:tx>
            <c:strRef>
              <c:f>'12'!$H$5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2-46F0-8F61-35ED89FCA9BC}"/>
            </c:ext>
          </c:extLst>
        </c:ser>
        <c:ser>
          <c:idx val="2"/>
          <c:order val="2"/>
          <c:tx>
            <c:strRef>
              <c:f>'12'!$H$6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2-46F0-8F61-35ED89FCA9BC}"/>
            </c:ext>
          </c:extLst>
        </c:ser>
        <c:ser>
          <c:idx val="3"/>
          <c:order val="3"/>
          <c:tx>
            <c:strRef>
              <c:f>'12'!$H$7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'12'!$I$7:$L$7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2-46F0-8F61-35ED89FCA9BC}"/>
            </c:ext>
          </c:extLst>
        </c:ser>
        <c:ser>
          <c:idx val="4"/>
          <c:order val="4"/>
          <c:tx>
            <c:strRef>
              <c:f>'12'!$H$8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2-46F0-8F61-35ED89FCA9BC}"/>
            </c:ext>
          </c:extLst>
        </c:ser>
        <c:ser>
          <c:idx val="5"/>
          <c:order val="5"/>
          <c:tx>
            <c:strRef>
              <c:f>'12'!$H$9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'12'!$I$9:$L$9</c:f>
              <c:numCache>
                <c:formatCode>General</c:formatCode>
                <c:ptCount val="4"/>
                <c:pt idx="0">
                  <c:v>30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72-46F0-8F61-35ED89FCA9BC}"/>
            </c:ext>
          </c:extLst>
        </c:ser>
        <c:ser>
          <c:idx val="6"/>
          <c:order val="6"/>
          <c:tx>
            <c:strRef>
              <c:f>'12'!$H$10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'12'!$I$10:$L$10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72-46F0-8F61-35ED89FCA9BC}"/>
            </c:ext>
          </c:extLst>
        </c:ser>
        <c:ser>
          <c:idx val="7"/>
          <c:order val="7"/>
          <c:tx>
            <c:strRef>
              <c:f>'12'!$H$11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'12'!$I$11:$L$11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72-46F0-8F61-35ED89FCA9BC}"/>
            </c:ext>
          </c:extLst>
        </c:ser>
        <c:ser>
          <c:idx val="8"/>
          <c:order val="8"/>
          <c:tx>
            <c:strRef>
              <c:f>'12'!$H$12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'12'!$I$12:$L$12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72-46F0-8F61-35ED89FC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835072"/>
        <c:axId val="136497984"/>
      </c:barChart>
      <c:catAx>
        <c:axId val="1368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497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97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835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'12'!$I$4:$L$4</c:f>
              <c:numCache>
                <c:formatCode>General</c:formatCode>
                <c:ptCount val="4"/>
                <c:pt idx="0">
                  <c:v>14</c:v>
                </c:pt>
                <c:pt idx="1">
                  <c:v>22</c:v>
                </c:pt>
                <c:pt idx="2">
                  <c:v>21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DDE-8E0B-1D80DC36F9FD}"/>
            </c:ext>
          </c:extLst>
        </c:ser>
        <c:ser>
          <c:idx val="1"/>
          <c:order val="1"/>
          <c:tx>
            <c:strRef>
              <c:f>'12'!$H$5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2-4DDE-8E0B-1D80DC36F9FD}"/>
            </c:ext>
          </c:extLst>
        </c:ser>
        <c:ser>
          <c:idx val="2"/>
          <c:order val="2"/>
          <c:tx>
            <c:strRef>
              <c:f>'12'!$H$6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2-4DDE-8E0B-1D80DC36F9FD}"/>
            </c:ext>
          </c:extLst>
        </c:ser>
        <c:ser>
          <c:idx val="3"/>
          <c:order val="3"/>
          <c:tx>
            <c:strRef>
              <c:f>'12'!$H$7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'12'!$I$7:$L$7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2-4DDE-8E0B-1D80DC36F9FD}"/>
            </c:ext>
          </c:extLst>
        </c:ser>
        <c:ser>
          <c:idx val="4"/>
          <c:order val="4"/>
          <c:tx>
            <c:strRef>
              <c:f>'12'!$H$8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2-4DDE-8E0B-1D80DC36F9FD}"/>
            </c:ext>
          </c:extLst>
        </c:ser>
        <c:ser>
          <c:idx val="5"/>
          <c:order val="5"/>
          <c:tx>
            <c:strRef>
              <c:f>'12'!$H$9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'12'!$I$9:$L$9</c:f>
              <c:numCache>
                <c:formatCode>General</c:formatCode>
                <c:ptCount val="4"/>
                <c:pt idx="0">
                  <c:v>30</c:v>
                </c:pt>
                <c:pt idx="1">
                  <c:v>33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2-4DDE-8E0B-1D80DC36F9FD}"/>
            </c:ext>
          </c:extLst>
        </c:ser>
        <c:ser>
          <c:idx val="6"/>
          <c:order val="6"/>
          <c:tx>
            <c:strRef>
              <c:f>'12'!$H$10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'12'!$I$10:$L$10</c:f>
              <c:numCache>
                <c:formatCode>General</c:formatCode>
                <c:ptCount val="4"/>
                <c:pt idx="0">
                  <c:v>10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52-4DDE-8E0B-1D80DC36F9FD}"/>
            </c:ext>
          </c:extLst>
        </c:ser>
        <c:ser>
          <c:idx val="7"/>
          <c:order val="7"/>
          <c:tx>
            <c:strRef>
              <c:f>'12'!$H$11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'12'!$I$11:$L$11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52-4DDE-8E0B-1D80DC36F9FD}"/>
            </c:ext>
          </c:extLst>
        </c:ser>
        <c:ser>
          <c:idx val="8"/>
          <c:order val="8"/>
          <c:tx>
            <c:strRef>
              <c:f>'12'!$H$12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'12'!$I$12:$L$12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52-4DDE-8E0B-1D80DC36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04128"/>
        <c:axId val="136499712"/>
      </c:barChart>
      <c:catAx>
        <c:axId val="1363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49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6499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304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82218725413063E-2"/>
          <c:y val="6.9169960474308304E-2"/>
          <c:w val="0.9244689221085759"/>
          <c:h val="0.79051383399209485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25"/>
              <c:layout>
                <c:manualLayout>
                  <c:x val="-1.9503271046343234E-2"/>
                  <c:y val="-7.8096127312149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C2-4491-98B9-0A17D53E2633}"/>
                </c:ext>
              </c:extLst>
            </c:dLbl>
            <c:spPr>
              <a:solidFill>
                <a:srgbClr val="FFCC00"/>
              </a:solid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Arkusz1!$BD$192:$BD$225</c:f>
              <c:numCache>
                <c:formatCode>General;\-General;""</c:formatCode>
                <c:ptCount val="34"/>
                <c:pt idx="0">
                  <c:v>62</c:v>
                </c:pt>
                <c:pt idx="1">
                  <c:v>58</c:v>
                </c:pt>
                <c:pt idx="2">
                  <c:v>67</c:v>
                </c:pt>
                <c:pt idx="3">
                  <c:v>67</c:v>
                </c:pt>
                <c:pt idx="4">
                  <c:v>72</c:v>
                </c:pt>
                <c:pt idx="5">
                  <c:v>76</c:v>
                </c:pt>
                <c:pt idx="6">
                  <c:v>74</c:v>
                </c:pt>
                <c:pt idx="7">
                  <c:v>85</c:v>
                </c:pt>
                <c:pt idx="8">
                  <c:v>73</c:v>
                </c:pt>
                <c:pt idx="9">
                  <c:v>72</c:v>
                </c:pt>
                <c:pt idx="10">
                  <c:v>74</c:v>
                </c:pt>
                <c:pt idx="11">
                  <c:v>83</c:v>
                </c:pt>
                <c:pt idx="12">
                  <c:v>75</c:v>
                </c:pt>
                <c:pt idx="13">
                  <c:v>65</c:v>
                </c:pt>
                <c:pt idx="14">
                  <c:v>83</c:v>
                </c:pt>
                <c:pt idx="15">
                  <c:v>95</c:v>
                </c:pt>
                <c:pt idx="16">
                  <c:v>80</c:v>
                </c:pt>
                <c:pt idx="17">
                  <c:v>105</c:v>
                </c:pt>
                <c:pt idx="18">
                  <c:v>79</c:v>
                </c:pt>
                <c:pt idx="19">
                  <c:v>76</c:v>
                </c:pt>
                <c:pt idx="20">
                  <c:v>72</c:v>
                </c:pt>
                <c:pt idx="21">
                  <c:v>72</c:v>
                </c:pt>
                <c:pt idx="22">
                  <c:v>86</c:v>
                </c:pt>
                <c:pt idx="23">
                  <c:v>76</c:v>
                </c:pt>
                <c:pt idx="24">
                  <c:v>71</c:v>
                </c:pt>
                <c:pt idx="25">
                  <c:v>89</c:v>
                </c:pt>
                <c:pt idx="26">
                  <c:v>73</c:v>
                </c:pt>
                <c:pt idx="27">
                  <c:v>82</c:v>
                </c:pt>
                <c:pt idx="28">
                  <c:v>80</c:v>
                </c:pt>
                <c:pt idx="29">
                  <c:v>87</c:v>
                </c:pt>
                <c:pt idx="30">
                  <c:v>82</c:v>
                </c:pt>
                <c:pt idx="31">
                  <c:v>82</c:v>
                </c:pt>
                <c:pt idx="32">
                  <c:v>79</c:v>
                </c:pt>
                <c:pt idx="3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2-4491-98B9-0A17D53E2633}"/>
            </c:ext>
          </c:extLst>
        </c:ser>
        <c:ser>
          <c:idx val="1"/>
          <c:order val="1"/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C2-4491-98B9-0A17D53E2633}"/>
                </c:ext>
              </c:extLst>
            </c:dLbl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C2-4491-98B9-0A17D53E2633}"/>
                </c:ext>
              </c:extLst>
            </c:dLbl>
            <c:dLbl>
              <c:idx val="6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C2-4491-98B9-0A17D53E2633}"/>
                </c:ext>
              </c:extLst>
            </c:dLbl>
            <c:dLbl>
              <c:idx val="1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8C2-4491-98B9-0A17D53E2633}"/>
                </c:ext>
              </c:extLst>
            </c:dLbl>
            <c:dLbl>
              <c:idx val="1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C2-4491-98B9-0A17D53E2633}"/>
                </c:ext>
              </c:extLst>
            </c:dLbl>
            <c:dLbl>
              <c:idx val="1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8C2-4491-98B9-0A17D53E2633}"/>
                </c:ext>
              </c:extLst>
            </c:dLbl>
            <c:dLbl>
              <c:idx val="1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8C2-4491-98B9-0A17D53E2633}"/>
                </c:ext>
              </c:extLst>
            </c:dLbl>
            <c:dLbl>
              <c:idx val="20"/>
              <c:layout>
                <c:manualLayout>
                  <c:x val="-2.1809598741148701E-2"/>
                  <c:y val="8.2641685599576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8C2-4491-98B9-0A17D53E2633}"/>
                </c:ext>
              </c:extLst>
            </c:dLbl>
            <c:dLbl>
              <c:idx val="21"/>
              <c:layout>
                <c:manualLayout>
                  <c:x val="-2.1809598741148701E-2"/>
                  <c:y val="8.07313809094021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8C2-4491-98B9-0A17D53E2633}"/>
                </c:ext>
              </c:extLst>
            </c:dLbl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8C2-4491-98B9-0A17D53E2633}"/>
                </c:ext>
              </c:extLst>
            </c:dLbl>
            <c:dLbl>
              <c:idx val="2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8C2-4491-98B9-0A17D53E2633}"/>
                </c:ext>
              </c:extLst>
            </c:dLbl>
            <c:dLbl>
              <c:idx val="2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29B-4EEA-83B0-FC1FD155F7EA}"/>
                </c:ext>
              </c:extLst>
            </c:dLbl>
            <c:dLbl>
              <c:idx val="32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88F-460F-BB6D-61C59449C766}"/>
                </c:ext>
              </c:extLst>
            </c:dLbl>
            <c:dLbl>
              <c:idx val="3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2B54-41EF-BF0D-16261FDC6E93}"/>
                </c:ext>
              </c:extLst>
            </c:dLbl>
            <c:spPr>
              <a:solidFill>
                <a:srgbClr val="C0C0C0"/>
              </a:solid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Arkusz1!$BE$192:$BE$225</c:f>
              <c:numCache>
                <c:formatCode>General;\-General;""</c:formatCode>
                <c:ptCount val="34"/>
                <c:pt idx="0">
                  <c:v>60</c:v>
                </c:pt>
                <c:pt idx="1">
                  <c:v>55</c:v>
                </c:pt>
                <c:pt idx="2">
                  <c:v>49</c:v>
                </c:pt>
                <c:pt idx="3">
                  <c:v>57</c:v>
                </c:pt>
                <c:pt idx="4">
                  <c:v>55</c:v>
                </c:pt>
                <c:pt idx="5">
                  <c:v>66</c:v>
                </c:pt>
                <c:pt idx="6">
                  <c:v>64</c:v>
                </c:pt>
                <c:pt idx="7">
                  <c:v>74</c:v>
                </c:pt>
                <c:pt idx="8">
                  <c:v>66</c:v>
                </c:pt>
                <c:pt idx="9">
                  <c:v>50</c:v>
                </c:pt>
                <c:pt idx="10">
                  <c:v>69</c:v>
                </c:pt>
                <c:pt idx="11">
                  <c:v>76</c:v>
                </c:pt>
                <c:pt idx="12">
                  <c:v>68</c:v>
                </c:pt>
                <c:pt idx="13">
                  <c:v>65</c:v>
                </c:pt>
                <c:pt idx="14">
                  <c:v>81</c:v>
                </c:pt>
                <c:pt idx="15">
                  <c:v>59</c:v>
                </c:pt>
                <c:pt idx="16">
                  <c:v>79</c:v>
                </c:pt>
                <c:pt idx="17">
                  <c:v>61</c:v>
                </c:pt>
                <c:pt idx="18">
                  <c:v>71</c:v>
                </c:pt>
                <c:pt idx="19">
                  <c:v>62</c:v>
                </c:pt>
                <c:pt idx="20">
                  <c:v>69</c:v>
                </c:pt>
                <c:pt idx="21">
                  <c:v>70</c:v>
                </c:pt>
                <c:pt idx="22">
                  <c:v>67</c:v>
                </c:pt>
                <c:pt idx="23">
                  <c:v>64</c:v>
                </c:pt>
                <c:pt idx="24">
                  <c:v>70</c:v>
                </c:pt>
                <c:pt idx="25">
                  <c:v>85</c:v>
                </c:pt>
                <c:pt idx="26">
                  <c:v>67</c:v>
                </c:pt>
                <c:pt idx="27">
                  <c:v>73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61</c:v>
                </c:pt>
                <c:pt idx="32">
                  <c:v>69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C2-4491-98B9-0A17D53E2633}"/>
            </c:ext>
          </c:extLst>
        </c:ser>
        <c:ser>
          <c:idx val="2"/>
          <c:order val="2"/>
          <c:spPr>
            <a:ln w="38100">
              <a:solidFill>
                <a:srgbClr val="666699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F-F8C2-4491-98B9-0A17D53E2633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1-F8C2-4491-98B9-0A17D53E2633}"/>
              </c:ext>
            </c:extLst>
          </c:dPt>
          <c:dPt>
            <c:idx val="3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3-F8C2-4491-98B9-0A17D53E2633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5-F8C2-4491-98B9-0A17D53E2633}"/>
              </c:ext>
            </c:extLst>
          </c:dPt>
          <c:dPt>
            <c:idx val="5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7-F8C2-4491-98B9-0A17D53E263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9-F8C2-4491-98B9-0A17D53E263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B-F8C2-4491-98B9-0A17D53E2633}"/>
              </c:ext>
            </c:extLst>
          </c:dPt>
          <c:dPt>
            <c:idx val="10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D-F8C2-4491-98B9-0A17D53E263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F8C2-4491-98B9-0A17D53E2633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8C2-4491-98B9-0A17D53E263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C2-4491-98B9-0A17D53E2633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8C2-4491-98B9-0A17D53E263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8C2-4491-98B9-0A17D53E263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8C2-4491-98B9-0A17D53E263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8C2-4491-98B9-0A17D53E2633}"/>
                </c:ext>
              </c:extLst>
            </c:dLbl>
            <c:dLbl>
              <c:idx val="1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8C2-4491-98B9-0A17D53E2633}"/>
                </c:ext>
              </c:extLst>
            </c:dLbl>
            <c:dLbl>
              <c:idx val="1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8C2-4491-98B9-0A17D53E263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8C2-4491-98B9-0A17D53E2633}"/>
                </c:ext>
              </c:extLst>
            </c:dLbl>
            <c:dLbl>
              <c:idx val="1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8C2-4491-98B9-0A17D53E2633}"/>
                </c:ext>
              </c:extLst>
            </c:dLbl>
            <c:dLbl>
              <c:idx val="18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8C2-4491-98B9-0A17D53E2633}"/>
                </c:ext>
              </c:extLst>
            </c:dLbl>
            <c:dLbl>
              <c:idx val="1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8C2-4491-98B9-0A17D53E2633}"/>
                </c:ext>
              </c:extLst>
            </c:dLbl>
            <c:dLbl>
              <c:idx val="20"/>
              <c:layout>
                <c:manualLayout>
                  <c:x val="-2.1809598741148701E-2"/>
                  <c:y val="0.107081842042471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8C2-4491-98B9-0A17D53E2633}"/>
                </c:ext>
              </c:extLst>
            </c:dLbl>
            <c:dLbl>
              <c:idx val="21"/>
              <c:layout>
                <c:manualLayout>
                  <c:x val="-2.1809598741148701E-2"/>
                  <c:y val="0.1142622389592605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8C2-4491-98B9-0A17D53E2633}"/>
                </c:ext>
              </c:extLst>
            </c:dLbl>
            <c:dLbl>
              <c:idx val="23"/>
              <c:layout>
                <c:manualLayout>
                  <c:x val="-2.027781904620413E-2"/>
                  <c:y val="9.1271565362630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8C2-4491-98B9-0A17D53E2633}"/>
                </c:ext>
              </c:extLst>
            </c:dLbl>
            <c:dLbl>
              <c:idx val="2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8C2-4491-98B9-0A17D53E2633}"/>
                </c:ext>
              </c:extLst>
            </c:dLbl>
            <c:dLbl>
              <c:idx val="2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8C2-4491-98B9-0A17D53E2633}"/>
                </c:ext>
              </c:extLst>
            </c:dLbl>
            <c:dLbl>
              <c:idx val="2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F8C2-4491-98B9-0A17D53E2633}"/>
                </c:ext>
              </c:extLst>
            </c:dLbl>
            <c:dLbl>
              <c:idx val="29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29B-4EEA-83B0-FC1FD155F7EA}"/>
                </c:ext>
              </c:extLst>
            </c:dLbl>
            <c:spPr>
              <a:solidFill>
                <a:srgbClr val="993300"/>
              </a:solid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Arkusz1!$BF$192:$BF$225</c:f>
              <c:numCache>
                <c:formatCode>General;\-General;""</c:formatCode>
                <c:ptCount val="34"/>
                <c:pt idx="0">
                  <c:v>41</c:v>
                </c:pt>
                <c:pt idx="1">
                  <c:v>46</c:v>
                </c:pt>
                <c:pt idx="2">
                  <c:v>51</c:v>
                </c:pt>
                <c:pt idx="3">
                  <c:v>56</c:v>
                </c:pt>
                <c:pt idx="4">
                  <c:v>53.5</c:v>
                </c:pt>
                <c:pt idx="5">
                  <c:v>51</c:v>
                </c:pt>
                <c:pt idx="6">
                  <c:v>52</c:v>
                </c:pt>
                <c:pt idx="7">
                  <c:v>56</c:v>
                </c:pt>
                <c:pt idx="8">
                  <c:v>55.666666666666664</c:v>
                </c:pt>
                <c:pt idx="9">
                  <c:v>55.333333333333329</c:v>
                </c:pt>
                <c:pt idx="10">
                  <c:v>55</c:v>
                </c:pt>
                <c:pt idx="11">
                  <c:v>64</c:v>
                </c:pt>
                <c:pt idx="12">
                  <c:v>52</c:v>
                </c:pt>
                <c:pt idx="13">
                  <c:v>51</c:v>
                </c:pt>
                <c:pt idx="14">
                  <c:v>51</c:v>
                </c:pt>
                <c:pt idx="15">
                  <c:v>55.5</c:v>
                </c:pt>
                <c:pt idx="16">
                  <c:v>60</c:v>
                </c:pt>
                <c:pt idx="17">
                  <c:v>60</c:v>
                </c:pt>
                <c:pt idx="18">
                  <c:v>53</c:v>
                </c:pt>
                <c:pt idx="19">
                  <c:v>61</c:v>
                </c:pt>
                <c:pt idx="20">
                  <c:v>65</c:v>
                </c:pt>
                <c:pt idx="21">
                  <c:v>66</c:v>
                </c:pt>
                <c:pt idx="22">
                  <c:v>50</c:v>
                </c:pt>
                <c:pt idx="23">
                  <c:v>62</c:v>
                </c:pt>
                <c:pt idx="24">
                  <c:v>58</c:v>
                </c:pt>
                <c:pt idx="25">
                  <c:v>85</c:v>
                </c:pt>
                <c:pt idx="26">
                  <c:v>59</c:v>
                </c:pt>
                <c:pt idx="27">
                  <c:v>53</c:v>
                </c:pt>
                <c:pt idx="28">
                  <c:v>66</c:v>
                </c:pt>
                <c:pt idx="29">
                  <c:v>57</c:v>
                </c:pt>
                <c:pt idx="30">
                  <c:v>54</c:v>
                </c:pt>
                <c:pt idx="31">
                  <c:v>59</c:v>
                </c:pt>
                <c:pt idx="32">
                  <c:v>55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8C2-4491-98B9-0A17D53E2633}"/>
            </c:ext>
          </c:extLst>
        </c:ser>
        <c:ser>
          <c:idx val="3"/>
          <c:order val="3"/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C-F8C2-4491-98B9-0A17D53E2633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E-F8C2-4491-98B9-0A17D53E2633}"/>
              </c:ext>
            </c:extLst>
          </c:dPt>
          <c:dPt>
            <c:idx val="6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0-F8C2-4491-98B9-0A17D53E2633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2-F8C2-4491-98B9-0A17D53E2633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4-F8C2-4491-98B9-0A17D53E2633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6-F8C2-4491-98B9-0A17D53E2633}"/>
              </c:ext>
            </c:extLst>
          </c:dPt>
          <c:dPt>
            <c:idx val="10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8-F8C2-4491-98B9-0A17D53E2633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A-F8C2-4491-98B9-0A17D53E2633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C-F8C2-4491-98B9-0A17D53E263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E-F8C2-4491-98B9-0A17D53E2633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0-F8C2-4491-98B9-0A17D53E2633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2-F8C2-4491-98B9-0A17D53E2633}"/>
              </c:ext>
            </c:extLst>
          </c:dPt>
          <c:dPt>
            <c:idx val="17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4-F8C2-4491-98B9-0A17D53E2633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6-F8C2-4491-98B9-0A17D53E2633}"/>
              </c:ext>
            </c:extLst>
          </c:dPt>
          <c:dPt>
            <c:idx val="22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8-F8C2-4491-98B9-0A17D53E2633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A-F8C2-4491-98B9-0A17D53E2633}"/>
              </c:ext>
            </c:extLst>
          </c:dPt>
          <c:dPt>
            <c:idx val="25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4C-F8C2-4491-98B9-0A17D53E2633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3-188F-460F-BB6D-61C59449C766}"/>
              </c:ext>
            </c:extLst>
          </c:dPt>
          <c:dPt>
            <c:idx val="31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4-B2B0-425A-8CAC-B83046D6DD5E}"/>
              </c:ext>
            </c:extLst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8C2-4491-98B9-0A17D53E263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8C2-4491-98B9-0A17D53E263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8C2-4491-98B9-0A17D53E263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8C2-4491-98B9-0A17D53E263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8C2-4491-98B9-0A17D53E263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8C2-4491-98B9-0A17D53E263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8C2-4491-98B9-0A17D53E263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8C2-4491-98B9-0A17D53E263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8C2-4491-98B9-0A17D53E2633}"/>
                </c:ext>
              </c:extLst>
            </c:dLbl>
            <c:dLbl>
              <c:idx val="19"/>
              <c:layout>
                <c:manualLayout>
                  <c:x val="-2.1734844120094743E-2"/>
                  <c:y val="0.1288209724772545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F8C2-4491-98B9-0A17D53E263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F8C2-4491-98B9-0A17D53E2633}"/>
                </c:ext>
              </c:extLst>
            </c:dLbl>
            <c:dLbl>
              <c:idx val="23"/>
              <c:layout>
                <c:manualLayout>
                  <c:x val="-2.027781904620413E-2"/>
                  <c:y val="0.117622026495699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F8C2-4491-98B9-0A17D53E263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F8C2-4491-98B9-0A17D53E2633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88F-460F-BB6D-61C59449C766}"/>
                </c:ext>
              </c:extLst>
            </c:dLbl>
            <c:dLbl>
              <c:idx val="33"/>
              <c:spPr>
                <a:solidFill>
                  <a:srgbClr val="993300"/>
                </a:solidFill>
                <a:ln w="3175">
                  <a:pattFill prst="pct50">
                    <a:fgClr>
                      <a:srgbClr val="000000"/>
                    </a:fgClr>
                    <a:bgClr>
                      <a:srgbClr val="FFFFFF"/>
                    </a:bgClr>
                  </a:pattFill>
                  <a:prstDash val="solid"/>
                </a:ln>
              </c:spPr>
              <c:txPr>
                <a:bodyPr/>
                <a:lstStyle/>
                <a:p>
                  <a:pPr>
                    <a:defRPr sz="1850" b="0" i="0" u="none" strike="noStrike" baseline="0">
                      <a:solidFill>
                        <a:schemeClr val="bg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pl-PL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7-E622-43A5-B838-14B77322627A}"/>
                </c:ext>
              </c:extLst>
            </c:dLbl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Arkusz1!$BG$192:$BG$225</c:f>
              <c:numCache>
                <c:formatCode>General;\-General;""</c:formatCode>
                <c:ptCount val="34"/>
                <c:pt idx="3">
                  <c:v>49</c:v>
                </c:pt>
                <c:pt idx="4">
                  <c:v>45.666666666666664</c:v>
                </c:pt>
                <c:pt idx="5">
                  <c:v>42.333333333333329</c:v>
                </c:pt>
                <c:pt idx="6">
                  <c:v>39</c:v>
                </c:pt>
                <c:pt idx="7">
                  <c:v>41.75</c:v>
                </c:pt>
                <c:pt idx="8">
                  <c:v>44.5</c:v>
                </c:pt>
                <c:pt idx="9">
                  <c:v>47.25</c:v>
                </c:pt>
                <c:pt idx="10">
                  <c:v>50</c:v>
                </c:pt>
                <c:pt idx="11">
                  <c:v>63</c:v>
                </c:pt>
                <c:pt idx="12">
                  <c:v>59.333333333333336</c:v>
                </c:pt>
                <c:pt idx="13">
                  <c:v>55.666666666666671</c:v>
                </c:pt>
                <c:pt idx="14">
                  <c:v>52.000000000000007</c:v>
                </c:pt>
                <c:pt idx="15">
                  <c:v>48.333333333333343</c:v>
                </c:pt>
                <c:pt idx="16">
                  <c:v>44.666666666666679</c:v>
                </c:pt>
                <c:pt idx="17">
                  <c:v>41</c:v>
                </c:pt>
                <c:pt idx="18">
                  <c:v>37</c:v>
                </c:pt>
                <c:pt idx="19">
                  <c:v>60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58</c:v>
                </c:pt>
                <c:pt idx="24">
                  <c:v>53.5</c:v>
                </c:pt>
                <c:pt idx="25">
                  <c:v>49</c:v>
                </c:pt>
                <c:pt idx="26">
                  <c:v>39</c:v>
                </c:pt>
                <c:pt idx="27">
                  <c:v>45</c:v>
                </c:pt>
                <c:pt idx="28">
                  <c:v>64</c:v>
                </c:pt>
                <c:pt idx="29">
                  <c:v>36</c:v>
                </c:pt>
                <c:pt idx="30">
                  <c:v>45.5</c:v>
                </c:pt>
                <c:pt idx="31">
                  <c:v>55</c:v>
                </c:pt>
                <c:pt idx="32">
                  <c:v>49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F8C2-4491-98B9-0A17D53E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3616"/>
        <c:axId val="132921536"/>
      </c:lineChart>
      <c:catAx>
        <c:axId val="100783616"/>
        <c:scaling>
          <c:orientation val="minMax"/>
        </c:scaling>
        <c:delete val="0"/>
        <c:axPos val="b"/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2921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2921536"/>
        <c:scaling>
          <c:orientation val="minMax"/>
          <c:min val="3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75">
                <a:fgClr>
                  <a:srgbClr val="C0C0C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783616"/>
        <c:crosses val="autoZero"/>
        <c:crossBetween val="between"/>
        <c:majorUnit val="10"/>
        <c:minorUnit val="2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pattFill prst="pct25">
            <a:fgClr>
              <a:srgbClr val="808080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269326683291769E-2"/>
          <c:y val="5.55556761190888E-2"/>
          <c:w val="0.6882793017456359"/>
          <c:h val="0.72000156250339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'12'!$I$2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'12'!$I$4:$I$12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8-4CFA-9C28-B1B6F4BCAB1A}"/>
            </c:ext>
          </c:extLst>
        </c:ser>
        <c:ser>
          <c:idx val="1"/>
          <c:order val="1"/>
          <c:tx>
            <c:strRef>
              <c:f>'12'!$J$2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'12'!$J$4:$J$12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2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8-4CFA-9C28-B1B6F4BCAB1A}"/>
            </c:ext>
          </c:extLst>
        </c:ser>
        <c:ser>
          <c:idx val="2"/>
          <c:order val="2"/>
          <c:tx>
            <c:strRef>
              <c:f>'12'!$K$2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'12'!$K$4:$K$12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34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8-4CFA-9C28-B1B6F4BCAB1A}"/>
            </c:ext>
          </c:extLst>
        </c:ser>
        <c:ser>
          <c:idx val="3"/>
          <c:order val="3"/>
          <c:tx>
            <c:strRef>
              <c:f>'12'!$L$2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'12'!$L$4:$L$12</c:f>
              <c:numCache>
                <c:formatCode>General</c:formatCode>
                <c:ptCount val="9"/>
                <c:pt idx="0">
                  <c:v>22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34</c:v>
                </c:pt>
                <c:pt idx="6">
                  <c:v>1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18-4CFA-9C28-B1B6F4BC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838656"/>
        <c:axId val="137764864"/>
      </c:barChart>
      <c:catAx>
        <c:axId val="1368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76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76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68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98004987531169"/>
          <c:y val="0.33111181102362208"/>
          <c:w val="0.17206982543640892"/>
          <c:h val="0.171111577719451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'12'!$A$23:$A$31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'12'!$B$23:$B$31</c:f>
              <c:numCache>
                <c:formatCode>\+General;\-General;0</c:formatCode>
                <c:ptCount val="9"/>
                <c:pt idx="0">
                  <c:v>-8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-4</c:v>
                </c:pt>
                <c:pt idx="6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A-43EA-BEA2-72FB9DA7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537024"/>
        <c:axId val="137767168"/>
      </c:barChart>
      <c:catAx>
        <c:axId val="13753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76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767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537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98206278026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'13'!$I$4:$L$4</c:f>
              <c:numCache>
                <c:formatCode>General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4-41BE-8036-80A3742629CC}"/>
            </c:ext>
          </c:extLst>
        </c:ser>
        <c:ser>
          <c:idx val="1"/>
          <c:order val="1"/>
          <c:tx>
            <c:strRef>
              <c:f>'13'!$H$5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'13'!$I$5:$L$5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4-41BE-8036-80A3742629CC}"/>
            </c:ext>
          </c:extLst>
        </c:ser>
        <c:ser>
          <c:idx val="2"/>
          <c:order val="2"/>
          <c:tx>
            <c:strRef>
              <c:f>'13'!$H$6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'13'!$I$6:$L$6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4-41BE-8036-80A3742629CC}"/>
            </c:ext>
          </c:extLst>
        </c:ser>
        <c:ser>
          <c:idx val="3"/>
          <c:order val="3"/>
          <c:tx>
            <c:strRef>
              <c:f>'13'!$H$7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'13'!$I$7:$L$7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4-41BE-8036-80A3742629CC}"/>
            </c:ext>
          </c:extLst>
        </c:ser>
        <c:ser>
          <c:idx val="4"/>
          <c:order val="4"/>
          <c:tx>
            <c:strRef>
              <c:f>'13'!$H$8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4-41BE-8036-80A3742629CC}"/>
            </c:ext>
          </c:extLst>
        </c:ser>
        <c:ser>
          <c:idx val="5"/>
          <c:order val="5"/>
          <c:tx>
            <c:strRef>
              <c:f>'13'!$H$9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'13'!$I$9:$L$9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4-41BE-8036-80A3742629CC}"/>
            </c:ext>
          </c:extLst>
        </c:ser>
        <c:ser>
          <c:idx val="6"/>
          <c:order val="6"/>
          <c:tx>
            <c:strRef>
              <c:f>'13'!$H$10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'13'!$I$10:$L$10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4-41BE-8036-80A3742629CC}"/>
            </c:ext>
          </c:extLst>
        </c:ser>
        <c:ser>
          <c:idx val="7"/>
          <c:order val="7"/>
          <c:tx>
            <c:strRef>
              <c:f>'13'!$H$11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'13'!$I$11:$L$11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74-41BE-8036-80A3742629CC}"/>
            </c:ext>
          </c:extLst>
        </c:ser>
        <c:ser>
          <c:idx val="8"/>
          <c:order val="8"/>
          <c:tx>
            <c:strRef>
              <c:f>'13'!$H$12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4-41BE-8036-80A374262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302528"/>
        <c:axId val="137768896"/>
      </c:barChart>
      <c:catAx>
        <c:axId val="13730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768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768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302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982062780269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'13'!$I$4:$L$4</c:f>
              <c:numCache>
                <c:formatCode>General</c:formatCode>
                <c:ptCount val="4"/>
                <c:pt idx="0">
                  <c:v>19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8-477A-9241-C07FB6829748}"/>
            </c:ext>
          </c:extLst>
        </c:ser>
        <c:ser>
          <c:idx val="1"/>
          <c:order val="1"/>
          <c:tx>
            <c:strRef>
              <c:f>'13'!$H$5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'13'!$I$5:$L$5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38-477A-9241-C07FB6829748}"/>
            </c:ext>
          </c:extLst>
        </c:ser>
        <c:ser>
          <c:idx val="2"/>
          <c:order val="2"/>
          <c:tx>
            <c:strRef>
              <c:f>'13'!$H$6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'13'!$I$6:$L$6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38-477A-9241-C07FB6829748}"/>
            </c:ext>
          </c:extLst>
        </c:ser>
        <c:ser>
          <c:idx val="3"/>
          <c:order val="3"/>
          <c:tx>
            <c:strRef>
              <c:f>'13'!$H$7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'13'!$I$7:$L$7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38-477A-9241-C07FB6829748}"/>
            </c:ext>
          </c:extLst>
        </c:ser>
        <c:ser>
          <c:idx val="4"/>
          <c:order val="4"/>
          <c:tx>
            <c:strRef>
              <c:f>'13'!$H$8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38-477A-9241-C07FB6829748}"/>
            </c:ext>
          </c:extLst>
        </c:ser>
        <c:ser>
          <c:idx val="5"/>
          <c:order val="5"/>
          <c:tx>
            <c:strRef>
              <c:f>'13'!$H$9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'13'!$I$9:$L$9</c:f>
              <c:numCache>
                <c:formatCode>General</c:formatCode>
                <c:ptCount val="4"/>
                <c:pt idx="0">
                  <c:v>28</c:v>
                </c:pt>
                <c:pt idx="1">
                  <c:v>0</c:v>
                </c:pt>
                <c:pt idx="2">
                  <c:v>28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38-477A-9241-C07FB6829748}"/>
            </c:ext>
          </c:extLst>
        </c:ser>
        <c:ser>
          <c:idx val="6"/>
          <c:order val="6"/>
          <c:tx>
            <c:strRef>
              <c:f>'13'!$H$10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'13'!$I$10:$L$10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38-477A-9241-C07FB6829748}"/>
            </c:ext>
          </c:extLst>
        </c:ser>
        <c:ser>
          <c:idx val="7"/>
          <c:order val="7"/>
          <c:tx>
            <c:strRef>
              <c:f>'13'!$H$11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'13'!$I$11:$L$11</c:f>
              <c:numCache>
                <c:formatCode>General</c:formatCode>
                <c:ptCount val="4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38-477A-9241-C07FB6829748}"/>
            </c:ext>
          </c:extLst>
        </c:ser>
        <c:ser>
          <c:idx val="8"/>
          <c:order val="8"/>
          <c:tx>
            <c:strRef>
              <c:f>'13'!$H$12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 </c:v>
                </c:pt>
              </c:strCache>
            </c:strRef>
          </c:cat>
          <c:val>
            <c:numRef>
              <c:f>'13'!$I$12:$L$12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38-477A-9241-C07FB682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04064"/>
        <c:axId val="137771200"/>
      </c:barChart>
      <c:catAx>
        <c:axId val="13730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77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771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665782493368700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'13'!$B$23:$B$31</c:f>
              <c:numCache>
                <c:formatCode>\+General;\-General;0</c:formatCode>
                <c:ptCount val="9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28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9-4EED-81AE-C072EC0F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04576"/>
        <c:axId val="137290304"/>
      </c:barChart>
      <c:catAx>
        <c:axId val="13730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30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71393208258532193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'13'!$I$2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'13'!$I$4:$I$12</c:f>
              <c:numCache>
                <c:formatCode>General</c:formatCode>
                <c:ptCount val="9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28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D-49A6-8EC1-A2B4EBFFBA0A}"/>
            </c:ext>
          </c:extLst>
        </c:ser>
        <c:ser>
          <c:idx val="1"/>
          <c:order val="1"/>
          <c:tx>
            <c:strRef>
              <c:f>'13'!$J$2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'13'!$J$4:$J$12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D-49A6-8EC1-A2B4EBFFBA0A}"/>
            </c:ext>
          </c:extLst>
        </c:ser>
        <c:ser>
          <c:idx val="2"/>
          <c:order val="2"/>
          <c:tx>
            <c:strRef>
              <c:f>'13'!$K$2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'13'!$K$4:$K$12</c:f>
              <c:numCache>
                <c:formatCode>General</c:formatCode>
                <c:ptCount val="9"/>
                <c:pt idx="0">
                  <c:v>24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28</c:v>
                </c:pt>
                <c:pt idx="6">
                  <c:v>0</c:v>
                </c:pt>
                <c:pt idx="7">
                  <c:v>9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D-49A6-8EC1-A2B4EBFFBA0A}"/>
            </c:ext>
          </c:extLst>
        </c:ser>
        <c:ser>
          <c:idx val="3"/>
          <c:order val="3"/>
          <c:tx>
            <c:strRef>
              <c:f>'13'!$L$2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'13'!$L$4:$L$12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9D-49A6-8EC1-A2B4EBFFB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05088"/>
        <c:axId val="137292032"/>
      </c:barChart>
      <c:catAx>
        <c:axId val="1373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2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30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3542262441074"/>
          <c:y val="0.33037740570676999"/>
          <c:w val="0.146766430315613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'14'!$I$4:$L$4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A-4B04-AF46-6EF3B5CD3D90}"/>
            </c:ext>
          </c:extLst>
        </c:ser>
        <c:ser>
          <c:idx val="1"/>
          <c:order val="1"/>
          <c:tx>
            <c:strRef>
              <c:f>'14'!$H$5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'14'!$I$5:$L$5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A-4B04-AF46-6EF3B5CD3D90}"/>
            </c:ext>
          </c:extLst>
        </c:ser>
        <c:ser>
          <c:idx val="2"/>
          <c:order val="2"/>
          <c:tx>
            <c:strRef>
              <c:f>'14'!$H$6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A-4B04-AF46-6EF3B5CD3D90}"/>
            </c:ext>
          </c:extLst>
        </c:ser>
        <c:ser>
          <c:idx val="3"/>
          <c:order val="3"/>
          <c:tx>
            <c:strRef>
              <c:f>'14'!$H$7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A-4B04-AF46-6EF3B5CD3D90}"/>
            </c:ext>
          </c:extLst>
        </c:ser>
        <c:ser>
          <c:idx val="4"/>
          <c:order val="4"/>
          <c:tx>
            <c:strRef>
              <c:f>'14'!$H$8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DA-4B04-AF46-6EF3B5CD3D90}"/>
            </c:ext>
          </c:extLst>
        </c:ser>
        <c:ser>
          <c:idx val="5"/>
          <c:order val="5"/>
          <c:tx>
            <c:strRef>
              <c:f>'14'!$H$9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'14'!$I$9:$L$9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39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DA-4B04-AF46-6EF3B5CD3D90}"/>
            </c:ext>
          </c:extLst>
        </c:ser>
        <c:ser>
          <c:idx val="6"/>
          <c:order val="6"/>
          <c:tx>
            <c:strRef>
              <c:f>'14'!$H$10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DA-4B04-AF46-6EF3B5CD3D90}"/>
            </c:ext>
          </c:extLst>
        </c:ser>
        <c:ser>
          <c:idx val="7"/>
          <c:order val="7"/>
          <c:tx>
            <c:strRef>
              <c:f>'14'!$H$11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DA-4B04-AF46-6EF3B5CD3D90}"/>
            </c:ext>
          </c:extLst>
        </c:ser>
        <c:ser>
          <c:idx val="8"/>
          <c:order val="8"/>
          <c:tx>
            <c:strRef>
              <c:f>'14'!$H$12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DA-4B04-AF46-6EF3B5CD3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44800"/>
        <c:axId val="137294912"/>
      </c:barChart>
      <c:catAx>
        <c:axId val="1384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29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94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44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'14'!$I$4:$L$4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5-4A7F-B5FB-CE4BFC6E00F7}"/>
            </c:ext>
          </c:extLst>
        </c:ser>
        <c:ser>
          <c:idx val="1"/>
          <c:order val="1"/>
          <c:tx>
            <c:strRef>
              <c:f>'14'!$H$5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'14'!$I$5:$L$5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4A7F-B5FB-CE4BFC6E00F7}"/>
            </c:ext>
          </c:extLst>
        </c:ser>
        <c:ser>
          <c:idx val="2"/>
          <c:order val="2"/>
          <c:tx>
            <c:strRef>
              <c:f>'14'!$H$6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45-4A7F-B5FB-CE4BFC6E00F7}"/>
            </c:ext>
          </c:extLst>
        </c:ser>
        <c:ser>
          <c:idx val="3"/>
          <c:order val="3"/>
          <c:tx>
            <c:strRef>
              <c:f>'14'!$H$7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45-4A7F-B5FB-CE4BFC6E00F7}"/>
            </c:ext>
          </c:extLst>
        </c:ser>
        <c:ser>
          <c:idx val="4"/>
          <c:order val="4"/>
          <c:tx>
            <c:strRef>
              <c:f>'14'!$H$8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45-4A7F-B5FB-CE4BFC6E00F7}"/>
            </c:ext>
          </c:extLst>
        </c:ser>
        <c:ser>
          <c:idx val="5"/>
          <c:order val="5"/>
          <c:tx>
            <c:strRef>
              <c:f>'14'!$H$9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'14'!$I$9:$L$9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39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45-4A7F-B5FB-CE4BFC6E00F7}"/>
            </c:ext>
          </c:extLst>
        </c:ser>
        <c:ser>
          <c:idx val="6"/>
          <c:order val="6"/>
          <c:tx>
            <c:strRef>
              <c:f>'14'!$H$10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45-4A7F-B5FB-CE4BFC6E00F7}"/>
            </c:ext>
          </c:extLst>
        </c:ser>
        <c:ser>
          <c:idx val="7"/>
          <c:order val="7"/>
          <c:tx>
            <c:strRef>
              <c:f>'14'!$H$11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'14'!$I$11:$L$11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45-4A7F-B5FB-CE4BFC6E00F7}"/>
            </c:ext>
          </c:extLst>
        </c:ser>
        <c:ser>
          <c:idx val="8"/>
          <c:order val="8"/>
          <c:tx>
            <c:strRef>
              <c:f>'14'!$H$12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'14'!$I$12:$L$12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45-4A7F-B5FB-CE4BFC6E0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46848"/>
        <c:axId val="137296640"/>
      </c:barChart>
      <c:catAx>
        <c:axId val="1384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296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29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44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'14'!$B$23:$B$31</c:f>
              <c:numCache>
                <c:formatCode>\+General;\-General;0</c:formatCode>
                <c:ptCount val="9"/>
                <c:pt idx="0">
                  <c:v>-7</c:v>
                </c:pt>
                <c:pt idx="1">
                  <c:v>-3</c:v>
                </c:pt>
                <c:pt idx="2">
                  <c:v>0</c:v>
                </c:pt>
                <c:pt idx="3">
                  <c:v>-1</c:v>
                </c:pt>
                <c:pt idx="4">
                  <c:v>7</c:v>
                </c:pt>
                <c:pt idx="5">
                  <c:v>12</c:v>
                </c:pt>
                <c:pt idx="6">
                  <c:v>0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9-4942-BF25-F24BF01A3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47360"/>
        <c:axId val="137970816"/>
      </c:barChart>
      <c:catAx>
        <c:axId val="1384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70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70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44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'14'!$I$2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'14'!$I$4:$I$12</c:f>
              <c:numCache>
                <c:formatCode>General</c:formatCode>
                <c:ptCount val="9"/>
                <c:pt idx="0">
                  <c:v>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7-4CDC-928D-BE1D3A848EDE}"/>
            </c:ext>
          </c:extLst>
        </c:ser>
        <c:ser>
          <c:idx val="1"/>
          <c:order val="1"/>
          <c:tx>
            <c:strRef>
              <c:f>'14'!$J$2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'14'!$J$4:$J$12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7-4CDC-928D-BE1D3A848EDE}"/>
            </c:ext>
          </c:extLst>
        </c:ser>
        <c:ser>
          <c:idx val="2"/>
          <c:order val="2"/>
          <c:tx>
            <c:strRef>
              <c:f>'14'!$K$2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'14'!$K$4:$K$12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A7-4CDC-928D-BE1D3A848EDE}"/>
            </c:ext>
          </c:extLst>
        </c:ser>
        <c:ser>
          <c:idx val="3"/>
          <c:order val="3"/>
          <c:tx>
            <c:strRef>
              <c:f>'14'!$L$2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'14'!$L$4:$L$12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33</c:v>
                </c:pt>
                <c:pt idx="6">
                  <c:v>0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7-4CDC-928D-BE1D3A848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448384"/>
        <c:axId val="137972544"/>
      </c:barChart>
      <c:catAx>
        <c:axId val="13844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72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7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448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79294172021006E-2"/>
          <c:y val="6.9033663541789053E-2"/>
          <c:w val="0.92531517580825584"/>
          <c:h val="0.7909285451502118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Arkusz1!$BD$192:$BD$225</c:f>
              <c:numCache>
                <c:formatCode>General;\-General;""</c:formatCode>
                <c:ptCount val="34"/>
                <c:pt idx="0">
                  <c:v>62</c:v>
                </c:pt>
                <c:pt idx="1">
                  <c:v>58</c:v>
                </c:pt>
                <c:pt idx="2">
                  <c:v>67</c:v>
                </c:pt>
                <c:pt idx="3">
                  <c:v>67</c:v>
                </c:pt>
                <c:pt idx="4">
                  <c:v>72</c:v>
                </c:pt>
                <c:pt idx="5">
                  <c:v>76</c:v>
                </c:pt>
                <c:pt idx="6">
                  <c:v>74</c:v>
                </c:pt>
                <c:pt idx="7">
                  <c:v>85</c:v>
                </c:pt>
                <c:pt idx="8">
                  <c:v>73</c:v>
                </c:pt>
                <c:pt idx="9">
                  <c:v>72</c:v>
                </c:pt>
                <c:pt idx="10">
                  <c:v>74</c:v>
                </c:pt>
                <c:pt idx="11">
                  <c:v>83</c:v>
                </c:pt>
                <c:pt idx="12">
                  <c:v>75</c:v>
                </c:pt>
                <c:pt idx="13">
                  <c:v>65</c:v>
                </c:pt>
                <c:pt idx="14">
                  <c:v>83</c:v>
                </c:pt>
                <c:pt idx="15">
                  <c:v>95</c:v>
                </c:pt>
                <c:pt idx="16">
                  <c:v>80</c:v>
                </c:pt>
                <c:pt idx="17">
                  <c:v>105</c:v>
                </c:pt>
                <c:pt idx="18">
                  <c:v>79</c:v>
                </c:pt>
                <c:pt idx="19">
                  <c:v>76</c:v>
                </c:pt>
                <c:pt idx="20">
                  <c:v>72</c:v>
                </c:pt>
                <c:pt idx="21">
                  <c:v>72</c:v>
                </c:pt>
                <c:pt idx="22">
                  <c:v>86</c:v>
                </c:pt>
                <c:pt idx="23">
                  <c:v>76</c:v>
                </c:pt>
                <c:pt idx="24">
                  <c:v>71</c:v>
                </c:pt>
                <c:pt idx="25">
                  <c:v>89</c:v>
                </c:pt>
                <c:pt idx="26">
                  <c:v>73</c:v>
                </c:pt>
                <c:pt idx="27">
                  <c:v>82</c:v>
                </c:pt>
                <c:pt idx="28">
                  <c:v>80</c:v>
                </c:pt>
                <c:pt idx="29">
                  <c:v>87</c:v>
                </c:pt>
                <c:pt idx="30">
                  <c:v>82</c:v>
                </c:pt>
                <c:pt idx="31">
                  <c:v>82</c:v>
                </c:pt>
                <c:pt idx="32">
                  <c:v>79</c:v>
                </c:pt>
                <c:pt idx="3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8-4F6F-A753-980EA947A291}"/>
            </c:ext>
          </c:extLst>
        </c:ser>
        <c:ser>
          <c:idx val="1"/>
          <c:order val="1"/>
          <c:spPr>
            <a:ln w="38100">
              <a:solidFill>
                <a:srgbClr val="00008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Arkusz1!$BE$192:$BE$225</c:f>
              <c:numCache>
                <c:formatCode>General;\-General;""</c:formatCode>
                <c:ptCount val="34"/>
                <c:pt idx="0">
                  <c:v>60</c:v>
                </c:pt>
                <c:pt idx="1">
                  <c:v>55</c:v>
                </c:pt>
                <c:pt idx="2">
                  <c:v>49</c:v>
                </c:pt>
                <c:pt idx="3">
                  <c:v>57</c:v>
                </c:pt>
                <c:pt idx="4">
                  <c:v>55</c:v>
                </c:pt>
                <c:pt idx="5">
                  <c:v>66</c:v>
                </c:pt>
                <c:pt idx="6">
                  <c:v>64</c:v>
                </c:pt>
                <c:pt idx="7">
                  <c:v>74</c:v>
                </c:pt>
                <c:pt idx="8">
                  <c:v>66</c:v>
                </c:pt>
                <c:pt idx="9">
                  <c:v>50</c:v>
                </c:pt>
                <c:pt idx="10">
                  <c:v>69</c:v>
                </c:pt>
                <c:pt idx="11">
                  <c:v>76</c:v>
                </c:pt>
                <c:pt idx="12">
                  <c:v>68</c:v>
                </c:pt>
                <c:pt idx="13">
                  <c:v>65</c:v>
                </c:pt>
                <c:pt idx="14">
                  <c:v>81</c:v>
                </c:pt>
                <c:pt idx="15">
                  <c:v>59</c:v>
                </c:pt>
                <c:pt idx="16">
                  <c:v>79</c:v>
                </c:pt>
                <c:pt idx="17">
                  <c:v>61</c:v>
                </c:pt>
                <c:pt idx="18">
                  <c:v>71</c:v>
                </c:pt>
                <c:pt idx="19">
                  <c:v>62</c:v>
                </c:pt>
                <c:pt idx="20">
                  <c:v>69</c:v>
                </c:pt>
                <c:pt idx="21">
                  <c:v>70</c:v>
                </c:pt>
                <c:pt idx="22">
                  <c:v>67</c:v>
                </c:pt>
                <c:pt idx="23">
                  <c:v>64</c:v>
                </c:pt>
                <c:pt idx="24">
                  <c:v>70</c:v>
                </c:pt>
                <c:pt idx="25">
                  <c:v>85</c:v>
                </c:pt>
                <c:pt idx="26">
                  <c:v>67</c:v>
                </c:pt>
                <c:pt idx="27">
                  <c:v>73</c:v>
                </c:pt>
                <c:pt idx="28">
                  <c:v>68</c:v>
                </c:pt>
                <c:pt idx="29">
                  <c:v>67</c:v>
                </c:pt>
                <c:pt idx="30">
                  <c:v>66</c:v>
                </c:pt>
                <c:pt idx="31">
                  <c:v>61</c:v>
                </c:pt>
                <c:pt idx="32">
                  <c:v>69</c:v>
                </c:pt>
                <c:pt idx="3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8-4F6F-A753-980EA947A291}"/>
            </c:ext>
          </c:extLst>
        </c:ser>
        <c:ser>
          <c:idx val="2"/>
          <c:order val="2"/>
          <c:spPr>
            <a:ln w="38100">
              <a:solidFill>
                <a:srgbClr val="666699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3-0C88-4F6F-A753-980EA947A291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5-0C88-4F6F-A753-980EA947A291}"/>
              </c:ext>
            </c:extLst>
          </c:dPt>
          <c:dPt>
            <c:idx val="3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7-0C88-4F6F-A753-980EA947A291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9-0C88-4F6F-A753-980EA947A291}"/>
              </c:ext>
            </c:extLst>
          </c:dPt>
          <c:dPt>
            <c:idx val="5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B-0C88-4F6F-A753-980EA947A291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D-0C88-4F6F-A753-980EA947A291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F-0C88-4F6F-A753-980EA947A291}"/>
              </c:ext>
            </c:extLst>
          </c:dPt>
          <c:dPt>
            <c:idx val="10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1-0C88-4F6F-A753-980EA947A29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3-0C88-4F6F-A753-980EA947A291}"/>
              </c:ext>
            </c:extLst>
          </c:dPt>
          <c:dPt>
            <c:idx val="16"/>
            <c:bubble3D val="0"/>
            <c:spPr>
              <a:ln w="3175">
                <a:solidFill>
                  <a:srgbClr val="666699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5-0C88-4F6F-A753-980EA947A291}"/>
              </c:ext>
            </c:extLst>
          </c:dPt>
          <c:val>
            <c:numRef>
              <c:f>Arkusz1!$BF$192:$BF$225</c:f>
              <c:numCache>
                <c:formatCode>General;\-General;""</c:formatCode>
                <c:ptCount val="34"/>
                <c:pt idx="0">
                  <c:v>41</c:v>
                </c:pt>
                <c:pt idx="1">
                  <c:v>46</c:v>
                </c:pt>
                <c:pt idx="2">
                  <c:v>51</c:v>
                </c:pt>
                <c:pt idx="3">
                  <c:v>56</c:v>
                </c:pt>
                <c:pt idx="4">
                  <c:v>53.5</c:v>
                </c:pt>
                <c:pt idx="5">
                  <c:v>51</c:v>
                </c:pt>
                <c:pt idx="6">
                  <c:v>52</c:v>
                </c:pt>
                <c:pt idx="7">
                  <c:v>56</c:v>
                </c:pt>
                <c:pt idx="8">
                  <c:v>55.666666666666664</c:v>
                </c:pt>
                <c:pt idx="9">
                  <c:v>55.333333333333329</c:v>
                </c:pt>
                <c:pt idx="10">
                  <c:v>55</c:v>
                </c:pt>
                <c:pt idx="11">
                  <c:v>64</c:v>
                </c:pt>
                <c:pt idx="12">
                  <c:v>52</c:v>
                </c:pt>
                <c:pt idx="13">
                  <c:v>51</c:v>
                </c:pt>
                <c:pt idx="14">
                  <c:v>51</c:v>
                </c:pt>
                <c:pt idx="15">
                  <c:v>55.5</c:v>
                </c:pt>
                <c:pt idx="16">
                  <c:v>60</c:v>
                </c:pt>
                <c:pt idx="17">
                  <c:v>60</c:v>
                </c:pt>
                <c:pt idx="18">
                  <c:v>53</c:v>
                </c:pt>
                <c:pt idx="19">
                  <c:v>61</c:v>
                </c:pt>
                <c:pt idx="20">
                  <c:v>65</c:v>
                </c:pt>
                <c:pt idx="21">
                  <c:v>66</c:v>
                </c:pt>
                <c:pt idx="22">
                  <c:v>50</c:v>
                </c:pt>
                <c:pt idx="23">
                  <c:v>62</c:v>
                </c:pt>
                <c:pt idx="24">
                  <c:v>58</c:v>
                </c:pt>
                <c:pt idx="25">
                  <c:v>85</c:v>
                </c:pt>
                <c:pt idx="26">
                  <c:v>59</c:v>
                </c:pt>
                <c:pt idx="27">
                  <c:v>53</c:v>
                </c:pt>
                <c:pt idx="28">
                  <c:v>66</c:v>
                </c:pt>
                <c:pt idx="29">
                  <c:v>57</c:v>
                </c:pt>
                <c:pt idx="30">
                  <c:v>54</c:v>
                </c:pt>
                <c:pt idx="31">
                  <c:v>59</c:v>
                </c:pt>
                <c:pt idx="32">
                  <c:v>55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C88-4F6F-A753-980EA947A291}"/>
            </c:ext>
          </c:extLst>
        </c:ser>
        <c:ser>
          <c:idx val="3"/>
          <c:order val="3"/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8-0C88-4F6F-A753-980EA947A291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A-0C88-4F6F-A753-980EA947A291}"/>
              </c:ext>
            </c:extLst>
          </c:dPt>
          <c:dPt>
            <c:idx val="6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C-0C88-4F6F-A753-980EA947A291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E-0C88-4F6F-A753-980EA947A291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0-0C88-4F6F-A753-980EA947A291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2-0C88-4F6F-A753-980EA947A291}"/>
              </c:ext>
            </c:extLst>
          </c:dPt>
          <c:dPt>
            <c:idx val="10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4-0C88-4F6F-A753-980EA947A291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6-0C88-4F6F-A753-980EA947A291}"/>
              </c:ext>
            </c:extLst>
          </c:dPt>
          <c:dPt>
            <c:idx val="13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8-0C88-4F6F-A753-980EA947A29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A-0C88-4F6F-A753-980EA947A29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C-0C88-4F6F-A753-980EA947A291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2E-0C88-4F6F-A753-980EA947A291}"/>
              </c:ext>
            </c:extLst>
          </c:dPt>
          <c:dPt>
            <c:idx val="17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0-0C88-4F6F-A753-980EA947A291}"/>
              </c:ext>
            </c:extLst>
          </c:dPt>
          <c:dPt>
            <c:idx val="21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2-0C88-4F6F-A753-980EA947A291}"/>
              </c:ext>
            </c:extLst>
          </c:dPt>
          <c:dPt>
            <c:idx val="22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4-0C88-4F6F-A753-980EA947A291}"/>
              </c:ext>
            </c:extLst>
          </c:dPt>
          <c:dPt>
            <c:idx val="24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6-0C88-4F6F-A753-980EA947A291}"/>
              </c:ext>
            </c:extLst>
          </c:dPt>
          <c:dPt>
            <c:idx val="25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8-0C88-4F6F-A753-980EA947A291}"/>
              </c:ext>
            </c:extLst>
          </c:dPt>
          <c:dPt>
            <c:idx val="30"/>
            <c:marker>
              <c:symbol val="none"/>
            </c:marker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6-F743-45AB-A428-80EBC1E12BE8}"/>
              </c:ext>
            </c:extLst>
          </c:dPt>
          <c:dPt>
            <c:idx val="31"/>
            <c:bubble3D val="0"/>
            <c:spPr>
              <a:ln w="3175">
                <a:solidFill>
                  <a:srgbClr val="993366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37-F743-45AB-A428-80EBC1E12BE8}"/>
              </c:ext>
            </c:extLst>
          </c:dPt>
          <c:val>
            <c:numRef>
              <c:f>Arkusz1!$BG$192:$BG$225</c:f>
              <c:numCache>
                <c:formatCode>General;\-General;""</c:formatCode>
                <c:ptCount val="34"/>
                <c:pt idx="3">
                  <c:v>49</c:v>
                </c:pt>
                <c:pt idx="4">
                  <c:v>45.666666666666664</c:v>
                </c:pt>
                <c:pt idx="5">
                  <c:v>42.333333333333329</c:v>
                </c:pt>
                <c:pt idx="6">
                  <c:v>39</c:v>
                </c:pt>
                <c:pt idx="7">
                  <c:v>41.75</c:v>
                </c:pt>
                <c:pt idx="8">
                  <c:v>44.5</c:v>
                </c:pt>
                <c:pt idx="9">
                  <c:v>47.25</c:v>
                </c:pt>
                <c:pt idx="10">
                  <c:v>50</c:v>
                </c:pt>
                <c:pt idx="11">
                  <c:v>63</c:v>
                </c:pt>
                <c:pt idx="12">
                  <c:v>59.333333333333336</c:v>
                </c:pt>
                <c:pt idx="13">
                  <c:v>55.666666666666671</c:v>
                </c:pt>
                <c:pt idx="14">
                  <c:v>52.000000000000007</c:v>
                </c:pt>
                <c:pt idx="15">
                  <c:v>48.333333333333343</c:v>
                </c:pt>
                <c:pt idx="16">
                  <c:v>44.666666666666679</c:v>
                </c:pt>
                <c:pt idx="17">
                  <c:v>41</c:v>
                </c:pt>
                <c:pt idx="18">
                  <c:v>37</c:v>
                </c:pt>
                <c:pt idx="19">
                  <c:v>60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58</c:v>
                </c:pt>
                <c:pt idx="24">
                  <c:v>53.5</c:v>
                </c:pt>
                <c:pt idx="25">
                  <c:v>49</c:v>
                </c:pt>
                <c:pt idx="26">
                  <c:v>39</c:v>
                </c:pt>
                <c:pt idx="27">
                  <c:v>45</c:v>
                </c:pt>
                <c:pt idx="28">
                  <c:v>64</c:v>
                </c:pt>
                <c:pt idx="29">
                  <c:v>36</c:v>
                </c:pt>
                <c:pt idx="30">
                  <c:v>45.5</c:v>
                </c:pt>
                <c:pt idx="31">
                  <c:v>55</c:v>
                </c:pt>
                <c:pt idx="32">
                  <c:v>49</c:v>
                </c:pt>
                <c:pt idx="3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0C88-4F6F-A753-980EA947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1792"/>
        <c:axId val="133480448"/>
      </c:lineChart>
      <c:catAx>
        <c:axId val="1009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480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80448"/>
        <c:scaling>
          <c:orientation val="minMax"/>
          <c:min val="3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75">
                <a:fgClr>
                  <a:srgbClr val="C0C0C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961792"/>
        <c:crosses val="autoZero"/>
        <c:crossBetween val="between"/>
        <c:majorUnit val="10"/>
        <c:minorUnit val="2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pattFill prst="pct25">
            <a:fgClr>
              <a:srgbClr val="808080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'15'!$H$4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'15'!$I$4:$L$4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3-4712-B13F-A99DA558FB82}"/>
            </c:ext>
          </c:extLst>
        </c:ser>
        <c:ser>
          <c:idx val="1"/>
          <c:order val="1"/>
          <c:tx>
            <c:strRef>
              <c:f>'15'!$H$5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'15'!$I$5:$L$5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3-4712-B13F-A99DA558FB82}"/>
            </c:ext>
          </c:extLst>
        </c:ser>
        <c:ser>
          <c:idx val="2"/>
          <c:order val="2"/>
          <c:tx>
            <c:strRef>
              <c:f>'15'!$H$6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3-4712-B13F-A99DA558FB82}"/>
            </c:ext>
          </c:extLst>
        </c:ser>
        <c:ser>
          <c:idx val="3"/>
          <c:order val="3"/>
          <c:tx>
            <c:strRef>
              <c:f>'15'!$H$7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3-4712-B13F-A99DA558FB82}"/>
            </c:ext>
          </c:extLst>
        </c:ser>
        <c:ser>
          <c:idx val="4"/>
          <c:order val="4"/>
          <c:tx>
            <c:strRef>
              <c:f>'15'!$H$8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3-4712-B13F-A99DA558FB82}"/>
            </c:ext>
          </c:extLst>
        </c:ser>
        <c:ser>
          <c:idx val="5"/>
          <c:order val="5"/>
          <c:tx>
            <c:strRef>
              <c:f>'15'!$H$9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'15'!$I$9:$L$9</c:f>
              <c:numCache>
                <c:formatCode>General</c:formatCode>
                <c:ptCount val="4"/>
                <c:pt idx="0">
                  <c:v>44</c:v>
                </c:pt>
                <c:pt idx="1">
                  <c:v>0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3-4712-B13F-A99DA558FB82}"/>
            </c:ext>
          </c:extLst>
        </c:ser>
        <c:ser>
          <c:idx val="6"/>
          <c:order val="6"/>
          <c:tx>
            <c:strRef>
              <c:f>'15'!$H$10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3-4712-B13F-A99DA558FB82}"/>
            </c:ext>
          </c:extLst>
        </c:ser>
        <c:ser>
          <c:idx val="7"/>
          <c:order val="7"/>
          <c:tx>
            <c:strRef>
              <c:f>'15'!$H$11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63-4712-B13F-A99DA558FB82}"/>
            </c:ext>
          </c:extLst>
        </c:ser>
        <c:ser>
          <c:idx val="8"/>
          <c:order val="8"/>
          <c:tx>
            <c:strRef>
              <c:f>'15'!$H$12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3-4712-B13F-A99DA558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47872"/>
        <c:axId val="137976000"/>
      </c:barChart>
      <c:catAx>
        <c:axId val="1384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7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76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4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'15'!$I$4:$L$4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C-4EC9-833A-95AB9118DFB4}"/>
            </c:ext>
          </c:extLst>
        </c:ser>
        <c:ser>
          <c:idx val="1"/>
          <c:order val="1"/>
          <c:tx>
            <c:strRef>
              <c:f>'15'!$H$5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'15'!$I$5:$L$5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C-4EC9-833A-95AB9118DFB4}"/>
            </c:ext>
          </c:extLst>
        </c:ser>
        <c:ser>
          <c:idx val="2"/>
          <c:order val="2"/>
          <c:tx>
            <c:strRef>
              <c:f>'15'!$H$6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C-4EC9-833A-95AB9118DFB4}"/>
            </c:ext>
          </c:extLst>
        </c:ser>
        <c:ser>
          <c:idx val="3"/>
          <c:order val="3"/>
          <c:tx>
            <c:strRef>
              <c:f>'15'!$H$7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C-4EC9-833A-95AB9118DFB4}"/>
            </c:ext>
          </c:extLst>
        </c:ser>
        <c:ser>
          <c:idx val="4"/>
          <c:order val="4"/>
          <c:tx>
            <c:strRef>
              <c:f>'15'!$H$8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C-4EC9-833A-95AB9118DFB4}"/>
            </c:ext>
          </c:extLst>
        </c:ser>
        <c:ser>
          <c:idx val="5"/>
          <c:order val="5"/>
          <c:tx>
            <c:strRef>
              <c:f>'15'!$H$9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'15'!$I$9:$L$9</c:f>
              <c:numCache>
                <c:formatCode>General</c:formatCode>
                <c:ptCount val="4"/>
                <c:pt idx="0">
                  <c:v>44</c:v>
                </c:pt>
                <c:pt idx="1">
                  <c:v>0</c:v>
                </c:pt>
                <c:pt idx="2">
                  <c:v>20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C-4EC9-833A-95AB9118DFB4}"/>
            </c:ext>
          </c:extLst>
        </c:ser>
        <c:ser>
          <c:idx val="6"/>
          <c:order val="6"/>
          <c:tx>
            <c:strRef>
              <c:f>'15'!$H$10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'15'!$I$10:$L$10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C-4EC9-833A-95AB9118DFB4}"/>
            </c:ext>
          </c:extLst>
        </c:ser>
        <c:ser>
          <c:idx val="7"/>
          <c:order val="7"/>
          <c:tx>
            <c:strRef>
              <c:f>'15'!$H$11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BC-4EC9-833A-95AB9118DFB4}"/>
            </c:ext>
          </c:extLst>
        </c:ser>
        <c:ser>
          <c:idx val="8"/>
          <c:order val="8"/>
          <c:tx>
            <c:strRef>
              <c:f>'15'!$H$12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'15'!$I$2:$L$2</c:f>
              <c:strCache>
                <c:ptCount val="4"/>
                <c:pt idx="0">
                  <c:v>Mateusz</c:v>
                </c:pt>
                <c:pt idx="1">
                  <c:v> 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'15'!$I$12:$L$12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BC-4EC9-833A-95AB9118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12800"/>
        <c:axId val="137977152"/>
      </c:barChart>
      <c:catAx>
        <c:axId val="1392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77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797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21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'15'!$B$23:$B$31</c:f>
              <c:numCache>
                <c:formatCode>\+General;\-General;0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-1</c:v>
                </c:pt>
                <c:pt idx="3">
                  <c:v>-1</c:v>
                </c:pt>
                <c:pt idx="4">
                  <c:v>7</c:v>
                </c:pt>
                <c:pt idx="5">
                  <c:v>17</c:v>
                </c:pt>
                <c:pt idx="6">
                  <c:v>-6</c:v>
                </c:pt>
                <c:pt idx="7">
                  <c:v>-3</c:v>
                </c:pt>
                <c:pt idx="8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7-4581-AAA6-A72C9E39D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14336"/>
        <c:axId val="138774208"/>
      </c:barChart>
      <c:catAx>
        <c:axId val="1392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774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74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214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'15'!$I$2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'15'!$I$4:$I$12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844-8427-1603D20AF7C8}"/>
            </c:ext>
          </c:extLst>
        </c:ser>
        <c:ser>
          <c:idx val="1"/>
          <c:order val="1"/>
          <c:tx>
            <c:strRef>
              <c:f>'15'!$J$2</c:f>
              <c:strCache>
                <c:ptCount val="1"/>
                <c:pt idx="0">
                  <c:v>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'15'!$J$4:$J$12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7-4844-8427-1603D20AF7C8}"/>
            </c:ext>
          </c:extLst>
        </c:ser>
        <c:ser>
          <c:idx val="2"/>
          <c:order val="2"/>
          <c:tx>
            <c:strRef>
              <c:f>'15'!$K$2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'15'!$K$4:$K$12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7-4844-8427-1603D20AF7C8}"/>
            </c:ext>
          </c:extLst>
        </c:ser>
        <c:ser>
          <c:idx val="3"/>
          <c:order val="3"/>
          <c:tx>
            <c:strRef>
              <c:f>'15'!$L$2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'15'!$L$4:$L$12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27</c:v>
                </c:pt>
                <c:pt idx="6">
                  <c:v>6</c:v>
                </c:pt>
                <c:pt idx="7">
                  <c:v>3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7-4844-8427-1603D20A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45920"/>
        <c:axId val="138775936"/>
      </c:barChart>
      <c:catAx>
        <c:axId val="1393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77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75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34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247578577095"/>
          <c:y val="5.6053811659192827E-2"/>
          <c:w val="0.60453474857174483"/>
          <c:h val="0.79820627802690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'16'!$H$4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'16'!$I$4:$L$4</c:f>
              <c:numCache>
                <c:formatCode>General</c:formatCode>
                <c:ptCount val="4"/>
                <c:pt idx="0">
                  <c:v>22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9-485B-8E5B-94A0548F3CA0}"/>
            </c:ext>
          </c:extLst>
        </c:ser>
        <c:ser>
          <c:idx val="1"/>
          <c:order val="1"/>
          <c:tx>
            <c:strRef>
              <c:f>'16'!$H$5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09-485B-8E5B-94A0548F3CA0}"/>
            </c:ext>
          </c:extLst>
        </c:ser>
        <c:ser>
          <c:idx val="2"/>
          <c:order val="2"/>
          <c:tx>
            <c:strRef>
              <c:f>'16'!$H$6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'16'!$I$6:$L$6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09-485B-8E5B-94A0548F3CA0}"/>
            </c:ext>
          </c:extLst>
        </c:ser>
        <c:ser>
          <c:idx val="3"/>
          <c:order val="3"/>
          <c:tx>
            <c:strRef>
              <c:f>'16'!$H$7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09-485B-8E5B-94A0548F3CA0}"/>
            </c:ext>
          </c:extLst>
        </c:ser>
        <c:ser>
          <c:idx val="4"/>
          <c:order val="4"/>
          <c:tx>
            <c:strRef>
              <c:f>'16'!$H$8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09-485B-8E5B-94A0548F3CA0}"/>
            </c:ext>
          </c:extLst>
        </c:ser>
        <c:ser>
          <c:idx val="5"/>
          <c:order val="5"/>
          <c:tx>
            <c:strRef>
              <c:f>'16'!$H$9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'16'!$I$9:$L$9</c:f>
              <c:numCache>
                <c:formatCode>General</c:formatCode>
                <c:ptCount val="4"/>
                <c:pt idx="0">
                  <c:v>43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09-485B-8E5B-94A0548F3CA0}"/>
            </c:ext>
          </c:extLst>
        </c:ser>
        <c:ser>
          <c:idx val="6"/>
          <c:order val="6"/>
          <c:tx>
            <c:strRef>
              <c:f>'16'!$H$10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'16'!$I$10:$L$10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09-485B-8E5B-94A0548F3CA0}"/>
            </c:ext>
          </c:extLst>
        </c:ser>
        <c:ser>
          <c:idx val="7"/>
          <c:order val="7"/>
          <c:tx>
            <c:strRef>
              <c:f>'16'!$H$11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'16'!$I$11:$L$11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09-485B-8E5B-94A0548F3CA0}"/>
            </c:ext>
          </c:extLst>
        </c:ser>
        <c:ser>
          <c:idx val="8"/>
          <c:order val="8"/>
          <c:tx>
            <c:strRef>
              <c:f>'16'!$H$12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09-485B-8E5B-94A0548F3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347968"/>
        <c:axId val="138778240"/>
      </c:barChart>
      <c:catAx>
        <c:axId val="1393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77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778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34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9820627802690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'16'!$I$4:$L$4</c:f>
              <c:numCache>
                <c:formatCode>General</c:formatCode>
                <c:ptCount val="4"/>
                <c:pt idx="0">
                  <c:v>22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B-435B-91C9-7495172C2A57}"/>
            </c:ext>
          </c:extLst>
        </c:ser>
        <c:ser>
          <c:idx val="1"/>
          <c:order val="1"/>
          <c:tx>
            <c:strRef>
              <c:f>'16'!$H$5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B-435B-91C9-7495172C2A57}"/>
            </c:ext>
          </c:extLst>
        </c:ser>
        <c:ser>
          <c:idx val="2"/>
          <c:order val="2"/>
          <c:tx>
            <c:strRef>
              <c:f>'16'!$H$6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'16'!$I$6:$L$6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B-435B-91C9-7495172C2A57}"/>
            </c:ext>
          </c:extLst>
        </c:ser>
        <c:ser>
          <c:idx val="3"/>
          <c:order val="3"/>
          <c:tx>
            <c:strRef>
              <c:f>'16'!$H$7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AB-435B-91C9-7495172C2A57}"/>
            </c:ext>
          </c:extLst>
        </c:ser>
        <c:ser>
          <c:idx val="4"/>
          <c:order val="4"/>
          <c:tx>
            <c:strRef>
              <c:f>'16'!$H$8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AB-435B-91C9-7495172C2A57}"/>
            </c:ext>
          </c:extLst>
        </c:ser>
        <c:ser>
          <c:idx val="5"/>
          <c:order val="5"/>
          <c:tx>
            <c:strRef>
              <c:f>'16'!$H$9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'16'!$I$9:$L$9</c:f>
              <c:numCache>
                <c:formatCode>General</c:formatCode>
                <c:ptCount val="4"/>
                <c:pt idx="0">
                  <c:v>43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AB-435B-91C9-7495172C2A57}"/>
            </c:ext>
          </c:extLst>
        </c:ser>
        <c:ser>
          <c:idx val="6"/>
          <c:order val="6"/>
          <c:tx>
            <c:strRef>
              <c:f>'16'!$H$10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'16'!$I$10:$L$10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AB-435B-91C9-7495172C2A57}"/>
            </c:ext>
          </c:extLst>
        </c:ser>
        <c:ser>
          <c:idx val="7"/>
          <c:order val="7"/>
          <c:tx>
            <c:strRef>
              <c:f>'16'!$H$11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'16'!$I$11:$L$11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AB-435B-91C9-7495172C2A57}"/>
            </c:ext>
          </c:extLst>
        </c:ser>
        <c:ser>
          <c:idx val="8"/>
          <c:order val="8"/>
          <c:tx>
            <c:strRef>
              <c:f>'16'!$H$12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'16'!$I$2:$L$2</c:f>
              <c:strCache>
                <c:ptCount val="4"/>
                <c:pt idx="0">
                  <c:v>Mateusz</c:v>
                </c:pt>
                <c:pt idx="1">
                  <c:v>Siedlar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'16'!$I$12:$L$12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AB-435B-91C9-7495172C2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69600"/>
        <c:axId val="139788288"/>
      </c:barChart>
      <c:catAx>
        <c:axId val="13896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788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788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96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'16'!$B$23:$B$31</c:f>
              <c:numCache>
                <c:formatCode>\+General;\-General;0</c:formatCode>
                <c:ptCount val="9"/>
                <c:pt idx="0">
                  <c:v>15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11</c:v>
                </c:pt>
                <c:pt idx="6">
                  <c:v>-12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8-4AD7-9984-8D798931A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70624"/>
        <c:axId val="139790592"/>
      </c:barChart>
      <c:catAx>
        <c:axId val="13897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790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79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970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71393208258532193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'16'!$I$2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'16'!$I$4:$I$12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43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4637-B53A-D0A7B8ED636E}"/>
            </c:ext>
          </c:extLst>
        </c:ser>
        <c:ser>
          <c:idx val="1"/>
          <c:order val="1"/>
          <c:tx>
            <c:strRef>
              <c:f>'16'!$J$2</c:f>
              <c:strCache>
                <c:ptCount val="1"/>
                <c:pt idx="0">
                  <c:v>Siedlar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'16'!$J$4:$J$12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5-4637-B53A-D0A7B8ED636E}"/>
            </c:ext>
          </c:extLst>
        </c:ser>
        <c:ser>
          <c:idx val="2"/>
          <c:order val="2"/>
          <c:tx>
            <c:strRef>
              <c:f>'16'!$K$2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'16'!$K$4:$K$12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5-4637-B53A-D0A7B8ED636E}"/>
            </c:ext>
          </c:extLst>
        </c:ser>
        <c:ser>
          <c:idx val="3"/>
          <c:order val="3"/>
          <c:tx>
            <c:strRef>
              <c:f>'16'!$L$2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'16'!$L$4:$L$12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95-4637-B53A-D0A7B8ED6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71136"/>
        <c:axId val="139792320"/>
      </c:barChart>
      <c:catAx>
        <c:axId val="1389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792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79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897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33542262441074"/>
          <c:y val="0.33037740570676999"/>
          <c:w val="0.146766430315613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'17'!$H$4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'17'!$I$4:$L$4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3-4ADC-B1BB-B9642158912C}"/>
            </c:ext>
          </c:extLst>
        </c:ser>
        <c:ser>
          <c:idx val="1"/>
          <c:order val="1"/>
          <c:tx>
            <c:strRef>
              <c:f>'17'!$H$5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'17'!$I$5:$L$5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3-4ADC-B1BB-B9642158912C}"/>
            </c:ext>
          </c:extLst>
        </c:ser>
        <c:ser>
          <c:idx val="2"/>
          <c:order val="2"/>
          <c:tx>
            <c:strRef>
              <c:f>'17'!$H$6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3-4ADC-B1BB-B9642158912C}"/>
            </c:ext>
          </c:extLst>
        </c:ser>
        <c:ser>
          <c:idx val="3"/>
          <c:order val="3"/>
          <c:tx>
            <c:strRef>
              <c:f>'17'!$H$7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'17'!$I$7:$L$7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93-4ADC-B1BB-B9642158912C}"/>
            </c:ext>
          </c:extLst>
        </c:ser>
        <c:ser>
          <c:idx val="4"/>
          <c:order val="4"/>
          <c:tx>
            <c:strRef>
              <c:f>'17'!$H$8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93-4ADC-B1BB-B9642158912C}"/>
            </c:ext>
          </c:extLst>
        </c:ser>
        <c:ser>
          <c:idx val="5"/>
          <c:order val="5"/>
          <c:tx>
            <c:strRef>
              <c:f>'17'!$H$9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'17'!$I$9:$L$9</c:f>
              <c:numCache>
                <c:formatCode>General</c:formatCode>
                <c:ptCount val="4"/>
                <c:pt idx="0">
                  <c:v>44</c:v>
                </c:pt>
                <c:pt idx="1">
                  <c:v>16</c:v>
                </c:pt>
                <c:pt idx="2">
                  <c:v>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93-4ADC-B1BB-B9642158912C}"/>
            </c:ext>
          </c:extLst>
        </c:ser>
        <c:ser>
          <c:idx val="6"/>
          <c:order val="6"/>
          <c:tx>
            <c:strRef>
              <c:f>'17'!$H$10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'17'!$I$10:$L$10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93-4ADC-B1BB-B9642158912C}"/>
            </c:ext>
          </c:extLst>
        </c:ser>
        <c:ser>
          <c:idx val="7"/>
          <c:order val="7"/>
          <c:tx>
            <c:strRef>
              <c:f>'17'!$H$11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'17'!$I$11:$L$11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93-4ADC-B1BB-B9642158912C}"/>
            </c:ext>
          </c:extLst>
        </c:ser>
        <c:ser>
          <c:idx val="8"/>
          <c:order val="8"/>
          <c:tx>
            <c:strRef>
              <c:f>'17'!$H$12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93-4ADC-B1BB-B96421589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04640"/>
        <c:axId val="139794624"/>
      </c:barChart>
      <c:catAx>
        <c:axId val="137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79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794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04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'17'!$H$4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'17'!$I$4:$L$4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123-BFF0-B5A41AB0870B}"/>
            </c:ext>
          </c:extLst>
        </c:ser>
        <c:ser>
          <c:idx val="1"/>
          <c:order val="1"/>
          <c:tx>
            <c:strRef>
              <c:f>'17'!$H$5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'17'!$I$5:$L$5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123-BFF0-B5A41AB0870B}"/>
            </c:ext>
          </c:extLst>
        </c:ser>
        <c:ser>
          <c:idx val="2"/>
          <c:order val="2"/>
          <c:tx>
            <c:strRef>
              <c:f>'17'!$H$6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4-4123-BFF0-B5A41AB0870B}"/>
            </c:ext>
          </c:extLst>
        </c:ser>
        <c:ser>
          <c:idx val="3"/>
          <c:order val="3"/>
          <c:tx>
            <c:strRef>
              <c:f>'17'!$H$7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'17'!$I$7:$L$7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4-4123-BFF0-B5A41AB0870B}"/>
            </c:ext>
          </c:extLst>
        </c:ser>
        <c:ser>
          <c:idx val="4"/>
          <c:order val="4"/>
          <c:tx>
            <c:strRef>
              <c:f>'17'!$H$8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4-4123-BFF0-B5A41AB0870B}"/>
            </c:ext>
          </c:extLst>
        </c:ser>
        <c:ser>
          <c:idx val="5"/>
          <c:order val="5"/>
          <c:tx>
            <c:strRef>
              <c:f>'17'!$H$9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'17'!$I$9:$L$9</c:f>
              <c:numCache>
                <c:formatCode>General</c:formatCode>
                <c:ptCount val="4"/>
                <c:pt idx="0">
                  <c:v>44</c:v>
                </c:pt>
                <c:pt idx="1">
                  <c:v>16</c:v>
                </c:pt>
                <c:pt idx="2">
                  <c:v>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4-4123-BFF0-B5A41AB0870B}"/>
            </c:ext>
          </c:extLst>
        </c:ser>
        <c:ser>
          <c:idx val="6"/>
          <c:order val="6"/>
          <c:tx>
            <c:strRef>
              <c:f>'17'!$H$10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'17'!$I$10:$L$10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4-4123-BFF0-B5A41AB0870B}"/>
            </c:ext>
          </c:extLst>
        </c:ser>
        <c:ser>
          <c:idx val="7"/>
          <c:order val="7"/>
          <c:tx>
            <c:strRef>
              <c:f>'17'!$H$11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'17'!$I$11:$L$11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4-4123-BFF0-B5A41AB0870B}"/>
            </c:ext>
          </c:extLst>
        </c:ser>
        <c:ser>
          <c:idx val="8"/>
          <c:order val="8"/>
          <c:tx>
            <c:strRef>
              <c:f>'17'!$H$12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0</c:v>
                </c:pt>
                <c:pt idx="3">
                  <c:v>Agnieszka</c:v>
                </c:pt>
              </c:strCache>
            </c:strRef>
          </c:cat>
          <c:val>
            <c:numRef>
              <c:f>'17'!$I$12:$L$12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84-4123-BFF0-B5A41AB08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6176"/>
        <c:axId val="140173888"/>
      </c:barChart>
      <c:catAx>
        <c:axId val="13790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17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17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0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l-PL"/>
              <a:t>Ile pkt wystarczyłoby by wygrać</a:t>
            </a:r>
          </a:p>
        </c:rich>
      </c:tx>
      <c:layout>
        <c:manualLayout>
          <c:xMode val="edge"/>
          <c:yMode val="edge"/>
          <c:x val="0.37450826121164438"/>
          <c:y val="2.96442687747035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71439811172305E-2"/>
          <c:y val="0.18181818181818182"/>
          <c:w val="0.93627065302911094"/>
          <c:h val="0.6778656126482213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spPr>
              <a:blipFill dpi="0" rotWithShape="0">
                <a:blip xmlns:r="http://schemas.openxmlformats.org/officeDocument/2006/relationships" r:embed="rId1"/>
                <a:srcRect/>
                <a:stretch>
                  <a:fillRect/>
                </a:stretch>
              </a:blipFill>
              <a:ln w="3175">
                <a:pattFill prst="pct50">
                  <a:fgClr>
                    <a:srgbClr val="000000"/>
                  </a:fgClr>
                  <a:bgClr>
                    <a:srgbClr val="FFFFFF"/>
                  </a:bgClr>
                </a:pattFill>
                <a:prstDash val="solid"/>
              </a:ln>
            </c:spPr>
            <c:txPr>
              <a:bodyPr/>
              <a:lstStyle/>
              <a:p>
                <a:pPr>
                  <a:defRPr sz="1850" b="1" i="0" u="none" strike="noStrike" baseline="0">
                    <a:solidFill>
                      <a:srgbClr val="000080"/>
                    </a:solidFill>
                    <a:latin typeface="Arial"/>
                    <a:ea typeface="Arial"/>
                    <a:cs typeface="Arial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Arkusz1!$BJ$192:$BJ$225</c:f>
              <c:numCache>
                <c:formatCode>General;\-General;""</c:formatCode>
                <c:ptCount val="34"/>
                <c:pt idx="0">
                  <c:v>61</c:v>
                </c:pt>
                <c:pt idx="1">
                  <c:v>56</c:v>
                </c:pt>
                <c:pt idx="2">
                  <c:v>50</c:v>
                </c:pt>
                <c:pt idx="3">
                  <c:v>58</c:v>
                </c:pt>
                <c:pt idx="4">
                  <c:v>56</c:v>
                </c:pt>
                <c:pt idx="5">
                  <c:v>67</c:v>
                </c:pt>
                <c:pt idx="6">
                  <c:v>65</c:v>
                </c:pt>
                <c:pt idx="7">
                  <c:v>75</c:v>
                </c:pt>
                <c:pt idx="8">
                  <c:v>67</c:v>
                </c:pt>
                <c:pt idx="9">
                  <c:v>51</c:v>
                </c:pt>
                <c:pt idx="10">
                  <c:v>70</c:v>
                </c:pt>
                <c:pt idx="11">
                  <c:v>77</c:v>
                </c:pt>
                <c:pt idx="12">
                  <c:v>69</c:v>
                </c:pt>
                <c:pt idx="13">
                  <c:v>66</c:v>
                </c:pt>
                <c:pt idx="14">
                  <c:v>82</c:v>
                </c:pt>
                <c:pt idx="15">
                  <c:v>60</c:v>
                </c:pt>
                <c:pt idx="16">
                  <c:v>80</c:v>
                </c:pt>
                <c:pt idx="17">
                  <c:v>62</c:v>
                </c:pt>
                <c:pt idx="18">
                  <c:v>72</c:v>
                </c:pt>
                <c:pt idx="19">
                  <c:v>63</c:v>
                </c:pt>
                <c:pt idx="20">
                  <c:v>70</c:v>
                </c:pt>
                <c:pt idx="21">
                  <c:v>71</c:v>
                </c:pt>
                <c:pt idx="22">
                  <c:v>68</c:v>
                </c:pt>
                <c:pt idx="23">
                  <c:v>65</c:v>
                </c:pt>
                <c:pt idx="24">
                  <c:v>71</c:v>
                </c:pt>
                <c:pt idx="25">
                  <c:v>86</c:v>
                </c:pt>
                <c:pt idx="26">
                  <c:v>68</c:v>
                </c:pt>
                <c:pt idx="27">
                  <c:v>74</c:v>
                </c:pt>
                <c:pt idx="28">
                  <c:v>69</c:v>
                </c:pt>
                <c:pt idx="29">
                  <c:v>68</c:v>
                </c:pt>
                <c:pt idx="30">
                  <c:v>67</c:v>
                </c:pt>
                <c:pt idx="31">
                  <c:v>62</c:v>
                </c:pt>
                <c:pt idx="32">
                  <c:v>70</c:v>
                </c:pt>
                <c:pt idx="3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7E-460D-8826-505944A5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85152"/>
        <c:axId val="133482176"/>
      </c:lineChart>
      <c:catAx>
        <c:axId val="1007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482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82176"/>
        <c:scaling>
          <c:orientation val="minMax"/>
          <c:min val="50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75">
                <a:fgClr>
                  <a:srgbClr val="C0C0C0"/>
                </a:fgClr>
                <a:bgClr>
                  <a:srgbClr val="FFFFFF"/>
                </a:bgClr>
              </a:pattFill>
              <a:prstDash val="solid"/>
            </a:ln>
          </c:spPr>
        </c:minorGridlines>
        <c:numFmt formatCode="General;\-General;&quot;&quot;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785152"/>
        <c:crosses val="autoZero"/>
        <c:crossBetween val="between"/>
        <c:majorUnit val="10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pattFill prst="pct25">
            <a:fgClr>
              <a:srgbClr val="808080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'17'!$B$23:$B$31</c:f>
              <c:numCache>
                <c:formatCode>\+General;\-General;0</c:formatCode>
                <c:ptCount val="9"/>
                <c:pt idx="0">
                  <c:v>-2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28</c:v>
                </c:pt>
                <c:pt idx="6">
                  <c:v>-10</c:v>
                </c:pt>
                <c:pt idx="7">
                  <c:v>-6</c:v>
                </c:pt>
                <c:pt idx="8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D-4463-8EA0-3FBED6DA2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6688"/>
        <c:axId val="140176192"/>
      </c:barChart>
      <c:catAx>
        <c:axId val="137906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17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17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'17'!$I$2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'17'!$I$4:$I$12</c:f>
              <c:numCache>
                <c:formatCode>General</c:formatCode>
                <c:ptCount val="9"/>
                <c:pt idx="0">
                  <c:v>19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44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43A1-BB1F-54CC2A129E0D}"/>
            </c:ext>
          </c:extLst>
        </c:ser>
        <c:ser>
          <c:idx val="1"/>
          <c:order val="1"/>
          <c:tx>
            <c:strRef>
              <c:f>'17'!$J$2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'17'!$J$4:$J$12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10</c:v>
                </c:pt>
                <c:pt idx="7">
                  <c:v>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F-43A1-BB1F-54CC2A129E0D}"/>
            </c:ext>
          </c:extLst>
        </c:ser>
        <c:ser>
          <c:idx val="2"/>
          <c:order val="2"/>
          <c:tx>
            <c:strRef>
              <c:f>'17'!$K$2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'17'!$K$4:$K$12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FF-43A1-BB1F-54CC2A129E0D}"/>
            </c:ext>
          </c:extLst>
        </c:ser>
        <c:ser>
          <c:idx val="3"/>
          <c:order val="3"/>
          <c:tx>
            <c:strRef>
              <c:f>'17'!$L$2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'17'!$L$4:$L$12</c:f>
              <c:numCache>
                <c:formatCode>General</c:formatCode>
                <c:ptCount val="9"/>
                <c:pt idx="0">
                  <c:v>23</c:v>
                </c:pt>
                <c:pt idx="1">
                  <c:v>10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14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FF-43A1-BB1F-54CC2A129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907712"/>
        <c:axId val="140177920"/>
      </c:barChart>
      <c:catAx>
        <c:axId val="137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17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177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0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31247578577095"/>
          <c:y val="5.6053811659192827E-2"/>
          <c:w val="0.60453474857174483"/>
          <c:h val="0.79596412556053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'18'!$H$4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'18'!$I$4:$L$4</c:f>
              <c:numCache>
                <c:formatCode>General</c:formatCode>
                <c:ptCount val="4"/>
                <c:pt idx="0">
                  <c:v>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7-417A-B76B-CF8F4A6D4703}"/>
            </c:ext>
          </c:extLst>
        </c:ser>
        <c:ser>
          <c:idx val="1"/>
          <c:order val="1"/>
          <c:tx>
            <c:strRef>
              <c:f>'18'!$H$5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'18'!$I$5:$L$5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17A-B76B-CF8F4A6D4703}"/>
            </c:ext>
          </c:extLst>
        </c:ser>
        <c:ser>
          <c:idx val="2"/>
          <c:order val="2"/>
          <c:tx>
            <c:strRef>
              <c:f>'18'!$H$6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17A-B76B-CF8F4A6D4703}"/>
            </c:ext>
          </c:extLst>
        </c:ser>
        <c:ser>
          <c:idx val="3"/>
          <c:order val="3"/>
          <c:tx>
            <c:strRef>
              <c:f>'18'!$H$7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7-417A-B76B-CF8F4A6D4703}"/>
            </c:ext>
          </c:extLst>
        </c:ser>
        <c:ser>
          <c:idx val="4"/>
          <c:order val="4"/>
          <c:tx>
            <c:strRef>
              <c:f>'18'!$H$8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7-417A-B76B-CF8F4A6D4703}"/>
            </c:ext>
          </c:extLst>
        </c:ser>
        <c:ser>
          <c:idx val="5"/>
          <c:order val="5"/>
          <c:tx>
            <c:strRef>
              <c:f>'18'!$H$9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'18'!$I$9:$L$9</c:f>
              <c:numCache>
                <c:formatCode>General</c:formatCode>
                <c:ptCount val="4"/>
                <c:pt idx="0">
                  <c:v>31</c:v>
                </c:pt>
                <c:pt idx="1">
                  <c:v>41</c:v>
                </c:pt>
                <c:pt idx="2">
                  <c:v>22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7-417A-B76B-CF8F4A6D4703}"/>
            </c:ext>
          </c:extLst>
        </c:ser>
        <c:ser>
          <c:idx val="6"/>
          <c:order val="6"/>
          <c:tx>
            <c:strRef>
              <c:f>'18'!$H$10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'18'!$I$10:$L$10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37-417A-B76B-CF8F4A6D4703}"/>
            </c:ext>
          </c:extLst>
        </c:ser>
        <c:ser>
          <c:idx val="7"/>
          <c:order val="7"/>
          <c:tx>
            <c:strRef>
              <c:f>'18'!$H$11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37-417A-B76B-CF8F4A6D4703}"/>
            </c:ext>
          </c:extLst>
        </c:ser>
        <c:ser>
          <c:idx val="8"/>
          <c:order val="8"/>
          <c:tx>
            <c:strRef>
              <c:f>'18'!$H$12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37-417A-B76B-CF8F4A6D4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07200"/>
        <c:axId val="140180224"/>
      </c:barChart>
      <c:catAx>
        <c:axId val="1379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18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180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7907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9596412556053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'18'!$H$4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'18'!$I$4:$L$4</c:f>
              <c:numCache>
                <c:formatCode>General</c:formatCode>
                <c:ptCount val="4"/>
                <c:pt idx="0">
                  <c:v>3</c:v>
                </c:pt>
                <c:pt idx="1">
                  <c:v>21</c:v>
                </c:pt>
                <c:pt idx="2">
                  <c:v>25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2-41EA-AF9A-C82AB5BB7464}"/>
            </c:ext>
          </c:extLst>
        </c:ser>
        <c:ser>
          <c:idx val="1"/>
          <c:order val="1"/>
          <c:tx>
            <c:strRef>
              <c:f>'18'!$H$5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'18'!$I$5:$L$5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2-41EA-AF9A-C82AB5BB7464}"/>
            </c:ext>
          </c:extLst>
        </c:ser>
        <c:ser>
          <c:idx val="2"/>
          <c:order val="2"/>
          <c:tx>
            <c:strRef>
              <c:f>'18'!$H$6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2-41EA-AF9A-C82AB5BB7464}"/>
            </c:ext>
          </c:extLst>
        </c:ser>
        <c:ser>
          <c:idx val="3"/>
          <c:order val="3"/>
          <c:tx>
            <c:strRef>
              <c:f>'18'!$H$7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42-41EA-AF9A-C82AB5BB7464}"/>
            </c:ext>
          </c:extLst>
        </c:ser>
        <c:ser>
          <c:idx val="4"/>
          <c:order val="4"/>
          <c:tx>
            <c:strRef>
              <c:f>'18'!$H$8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42-41EA-AF9A-C82AB5BB7464}"/>
            </c:ext>
          </c:extLst>
        </c:ser>
        <c:ser>
          <c:idx val="5"/>
          <c:order val="5"/>
          <c:tx>
            <c:strRef>
              <c:f>'18'!$H$9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'18'!$I$9:$L$9</c:f>
              <c:numCache>
                <c:formatCode>General</c:formatCode>
                <c:ptCount val="4"/>
                <c:pt idx="0">
                  <c:v>31</c:v>
                </c:pt>
                <c:pt idx="1">
                  <c:v>41</c:v>
                </c:pt>
                <c:pt idx="2">
                  <c:v>22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42-41EA-AF9A-C82AB5BB7464}"/>
            </c:ext>
          </c:extLst>
        </c:ser>
        <c:ser>
          <c:idx val="6"/>
          <c:order val="6"/>
          <c:tx>
            <c:strRef>
              <c:f>'18'!$H$10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'18'!$I$10:$L$10</c:f>
              <c:numCache>
                <c:formatCode>General</c:formatCode>
                <c:ptCount val="4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42-41EA-AF9A-C82AB5BB7464}"/>
            </c:ext>
          </c:extLst>
        </c:ser>
        <c:ser>
          <c:idx val="7"/>
          <c:order val="7"/>
          <c:tx>
            <c:strRef>
              <c:f>'18'!$H$11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42-41EA-AF9A-C82AB5BB7464}"/>
            </c:ext>
          </c:extLst>
        </c:ser>
        <c:ser>
          <c:idx val="8"/>
          <c:order val="8"/>
          <c:tx>
            <c:strRef>
              <c:f>'18'!$H$12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Dominika</c:v>
                </c:pt>
              </c:strCache>
            </c:strRef>
          </c:cat>
          <c:val>
            <c:numRef>
              <c:f>'18'!$I$12:$L$12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42-41EA-AF9A-C82AB5BB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02336"/>
        <c:axId val="139936896"/>
      </c:barChart>
      <c:catAx>
        <c:axId val="14030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936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3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302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623318385650224"/>
          <c:w val="0.23929497477802686"/>
          <c:h val="0.385650224215246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237154150193E-2"/>
          <c:y val="6.6312997347480113E-2"/>
          <c:w val="0.88735177865612647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'18'!$B$23:$B$31</c:f>
              <c:numCache>
                <c:formatCode>\+General;\-General;0</c:formatCode>
                <c:ptCount val="9"/>
                <c:pt idx="0">
                  <c:v>-18</c:v>
                </c:pt>
                <c:pt idx="1">
                  <c:v>-10</c:v>
                </c:pt>
                <c:pt idx="2">
                  <c:v>1</c:v>
                </c:pt>
                <c:pt idx="3">
                  <c:v>-2</c:v>
                </c:pt>
                <c:pt idx="4">
                  <c:v>-7</c:v>
                </c:pt>
                <c:pt idx="5">
                  <c:v>-10</c:v>
                </c:pt>
                <c:pt idx="6">
                  <c:v>-24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5-48B1-9311-F8AAFD96C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03872"/>
        <c:axId val="139939200"/>
      </c:barChart>
      <c:catAx>
        <c:axId val="1403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93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3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30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71144451435331724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'18'!$I$2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'18'!$I$4:$I$12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31</c:v>
                </c:pt>
                <c:pt idx="6">
                  <c:v>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5-4A31-953F-D1400731FB5D}"/>
            </c:ext>
          </c:extLst>
        </c:ser>
        <c:ser>
          <c:idx val="1"/>
          <c:order val="1"/>
          <c:tx>
            <c:strRef>
              <c:f>'18'!$J$2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'18'!$J$4:$J$12</c:f>
              <c:numCache>
                <c:formatCode>General</c:formatCode>
                <c:ptCount val="9"/>
                <c:pt idx="0">
                  <c:v>21</c:v>
                </c:pt>
                <c:pt idx="1">
                  <c:v>10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41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5-4A31-953F-D1400731FB5D}"/>
            </c:ext>
          </c:extLst>
        </c:ser>
        <c:ser>
          <c:idx val="2"/>
          <c:order val="2"/>
          <c:tx>
            <c:strRef>
              <c:f>'18'!$K$2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'18'!$K$4:$K$12</c:f>
              <c:numCache>
                <c:formatCode>General</c:formatCode>
                <c:ptCount val="9"/>
                <c:pt idx="0">
                  <c:v>25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22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5-4A31-953F-D1400731FB5D}"/>
            </c:ext>
          </c:extLst>
        </c:ser>
        <c:ser>
          <c:idx val="3"/>
          <c:order val="3"/>
          <c:tx>
            <c:strRef>
              <c:f>'18'!$L$2</c:f>
              <c:strCache>
                <c:ptCount val="1"/>
                <c:pt idx="0">
                  <c:v>Dominika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'18'!$L$4:$L$12</c:f>
              <c:numCache>
                <c:formatCode>General</c:formatCode>
                <c:ptCount val="9"/>
                <c:pt idx="0">
                  <c:v>10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15-4A31-953F-D1400731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168640"/>
        <c:axId val="139940928"/>
      </c:barChart>
      <c:catAx>
        <c:axId val="1411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940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40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16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084786043535608"/>
          <c:y val="0.33037740570676999"/>
          <c:w val="0.1492539925046682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'19'!$H$4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'19'!$I$4:$L$4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E-40E7-A7DB-B1099E289C61}"/>
            </c:ext>
          </c:extLst>
        </c:ser>
        <c:ser>
          <c:idx val="1"/>
          <c:order val="1"/>
          <c:tx>
            <c:strRef>
              <c:f>'19'!$H$5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E-40E7-A7DB-B1099E289C61}"/>
            </c:ext>
          </c:extLst>
        </c:ser>
        <c:ser>
          <c:idx val="2"/>
          <c:order val="2"/>
          <c:tx>
            <c:strRef>
              <c:f>'19'!$H$6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'19'!$I$6:$L$6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E-40E7-A7DB-B1099E289C61}"/>
            </c:ext>
          </c:extLst>
        </c:ser>
        <c:ser>
          <c:idx val="3"/>
          <c:order val="3"/>
          <c:tx>
            <c:strRef>
              <c:f>'19'!$H$7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E-40E7-A7DB-B1099E289C61}"/>
            </c:ext>
          </c:extLst>
        </c:ser>
        <c:ser>
          <c:idx val="4"/>
          <c:order val="4"/>
          <c:tx>
            <c:strRef>
              <c:f>'19'!$H$8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E-40E7-A7DB-B1099E289C61}"/>
            </c:ext>
          </c:extLst>
        </c:ser>
        <c:ser>
          <c:idx val="5"/>
          <c:order val="5"/>
          <c:tx>
            <c:strRef>
              <c:f>'19'!$H$9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'19'!$I$9:$L$9</c:f>
              <c:numCache>
                <c:formatCode>General</c:formatCode>
                <c:ptCount val="4"/>
                <c:pt idx="0">
                  <c:v>36</c:v>
                </c:pt>
                <c:pt idx="1">
                  <c:v>39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E-40E7-A7DB-B1099E289C61}"/>
            </c:ext>
          </c:extLst>
        </c:ser>
        <c:ser>
          <c:idx val="6"/>
          <c:order val="6"/>
          <c:tx>
            <c:strRef>
              <c:f>'19'!$H$10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'19'!$I$10:$L$10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E-40E7-A7DB-B1099E289C61}"/>
            </c:ext>
          </c:extLst>
        </c:ser>
        <c:ser>
          <c:idx val="7"/>
          <c:order val="7"/>
          <c:tx>
            <c:strRef>
              <c:f>'19'!$H$11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3E-40E7-A7DB-B1099E289C61}"/>
            </c:ext>
          </c:extLst>
        </c:ser>
        <c:ser>
          <c:idx val="8"/>
          <c:order val="8"/>
          <c:tx>
            <c:strRef>
              <c:f>'19'!$H$12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3E-40E7-A7DB-B1099E28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170688"/>
        <c:axId val="139943232"/>
      </c:barChart>
      <c:catAx>
        <c:axId val="1411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943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943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17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'19'!$I$4:$L$4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C-4B4B-9827-3D3AE2A4F89D}"/>
            </c:ext>
          </c:extLst>
        </c:ser>
        <c:ser>
          <c:idx val="1"/>
          <c:order val="1"/>
          <c:tx>
            <c:strRef>
              <c:f>'19'!$H$5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C-4B4B-9827-3D3AE2A4F89D}"/>
            </c:ext>
          </c:extLst>
        </c:ser>
        <c:ser>
          <c:idx val="2"/>
          <c:order val="2"/>
          <c:tx>
            <c:strRef>
              <c:f>'19'!$H$6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'19'!$I$6:$L$6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DC-4B4B-9827-3D3AE2A4F89D}"/>
            </c:ext>
          </c:extLst>
        </c:ser>
        <c:ser>
          <c:idx val="3"/>
          <c:order val="3"/>
          <c:tx>
            <c:strRef>
              <c:f>'19'!$H$7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'19'!$I$7:$L$7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DC-4B4B-9827-3D3AE2A4F89D}"/>
            </c:ext>
          </c:extLst>
        </c:ser>
        <c:ser>
          <c:idx val="4"/>
          <c:order val="4"/>
          <c:tx>
            <c:strRef>
              <c:f>'19'!$H$8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'19'!$I$8:$L$8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C-4B4B-9827-3D3AE2A4F89D}"/>
            </c:ext>
          </c:extLst>
        </c:ser>
        <c:ser>
          <c:idx val="5"/>
          <c:order val="5"/>
          <c:tx>
            <c:strRef>
              <c:f>'19'!$H$9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'19'!$I$9:$L$9</c:f>
              <c:numCache>
                <c:formatCode>General</c:formatCode>
                <c:ptCount val="4"/>
                <c:pt idx="0">
                  <c:v>36</c:v>
                </c:pt>
                <c:pt idx="1">
                  <c:v>39</c:v>
                </c:pt>
                <c:pt idx="2">
                  <c:v>19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DC-4B4B-9827-3D3AE2A4F89D}"/>
            </c:ext>
          </c:extLst>
        </c:ser>
        <c:ser>
          <c:idx val="6"/>
          <c:order val="6"/>
          <c:tx>
            <c:strRef>
              <c:f>'19'!$H$10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'19'!$I$10:$L$10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C-4B4B-9827-3D3AE2A4F89D}"/>
            </c:ext>
          </c:extLst>
        </c:ser>
        <c:ser>
          <c:idx val="7"/>
          <c:order val="7"/>
          <c:tx>
            <c:strRef>
              <c:f>'19'!$H$11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DC-4B4B-9827-3D3AE2A4F89D}"/>
            </c:ext>
          </c:extLst>
        </c:ser>
        <c:ser>
          <c:idx val="8"/>
          <c:order val="8"/>
          <c:tx>
            <c:strRef>
              <c:f>'19'!$H$12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Agnieszka</c:v>
                </c:pt>
                <c:pt idx="3">
                  <c:v>Dominika</c:v>
                </c:pt>
              </c:strCache>
            </c:strRef>
          </c:cat>
          <c:val>
            <c:numRef>
              <c:f>'19'!$I$12:$L$12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DC-4B4B-9827-3D3AE2A4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20480"/>
        <c:axId val="140740288"/>
      </c:barChart>
      <c:catAx>
        <c:axId val="1408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740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40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82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'19'!$B$23:$B$31</c:f>
              <c:numCache>
                <c:formatCode>\+General;\-General;0</c:formatCode>
                <c:ptCount val="9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-7</c:v>
                </c:pt>
                <c:pt idx="5">
                  <c:v>-3</c:v>
                </c:pt>
                <c:pt idx="6">
                  <c:v>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4DBF-A3C5-37ECF69E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20992"/>
        <c:axId val="140742592"/>
      </c:barChart>
      <c:catAx>
        <c:axId val="14082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74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42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82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'19'!$I$2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'19'!$I$4:$I$12</c:f>
              <c:numCache>
                <c:formatCode>General</c:formatCode>
                <c:ptCount val="9"/>
                <c:pt idx="0">
                  <c:v>22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1-41C5-B338-7E3753FEB32C}"/>
            </c:ext>
          </c:extLst>
        </c:ser>
        <c:ser>
          <c:idx val="1"/>
          <c:order val="1"/>
          <c:tx>
            <c:strRef>
              <c:f>'19'!$J$2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'19'!$J$4:$J$12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39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1-41C5-B338-7E3753FEB32C}"/>
            </c:ext>
          </c:extLst>
        </c:ser>
        <c:ser>
          <c:idx val="2"/>
          <c:order val="2"/>
          <c:tx>
            <c:strRef>
              <c:f>'19'!$K$2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'19'!$K$4:$K$12</c:f>
              <c:numCache>
                <c:formatCode>General</c:formatCode>
                <c:ptCount val="9"/>
                <c:pt idx="0">
                  <c:v>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1-41C5-B338-7E3753FEB32C}"/>
            </c:ext>
          </c:extLst>
        </c:ser>
        <c:ser>
          <c:idx val="3"/>
          <c:order val="3"/>
          <c:tx>
            <c:strRef>
              <c:f>'19'!$L$2</c:f>
              <c:strCache>
                <c:ptCount val="1"/>
                <c:pt idx="0">
                  <c:v>Dominika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'19'!$H$4:$H$12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'19'!$L$4:$L$12</c:f>
              <c:numCache>
                <c:formatCode>General</c:formatCode>
                <c:ptCount val="9"/>
                <c:pt idx="0">
                  <c:v>11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1-41C5-B338-7E3753FEB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21504"/>
        <c:axId val="140744320"/>
      </c:barChart>
      <c:catAx>
        <c:axId val="14082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744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74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821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96836388293785E-2"/>
          <c:y val="6.8965600183767156E-2"/>
          <c:w val="0.80288015953782477"/>
          <c:h val="0.80788274500984381"/>
        </c:manualLayout>
      </c:layout>
      <c:lineChart>
        <c:grouping val="standard"/>
        <c:varyColors val="0"/>
        <c:ser>
          <c:idx val="0"/>
          <c:order val="0"/>
          <c:tx>
            <c:strRef>
              <c:f>Arkusz1!$FC$5</c:f>
              <c:strCache>
                <c:ptCount val="1"/>
                <c:pt idx="0">
                  <c:v>Mateusz</c:v>
                </c:pt>
              </c:strCache>
            </c:strRef>
          </c:tx>
          <c:spPr>
            <a:ln w="508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Arkusz1!$FB$6:$FB$39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Arkusz1!$FC$6:$FC$39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4-4B22-8191-E360F64BA1CF}"/>
            </c:ext>
          </c:extLst>
        </c:ser>
        <c:ser>
          <c:idx val="1"/>
          <c:order val="1"/>
          <c:tx>
            <c:strRef>
              <c:f>Arkusz1!$FD$5</c:f>
              <c:strCache>
                <c:ptCount val="1"/>
                <c:pt idx="0">
                  <c:v>Marcin</c:v>
                </c:pt>
              </c:strCache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42C4-4B22-8191-E360F64BA1CF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42C4-4B22-8191-E360F64BA1CF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42C4-4B22-8191-E360F64BA1C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4-42C4-4B22-8191-E360F64BA1C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5-42C4-4B22-8191-E360F64BA1CF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6-42C4-4B22-8191-E360F64BA1CF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7-42C4-4B22-8191-E360F64BA1CF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8-42C4-4B22-8191-E360F64BA1CF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9-42C4-4B22-8191-E360F64BA1CF}"/>
              </c:ext>
            </c:extLst>
          </c:dPt>
          <c:cat>
            <c:numRef>
              <c:f>Arkusz1!$FB$6:$FB$39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Arkusz1!$FD$6:$FD$39</c:f>
              <c:numCache>
                <c:formatCode>General</c:formatCode>
                <c:ptCount val="34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-6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-6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-4</c:v>
                </c:pt>
                <c:pt idx="25">
                  <c:v>-3</c:v>
                </c:pt>
                <c:pt idx="26">
                  <c:v>-4</c:v>
                </c:pt>
                <c:pt idx="27">
                  <c:v>-3</c:v>
                </c:pt>
                <c:pt idx="28">
                  <c:v>-4</c:v>
                </c:pt>
                <c:pt idx="29">
                  <c:v>-4</c:v>
                </c:pt>
                <c:pt idx="30">
                  <c:v>-5</c:v>
                </c:pt>
                <c:pt idx="31">
                  <c:v>-6</c:v>
                </c:pt>
                <c:pt idx="32">
                  <c:v>-7</c:v>
                </c:pt>
                <c:pt idx="33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2C4-4B22-8191-E360F64BA1CF}"/>
            </c:ext>
          </c:extLst>
        </c:ser>
        <c:ser>
          <c:idx val="2"/>
          <c:order val="2"/>
          <c:tx>
            <c:strRef>
              <c:f>Arkusz1!$FE$5</c:f>
              <c:strCache>
                <c:ptCount val="1"/>
                <c:pt idx="0">
                  <c:v>Justyna</c:v>
                </c:pt>
              </c:strCache>
            </c:strRef>
          </c:tx>
          <c:spPr>
            <a:ln w="50800">
              <a:solidFill>
                <a:srgbClr val="0000FF"/>
              </a:solidFill>
              <a:prstDash val="solid"/>
            </a:ln>
          </c:spPr>
          <c:marker>
            <c:symbol val="none"/>
          </c:marker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B-42C4-4B22-8191-E360F64BA1CF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C-42C4-4B22-8191-E360F64BA1CF}"/>
              </c:ext>
            </c:extLst>
          </c:dPt>
          <c:cat>
            <c:numRef>
              <c:f>Arkusz1!$FB$6:$FB$39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Arkusz1!$FE$6:$FE$39</c:f>
              <c:numCache>
                <c:formatCode>General</c:formatCode>
                <c:ptCount val="34"/>
                <c:pt idx="0">
                  <c:v>-1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-3</c:v>
                </c:pt>
                <c:pt idx="31">
                  <c:v>-4</c:v>
                </c:pt>
                <c:pt idx="32">
                  <c:v>-5</c:v>
                </c:pt>
                <c:pt idx="33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C4-4B22-8191-E360F64BA1CF}"/>
            </c:ext>
          </c:extLst>
        </c:ser>
        <c:ser>
          <c:idx val="3"/>
          <c:order val="3"/>
          <c:tx>
            <c:strRef>
              <c:f>Arkusz1!$FF$5</c:f>
              <c:strCache>
                <c:ptCount val="1"/>
                <c:pt idx="0">
                  <c:v>Agnieszka</c:v>
                </c:pt>
              </c:strCache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</c:marker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E-42C4-4B22-8191-E360F64BA1CF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F-42C4-4B22-8191-E360F64BA1CF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10-42C4-4B22-8191-E360F64BA1CF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11-42C4-4B22-8191-E360F64BA1CF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12-42C4-4B22-8191-E360F64BA1CF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13-42C4-4B22-8191-E360F64BA1CF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14-42C4-4B22-8191-E360F64BA1CF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5-42C4-4B22-8191-E360F64BA1CF}"/>
              </c:ext>
            </c:extLst>
          </c:dPt>
          <c:cat>
            <c:numRef>
              <c:f>Arkusz1!$FB$6:$FB$39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Arkusz1!$FF$6:$FF$39</c:f>
              <c:numCache>
                <c:formatCode>General</c:formatCode>
                <c:ptCount val="34"/>
                <c:pt idx="3">
                  <c:v>-2</c:v>
                </c:pt>
                <c:pt idx="4">
                  <c:v>-3</c:v>
                </c:pt>
                <c:pt idx="5">
                  <c:v>-3</c:v>
                </c:pt>
                <c:pt idx="6">
                  <c:v>-4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-6</c:v>
                </c:pt>
                <c:pt idx="11">
                  <c:v>-6</c:v>
                </c:pt>
                <c:pt idx="12">
                  <c:v>-6</c:v>
                </c:pt>
                <c:pt idx="13">
                  <c:v>-5</c:v>
                </c:pt>
                <c:pt idx="14">
                  <c:v>-6</c:v>
                </c:pt>
                <c:pt idx="15">
                  <c:v>-7</c:v>
                </c:pt>
                <c:pt idx="16">
                  <c:v>-7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-7</c:v>
                </c:pt>
                <c:pt idx="21">
                  <c:v>-8</c:v>
                </c:pt>
                <c:pt idx="22">
                  <c:v>-8</c:v>
                </c:pt>
                <c:pt idx="23">
                  <c:v>-7</c:v>
                </c:pt>
                <c:pt idx="24">
                  <c:v>-7</c:v>
                </c:pt>
                <c:pt idx="25">
                  <c:v>-7</c:v>
                </c:pt>
                <c:pt idx="26">
                  <c:v>-8</c:v>
                </c:pt>
                <c:pt idx="27">
                  <c:v>-8</c:v>
                </c:pt>
                <c:pt idx="28">
                  <c:v>-9</c:v>
                </c:pt>
                <c:pt idx="29">
                  <c:v>-8</c:v>
                </c:pt>
                <c:pt idx="30">
                  <c:v>-9</c:v>
                </c:pt>
                <c:pt idx="31">
                  <c:v>-10</c:v>
                </c:pt>
                <c:pt idx="32">
                  <c:v>-11</c:v>
                </c:pt>
                <c:pt idx="33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2C4-4B22-8191-E360F64BA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610880"/>
        <c:axId val="133486784"/>
      </c:lineChart>
      <c:catAx>
        <c:axId val="9561088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in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48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486784"/>
        <c:scaling>
          <c:orientation val="minMax"/>
          <c:max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5610880"/>
        <c:crosses val="autoZero"/>
        <c:crossBetween val="midCat"/>
        <c:maj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5862668329244"/>
          <c:y val="0.29556676105142027"/>
          <c:w val="0.13178306200097079"/>
          <c:h val="0.357143374319589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'20'!$H$4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'20'!$I$4:$L$4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B-4F50-8463-D7D246F917F0}"/>
            </c:ext>
          </c:extLst>
        </c:ser>
        <c:ser>
          <c:idx val="1"/>
          <c:order val="1"/>
          <c:tx>
            <c:strRef>
              <c:f>'20'!$H$5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'20'!$I$5:$L$5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B-4F50-8463-D7D246F917F0}"/>
            </c:ext>
          </c:extLst>
        </c:ser>
        <c:ser>
          <c:idx val="2"/>
          <c:order val="2"/>
          <c:tx>
            <c:strRef>
              <c:f>'20'!$H$6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B-4F50-8463-D7D246F917F0}"/>
            </c:ext>
          </c:extLst>
        </c:ser>
        <c:ser>
          <c:idx val="3"/>
          <c:order val="3"/>
          <c:tx>
            <c:strRef>
              <c:f>'20'!$H$7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B-4F50-8463-D7D246F917F0}"/>
            </c:ext>
          </c:extLst>
        </c:ser>
        <c:ser>
          <c:idx val="4"/>
          <c:order val="4"/>
          <c:tx>
            <c:strRef>
              <c:f>'20'!$H$8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B-4F50-8463-D7D246F917F0}"/>
            </c:ext>
          </c:extLst>
        </c:ser>
        <c:ser>
          <c:idx val="5"/>
          <c:order val="5"/>
          <c:tx>
            <c:strRef>
              <c:f>'20'!$H$9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'20'!$I$9:$L$9</c:f>
              <c:numCache>
                <c:formatCode>General</c:formatCode>
                <c:ptCount val="4"/>
                <c:pt idx="0">
                  <c:v>33</c:v>
                </c:pt>
                <c:pt idx="1">
                  <c:v>35</c:v>
                </c:pt>
                <c:pt idx="2">
                  <c:v>37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B-4F50-8463-D7D246F917F0}"/>
            </c:ext>
          </c:extLst>
        </c:ser>
        <c:ser>
          <c:idx val="6"/>
          <c:order val="6"/>
          <c:tx>
            <c:strRef>
              <c:f>'20'!$H$10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'20'!$I$10:$L$10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B-4F50-8463-D7D246F917F0}"/>
            </c:ext>
          </c:extLst>
        </c:ser>
        <c:ser>
          <c:idx val="7"/>
          <c:order val="7"/>
          <c:tx>
            <c:strRef>
              <c:f>'20'!$H$11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B-4F50-8463-D7D246F917F0}"/>
            </c:ext>
          </c:extLst>
        </c:ser>
        <c:ser>
          <c:idx val="8"/>
          <c:order val="8"/>
          <c:tx>
            <c:strRef>
              <c:f>'20'!$H$12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B-4F50-8463-D7D246F9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23040"/>
        <c:axId val="140943360"/>
      </c:barChart>
      <c:catAx>
        <c:axId val="14082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943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43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8230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'20'!$I$4:$L$4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22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D-4EEC-8AF1-AACA56A6A242}"/>
            </c:ext>
          </c:extLst>
        </c:ser>
        <c:ser>
          <c:idx val="1"/>
          <c:order val="1"/>
          <c:tx>
            <c:strRef>
              <c:f>'20'!$H$5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'20'!$I$5:$L$5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D-4EEC-8AF1-AACA56A6A242}"/>
            </c:ext>
          </c:extLst>
        </c:ser>
        <c:ser>
          <c:idx val="2"/>
          <c:order val="2"/>
          <c:tx>
            <c:strRef>
              <c:f>'20'!$H$6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D-4EEC-8AF1-AACA56A6A242}"/>
            </c:ext>
          </c:extLst>
        </c:ser>
        <c:ser>
          <c:idx val="3"/>
          <c:order val="3"/>
          <c:tx>
            <c:strRef>
              <c:f>'20'!$H$7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D-4EEC-8AF1-AACA56A6A242}"/>
            </c:ext>
          </c:extLst>
        </c:ser>
        <c:ser>
          <c:idx val="4"/>
          <c:order val="4"/>
          <c:tx>
            <c:strRef>
              <c:f>'20'!$H$8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D-4EEC-8AF1-AACA56A6A242}"/>
            </c:ext>
          </c:extLst>
        </c:ser>
        <c:ser>
          <c:idx val="5"/>
          <c:order val="5"/>
          <c:tx>
            <c:strRef>
              <c:f>'20'!$H$9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'20'!$I$9:$L$9</c:f>
              <c:numCache>
                <c:formatCode>General</c:formatCode>
                <c:ptCount val="4"/>
                <c:pt idx="0">
                  <c:v>33</c:v>
                </c:pt>
                <c:pt idx="1">
                  <c:v>35</c:v>
                </c:pt>
                <c:pt idx="2">
                  <c:v>37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D-4EEC-8AF1-AACA56A6A242}"/>
            </c:ext>
          </c:extLst>
        </c:ser>
        <c:ser>
          <c:idx val="6"/>
          <c:order val="6"/>
          <c:tx>
            <c:strRef>
              <c:f>'20'!$H$10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'20'!$I$10:$L$10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D-4EEC-8AF1-AACA56A6A242}"/>
            </c:ext>
          </c:extLst>
        </c:ser>
        <c:ser>
          <c:idx val="7"/>
          <c:order val="7"/>
          <c:tx>
            <c:strRef>
              <c:f>'20'!$H$11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'20'!$I$11:$L$11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D-4EEC-8AF1-AACA56A6A242}"/>
            </c:ext>
          </c:extLst>
        </c:ser>
        <c:ser>
          <c:idx val="8"/>
          <c:order val="8"/>
          <c:tx>
            <c:strRef>
              <c:f>'20'!$H$12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'20'!$I$12:$L$12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4D-4EEC-8AF1-AACA56A6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7280"/>
        <c:axId val="140945664"/>
      </c:barChart>
      <c:catAx>
        <c:axId val="14153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94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45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537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'20'!$B$23:$B$31</c:f>
              <c:numCache>
                <c:formatCode>\+General;\-General;0</c:formatCode>
                <c:ptCount val="9"/>
                <c:pt idx="0">
                  <c:v>2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0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A-48D2-B443-BE67459FF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8816"/>
        <c:axId val="140946816"/>
      </c:barChart>
      <c:catAx>
        <c:axId val="1415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9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46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53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'20'!$I$4:$I$12</c:f>
              <c:numCache>
                <c:formatCode>General</c:formatCode>
                <c:ptCount val="9"/>
                <c:pt idx="0">
                  <c:v>20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2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9-4264-AF7B-E9AD0FBB147F}"/>
            </c:ext>
          </c:extLst>
        </c:ser>
        <c:ser>
          <c:idx val="1"/>
          <c:order val="1"/>
          <c:tx>
            <c:strRef>
              <c:f>'20'!$J$2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'20'!$J$4:$J$12</c:f>
              <c:numCache>
                <c:formatCode>General</c:formatCode>
                <c:ptCount val="9"/>
                <c:pt idx="0">
                  <c:v>18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9-4264-AF7B-E9AD0FBB147F}"/>
            </c:ext>
          </c:extLst>
        </c:ser>
        <c:ser>
          <c:idx val="2"/>
          <c:order val="2"/>
          <c:tx>
            <c:strRef>
              <c:f>'20'!$K$2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'20'!$K$4:$K$12</c:f>
              <c:numCache>
                <c:formatCode>General</c:formatCode>
                <c:ptCount val="9"/>
                <c:pt idx="0">
                  <c:v>22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7</c:v>
                </c:pt>
                <c:pt idx="5">
                  <c:v>37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9-4264-AF7B-E9AD0FBB147F}"/>
            </c:ext>
          </c:extLst>
        </c:ser>
        <c:ser>
          <c:idx val="3"/>
          <c:order val="3"/>
          <c:tx>
            <c:strRef>
              <c:f>'20'!$L$2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'20'!$H$4:$H$12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'20'!$L$4:$L$12</c:f>
              <c:numCache>
                <c:formatCode>General</c:formatCode>
                <c:ptCount val="9"/>
                <c:pt idx="0">
                  <c:v>18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30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19-4264-AF7B-E9AD0FBB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539328"/>
        <c:axId val="140948544"/>
      </c:barChart>
      <c:catAx>
        <c:axId val="14153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948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4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53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'21'!$I$4:$L$4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2-4AAE-9E24-1FB28B54609F}"/>
            </c:ext>
          </c:extLst>
        </c:ser>
        <c:ser>
          <c:idx val="1"/>
          <c:order val="1"/>
          <c:tx>
            <c:strRef>
              <c:f>'21'!$H$5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'21'!$I$5:$L$5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E2-4AAE-9E24-1FB28B54609F}"/>
            </c:ext>
          </c:extLst>
        </c:ser>
        <c:ser>
          <c:idx val="2"/>
          <c:order val="2"/>
          <c:tx>
            <c:strRef>
              <c:f>'21'!$H$6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2-4AAE-9E24-1FB28B54609F}"/>
            </c:ext>
          </c:extLst>
        </c:ser>
        <c:ser>
          <c:idx val="3"/>
          <c:order val="3"/>
          <c:tx>
            <c:strRef>
              <c:f>'21'!$H$7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E2-4AAE-9E24-1FB28B54609F}"/>
            </c:ext>
          </c:extLst>
        </c:ser>
        <c:ser>
          <c:idx val="4"/>
          <c:order val="4"/>
          <c:tx>
            <c:strRef>
              <c:f>'21'!$H$8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E2-4AAE-9E24-1FB28B54609F}"/>
            </c:ext>
          </c:extLst>
        </c:ser>
        <c:ser>
          <c:idx val="5"/>
          <c:order val="5"/>
          <c:tx>
            <c:strRef>
              <c:f>'21'!$H$9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'21'!$I$9:$L$9</c:f>
              <c:numCache>
                <c:formatCode>General</c:formatCode>
                <c:ptCount val="4"/>
                <c:pt idx="0">
                  <c:v>39</c:v>
                </c:pt>
                <c:pt idx="1">
                  <c:v>6</c:v>
                </c:pt>
                <c:pt idx="2">
                  <c:v>39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E2-4AAE-9E24-1FB28B54609F}"/>
            </c:ext>
          </c:extLst>
        </c:ser>
        <c:ser>
          <c:idx val="6"/>
          <c:order val="6"/>
          <c:tx>
            <c:strRef>
              <c:f>'21'!$H$10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'21'!$I$10:$L$10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2-4AAE-9E24-1FB28B54609F}"/>
            </c:ext>
          </c:extLst>
        </c:ser>
        <c:ser>
          <c:idx val="7"/>
          <c:order val="7"/>
          <c:tx>
            <c:strRef>
              <c:f>'21'!$H$11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'21'!$I$11:$L$11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E2-4AAE-9E24-1FB28B54609F}"/>
            </c:ext>
          </c:extLst>
        </c:ser>
        <c:ser>
          <c:idx val="8"/>
          <c:order val="8"/>
          <c:tx>
            <c:strRef>
              <c:f>'21'!$H$12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2-4AAE-9E24-1FB28B546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318144"/>
        <c:axId val="140950848"/>
      </c:barChart>
      <c:catAx>
        <c:axId val="14131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950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0950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318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'21'!$I$4:$L$4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3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80-4220-9C13-745F95BED37C}"/>
            </c:ext>
          </c:extLst>
        </c:ser>
        <c:ser>
          <c:idx val="1"/>
          <c:order val="1"/>
          <c:tx>
            <c:strRef>
              <c:f>'21'!$H$5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'21'!$I$5:$L$5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80-4220-9C13-745F95BED37C}"/>
            </c:ext>
          </c:extLst>
        </c:ser>
        <c:ser>
          <c:idx val="2"/>
          <c:order val="2"/>
          <c:tx>
            <c:strRef>
              <c:f>'21'!$H$6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0-4220-9C13-745F95BED37C}"/>
            </c:ext>
          </c:extLst>
        </c:ser>
        <c:ser>
          <c:idx val="3"/>
          <c:order val="3"/>
          <c:tx>
            <c:strRef>
              <c:f>'21'!$H$7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'21'!$I$7:$L$7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0-4220-9C13-745F95BED37C}"/>
            </c:ext>
          </c:extLst>
        </c:ser>
        <c:ser>
          <c:idx val="4"/>
          <c:order val="4"/>
          <c:tx>
            <c:strRef>
              <c:f>'21'!$H$8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0-4220-9C13-745F95BED37C}"/>
            </c:ext>
          </c:extLst>
        </c:ser>
        <c:ser>
          <c:idx val="5"/>
          <c:order val="5"/>
          <c:tx>
            <c:strRef>
              <c:f>'21'!$H$9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'21'!$I$9:$L$9</c:f>
              <c:numCache>
                <c:formatCode>General</c:formatCode>
                <c:ptCount val="4"/>
                <c:pt idx="0">
                  <c:v>39</c:v>
                </c:pt>
                <c:pt idx="1">
                  <c:v>6</c:v>
                </c:pt>
                <c:pt idx="2">
                  <c:v>39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80-4220-9C13-745F95BED37C}"/>
            </c:ext>
          </c:extLst>
        </c:ser>
        <c:ser>
          <c:idx val="6"/>
          <c:order val="6"/>
          <c:tx>
            <c:strRef>
              <c:f>'21'!$H$10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'21'!$I$10:$L$10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80-4220-9C13-745F95BED37C}"/>
            </c:ext>
          </c:extLst>
        </c:ser>
        <c:ser>
          <c:idx val="7"/>
          <c:order val="7"/>
          <c:tx>
            <c:strRef>
              <c:f>'21'!$H$11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'21'!$I$11:$L$11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80-4220-9C13-745F95BED37C}"/>
            </c:ext>
          </c:extLst>
        </c:ser>
        <c:ser>
          <c:idx val="8"/>
          <c:order val="8"/>
          <c:tx>
            <c:strRef>
              <c:f>'21'!$H$12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'21'!$I$12:$L$12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80-4220-9C13-745F95BE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16096"/>
        <c:axId val="142223040"/>
      </c:barChart>
      <c:catAx>
        <c:axId val="141316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23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23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31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'21'!$B$23:$B$31</c:f>
              <c:numCache>
                <c:formatCode>\+General;\-General;0</c:formatCode>
                <c:ptCount val="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33</c:v>
                </c:pt>
                <c:pt idx="6">
                  <c:v>-30</c:v>
                </c:pt>
                <c:pt idx="7">
                  <c:v>-15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7-43AD-A68B-ADB713A64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319680"/>
        <c:axId val="142225344"/>
      </c:barChart>
      <c:catAx>
        <c:axId val="141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2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25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1319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'21'!$I$2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'21'!$I$4:$I$12</c:f>
              <c:numCache>
                <c:formatCode>General</c:formatCode>
                <c:ptCount val="9"/>
                <c:pt idx="0">
                  <c:v>21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7-4590-91B9-0A978DB2CE53}"/>
            </c:ext>
          </c:extLst>
        </c:ser>
        <c:ser>
          <c:idx val="1"/>
          <c:order val="1"/>
          <c:tx>
            <c:strRef>
              <c:f>'21'!$J$2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'21'!$J$4:$J$12</c:f>
              <c:numCache>
                <c:formatCode>General</c:formatCode>
                <c:ptCount val="9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7-4590-91B9-0A978DB2CE53}"/>
            </c:ext>
          </c:extLst>
        </c:ser>
        <c:ser>
          <c:idx val="2"/>
          <c:order val="2"/>
          <c:tx>
            <c:strRef>
              <c:f>'21'!$K$2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'21'!$K$4:$K$12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7-4590-91B9-0A978DB2CE53}"/>
            </c:ext>
          </c:extLst>
        </c:ser>
        <c:ser>
          <c:idx val="3"/>
          <c:order val="3"/>
          <c:tx>
            <c:strRef>
              <c:f>'21'!$L$2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'21'!$H$4:$H$12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'21'!$L$4:$L$12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7-4590-91B9-0A978DB2C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86848"/>
        <c:axId val="142227072"/>
      </c:barChart>
      <c:catAx>
        <c:axId val="14228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27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227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8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'22'!$I$4:$L$4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84D-BE31-2106704EB955}"/>
            </c:ext>
          </c:extLst>
        </c:ser>
        <c:ser>
          <c:idx val="1"/>
          <c:order val="1"/>
          <c:tx>
            <c:strRef>
              <c:f>'22'!$H$5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'22'!$I$5:$L$5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84D-BE31-2106704EB955}"/>
            </c:ext>
          </c:extLst>
        </c:ser>
        <c:ser>
          <c:idx val="2"/>
          <c:order val="2"/>
          <c:tx>
            <c:strRef>
              <c:f>'22'!$H$6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84D-BE31-2106704EB955}"/>
            </c:ext>
          </c:extLst>
        </c:ser>
        <c:ser>
          <c:idx val="3"/>
          <c:order val="3"/>
          <c:tx>
            <c:strRef>
              <c:f>'22'!$H$7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84D-BE31-2106704EB955}"/>
            </c:ext>
          </c:extLst>
        </c:ser>
        <c:ser>
          <c:idx val="4"/>
          <c:order val="4"/>
          <c:tx>
            <c:strRef>
              <c:f>'22'!$H$8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84D-BE31-2106704EB955}"/>
            </c:ext>
          </c:extLst>
        </c:ser>
        <c:ser>
          <c:idx val="5"/>
          <c:order val="5"/>
          <c:tx>
            <c:strRef>
              <c:f>'22'!$H$9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'22'!$I$9:$L$9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84D-BE31-2106704EB955}"/>
            </c:ext>
          </c:extLst>
        </c:ser>
        <c:ser>
          <c:idx val="6"/>
          <c:order val="6"/>
          <c:tx>
            <c:strRef>
              <c:f>'22'!$H$10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'22'!$I$10:$L$10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84D-BE31-2106704EB955}"/>
            </c:ext>
          </c:extLst>
        </c:ser>
        <c:ser>
          <c:idx val="7"/>
          <c:order val="7"/>
          <c:tx>
            <c:strRef>
              <c:f>'22'!$H$11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84D-BE31-2106704EB955}"/>
            </c:ext>
          </c:extLst>
        </c:ser>
        <c:ser>
          <c:idx val="8"/>
          <c:order val="8"/>
          <c:tx>
            <c:strRef>
              <c:f>'22'!$H$12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84D-BE31-2106704E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288896"/>
        <c:axId val="142639104"/>
      </c:barChart>
      <c:catAx>
        <c:axId val="14228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63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39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'22'!$H$4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'22'!$I$4:$L$4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16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4-4462-A8A2-0EE1D159C982}"/>
            </c:ext>
          </c:extLst>
        </c:ser>
        <c:ser>
          <c:idx val="1"/>
          <c:order val="1"/>
          <c:tx>
            <c:strRef>
              <c:f>'22'!$H$5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'22'!$I$5:$L$5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4-4462-A8A2-0EE1D159C982}"/>
            </c:ext>
          </c:extLst>
        </c:ser>
        <c:ser>
          <c:idx val="2"/>
          <c:order val="2"/>
          <c:tx>
            <c:strRef>
              <c:f>'22'!$H$6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4-4462-A8A2-0EE1D159C982}"/>
            </c:ext>
          </c:extLst>
        </c:ser>
        <c:ser>
          <c:idx val="3"/>
          <c:order val="3"/>
          <c:tx>
            <c:strRef>
              <c:f>'22'!$H$7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4-4462-A8A2-0EE1D159C982}"/>
            </c:ext>
          </c:extLst>
        </c:ser>
        <c:ser>
          <c:idx val="4"/>
          <c:order val="4"/>
          <c:tx>
            <c:strRef>
              <c:f>'22'!$H$8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4-4462-A8A2-0EE1D159C982}"/>
            </c:ext>
          </c:extLst>
        </c:ser>
        <c:ser>
          <c:idx val="5"/>
          <c:order val="5"/>
          <c:tx>
            <c:strRef>
              <c:f>'22'!$H$9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'22'!$I$9:$L$9</c:f>
              <c:numCache>
                <c:formatCode>General</c:formatCode>
                <c:ptCount val="4"/>
                <c:pt idx="0">
                  <c:v>32</c:v>
                </c:pt>
                <c:pt idx="1">
                  <c:v>0</c:v>
                </c:pt>
                <c:pt idx="2">
                  <c:v>16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4-4462-A8A2-0EE1D159C982}"/>
            </c:ext>
          </c:extLst>
        </c:ser>
        <c:ser>
          <c:idx val="6"/>
          <c:order val="6"/>
          <c:tx>
            <c:strRef>
              <c:f>'22'!$H$10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'22'!$I$10:$L$10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6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4-4462-A8A2-0EE1D159C982}"/>
            </c:ext>
          </c:extLst>
        </c:ser>
        <c:ser>
          <c:idx val="7"/>
          <c:order val="7"/>
          <c:tx>
            <c:strRef>
              <c:f>'22'!$H$11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'22'!$I$11:$L$11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24-4462-A8A2-0EE1D159C982}"/>
            </c:ext>
          </c:extLst>
        </c:ser>
        <c:ser>
          <c:idx val="8"/>
          <c:order val="8"/>
          <c:tx>
            <c:strRef>
              <c:f>'22'!$H$12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'22'!$I$12:$L$12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24-4462-A8A2-0EE1D159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65920"/>
        <c:axId val="142641408"/>
      </c:barChart>
      <c:catAx>
        <c:axId val="13966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641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41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66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Arkusz1!$DP$5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Arkusz1!$DP$6:$DP$39</c:f>
              <c:numCache>
                <c:formatCode>0.00</c:formatCode>
                <c:ptCount val="34"/>
                <c:pt idx="0">
                  <c:v>62</c:v>
                </c:pt>
                <c:pt idx="1">
                  <c:v>58.5</c:v>
                </c:pt>
                <c:pt idx="2">
                  <c:v>61.333333333333336</c:v>
                </c:pt>
                <c:pt idx="3">
                  <c:v>60.25</c:v>
                </c:pt>
                <c:pt idx="4">
                  <c:v>59.2</c:v>
                </c:pt>
                <c:pt idx="5">
                  <c:v>62</c:v>
                </c:pt>
                <c:pt idx="6">
                  <c:v>58.714285714285715</c:v>
                </c:pt>
                <c:pt idx="7">
                  <c:v>60.625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63.916666666666664</c:v>
                </c:pt>
                <c:pt idx="12">
                  <c:v>64.230769230769226</c:v>
                </c:pt>
                <c:pt idx="13">
                  <c:v>64.285714285714292</c:v>
                </c:pt>
                <c:pt idx="14">
                  <c:v>65.533333333333331</c:v>
                </c:pt>
                <c:pt idx="15">
                  <c:v>67.375</c:v>
                </c:pt>
                <c:pt idx="16">
                  <c:v>68.058823529411768</c:v>
                </c:pt>
                <c:pt idx="17">
                  <c:v>66.555555555555557</c:v>
                </c:pt>
                <c:pt idx="18">
                  <c:v>66.78947368421052</c:v>
                </c:pt>
                <c:pt idx="19">
                  <c:v>66.55</c:v>
                </c:pt>
                <c:pt idx="20">
                  <c:v>66.666666666666671</c:v>
                </c:pt>
                <c:pt idx="21">
                  <c:v>66.818181818181813</c:v>
                </c:pt>
                <c:pt idx="22">
                  <c:v>67.652173913043484</c:v>
                </c:pt>
                <c:pt idx="23">
                  <c:v>67.25</c:v>
                </c:pt>
                <c:pt idx="24">
                  <c:v>67.36</c:v>
                </c:pt>
                <c:pt idx="25">
                  <c:v>68.038461538461533</c:v>
                </c:pt>
                <c:pt idx="26">
                  <c:v>68.222222222222229</c:v>
                </c:pt>
                <c:pt idx="27">
                  <c:v>68.392857142857139</c:v>
                </c:pt>
                <c:pt idx="28">
                  <c:v>68.793103448275858</c:v>
                </c:pt>
                <c:pt idx="29">
                  <c:v>68.733333333333334</c:v>
                </c:pt>
                <c:pt idx="30">
                  <c:v>69.161290322580641</c:v>
                </c:pt>
                <c:pt idx="31">
                  <c:v>69.5625</c:v>
                </c:pt>
                <c:pt idx="32">
                  <c:v>69.848484848484844</c:v>
                </c:pt>
                <c:pt idx="33">
                  <c:v>70.441176470588232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A-496A-A508-DC2B9E5C30DD}"/>
            </c:ext>
          </c:extLst>
        </c:ser>
        <c:ser>
          <c:idx val="1"/>
          <c:order val="1"/>
          <c:tx>
            <c:strRef>
              <c:f>Arkusz1!$DQ$5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483A-496A-A508-DC2B9E5C30D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483A-496A-A508-DC2B9E5C30D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83A-496A-A508-DC2B9E5C30D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483A-496A-A508-DC2B9E5C30DD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83A-496A-A508-DC2B9E5C30DD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483A-496A-A508-DC2B9E5C30DD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83A-496A-A508-DC2B9E5C30D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83A-496A-A508-DC2B9E5C30DD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83A-496A-A508-DC2B9E5C30DD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483A-496A-A508-DC2B9E5C30DD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483A-496A-A508-DC2B9E5C30DD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5F05-4962-86E6-AA2F10651DA8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5F05-4962-86E6-AA2F10651DA8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Arkusz1!$DQ$6:$DQ$39</c:f>
              <c:numCache>
                <c:formatCode>0.00</c:formatCode>
                <c:ptCount val="3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55.666666666666664</c:v>
                </c:pt>
                <c:pt idx="6">
                  <c:v>57.75</c:v>
                </c:pt>
                <c:pt idx="7">
                  <c:v>57.4</c:v>
                </c:pt>
                <c:pt idx="8">
                  <c:v>57.4</c:v>
                </c:pt>
                <c:pt idx="9">
                  <c:v>57.4</c:v>
                </c:pt>
                <c:pt idx="10">
                  <c:v>59.333333333333336</c:v>
                </c:pt>
                <c:pt idx="11">
                  <c:v>62.714285714285715</c:v>
                </c:pt>
                <c:pt idx="12">
                  <c:v>61.375</c:v>
                </c:pt>
                <c:pt idx="13">
                  <c:v>61.375</c:v>
                </c:pt>
                <c:pt idx="14">
                  <c:v>61.375</c:v>
                </c:pt>
                <c:pt idx="15">
                  <c:v>61.375</c:v>
                </c:pt>
                <c:pt idx="16">
                  <c:v>63.444444444444443</c:v>
                </c:pt>
                <c:pt idx="17">
                  <c:v>67.599999999999994</c:v>
                </c:pt>
                <c:pt idx="18">
                  <c:v>67.599999999999994</c:v>
                </c:pt>
                <c:pt idx="19">
                  <c:v>66.909090909090907</c:v>
                </c:pt>
                <c:pt idx="20">
                  <c:v>67.333333333333329</c:v>
                </c:pt>
                <c:pt idx="21">
                  <c:v>67.333333333333329</c:v>
                </c:pt>
                <c:pt idx="22">
                  <c:v>66</c:v>
                </c:pt>
                <c:pt idx="23">
                  <c:v>65.714285714285708</c:v>
                </c:pt>
                <c:pt idx="24">
                  <c:v>66.066666666666663</c:v>
                </c:pt>
                <c:pt idx="25">
                  <c:v>67.5</c:v>
                </c:pt>
                <c:pt idx="26">
                  <c:v>67.5</c:v>
                </c:pt>
                <c:pt idx="27">
                  <c:v>68.352941176470594</c:v>
                </c:pt>
                <c:pt idx="28">
                  <c:v>68.111111111111114</c:v>
                </c:pt>
                <c:pt idx="29">
                  <c:v>67.526315789473685</c:v>
                </c:pt>
                <c:pt idx="30">
                  <c:v>67.526315789473685</c:v>
                </c:pt>
                <c:pt idx="31">
                  <c:v>67.2</c:v>
                </c:pt>
                <c:pt idx="32">
                  <c:v>67.2</c:v>
                </c:pt>
                <c:pt idx="33">
                  <c:v>67.285714285714292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3A-496A-A508-DC2B9E5C30DD}"/>
            </c:ext>
          </c:extLst>
        </c:ser>
        <c:ser>
          <c:idx val="2"/>
          <c:order val="2"/>
          <c:tx>
            <c:strRef>
              <c:f>Arkusz1!$DR$5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483A-496A-A508-DC2B9E5C30DD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483A-496A-A508-DC2B9E5C30DD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483A-496A-A508-DC2B9E5C30DD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483A-496A-A508-DC2B9E5C30DD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483A-496A-A508-DC2B9E5C30DD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5F05-4962-86E6-AA2F10651DA8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5F05-4962-86E6-AA2F10651DA8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Arkusz1!$DR$6:$DR$39</c:f>
              <c:numCache>
                <c:formatCode>0.00</c:formatCode>
                <c:ptCount val="34"/>
                <c:pt idx="0">
                  <c:v>41</c:v>
                </c:pt>
                <c:pt idx="1">
                  <c:v>49.5</c:v>
                </c:pt>
                <c:pt idx="2">
                  <c:v>49.333333333333336</c:v>
                </c:pt>
                <c:pt idx="3">
                  <c:v>53.75</c:v>
                </c:pt>
                <c:pt idx="4">
                  <c:v>57.4</c:v>
                </c:pt>
                <c:pt idx="5">
                  <c:v>58.833333333333336</c:v>
                </c:pt>
                <c:pt idx="6">
                  <c:v>61</c:v>
                </c:pt>
                <c:pt idx="7">
                  <c:v>64</c:v>
                </c:pt>
                <c:pt idx="8">
                  <c:v>64.222222222222229</c:v>
                </c:pt>
                <c:pt idx="9">
                  <c:v>62.8</c:v>
                </c:pt>
                <c:pt idx="10">
                  <c:v>62.090909090909093</c:v>
                </c:pt>
                <c:pt idx="11">
                  <c:v>63.25</c:v>
                </c:pt>
                <c:pt idx="12">
                  <c:v>64.15384615384616</c:v>
                </c:pt>
                <c:pt idx="13">
                  <c:v>63.214285714285715</c:v>
                </c:pt>
                <c:pt idx="14">
                  <c:v>62.4</c:v>
                </c:pt>
                <c:pt idx="15">
                  <c:v>62.4</c:v>
                </c:pt>
                <c:pt idx="16">
                  <c:v>62.4</c:v>
                </c:pt>
                <c:pt idx="17">
                  <c:v>62.3125</c:v>
                </c:pt>
                <c:pt idx="18">
                  <c:v>63.294117647058826</c:v>
                </c:pt>
                <c:pt idx="19">
                  <c:v>64</c:v>
                </c:pt>
                <c:pt idx="20">
                  <c:v>63.210526315789473</c:v>
                </c:pt>
                <c:pt idx="21">
                  <c:v>63.65</c:v>
                </c:pt>
                <c:pt idx="22">
                  <c:v>62.285714285714285</c:v>
                </c:pt>
                <c:pt idx="23">
                  <c:v>62.285714285714285</c:v>
                </c:pt>
                <c:pt idx="24">
                  <c:v>62.285714285714285</c:v>
                </c:pt>
                <c:pt idx="25">
                  <c:v>62.285714285714285</c:v>
                </c:pt>
                <c:pt idx="26">
                  <c:v>62.5</c:v>
                </c:pt>
                <c:pt idx="27">
                  <c:v>61.739130434782609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61.72</c:v>
                </c:pt>
                <c:pt idx="32">
                  <c:v>61.46153846153846</c:v>
                </c:pt>
                <c:pt idx="33">
                  <c:v>62.148148148148145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3A-496A-A508-DC2B9E5C30DD}"/>
            </c:ext>
          </c:extLst>
        </c:ser>
        <c:ser>
          <c:idx val="3"/>
          <c:order val="3"/>
          <c:tx>
            <c:strRef>
              <c:f>Arkusz1!$DS$5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483A-496A-A508-DC2B9E5C30DD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483A-496A-A508-DC2B9E5C30DD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483A-496A-A508-DC2B9E5C30DD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483A-496A-A508-DC2B9E5C30DD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483A-496A-A508-DC2B9E5C30DD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483A-496A-A508-DC2B9E5C30D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483A-496A-A508-DC2B9E5C30DD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483A-496A-A508-DC2B9E5C30DD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483A-496A-A508-DC2B9E5C30DD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5F05-4962-86E6-AA2F10651DA8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5F05-4962-86E6-AA2F10651DA8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Arkusz1!$DS$6:$DS$39</c:f>
              <c:numCache>
                <c:formatCode>0.00</c:formatCode>
                <c:ptCount val="34"/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50.5</c:v>
                </c:pt>
                <c:pt idx="7">
                  <c:v>50.5</c:v>
                </c:pt>
                <c:pt idx="8">
                  <c:v>50.5</c:v>
                </c:pt>
                <c:pt idx="9">
                  <c:v>50.5</c:v>
                </c:pt>
                <c:pt idx="10">
                  <c:v>50.333333333333336</c:v>
                </c:pt>
                <c:pt idx="11">
                  <c:v>53.75</c:v>
                </c:pt>
                <c:pt idx="12">
                  <c:v>53.75</c:v>
                </c:pt>
                <c:pt idx="13">
                  <c:v>56</c:v>
                </c:pt>
                <c:pt idx="14">
                  <c:v>60.166666666666664</c:v>
                </c:pt>
                <c:pt idx="15">
                  <c:v>60.166666666666664</c:v>
                </c:pt>
                <c:pt idx="16">
                  <c:v>60.142857142857146</c:v>
                </c:pt>
                <c:pt idx="17">
                  <c:v>60.142857142857146</c:v>
                </c:pt>
                <c:pt idx="18">
                  <c:v>59.25</c:v>
                </c:pt>
                <c:pt idx="19">
                  <c:v>59.444444444444443</c:v>
                </c:pt>
                <c:pt idx="20">
                  <c:v>60</c:v>
                </c:pt>
                <c:pt idx="21">
                  <c:v>60.545454545454547</c:v>
                </c:pt>
                <c:pt idx="22">
                  <c:v>61.083333333333336</c:v>
                </c:pt>
                <c:pt idx="23">
                  <c:v>62.230769230769234</c:v>
                </c:pt>
                <c:pt idx="24">
                  <c:v>62.230769230769234</c:v>
                </c:pt>
                <c:pt idx="25">
                  <c:v>63.857142857142854</c:v>
                </c:pt>
                <c:pt idx="26">
                  <c:v>62.2</c:v>
                </c:pt>
                <c:pt idx="27">
                  <c:v>61.625</c:v>
                </c:pt>
                <c:pt idx="28">
                  <c:v>61.882352941176471</c:v>
                </c:pt>
                <c:pt idx="29">
                  <c:v>63.277777777777779</c:v>
                </c:pt>
                <c:pt idx="30">
                  <c:v>63.277777777777779</c:v>
                </c:pt>
                <c:pt idx="31">
                  <c:v>63.05263157894737</c:v>
                </c:pt>
                <c:pt idx="32">
                  <c:v>63.05263157894737</c:v>
                </c:pt>
                <c:pt idx="33">
                  <c:v>63.35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3A-496A-A508-DC2B9E5C30DD}"/>
            </c:ext>
          </c:extLst>
        </c:ser>
        <c:ser>
          <c:idx val="4"/>
          <c:order val="4"/>
          <c:tx>
            <c:strRef>
              <c:f>Arkusz1!$DT$5</c:f>
              <c:strCache>
                <c:ptCount val="1"/>
                <c:pt idx="0">
                  <c:v>max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Arkusz1!$DT$6:$DT$39</c:f>
              <c:numCache>
                <c:formatCode>0.00</c:formatCode>
                <c:ptCount val="34"/>
                <c:pt idx="0">
                  <c:v>70.441176470588232</c:v>
                </c:pt>
                <c:pt idx="1">
                  <c:v>70.441176470588232</c:v>
                </c:pt>
                <c:pt idx="2">
                  <c:v>70.441176470588232</c:v>
                </c:pt>
                <c:pt idx="3">
                  <c:v>70.441176470588232</c:v>
                </c:pt>
                <c:pt idx="4">
                  <c:v>70.441176470588232</c:v>
                </c:pt>
                <c:pt idx="5">
                  <c:v>70.441176470588232</c:v>
                </c:pt>
                <c:pt idx="6">
                  <c:v>70.441176470588232</c:v>
                </c:pt>
                <c:pt idx="7">
                  <c:v>70.441176470588232</c:v>
                </c:pt>
                <c:pt idx="8">
                  <c:v>70.441176470588232</c:v>
                </c:pt>
                <c:pt idx="9">
                  <c:v>70.441176470588232</c:v>
                </c:pt>
                <c:pt idx="10">
                  <c:v>70.441176470588232</c:v>
                </c:pt>
                <c:pt idx="11">
                  <c:v>70.441176470588232</c:v>
                </c:pt>
                <c:pt idx="12">
                  <c:v>70.441176470588232</c:v>
                </c:pt>
                <c:pt idx="13">
                  <c:v>70.441176470588232</c:v>
                </c:pt>
                <c:pt idx="14">
                  <c:v>70.441176470588232</c:v>
                </c:pt>
                <c:pt idx="15">
                  <c:v>70.441176470588232</c:v>
                </c:pt>
                <c:pt idx="16">
                  <c:v>70.441176470588232</c:v>
                </c:pt>
                <c:pt idx="17">
                  <c:v>70.441176470588232</c:v>
                </c:pt>
                <c:pt idx="18">
                  <c:v>70.441176470588232</c:v>
                </c:pt>
                <c:pt idx="19">
                  <c:v>70.441176470588232</c:v>
                </c:pt>
                <c:pt idx="20">
                  <c:v>70.441176470588232</c:v>
                </c:pt>
                <c:pt idx="21">
                  <c:v>70.441176470588232</c:v>
                </c:pt>
                <c:pt idx="22">
                  <c:v>70.441176470588232</c:v>
                </c:pt>
                <c:pt idx="23">
                  <c:v>70.441176470588232</c:v>
                </c:pt>
                <c:pt idx="24">
                  <c:v>70.441176470588232</c:v>
                </c:pt>
                <c:pt idx="25">
                  <c:v>70.441176470588232</c:v>
                </c:pt>
                <c:pt idx="26">
                  <c:v>70.441176470588232</c:v>
                </c:pt>
                <c:pt idx="27">
                  <c:v>70.441176470588232</c:v>
                </c:pt>
                <c:pt idx="28">
                  <c:v>70.441176470588232</c:v>
                </c:pt>
                <c:pt idx="29">
                  <c:v>70.441176470588232</c:v>
                </c:pt>
                <c:pt idx="30">
                  <c:v>70.441176470588232</c:v>
                </c:pt>
                <c:pt idx="31">
                  <c:v>70.441176470588232</c:v>
                </c:pt>
                <c:pt idx="32">
                  <c:v>70.441176470588232</c:v>
                </c:pt>
                <c:pt idx="33">
                  <c:v>70.441176470588232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3A-496A-A508-DC2B9E5C30DD}"/>
            </c:ext>
          </c:extLst>
        </c:ser>
        <c:ser>
          <c:idx val="5"/>
          <c:order val="5"/>
          <c:tx>
            <c:strRef>
              <c:f>Arkusz1!$DU$5</c:f>
              <c:strCache>
                <c:ptCount val="1"/>
                <c:pt idx="0">
                  <c:v>wszyscy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Arkusz1!$DU$6:$DU$39</c:f>
              <c:numCache>
                <c:formatCode>0.00</c:formatCode>
                <c:ptCount val="34"/>
                <c:pt idx="0">
                  <c:v>54.333333333333336</c:v>
                </c:pt>
                <c:pt idx="1">
                  <c:v>55.2</c:v>
                </c:pt>
                <c:pt idx="2">
                  <c:v>56</c:v>
                </c:pt>
                <c:pt idx="3">
                  <c:v>56.454545454545453</c:v>
                </c:pt>
                <c:pt idx="4">
                  <c:v>57.53846153846154</c:v>
                </c:pt>
                <c:pt idx="5">
                  <c:v>58.8125</c:v>
                </c:pt>
                <c:pt idx="6">
                  <c:v>58.5</c:v>
                </c:pt>
                <c:pt idx="7">
                  <c:v>60.217391304347828</c:v>
                </c:pt>
                <c:pt idx="8">
                  <c:v>60.96</c:v>
                </c:pt>
                <c:pt idx="9">
                  <c:v>60.962962962962962</c:v>
                </c:pt>
                <c:pt idx="10">
                  <c:v>61.096774193548384</c:v>
                </c:pt>
                <c:pt idx="11">
                  <c:v>62.285714285714285</c:v>
                </c:pt>
                <c:pt idx="12">
                  <c:v>62.5</c:v>
                </c:pt>
                <c:pt idx="13">
                  <c:v>62.341463414634148</c:v>
                </c:pt>
                <c:pt idx="14">
                  <c:v>62.977272727272727</c:v>
                </c:pt>
                <c:pt idx="15">
                  <c:v>63.586956521739133</c:v>
                </c:pt>
                <c:pt idx="16">
                  <c:v>64.163265306122454</c:v>
                </c:pt>
                <c:pt idx="17">
                  <c:v>64.35849056603773</c:v>
                </c:pt>
                <c:pt idx="18">
                  <c:v>64.05263157894737</c:v>
                </c:pt>
                <c:pt idx="19">
                  <c:v>64.098360655737707</c:v>
                </c:pt>
                <c:pt idx="20">
                  <c:v>64.07692307692308</c:v>
                </c:pt>
                <c:pt idx="21">
                  <c:v>64.308823529411768</c:v>
                </c:pt>
                <c:pt idx="22">
                  <c:v>64.041666666666671</c:v>
                </c:pt>
                <c:pt idx="23">
                  <c:v>64.09210526315789</c:v>
                </c:pt>
                <c:pt idx="24">
                  <c:v>64.177215189873422</c:v>
                </c:pt>
                <c:pt idx="25">
                  <c:v>64.795180722891573</c:v>
                </c:pt>
                <c:pt idx="26">
                  <c:v>64.551724137931032</c:v>
                </c:pt>
                <c:pt idx="27">
                  <c:v>64.494505494505489</c:v>
                </c:pt>
                <c:pt idx="28">
                  <c:v>64.705263157894734</c:v>
                </c:pt>
                <c:pt idx="29">
                  <c:v>64.585858585858588</c:v>
                </c:pt>
                <c:pt idx="30">
                  <c:v>64.666666666666671</c:v>
                </c:pt>
                <c:pt idx="31">
                  <c:v>64.65094339622641</c:v>
                </c:pt>
                <c:pt idx="32">
                  <c:v>64.590909090909093</c:v>
                </c:pt>
                <c:pt idx="33">
                  <c:v>65.026315789473685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3A-496A-A508-DC2B9E5C3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4128"/>
        <c:axId val="134398528"/>
      </c:lineChart>
      <c:catAx>
        <c:axId val="133744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398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398528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3744128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3162834645669291"/>
          <c:h val="0.44593433173794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'22'!$B$23:$B$31</c:f>
              <c:numCache>
                <c:formatCode>\+General;\-General;0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6-4B67-9D18-01042AA8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666432"/>
        <c:axId val="142643712"/>
      </c:barChart>
      <c:catAx>
        <c:axId val="1396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6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4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66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'22'!$I$2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'22'!$I$4:$I$12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A-4ADA-AEA5-F20666365DE7}"/>
            </c:ext>
          </c:extLst>
        </c:ser>
        <c:ser>
          <c:idx val="1"/>
          <c:order val="1"/>
          <c:tx>
            <c:strRef>
              <c:f>'22'!$J$2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'22'!$J$4:$J$12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A-4ADA-AEA5-F20666365DE7}"/>
            </c:ext>
          </c:extLst>
        </c:ser>
        <c:ser>
          <c:idx val="2"/>
          <c:order val="2"/>
          <c:tx>
            <c:strRef>
              <c:f>'22'!$K$2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'22'!$K$4:$K$12</c:f>
              <c:numCache>
                <c:formatCode>General</c:formatCode>
                <c:ptCount val="9"/>
                <c:pt idx="0">
                  <c:v>16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16</c:v>
                </c:pt>
                <c:pt idx="6">
                  <c:v>6</c:v>
                </c:pt>
                <c:pt idx="7">
                  <c:v>0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A-4ADA-AEA5-F20666365DE7}"/>
            </c:ext>
          </c:extLst>
        </c:ser>
        <c:ser>
          <c:idx val="3"/>
          <c:order val="3"/>
          <c:tx>
            <c:strRef>
              <c:f>'22'!$L$2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'22'!$H$4:$H$12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'22'!$L$4:$L$12</c:f>
              <c:numCache>
                <c:formatCode>General</c:formatCode>
                <c:ptCount val="9"/>
                <c:pt idx="0">
                  <c:v>17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A-4ADA-AEA5-F20666365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89920"/>
        <c:axId val="142645440"/>
      </c:barChart>
      <c:catAx>
        <c:axId val="14228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64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64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28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'23'!$I$4:$L$4</c:f>
              <c:numCache>
                <c:formatCode>General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13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C-4F44-8CF2-2AA898539253}"/>
            </c:ext>
          </c:extLst>
        </c:ser>
        <c:ser>
          <c:idx val="1"/>
          <c:order val="1"/>
          <c:tx>
            <c:strRef>
              <c:f>'23'!$H$5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C-4F44-8CF2-2AA898539253}"/>
            </c:ext>
          </c:extLst>
        </c:ser>
        <c:ser>
          <c:idx val="2"/>
          <c:order val="2"/>
          <c:tx>
            <c:strRef>
              <c:f>'23'!$H$6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CC-4F44-8CF2-2AA898539253}"/>
            </c:ext>
          </c:extLst>
        </c:ser>
        <c:ser>
          <c:idx val="3"/>
          <c:order val="3"/>
          <c:tx>
            <c:strRef>
              <c:f>'23'!$H$7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CC-4F44-8CF2-2AA898539253}"/>
            </c:ext>
          </c:extLst>
        </c:ser>
        <c:ser>
          <c:idx val="4"/>
          <c:order val="4"/>
          <c:tx>
            <c:strRef>
              <c:f>'23'!$H$8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CC-4F44-8CF2-2AA898539253}"/>
            </c:ext>
          </c:extLst>
        </c:ser>
        <c:ser>
          <c:idx val="5"/>
          <c:order val="5"/>
          <c:tx>
            <c:strRef>
              <c:f>'23'!$H$9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'23'!$I$9:$L$9</c:f>
              <c:numCache>
                <c:formatCode>General</c:formatCode>
                <c:ptCount val="4"/>
                <c:pt idx="0">
                  <c:v>43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CC-4F44-8CF2-2AA898539253}"/>
            </c:ext>
          </c:extLst>
        </c:ser>
        <c:ser>
          <c:idx val="6"/>
          <c:order val="6"/>
          <c:tx>
            <c:strRef>
              <c:f>'23'!$H$10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'23'!$I$10:$L$10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CC-4F44-8CF2-2AA898539253}"/>
            </c:ext>
          </c:extLst>
        </c:ser>
        <c:ser>
          <c:idx val="7"/>
          <c:order val="7"/>
          <c:tx>
            <c:strRef>
              <c:f>'23'!$H$11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'23'!$I$11:$L$11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CC-4F44-8CF2-2AA898539253}"/>
            </c:ext>
          </c:extLst>
        </c:ser>
        <c:ser>
          <c:idx val="8"/>
          <c:order val="8"/>
          <c:tx>
            <c:strRef>
              <c:f>'23'!$H$12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CC-4F44-8CF2-2AA898539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67968"/>
        <c:axId val="143295040"/>
      </c:barChart>
      <c:catAx>
        <c:axId val="1396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295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95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9667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'23'!$H$4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'23'!$I$4:$L$4</c:f>
              <c:numCache>
                <c:formatCode>General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13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8-4338-9DB2-6841FDEF6F66}"/>
            </c:ext>
          </c:extLst>
        </c:ser>
        <c:ser>
          <c:idx val="1"/>
          <c:order val="1"/>
          <c:tx>
            <c:strRef>
              <c:f>'23'!$H$5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8-4338-9DB2-6841FDEF6F66}"/>
            </c:ext>
          </c:extLst>
        </c:ser>
        <c:ser>
          <c:idx val="2"/>
          <c:order val="2"/>
          <c:tx>
            <c:strRef>
              <c:f>'23'!$H$6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'23'!$I$6:$L$6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8-4338-9DB2-6841FDEF6F66}"/>
            </c:ext>
          </c:extLst>
        </c:ser>
        <c:ser>
          <c:idx val="3"/>
          <c:order val="3"/>
          <c:tx>
            <c:strRef>
              <c:f>'23'!$H$7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'23'!$I$7:$L$7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8-4338-9DB2-6841FDEF6F66}"/>
            </c:ext>
          </c:extLst>
        </c:ser>
        <c:ser>
          <c:idx val="4"/>
          <c:order val="4"/>
          <c:tx>
            <c:strRef>
              <c:f>'23'!$H$8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8-4338-9DB2-6841FDEF6F66}"/>
            </c:ext>
          </c:extLst>
        </c:ser>
        <c:ser>
          <c:idx val="5"/>
          <c:order val="5"/>
          <c:tx>
            <c:strRef>
              <c:f>'23'!$H$9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'23'!$I$9:$L$9</c:f>
              <c:numCache>
                <c:formatCode>General</c:formatCode>
                <c:ptCount val="4"/>
                <c:pt idx="0">
                  <c:v>43</c:v>
                </c:pt>
                <c:pt idx="1">
                  <c:v>7</c:v>
                </c:pt>
                <c:pt idx="2">
                  <c:v>11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68-4338-9DB2-6841FDEF6F66}"/>
            </c:ext>
          </c:extLst>
        </c:ser>
        <c:ser>
          <c:idx val="6"/>
          <c:order val="6"/>
          <c:tx>
            <c:strRef>
              <c:f>'23'!$H$10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'23'!$I$10:$L$10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8-4338-9DB2-6841FDEF6F66}"/>
            </c:ext>
          </c:extLst>
        </c:ser>
        <c:ser>
          <c:idx val="7"/>
          <c:order val="7"/>
          <c:tx>
            <c:strRef>
              <c:f>'23'!$H$11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'23'!$I$11:$L$11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8-4338-9DB2-6841FDEF6F66}"/>
            </c:ext>
          </c:extLst>
        </c:ser>
        <c:ser>
          <c:idx val="8"/>
          <c:order val="8"/>
          <c:tx>
            <c:strRef>
              <c:f>'23'!$H$12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Justyna</c:v>
                </c:pt>
                <c:pt idx="3">
                  <c:v>Agnieszka</c:v>
                </c:pt>
              </c:strCache>
            </c:strRef>
          </c:cat>
          <c:val>
            <c:numRef>
              <c:f>'23'!$I$12:$L$12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8-4338-9DB2-6841FDEF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5120"/>
        <c:axId val="143297344"/>
      </c:barChart>
      <c:catAx>
        <c:axId val="1427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2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97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725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'23'!$B$23:$B$31</c:f>
              <c:numCache>
                <c:formatCode>\+General;\-General;0</c:formatCode>
                <c:ptCount val="9"/>
                <c:pt idx="0">
                  <c:v>-2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4-4E86-9800-03EB90830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5632"/>
        <c:axId val="143299648"/>
      </c:barChart>
      <c:catAx>
        <c:axId val="14272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299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299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72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'23'!$I$2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'23'!$I$4:$I$12</c:f>
              <c:numCache>
                <c:formatCode>General</c:formatCode>
                <c:ptCount val="9"/>
                <c:pt idx="0">
                  <c:v>21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43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DF-B4C9-9A8A42C2B0B8}"/>
            </c:ext>
          </c:extLst>
        </c:ser>
        <c:ser>
          <c:idx val="1"/>
          <c:order val="1"/>
          <c:tx>
            <c:strRef>
              <c:f>'23'!$J$2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'23'!$J$4:$J$12</c:f>
              <c:numCache>
                <c:formatCode>General</c:formatCode>
                <c:ptCount val="9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4-4CDF-B4C9-9A8A42C2B0B8}"/>
            </c:ext>
          </c:extLst>
        </c:ser>
        <c:ser>
          <c:idx val="2"/>
          <c:order val="2"/>
          <c:tx>
            <c:strRef>
              <c:f>'23'!$K$2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'23'!$K$4:$K$12</c:f>
              <c:numCache>
                <c:formatCode>General</c:formatCode>
                <c:ptCount val="9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8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4-4CDF-B4C9-9A8A42C2B0B8}"/>
            </c:ext>
          </c:extLst>
        </c:ser>
        <c:ser>
          <c:idx val="3"/>
          <c:order val="3"/>
          <c:tx>
            <c:strRef>
              <c:f>'23'!$L$2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'23'!$H$4:$H$12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'23'!$L$4:$L$12</c:f>
              <c:numCache>
                <c:formatCode>General</c:formatCode>
                <c:ptCount val="9"/>
                <c:pt idx="0">
                  <c:v>23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4-4CDF-B4C9-9A8A42C2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726144"/>
        <c:axId val="143301376"/>
      </c:barChart>
      <c:catAx>
        <c:axId val="14272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30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30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726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'24'!$I$4:$L$4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A-4DD7-B102-04183259776C}"/>
            </c:ext>
          </c:extLst>
        </c:ser>
        <c:ser>
          <c:idx val="1"/>
          <c:order val="1"/>
          <c:tx>
            <c:strRef>
              <c:f>'24'!$H$5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'24'!$I$5:$L$5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A-4DD7-B102-04183259776C}"/>
            </c:ext>
          </c:extLst>
        </c:ser>
        <c:ser>
          <c:idx val="2"/>
          <c:order val="2"/>
          <c:tx>
            <c:strRef>
              <c:f>'24'!$H$6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A-4DD7-B102-04183259776C}"/>
            </c:ext>
          </c:extLst>
        </c:ser>
        <c:ser>
          <c:idx val="3"/>
          <c:order val="3"/>
          <c:tx>
            <c:strRef>
              <c:f>'24'!$H$7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'24'!$I$7:$L$7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A-4DD7-B102-04183259776C}"/>
            </c:ext>
          </c:extLst>
        </c:ser>
        <c:ser>
          <c:idx val="4"/>
          <c:order val="4"/>
          <c:tx>
            <c:strRef>
              <c:f>'24'!$H$8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A-4DD7-B102-04183259776C}"/>
            </c:ext>
          </c:extLst>
        </c:ser>
        <c:ser>
          <c:idx val="5"/>
          <c:order val="5"/>
          <c:tx>
            <c:strRef>
              <c:f>'24'!$H$9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'24'!$I$9:$L$9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6A-4DD7-B102-04183259776C}"/>
            </c:ext>
          </c:extLst>
        </c:ser>
        <c:ser>
          <c:idx val="6"/>
          <c:order val="6"/>
          <c:tx>
            <c:strRef>
              <c:f>'24'!$H$10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'24'!$I$10:$L$10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6A-4DD7-B102-04183259776C}"/>
            </c:ext>
          </c:extLst>
        </c:ser>
        <c:ser>
          <c:idx val="7"/>
          <c:order val="7"/>
          <c:tx>
            <c:strRef>
              <c:f>'24'!$H$11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'24'!$I$11:$L$11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6A-4DD7-B102-04183259776C}"/>
            </c:ext>
          </c:extLst>
        </c:ser>
        <c:ser>
          <c:idx val="8"/>
          <c:order val="8"/>
          <c:tx>
            <c:strRef>
              <c:f>'24'!$H$12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6A-4DD7-B102-041832597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27168"/>
        <c:axId val="143058048"/>
      </c:barChart>
      <c:catAx>
        <c:axId val="1427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05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58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72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'24'!$H$4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'24'!$I$4:$L$4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1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41B7-BB60-8D18A9A0658C}"/>
            </c:ext>
          </c:extLst>
        </c:ser>
        <c:ser>
          <c:idx val="1"/>
          <c:order val="1"/>
          <c:tx>
            <c:strRef>
              <c:f>'24'!$H$5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'24'!$I$5:$L$5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41B7-BB60-8D18A9A0658C}"/>
            </c:ext>
          </c:extLst>
        </c:ser>
        <c:ser>
          <c:idx val="2"/>
          <c:order val="2"/>
          <c:tx>
            <c:strRef>
              <c:f>'24'!$H$6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41B7-BB60-8D18A9A0658C}"/>
            </c:ext>
          </c:extLst>
        </c:ser>
        <c:ser>
          <c:idx val="3"/>
          <c:order val="3"/>
          <c:tx>
            <c:strRef>
              <c:f>'24'!$H$7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'24'!$I$7:$L$7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2-41B7-BB60-8D18A9A0658C}"/>
            </c:ext>
          </c:extLst>
        </c:ser>
        <c:ser>
          <c:idx val="4"/>
          <c:order val="4"/>
          <c:tx>
            <c:strRef>
              <c:f>'24'!$H$8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42-41B7-BB60-8D18A9A0658C}"/>
            </c:ext>
          </c:extLst>
        </c:ser>
        <c:ser>
          <c:idx val="5"/>
          <c:order val="5"/>
          <c:tx>
            <c:strRef>
              <c:f>'24'!$H$9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'24'!$I$9:$L$9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52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42-41B7-BB60-8D18A9A0658C}"/>
            </c:ext>
          </c:extLst>
        </c:ser>
        <c:ser>
          <c:idx val="6"/>
          <c:order val="6"/>
          <c:tx>
            <c:strRef>
              <c:f>'24'!$H$10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'24'!$I$10:$L$10</c:f>
              <c:numCache>
                <c:formatCode>General</c:formatCode>
                <c:ptCount val="4"/>
                <c:pt idx="0">
                  <c:v>0</c:v>
                </c:pt>
                <c:pt idx="1">
                  <c:v>48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42-41B7-BB60-8D18A9A0658C}"/>
            </c:ext>
          </c:extLst>
        </c:ser>
        <c:ser>
          <c:idx val="7"/>
          <c:order val="7"/>
          <c:tx>
            <c:strRef>
              <c:f>'24'!$H$11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'24'!$I$11:$L$11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42-41B7-BB60-8D18A9A0658C}"/>
            </c:ext>
          </c:extLst>
        </c:ser>
        <c:ser>
          <c:idx val="8"/>
          <c:order val="8"/>
          <c:tx>
            <c:strRef>
              <c:f>'24'!$H$12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'24'!$I$12:$L$12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42-41B7-BB60-8D18A9A06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58592"/>
        <c:axId val="143060352"/>
      </c:barChart>
      <c:catAx>
        <c:axId val="142958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060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60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958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'24'!$B$23:$B$31</c:f>
              <c:numCache>
                <c:formatCode>\+General;\-General;0</c:formatCode>
                <c:ptCount val="9"/>
                <c:pt idx="0">
                  <c:v>-1</c:v>
                </c:pt>
                <c:pt idx="1">
                  <c:v>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-26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F2A-A04E-412EF2B8F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59104"/>
        <c:axId val="143062656"/>
      </c:barChart>
      <c:catAx>
        <c:axId val="14295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062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62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959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'24'!$I$2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'24'!$I$4:$I$12</c:f>
              <c:numCache>
                <c:formatCode>General</c:formatCode>
                <c:ptCount val="9"/>
                <c:pt idx="0">
                  <c:v>21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20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D-415D-AF17-73FA88933ED9}"/>
            </c:ext>
          </c:extLst>
        </c:ser>
        <c:ser>
          <c:idx val="1"/>
          <c:order val="1"/>
          <c:tx>
            <c:strRef>
              <c:f>'24'!$J$2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'24'!$J$4:$J$12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CD-415D-AF17-73FA88933ED9}"/>
            </c:ext>
          </c:extLst>
        </c:ser>
        <c:ser>
          <c:idx val="2"/>
          <c:order val="2"/>
          <c:tx>
            <c:strRef>
              <c:f>'24'!$K$2</c:f>
              <c:strCache>
                <c:ptCount val="1"/>
                <c:pt idx="0">
                  <c:v>Magda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'24'!$K$4:$K$12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52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CD-415D-AF17-73FA88933ED9}"/>
            </c:ext>
          </c:extLst>
        </c:ser>
        <c:ser>
          <c:idx val="3"/>
          <c:order val="3"/>
          <c:tx>
            <c:strRef>
              <c:f>'24'!$L$2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'24'!$H$4:$H$12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'24'!$L$4:$L$12</c:f>
              <c:numCache>
                <c:formatCode>General</c:formatCode>
                <c:ptCount val="9"/>
                <c:pt idx="0">
                  <c:v>22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CD-415D-AF17-73FA88933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960128"/>
        <c:axId val="143064384"/>
      </c:barChart>
      <c:catAx>
        <c:axId val="14296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06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06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96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473684210526312E-2"/>
          <c:y val="7.5980574019066952E-2"/>
          <c:w val="0.76736842105263159"/>
          <c:h val="0.78186461651878569"/>
        </c:manualLayout>
      </c:layout>
      <c:lineChart>
        <c:grouping val="standard"/>
        <c:varyColors val="0"/>
        <c:ser>
          <c:idx val="0"/>
          <c:order val="0"/>
          <c:tx>
            <c:strRef>
              <c:f>Arkusz1!$DP$5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Arkusz1!$DP$6:$DP$39</c:f>
              <c:numCache>
                <c:formatCode>0.00</c:formatCode>
                <c:ptCount val="34"/>
                <c:pt idx="0">
                  <c:v>62</c:v>
                </c:pt>
                <c:pt idx="1">
                  <c:v>58.5</c:v>
                </c:pt>
                <c:pt idx="2">
                  <c:v>61.333333333333336</c:v>
                </c:pt>
                <c:pt idx="3">
                  <c:v>60.25</c:v>
                </c:pt>
                <c:pt idx="4">
                  <c:v>59.2</c:v>
                </c:pt>
                <c:pt idx="5">
                  <c:v>62</c:v>
                </c:pt>
                <c:pt idx="6">
                  <c:v>58.714285714285715</c:v>
                </c:pt>
                <c:pt idx="7">
                  <c:v>60.625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63.916666666666664</c:v>
                </c:pt>
                <c:pt idx="12">
                  <c:v>64.230769230769226</c:v>
                </c:pt>
                <c:pt idx="13">
                  <c:v>64.285714285714292</c:v>
                </c:pt>
                <c:pt idx="14">
                  <c:v>65.533333333333331</c:v>
                </c:pt>
                <c:pt idx="15">
                  <c:v>67.375</c:v>
                </c:pt>
                <c:pt idx="16">
                  <c:v>68.058823529411768</c:v>
                </c:pt>
                <c:pt idx="17">
                  <c:v>66.555555555555557</c:v>
                </c:pt>
                <c:pt idx="18">
                  <c:v>66.78947368421052</c:v>
                </c:pt>
                <c:pt idx="19">
                  <c:v>66.55</c:v>
                </c:pt>
                <c:pt idx="20">
                  <c:v>66.666666666666671</c:v>
                </c:pt>
                <c:pt idx="21">
                  <c:v>66.818181818181813</c:v>
                </c:pt>
                <c:pt idx="22">
                  <c:v>67.652173913043484</c:v>
                </c:pt>
                <c:pt idx="23">
                  <c:v>67.25</c:v>
                </c:pt>
                <c:pt idx="24">
                  <c:v>67.36</c:v>
                </c:pt>
                <c:pt idx="25">
                  <c:v>68.038461538461533</c:v>
                </c:pt>
                <c:pt idx="26">
                  <c:v>68.222222222222229</c:v>
                </c:pt>
                <c:pt idx="27">
                  <c:v>68.392857142857139</c:v>
                </c:pt>
                <c:pt idx="28">
                  <c:v>68.793103448275858</c:v>
                </c:pt>
                <c:pt idx="29">
                  <c:v>68.733333333333334</c:v>
                </c:pt>
                <c:pt idx="30">
                  <c:v>69.161290322580641</c:v>
                </c:pt>
                <c:pt idx="31">
                  <c:v>69.5625</c:v>
                </c:pt>
                <c:pt idx="32">
                  <c:v>69.848484848484844</c:v>
                </c:pt>
                <c:pt idx="33">
                  <c:v>70.441176470588232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8-4A84-81EB-862B0023CA7C}"/>
            </c:ext>
          </c:extLst>
        </c:ser>
        <c:ser>
          <c:idx val="1"/>
          <c:order val="1"/>
          <c:tx>
            <c:strRef>
              <c:f>Arkusz1!$DQ$5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7D58-4A84-81EB-862B0023CA7C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7D58-4A84-81EB-862B0023CA7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7D58-4A84-81EB-862B0023CA7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7D58-4A84-81EB-862B0023CA7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7D58-4A84-81EB-862B0023CA7C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7D58-4A84-81EB-862B0023CA7C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7D58-4A84-81EB-862B0023CA7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7D58-4A84-81EB-862B0023CA7C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7D58-4A84-81EB-862B0023CA7C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7D58-4A84-81EB-862B0023CA7C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7D58-4A84-81EB-862B0023CA7C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A97D-4FFC-91AE-7DB81690E39C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A97D-4FFC-91AE-7DB81690E39C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Arkusz1!$DQ$6:$DQ$39</c:f>
              <c:numCache>
                <c:formatCode>0.00</c:formatCode>
                <c:ptCount val="3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58</c:v>
                </c:pt>
                <c:pt idx="4">
                  <c:v>58</c:v>
                </c:pt>
                <c:pt idx="5">
                  <c:v>55.666666666666664</c:v>
                </c:pt>
                <c:pt idx="6">
                  <c:v>57.75</c:v>
                </c:pt>
                <c:pt idx="7">
                  <c:v>57.4</c:v>
                </c:pt>
                <c:pt idx="8">
                  <c:v>57.4</c:v>
                </c:pt>
                <c:pt idx="9">
                  <c:v>57.4</c:v>
                </c:pt>
                <c:pt idx="10">
                  <c:v>59.333333333333336</c:v>
                </c:pt>
                <c:pt idx="11">
                  <c:v>62.714285714285715</c:v>
                </c:pt>
                <c:pt idx="12">
                  <c:v>61.375</c:v>
                </c:pt>
                <c:pt idx="13">
                  <c:v>61.375</c:v>
                </c:pt>
                <c:pt idx="14">
                  <c:v>61.375</c:v>
                </c:pt>
                <c:pt idx="15">
                  <c:v>61.375</c:v>
                </c:pt>
                <c:pt idx="16">
                  <c:v>63.444444444444443</c:v>
                </c:pt>
                <c:pt idx="17">
                  <c:v>67.599999999999994</c:v>
                </c:pt>
                <c:pt idx="18">
                  <c:v>67.599999999999994</c:v>
                </c:pt>
                <c:pt idx="19">
                  <c:v>66.909090909090907</c:v>
                </c:pt>
                <c:pt idx="20">
                  <c:v>67.333333333333329</c:v>
                </c:pt>
                <c:pt idx="21">
                  <c:v>67.333333333333329</c:v>
                </c:pt>
                <c:pt idx="22">
                  <c:v>66</c:v>
                </c:pt>
                <c:pt idx="23">
                  <c:v>65.714285714285708</c:v>
                </c:pt>
                <c:pt idx="24">
                  <c:v>66.066666666666663</c:v>
                </c:pt>
                <c:pt idx="25">
                  <c:v>67.5</c:v>
                </c:pt>
                <c:pt idx="26">
                  <c:v>67.5</c:v>
                </c:pt>
                <c:pt idx="27">
                  <c:v>68.352941176470594</c:v>
                </c:pt>
                <c:pt idx="28">
                  <c:v>68.111111111111114</c:v>
                </c:pt>
                <c:pt idx="29">
                  <c:v>67.526315789473685</c:v>
                </c:pt>
                <c:pt idx="30">
                  <c:v>67.526315789473685</c:v>
                </c:pt>
                <c:pt idx="31">
                  <c:v>67.2</c:v>
                </c:pt>
                <c:pt idx="32">
                  <c:v>67.2</c:v>
                </c:pt>
                <c:pt idx="33">
                  <c:v>67.285714285714292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58-4A84-81EB-862B0023CA7C}"/>
            </c:ext>
          </c:extLst>
        </c:ser>
        <c:ser>
          <c:idx val="2"/>
          <c:order val="2"/>
          <c:tx>
            <c:strRef>
              <c:f>Arkusz1!$DR$5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7D58-4A84-81EB-862B0023CA7C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7D58-4A84-81EB-862B0023CA7C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D58-4A84-81EB-862B0023CA7C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7D58-4A84-81EB-862B0023CA7C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7D58-4A84-81EB-862B0023CA7C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A97D-4FFC-91AE-7DB81690E39C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A97D-4FFC-91AE-7DB81690E39C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Arkusz1!$DR$6:$DR$39</c:f>
              <c:numCache>
                <c:formatCode>0.00</c:formatCode>
                <c:ptCount val="34"/>
                <c:pt idx="0">
                  <c:v>41</c:v>
                </c:pt>
                <c:pt idx="1">
                  <c:v>49.5</c:v>
                </c:pt>
                <c:pt idx="2">
                  <c:v>49.333333333333336</c:v>
                </c:pt>
                <c:pt idx="3">
                  <c:v>53.75</c:v>
                </c:pt>
                <c:pt idx="4">
                  <c:v>57.4</c:v>
                </c:pt>
                <c:pt idx="5">
                  <c:v>58.833333333333336</c:v>
                </c:pt>
                <c:pt idx="6">
                  <c:v>61</c:v>
                </c:pt>
                <c:pt idx="7">
                  <c:v>64</c:v>
                </c:pt>
                <c:pt idx="8">
                  <c:v>64.222222222222229</c:v>
                </c:pt>
                <c:pt idx="9">
                  <c:v>62.8</c:v>
                </c:pt>
                <c:pt idx="10">
                  <c:v>62.090909090909093</c:v>
                </c:pt>
                <c:pt idx="11">
                  <c:v>63.25</c:v>
                </c:pt>
                <c:pt idx="12">
                  <c:v>64.15384615384616</c:v>
                </c:pt>
                <c:pt idx="13">
                  <c:v>63.214285714285715</c:v>
                </c:pt>
                <c:pt idx="14">
                  <c:v>62.4</c:v>
                </c:pt>
                <c:pt idx="15">
                  <c:v>62.4</c:v>
                </c:pt>
                <c:pt idx="16">
                  <c:v>62.4</c:v>
                </c:pt>
                <c:pt idx="17">
                  <c:v>62.3125</c:v>
                </c:pt>
                <c:pt idx="18">
                  <c:v>63.294117647058826</c:v>
                </c:pt>
                <c:pt idx="19">
                  <c:v>64</c:v>
                </c:pt>
                <c:pt idx="20">
                  <c:v>63.210526315789473</c:v>
                </c:pt>
                <c:pt idx="21">
                  <c:v>63.65</c:v>
                </c:pt>
                <c:pt idx="22">
                  <c:v>62.285714285714285</c:v>
                </c:pt>
                <c:pt idx="23">
                  <c:v>62.285714285714285</c:v>
                </c:pt>
                <c:pt idx="24">
                  <c:v>62.285714285714285</c:v>
                </c:pt>
                <c:pt idx="25">
                  <c:v>62.285714285714285</c:v>
                </c:pt>
                <c:pt idx="26">
                  <c:v>62.5</c:v>
                </c:pt>
                <c:pt idx="27">
                  <c:v>61.739130434782609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61.72</c:v>
                </c:pt>
                <c:pt idx="32">
                  <c:v>61.46153846153846</c:v>
                </c:pt>
                <c:pt idx="33">
                  <c:v>62.148148148148145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D58-4A84-81EB-862B0023CA7C}"/>
            </c:ext>
          </c:extLst>
        </c:ser>
        <c:ser>
          <c:idx val="3"/>
          <c:order val="3"/>
          <c:tx>
            <c:strRef>
              <c:f>Arkusz1!$DS$5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7D58-4A84-81EB-862B0023CA7C}"/>
              </c:ext>
            </c:extLst>
          </c:dPt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7D58-4A84-81EB-862B0023CA7C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7D58-4A84-81EB-862B0023CA7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6-7D58-4A84-81EB-862B0023CA7C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7-7D58-4A84-81EB-862B0023CA7C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7D58-4A84-81EB-862B0023CA7C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7D58-4A84-81EB-862B0023CA7C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7D58-4A84-81EB-862B0023CA7C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7D58-4A84-81EB-862B0023CA7C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A97D-4FFC-91AE-7DB81690E39C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A97D-4FFC-91AE-7DB81690E39C}"/>
              </c:ext>
            </c:extLst>
          </c:dPt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Arkusz1!$DS$6:$DS$39</c:f>
              <c:numCache>
                <c:formatCode>0.00</c:formatCode>
                <c:ptCount val="34"/>
                <c:pt idx="3">
                  <c:v>49</c:v>
                </c:pt>
                <c:pt idx="4">
                  <c:v>49</c:v>
                </c:pt>
                <c:pt idx="5">
                  <c:v>49</c:v>
                </c:pt>
                <c:pt idx="6">
                  <c:v>50.5</c:v>
                </c:pt>
                <c:pt idx="7">
                  <c:v>50.5</c:v>
                </c:pt>
                <c:pt idx="8">
                  <c:v>50.5</c:v>
                </c:pt>
                <c:pt idx="9">
                  <c:v>50.5</c:v>
                </c:pt>
                <c:pt idx="10">
                  <c:v>50.333333333333336</c:v>
                </c:pt>
                <c:pt idx="11">
                  <c:v>53.75</c:v>
                </c:pt>
                <c:pt idx="12">
                  <c:v>53.75</c:v>
                </c:pt>
                <c:pt idx="13">
                  <c:v>56</c:v>
                </c:pt>
                <c:pt idx="14">
                  <c:v>60.166666666666664</c:v>
                </c:pt>
                <c:pt idx="15">
                  <c:v>60.166666666666664</c:v>
                </c:pt>
                <c:pt idx="16">
                  <c:v>60.142857142857146</c:v>
                </c:pt>
                <c:pt idx="17">
                  <c:v>60.142857142857146</c:v>
                </c:pt>
                <c:pt idx="18">
                  <c:v>59.25</c:v>
                </c:pt>
                <c:pt idx="19">
                  <c:v>59.444444444444443</c:v>
                </c:pt>
                <c:pt idx="20">
                  <c:v>60</c:v>
                </c:pt>
                <c:pt idx="21">
                  <c:v>60.545454545454547</c:v>
                </c:pt>
                <c:pt idx="22">
                  <c:v>61.083333333333336</c:v>
                </c:pt>
                <c:pt idx="23">
                  <c:v>62.230769230769234</c:v>
                </c:pt>
                <c:pt idx="24">
                  <c:v>62.230769230769234</c:v>
                </c:pt>
                <c:pt idx="25">
                  <c:v>63.857142857142854</c:v>
                </c:pt>
                <c:pt idx="26">
                  <c:v>62.2</c:v>
                </c:pt>
                <c:pt idx="27">
                  <c:v>61.625</c:v>
                </c:pt>
                <c:pt idx="28">
                  <c:v>61.882352941176471</c:v>
                </c:pt>
                <c:pt idx="29">
                  <c:v>63.277777777777779</c:v>
                </c:pt>
                <c:pt idx="30">
                  <c:v>63.277777777777779</c:v>
                </c:pt>
                <c:pt idx="31">
                  <c:v>63.05263157894737</c:v>
                </c:pt>
                <c:pt idx="32">
                  <c:v>63.05263157894737</c:v>
                </c:pt>
                <c:pt idx="33">
                  <c:v>63.35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D58-4A84-81EB-862B0023CA7C}"/>
            </c:ext>
          </c:extLst>
        </c:ser>
        <c:ser>
          <c:idx val="4"/>
          <c:order val="4"/>
          <c:tx>
            <c:strRef>
              <c:f>Arkusz1!$DT$5</c:f>
              <c:strCache>
                <c:ptCount val="1"/>
                <c:pt idx="0">
                  <c:v>max</c:v>
                </c:pt>
              </c:strCache>
            </c:strRef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Arkusz1!$DT$6:$DT$39</c:f>
              <c:numCache>
                <c:formatCode>0.00</c:formatCode>
                <c:ptCount val="34"/>
                <c:pt idx="0">
                  <c:v>70.441176470588232</c:v>
                </c:pt>
                <c:pt idx="1">
                  <c:v>70.441176470588232</c:v>
                </c:pt>
                <c:pt idx="2">
                  <c:v>70.441176470588232</c:v>
                </c:pt>
                <c:pt idx="3">
                  <c:v>70.441176470588232</c:v>
                </c:pt>
                <c:pt idx="4">
                  <c:v>70.441176470588232</c:v>
                </c:pt>
                <c:pt idx="5">
                  <c:v>70.441176470588232</c:v>
                </c:pt>
                <c:pt idx="6">
                  <c:v>70.441176470588232</c:v>
                </c:pt>
                <c:pt idx="7">
                  <c:v>70.441176470588232</c:v>
                </c:pt>
                <c:pt idx="8">
                  <c:v>70.441176470588232</c:v>
                </c:pt>
                <c:pt idx="9">
                  <c:v>70.441176470588232</c:v>
                </c:pt>
                <c:pt idx="10">
                  <c:v>70.441176470588232</c:v>
                </c:pt>
                <c:pt idx="11">
                  <c:v>70.441176470588232</c:v>
                </c:pt>
                <c:pt idx="12">
                  <c:v>70.441176470588232</c:v>
                </c:pt>
                <c:pt idx="13">
                  <c:v>70.441176470588232</c:v>
                </c:pt>
                <c:pt idx="14">
                  <c:v>70.441176470588232</c:v>
                </c:pt>
                <c:pt idx="15">
                  <c:v>70.441176470588232</c:v>
                </c:pt>
                <c:pt idx="16">
                  <c:v>70.441176470588232</c:v>
                </c:pt>
                <c:pt idx="17">
                  <c:v>70.441176470588232</c:v>
                </c:pt>
                <c:pt idx="18">
                  <c:v>70.441176470588232</c:v>
                </c:pt>
                <c:pt idx="19">
                  <c:v>70.441176470588232</c:v>
                </c:pt>
                <c:pt idx="20">
                  <c:v>70.441176470588232</c:v>
                </c:pt>
                <c:pt idx="21">
                  <c:v>70.441176470588232</c:v>
                </c:pt>
                <c:pt idx="22">
                  <c:v>70.441176470588232</c:v>
                </c:pt>
                <c:pt idx="23">
                  <c:v>70.441176470588232</c:v>
                </c:pt>
                <c:pt idx="24">
                  <c:v>70.441176470588232</c:v>
                </c:pt>
                <c:pt idx="25">
                  <c:v>70.441176470588232</c:v>
                </c:pt>
                <c:pt idx="26">
                  <c:v>70.441176470588232</c:v>
                </c:pt>
                <c:pt idx="27">
                  <c:v>70.441176470588232</c:v>
                </c:pt>
                <c:pt idx="28">
                  <c:v>70.441176470588232</c:v>
                </c:pt>
                <c:pt idx="29">
                  <c:v>70.441176470588232</c:v>
                </c:pt>
                <c:pt idx="30">
                  <c:v>70.441176470588232</c:v>
                </c:pt>
                <c:pt idx="31">
                  <c:v>70.441176470588232</c:v>
                </c:pt>
                <c:pt idx="32">
                  <c:v>70.441176470588232</c:v>
                </c:pt>
                <c:pt idx="33">
                  <c:v>70.441176470588232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D58-4A84-81EB-862B0023CA7C}"/>
            </c:ext>
          </c:extLst>
        </c:ser>
        <c:ser>
          <c:idx val="5"/>
          <c:order val="5"/>
          <c:tx>
            <c:strRef>
              <c:f>Arkusz1!$DU$5</c:f>
              <c:strCache>
                <c:ptCount val="1"/>
                <c:pt idx="0">
                  <c:v>wszyscy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Arkusz1!$DO$6:$DO$39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Arkusz1!$DU$6:$DU$39</c:f>
              <c:numCache>
                <c:formatCode>0.00</c:formatCode>
                <c:ptCount val="34"/>
                <c:pt idx="0">
                  <c:v>54.333333333333336</c:v>
                </c:pt>
                <c:pt idx="1">
                  <c:v>55.2</c:v>
                </c:pt>
                <c:pt idx="2">
                  <c:v>56</c:v>
                </c:pt>
                <c:pt idx="3">
                  <c:v>56.454545454545453</c:v>
                </c:pt>
                <c:pt idx="4">
                  <c:v>57.53846153846154</c:v>
                </c:pt>
                <c:pt idx="5">
                  <c:v>58.8125</c:v>
                </c:pt>
                <c:pt idx="6">
                  <c:v>58.5</c:v>
                </c:pt>
                <c:pt idx="7">
                  <c:v>60.217391304347828</c:v>
                </c:pt>
                <c:pt idx="8">
                  <c:v>60.96</c:v>
                </c:pt>
                <c:pt idx="9">
                  <c:v>60.962962962962962</c:v>
                </c:pt>
                <c:pt idx="10">
                  <c:v>61.096774193548384</c:v>
                </c:pt>
                <c:pt idx="11">
                  <c:v>62.285714285714285</c:v>
                </c:pt>
                <c:pt idx="12">
                  <c:v>62.5</c:v>
                </c:pt>
                <c:pt idx="13">
                  <c:v>62.341463414634148</c:v>
                </c:pt>
                <c:pt idx="14">
                  <c:v>62.977272727272727</c:v>
                </c:pt>
                <c:pt idx="15">
                  <c:v>63.586956521739133</c:v>
                </c:pt>
                <c:pt idx="16">
                  <c:v>64.163265306122454</c:v>
                </c:pt>
                <c:pt idx="17">
                  <c:v>64.35849056603773</c:v>
                </c:pt>
                <c:pt idx="18">
                  <c:v>64.05263157894737</c:v>
                </c:pt>
                <c:pt idx="19">
                  <c:v>64.098360655737707</c:v>
                </c:pt>
                <c:pt idx="20">
                  <c:v>64.07692307692308</c:v>
                </c:pt>
                <c:pt idx="21">
                  <c:v>64.308823529411768</c:v>
                </c:pt>
                <c:pt idx="22">
                  <c:v>64.041666666666671</c:v>
                </c:pt>
                <c:pt idx="23">
                  <c:v>64.09210526315789</c:v>
                </c:pt>
                <c:pt idx="24">
                  <c:v>64.177215189873422</c:v>
                </c:pt>
                <c:pt idx="25">
                  <c:v>64.795180722891573</c:v>
                </c:pt>
                <c:pt idx="26">
                  <c:v>64.551724137931032</c:v>
                </c:pt>
                <c:pt idx="27">
                  <c:v>64.494505494505489</c:v>
                </c:pt>
                <c:pt idx="28">
                  <c:v>64.705263157894734</c:v>
                </c:pt>
                <c:pt idx="29">
                  <c:v>64.585858585858588</c:v>
                </c:pt>
                <c:pt idx="30">
                  <c:v>64.666666666666671</c:v>
                </c:pt>
                <c:pt idx="31">
                  <c:v>64.65094339622641</c:v>
                </c:pt>
                <c:pt idx="32">
                  <c:v>64.590909090909093</c:v>
                </c:pt>
                <c:pt idx="33">
                  <c:v>65.026315789473685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D58-4A84-81EB-862B0023C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50304"/>
        <c:axId val="134405440"/>
      </c:lineChart>
      <c:catAx>
        <c:axId val="134050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405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405440"/>
        <c:scaling>
          <c:orientation val="minMax"/>
          <c:min val="5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34050304"/>
        <c:crosses val="autoZero"/>
        <c:crossBetween val="midCat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842105263157896"/>
          <c:y val="0.26715737738665019"/>
          <c:w val="0.13162834645669291"/>
          <c:h val="0.445934331737944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'25'!$H$4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'25'!$I$4:$L$4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9-471E-B210-723413E4B6B3}"/>
            </c:ext>
          </c:extLst>
        </c:ser>
        <c:ser>
          <c:idx val="1"/>
          <c:order val="1"/>
          <c:tx>
            <c:strRef>
              <c:f>'25'!$H$5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9-471E-B210-723413E4B6B3}"/>
            </c:ext>
          </c:extLst>
        </c:ser>
        <c:ser>
          <c:idx val="2"/>
          <c:order val="2"/>
          <c:tx>
            <c:strRef>
              <c:f>'25'!$H$6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9-471E-B210-723413E4B6B3}"/>
            </c:ext>
          </c:extLst>
        </c:ser>
        <c:ser>
          <c:idx val="3"/>
          <c:order val="3"/>
          <c:tx>
            <c:strRef>
              <c:f>'25'!$H$7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9-471E-B210-723413E4B6B3}"/>
            </c:ext>
          </c:extLst>
        </c:ser>
        <c:ser>
          <c:idx val="4"/>
          <c:order val="4"/>
          <c:tx>
            <c:strRef>
              <c:f>'25'!$H$8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9-471E-B210-723413E4B6B3}"/>
            </c:ext>
          </c:extLst>
        </c:ser>
        <c:ser>
          <c:idx val="5"/>
          <c:order val="5"/>
          <c:tx>
            <c:strRef>
              <c:f>'25'!$H$9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'25'!$I$9:$L$9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9-471E-B210-723413E4B6B3}"/>
            </c:ext>
          </c:extLst>
        </c:ser>
        <c:ser>
          <c:idx val="6"/>
          <c:order val="6"/>
          <c:tx>
            <c:strRef>
              <c:f>'25'!$H$10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'25'!$I$10:$L$10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9-471E-B210-723413E4B6B3}"/>
            </c:ext>
          </c:extLst>
        </c:ser>
        <c:ser>
          <c:idx val="7"/>
          <c:order val="7"/>
          <c:tx>
            <c:strRef>
              <c:f>'25'!$H$11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'25'!$I$11:$L$11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89-471E-B210-723413E4B6B3}"/>
            </c:ext>
          </c:extLst>
        </c:ser>
        <c:ser>
          <c:idx val="8"/>
          <c:order val="8"/>
          <c:tx>
            <c:strRef>
              <c:f>'25'!$H$12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89-471E-B210-723413E4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959616"/>
        <c:axId val="143591104"/>
      </c:barChart>
      <c:catAx>
        <c:axId val="14295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591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91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2959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'25'!$I$4:$L$4</c:f>
              <c:numCache>
                <c:formatCode>General</c:formatCode>
                <c:ptCount val="4"/>
                <c:pt idx="0">
                  <c:v>20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C-4536-9202-78BECD3A9241}"/>
            </c:ext>
          </c:extLst>
        </c:ser>
        <c:ser>
          <c:idx val="1"/>
          <c:order val="1"/>
          <c:tx>
            <c:strRef>
              <c:f>'25'!$H$5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C-4536-9202-78BECD3A9241}"/>
            </c:ext>
          </c:extLst>
        </c:ser>
        <c:ser>
          <c:idx val="2"/>
          <c:order val="2"/>
          <c:tx>
            <c:strRef>
              <c:f>'25'!$H$6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C-4536-9202-78BECD3A9241}"/>
            </c:ext>
          </c:extLst>
        </c:ser>
        <c:ser>
          <c:idx val="3"/>
          <c:order val="3"/>
          <c:tx>
            <c:strRef>
              <c:f>'25'!$H$7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'25'!$I$7:$L$7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1C-4536-9202-78BECD3A9241}"/>
            </c:ext>
          </c:extLst>
        </c:ser>
        <c:ser>
          <c:idx val="4"/>
          <c:order val="4"/>
          <c:tx>
            <c:strRef>
              <c:f>'25'!$H$8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'25'!$I$8:$L$8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1C-4536-9202-78BECD3A9241}"/>
            </c:ext>
          </c:extLst>
        </c:ser>
        <c:ser>
          <c:idx val="5"/>
          <c:order val="5"/>
          <c:tx>
            <c:strRef>
              <c:f>'25'!$H$9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'25'!$I$9:$L$9</c:f>
              <c:numCache>
                <c:formatCode>General</c:formatCode>
                <c:ptCount val="4"/>
                <c:pt idx="0">
                  <c:v>21</c:v>
                </c:pt>
                <c:pt idx="1">
                  <c:v>23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1C-4536-9202-78BECD3A9241}"/>
            </c:ext>
          </c:extLst>
        </c:ser>
        <c:ser>
          <c:idx val="6"/>
          <c:order val="6"/>
          <c:tx>
            <c:strRef>
              <c:f>'25'!$H$10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'25'!$I$10:$L$10</c:f>
              <c:numCache>
                <c:formatCode>General</c:formatCode>
                <c:ptCount val="4"/>
                <c:pt idx="0">
                  <c:v>18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1C-4536-9202-78BECD3A9241}"/>
            </c:ext>
          </c:extLst>
        </c:ser>
        <c:ser>
          <c:idx val="7"/>
          <c:order val="7"/>
          <c:tx>
            <c:strRef>
              <c:f>'25'!$H$11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'25'!$I$11:$L$11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1C-4536-9202-78BECD3A9241}"/>
            </c:ext>
          </c:extLst>
        </c:ser>
        <c:ser>
          <c:idx val="8"/>
          <c:order val="8"/>
          <c:tx>
            <c:strRef>
              <c:f>'25'!$H$12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0</c:v>
                </c:pt>
              </c:strCache>
            </c:strRef>
          </c:cat>
          <c:val>
            <c:numRef>
              <c:f>'25'!$I$12:$L$12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1C-4536-9202-78BECD3A9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7872"/>
        <c:axId val="143593408"/>
      </c:barChart>
      <c:catAx>
        <c:axId val="1442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93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0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'25'!$B$23:$B$31</c:f>
              <c:numCache>
                <c:formatCode>\+General;\-General;0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21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7-4190-A6FC-9EEF37CB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09408"/>
        <c:axId val="143595712"/>
      </c:barChart>
      <c:catAx>
        <c:axId val="14420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359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3595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09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'25'!$I$2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'25'!$I$4:$I$12</c:f>
              <c:numCache>
                <c:formatCode>General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21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4B48-BEB8-CAFD0E4D42EA}"/>
            </c:ext>
          </c:extLst>
        </c:ser>
        <c:ser>
          <c:idx val="1"/>
          <c:order val="1"/>
          <c:tx>
            <c:strRef>
              <c:f>'25'!$J$2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'25'!$J$4:$J$12</c:f>
              <c:numCache>
                <c:formatCode>General</c:formatCode>
                <c:ptCount val="9"/>
                <c:pt idx="0">
                  <c:v>11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</c:v>
                </c:pt>
                <c:pt idx="6">
                  <c:v>24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4B48-BEB8-CAFD0E4D42EA}"/>
            </c:ext>
          </c:extLst>
        </c:ser>
        <c:ser>
          <c:idx val="2"/>
          <c:order val="2"/>
          <c:tx>
            <c:strRef>
              <c:f>'25'!$K$2</c:f>
              <c:strCache>
                <c:ptCount val="1"/>
                <c:pt idx="0">
                  <c:v>Magda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'25'!$K$4:$K$12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7</c:v>
                </c:pt>
                <c:pt idx="5">
                  <c:v>45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1-4B48-BEB8-CAFD0E4D42EA}"/>
            </c:ext>
          </c:extLst>
        </c:ser>
        <c:ser>
          <c:idx val="3"/>
          <c:order val="3"/>
          <c:tx>
            <c:strRef>
              <c:f>'25'!$L$2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'25'!$H$4:$H$12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'25'!$L$4:$L$12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1-4B48-BEB8-CAFD0E4D4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211456"/>
        <c:axId val="144285696"/>
      </c:barChart>
      <c:catAx>
        <c:axId val="14421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5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'26'!$H$4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'26'!$I$4:$L$4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5-4CE2-B408-552B7A7C0524}"/>
            </c:ext>
          </c:extLst>
        </c:ser>
        <c:ser>
          <c:idx val="1"/>
          <c:order val="1"/>
          <c:tx>
            <c:strRef>
              <c:f>'26'!$H$5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5-4CE2-B408-552B7A7C0524}"/>
            </c:ext>
          </c:extLst>
        </c:ser>
        <c:ser>
          <c:idx val="2"/>
          <c:order val="2"/>
          <c:tx>
            <c:strRef>
              <c:f>'26'!$H$6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5-4CE2-B408-552B7A7C0524}"/>
            </c:ext>
          </c:extLst>
        </c:ser>
        <c:ser>
          <c:idx val="3"/>
          <c:order val="3"/>
          <c:tx>
            <c:strRef>
              <c:f>'26'!$H$7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'26'!$I$7:$L$7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5-4CE2-B408-552B7A7C0524}"/>
            </c:ext>
          </c:extLst>
        </c:ser>
        <c:ser>
          <c:idx val="4"/>
          <c:order val="4"/>
          <c:tx>
            <c:strRef>
              <c:f>'26'!$H$8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'26'!$I$8:$L$8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5-4CE2-B408-552B7A7C0524}"/>
            </c:ext>
          </c:extLst>
        </c:ser>
        <c:ser>
          <c:idx val="5"/>
          <c:order val="5"/>
          <c:tx>
            <c:strRef>
              <c:f>'26'!$H$9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'26'!$I$9:$L$9</c:f>
              <c:numCache>
                <c:formatCode>General</c:formatCode>
                <c:ptCount val="4"/>
                <c:pt idx="0">
                  <c:v>38</c:v>
                </c:pt>
                <c:pt idx="1">
                  <c:v>32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5-4CE2-B408-552B7A7C0524}"/>
            </c:ext>
          </c:extLst>
        </c:ser>
        <c:ser>
          <c:idx val="6"/>
          <c:order val="6"/>
          <c:tx>
            <c:strRef>
              <c:f>'26'!$H$10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'26'!$I$10:$L$10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5-4CE2-B408-552B7A7C0524}"/>
            </c:ext>
          </c:extLst>
        </c:ser>
        <c:ser>
          <c:idx val="7"/>
          <c:order val="7"/>
          <c:tx>
            <c:strRef>
              <c:f>'26'!$H$11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'26'!$I$11:$L$11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5-4CE2-B408-552B7A7C0524}"/>
            </c:ext>
          </c:extLst>
        </c:ser>
        <c:ser>
          <c:idx val="8"/>
          <c:order val="8"/>
          <c:tx>
            <c:strRef>
              <c:f>'26'!$H$12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5-4CE2-B408-552B7A7C0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210944"/>
        <c:axId val="144288000"/>
      </c:barChart>
      <c:catAx>
        <c:axId val="14421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88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88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'26'!$H$4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'26'!$I$4:$L$4</c:f>
              <c:numCache>
                <c:formatCode>General</c:formatCode>
                <c:ptCount val="4"/>
                <c:pt idx="0">
                  <c:v>20</c:v>
                </c:pt>
                <c:pt idx="1">
                  <c:v>18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2-4A89-8270-13315B961AE3}"/>
            </c:ext>
          </c:extLst>
        </c:ser>
        <c:ser>
          <c:idx val="1"/>
          <c:order val="1"/>
          <c:tx>
            <c:strRef>
              <c:f>'26'!$H$5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'26'!$I$5:$L$5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2-4A89-8270-13315B961AE3}"/>
            </c:ext>
          </c:extLst>
        </c:ser>
        <c:ser>
          <c:idx val="2"/>
          <c:order val="2"/>
          <c:tx>
            <c:strRef>
              <c:f>'26'!$H$6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B2-4A89-8270-13315B961AE3}"/>
            </c:ext>
          </c:extLst>
        </c:ser>
        <c:ser>
          <c:idx val="3"/>
          <c:order val="3"/>
          <c:tx>
            <c:strRef>
              <c:f>'26'!$H$7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'26'!$I$7:$L$7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B2-4A89-8270-13315B961AE3}"/>
            </c:ext>
          </c:extLst>
        </c:ser>
        <c:ser>
          <c:idx val="4"/>
          <c:order val="4"/>
          <c:tx>
            <c:strRef>
              <c:f>'26'!$H$8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'26'!$I$8:$L$8</c:f>
              <c:numCache>
                <c:formatCode>General</c:formatCode>
                <c:ptCount val="4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2-4A89-8270-13315B961AE3}"/>
            </c:ext>
          </c:extLst>
        </c:ser>
        <c:ser>
          <c:idx val="5"/>
          <c:order val="5"/>
          <c:tx>
            <c:strRef>
              <c:f>'26'!$H$9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'26'!$I$9:$L$9</c:f>
              <c:numCache>
                <c:formatCode>General</c:formatCode>
                <c:ptCount val="4"/>
                <c:pt idx="0">
                  <c:v>38</c:v>
                </c:pt>
                <c:pt idx="1">
                  <c:v>32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B2-4A89-8270-13315B961AE3}"/>
            </c:ext>
          </c:extLst>
        </c:ser>
        <c:ser>
          <c:idx val="6"/>
          <c:order val="6"/>
          <c:tx>
            <c:strRef>
              <c:f>'26'!$H$10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'26'!$I$10:$L$10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2-4A89-8270-13315B961AE3}"/>
            </c:ext>
          </c:extLst>
        </c:ser>
        <c:ser>
          <c:idx val="7"/>
          <c:order val="7"/>
          <c:tx>
            <c:strRef>
              <c:f>'26'!$H$11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'26'!$I$11:$L$11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B2-4A89-8270-13315B961AE3}"/>
            </c:ext>
          </c:extLst>
        </c:ser>
        <c:ser>
          <c:idx val="8"/>
          <c:order val="8"/>
          <c:tx>
            <c:strRef>
              <c:f>'26'!$H$12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'26'!$I$2:$L$2</c:f>
              <c:strCache>
                <c:ptCount val="4"/>
                <c:pt idx="0">
                  <c:v>Mateusz</c:v>
                </c:pt>
                <c:pt idx="1">
                  <c:v>Marcin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'26'!$I$12:$L$12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B2-4A89-8270-13315B96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8560"/>
        <c:axId val="144290304"/>
      </c:barChart>
      <c:catAx>
        <c:axId val="14457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0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0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57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'26'!$B$23:$B$31</c:f>
              <c:numCache>
                <c:formatCode>\+General;\-General;0</c:formatCode>
                <c:ptCount val="9"/>
                <c:pt idx="0">
                  <c:v>-2</c:v>
                </c:pt>
                <c:pt idx="1">
                  <c:v>3</c:v>
                </c:pt>
                <c:pt idx="2">
                  <c:v>0</c:v>
                </c:pt>
                <c:pt idx="3">
                  <c:v>-2</c:v>
                </c:pt>
                <c:pt idx="4">
                  <c:v>7</c:v>
                </c:pt>
                <c:pt idx="5">
                  <c:v>14</c:v>
                </c:pt>
                <c:pt idx="6">
                  <c:v>-20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E-4A1C-82CC-FF921E9A3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248"/>
        <c:axId val="144292608"/>
      </c:barChart>
      <c:catAx>
        <c:axId val="14443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29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29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'26'!$I$2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'26'!$I$4:$I$12</c:f>
              <c:numCache>
                <c:formatCode>General</c:formatCode>
                <c:ptCount val="9"/>
                <c:pt idx="0">
                  <c:v>20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38</c:v>
                </c:pt>
                <c:pt idx="6">
                  <c:v>4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E2C-8B6A-6B86F0F1DBF5}"/>
            </c:ext>
          </c:extLst>
        </c:ser>
        <c:ser>
          <c:idx val="1"/>
          <c:order val="1"/>
          <c:tx>
            <c:strRef>
              <c:f>'26'!$J$2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'26'!$J$4:$J$12</c:f>
              <c:numCache>
                <c:formatCode>General</c:formatCode>
                <c:ptCount val="9"/>
                <c:pt idx="0">
                  <c:v>18</c:v>
                </c:pt>
                <c:pt idx="1">
                  <c:v>10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32</c:v>
                </c:pt>
                <c:pt idx="6">
                  <c:v>9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B-4E2C-8B6A-6B86F0F1DBF5}"/>
            </c:ext>
          </c:extLst>
        </c:ser>
        <c:ser>
          <c:idx val="2"/>
          <c:order val="2"/>
          <c:tx>
            <c:strRef>
              <c:f>'26'!$K$2</c:f>
              <c:strCache>
                <c:ptCount val="1"/>
                <c:pt idx="0">
                  <c:v>Magda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'26'!$K$4:$K$12</c:f>
              <c:numCache>
                <c:formatCode>General</c:formatCode>
                <c:ptCount val="9"/>
                <c:pt idx="0">
                  <c:v>24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B-4E2C-8B6A-6B86F0F1DBF5}"/>
            </c:ext>
          </c:extLst>
        </c:ser>
        <c:ser>
          <c:idx val="3"/>
          <c:order val="3"/>
          <c:tx>
            <c:strRef>
              <c:f>'26'!$L$2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'26'!$H$4:$H$12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'26'!$L$4:$L$12</c:f>
              <c:numCache>
                <c:formatCode>General</c:formatCode>
                <c:ptCount val="9"/>
                <c:pt idx="0">
                  <c:v>22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24</c:v>
                </c:pt>
                <c:pt idx="6">
                  <c:v>24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B-4E2C-8B6A-6B86F0F1D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37760"/>
        <c:axId val="144474688"/>
      </c:barChart>
      <c:catAx>
        <c:axId val="1444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7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maciek!$H$4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maciek!$I$4:$L$4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9-42FE-9522-5752CD388BD0}"/>
            </c:ext>
          </c:extLst>
        </c:ser>
        <c:ser>
          <c:idx val="1"/>
          <c:order val="1"/>
          <c:tx>
            <c:strRef>
              <c:f>maciek!$H$5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9-42FE-9522-5752CD388BD0}"/>
            </c:ext>
          </c:extLst>
        </c:ser>
        <c:ser>
          <c:idx val="2"/>
          <c:order val="2"/>
          <c:tx>
            <c:strRef>
              <c:f>maciek!$H$6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9-42FE-9522-5752CD388BD0}"/>
            </c:ext>
          </c:extLst>
        </c:ser>
        <c:ser>
          <c:idx val="3"/>
          <c:order val="3"/>
          <c:tx>
            <c:strRef>
              <c:f>maciek!$H$7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99-42FE-9522-5752CD388BD0}"/>
            </c:ext>
          </c:extLst>
        </c:ser>
        <c:ser>
          <c:idx val="4"/>
          <c:order val="4"/>
          <c:tx>
            <c:strRef>
              <c:f>maciek!$H$8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99-42FE-9522-5752CD388BD0}"/>
            </c:ext>
          </c:extLst>
        </c:ser>
        <c:ser>
          <c:idx val="5"/>
          <c:order val="5"/>
          <c:tx>
            <c:strRef>
              <c:f>maciek!$H$9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maciek!$I$9:$L$9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99-42FE-9522-5752CD388BD0}"/>
            </c:ext>
          </c:extLst>
        </c:ser>
        <c:ser>
          <c:idx val="6"/>
          <c:order val="6"/>
          <c:tx>
            <c:strRef>
              <c:f>maciek!$H$10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maciek!$I$10:$L$10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99-42FE-9522-5752CD388BD0}"/>
            </c:ext>
          </c:extLst>
        </c:ser>
        <c:ser>
          <c:idx val="7"/>
          <c:order val="7"/>
          <c:tx>
            <c:strRef>
              <c:f>maciek!$H$11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maciek!$I$11:$L$11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99-42FE-9522-5752CD388BD0}"/>
            </c:ext>
          </c:extLst>
        </c:ser>
        <c:ser>
          <c:idx val="8"/>
          <c:order val="8"/>
          <c:tx>
            <c:strRef>
              <c:f>maciek!$H$12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99-42FE-9522-5752CD388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439296"/>
        <c:axId val="144476992"/>
      </c:barChart>
      <c:catAx>
        <c:axId val="14443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3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maciek!$H$4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maciek!$I$4:$L$4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36E-BAD8-2832A2C047D7}"/>
            </c:ext>
          </c:extLst>
        </c:ser>
        <c:ser>
          <c:idx val="1"/>
          <c:order val="1"/>
          <c:tx>
            <c:strRef>
              <c:f>maciek!$H$5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maciek!$I$5:$L$5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1-436E-BAD8-2832A2C047D7}"/>
            </c:ext>
          </c:extLst>
        </c:ser>
        <c:ser>
          <c:idx val="2"/>
          <c:order val="2"/>
          <c:tx>
            <c:strRef>
              <c:f>maciek!$H$6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1-436E-BAD8-2832A2C047D7}"/>
            </c:ext>
          </c:extLst>
        </c:ser>
        <c:ser>
          <c:idx val="3"/>
          <c:order val="3"/>
          <c:tx>
            <c:strRef>
              <c:f>maciek!$H$7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1-436E-BAD8-2832A2C047D7}"/>
            </c:ext>
          </c:extLst>
        </c:ser>
        <c:ser>
          <c:idx val="4"/>
          <c:order val="4"/>
          <c:tx>
            <c:strRef>
              <c:f>maciek!$H$8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1-436E-BAD8-2832A2C047D7}"/>
            </c:ext>
          </c:extLst>
        </c:ser>
        <c:ser>
          <c:idx val="5"/>
          <c:order val="5"/>
          <c:tx>
            <c:strRef>
              <c:f>maciek!$H$9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maciek!$I$9:$L$9</c:f>
              <c:numCache>
                <c:formatCode>General</c:formatCode>
                <c:ptCount val="4"/>
                <c:pt idx="0">
                  <c:v>34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1-436E-BAD8-2832A2C047D7}"/>
            </c:ext>
          </c:extLst>
        </c:ser>
        <c:ser>
          <c:idx val="6"/>
          <c:order val="6"/>
          <c:tx>
            <c:strRef>
              <c:f>maciek!$H$10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maciek!$I$10:$L$10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1-436E-BAD8-2832A2C047D7}"/>
            </c:ext>
          </c:extLst>
        </c:ser>
        <c:ser>
          <c:idx val="7"/>
          <c:order val="7"/>
          <c:tx>
            <c:strRef>
              <c:f>maciek!$H$11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maciek!$I$11:$L$11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1-436E-BAD8-2832A2C047D7}"/>
            </c:ext>
          </c:extLst>
        </c:ser>
        <c:ser>
          <c:idx val="8"/>
          <c:order val="8"/>
          <c:tx>
            <c:strRef>
              <c:f>maciek!$H$12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maciek!$I$2:$L$2</c:f>
              <c:strCache>
                <c:ptCount val="4"/>
                <c:pt idx="0">
                  <c:v>Mateusz</c:v>
                </c:pt>
                <c:pt idx="1">
                  <c:v>Maciek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maciek!$I$12:$L$12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1-436E-BAD8-2832A2C0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23552"/>
        <c:axId val="144479296"/>
      </c:barChart>
      <c:catAx>
        <c:axId val="140823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7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79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082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296836388293785E-2"/>
          <c:y val="6.8965600183767156E-2"/>
          <c:w val="0.80288015953782477"/>
          <c:h val="0.80788274500984381"/>
        </c:manualLayout>
      </c:layout>
      <c:lineChart>
        <c:grouping val="standard"/>
        <c:varyColors val="0"/>
        <c:ser>
          <c:idx val="0"/>
          <c:order val="0"/>
          <c:tx>
            <c:strRef>
              <c:f>Arkusz1!$AE$59</c:f>
              <c:strCache>
                <c:ptCount val="1"/>
                <c:pt idx="0">
                  <c:v>Mateusz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00FF0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val>
            <c:numRef>
              <c:f>Arkusz1!$AE$61:$AE$94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A-4A54-9460-FCEA390BC893}"/>
            </c:ext>
          </c:extLst>
        </c:ser>
        <c:ser>
          <c:idx val="1"/>
          <c:order val="1"/>
          <c:tx>
            <c:strRef>
              <c:f>Arkusz1!$AF$59</c:f>
              <c:strCache>
                <c:ptCount val="1"/>
                <c:pt idx="0">
                  <c:v>Marcin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FF99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Pt>
            <c:idx val="1"/>
            <c:marker>
              <c:spPr>
                <a:noFill/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9A-4A54-9460-FCEA390BC893}"/>
              </c:ext>
            </c:extLst>
          </c:dPt>
          <c:dPt>
            <c:idx val="2"/>
            <c:marker>
              <c:spPr>
                <a:noFill/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9A-4A54-9460-FCEA390BC893}"/>
              </c:ext>
            </c:extLst>
          </c:dPt>
          <c:dPt>
            <c:idx val="4"/>
            <c:marker>
              <c:spPr>
                <a:noFill/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99A-4A54-9460-FCEA390BC893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B99A-4A54-9460-FCEA390BC89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B99A-4A54-9460-FCEA390BC893}"/>
              </c:ext>
            </c:extLst>
          </c:dPt>
          <c:dPt>
            <c:idx val="1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B99A-4A54-9460-FCEA390BC893}"/>
              </c:ext>
            </c:extLst>
          </c:dPt>
          <c:dPt>
            <c:idx val="1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B99A-4A54-9460-FCEA390BC89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B99A-4A54-9460-FCEA390BC893}"/>
              </c:ext>
            </c:extLst>
          </c:dPt>
          <c:dPt>
            <c:idx val="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B99A-4A54-9460-FCEA390BC89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B99A-4A54-9460-FCEA390BC893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B99A-4A54-9460-FCEA390BC893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B99A-4A54-9460-FCEA390BC893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5CFB-4344-9230-B53898B2036A}"/>
              </c:ext>
            </c:extLst>
          </c:dPt>
          <c:val>
            <c:numRef>
              <c:f>Arkusz1!$AF$61:$AF$94</c:f>
              <c:numCache>
                <c:formatCode>General</c:formatCode>
                <c:ptCount val="34"/>
                <c:pt idx="0">
                  <c:v>2</c:v>
                </c:pt>
                <c:pt idx="1">
                  <c:v>2.335</c:v>
                </c:pt>
                <c:pt idx="2">
                  <c:v>2.6666666000000001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2.6666666000000001</c:v>
                </c:pt>
                <c:pt idx="9">
                  <c:v>2.3333333000000001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1</c:v>
                </c:pt>
                <c:pt idx="18">
                  <c:v>2.5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2.5</c:v>
                </c:pt>
                <c:pt idx="31">
                  <c:v>2</c:v>
                </c:pt>
                <c:pt idx="32">
                  <c:v>2.5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99A-4A54-9460-FCEA390BC893}"/>
            </c:ext>
          </c:extLst>
        </c:ser>
        <c:ser>
          <c:idx val="2"/>
          <c:order val="2"/>
          <c:tx>
            <c:strRef>
              <c:f>Arkusz1!$AG$59</c:f>
              <c:strCache>
                <c:ptCount val="1"/>
                <c:pt idx="0">
                  <c:v>Justyna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00FF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B99A-4A54-9460-FCEA390BC893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B99A-4A54-9460-FCEA390BC893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B99A-4A54-9460-FCEA390BC893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B99A-4A54-9460-FCEA390BC893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B99A-4A54-9460-FCEA390BC893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B99A-4A54-9460-FCEA390BC893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B99A-4A54-9460-FCEA390BC893}"/>
              </c:ext>
            </c:extLst>
          </c:dPt>
          <c:val>
            <c:numRef>
              <c:f>Arkusz1!$AG$61:$AG$94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2.6666666666666665</c:v>
                </c:pt>
                <c:pt idx="16">
                  <c:v>2.333333333333333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2.6666666666666665</c:v>
                </c:pt>
                <c:pt idx="30">
                  <c:v>3.333333333333333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99A-4A54-9460-FCEA390BC893}"/>
            </c:ext>
          </c:extLst>
        </c:ser>
        <c:ser>
          <c:idx val="3"/>
          <c:order val="3"/>
          <c:tx>
            <c:strRef>
              <c:f>Arkusz1!$AH$59</c:f>
              <c:strCache>
                <c:ptCount val="1"/>
                <c:pt idx="0">
                  <c:v>Agnieszka</c:v>
                </c:pt>
              </c:strCache>
            </c:strRef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CC99FF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Pt>
            <c:idx val="4"/>
            <c:marker>
              <c:spPr>
                <a:noFill/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B99A-4A54-9460-FCEA390BC893}"/>
              </c:ext>
            </c:extLst>
          </c:dPt>
          <c:dPt>
            <c:idx val="5"/>
            <c:marker>
              <c:spPr>
                <a:noFill/>
                <a:ln w="952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B99A-4A54-9460-FCEA390BC893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8-B99A-4A54-9460-FCEA390BC893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B99A-4A54-9460-FCEA390BC893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B99A-4A54-9460-FCEA390BC893}"/>
              </c:ext>
            </c:extLst>
          </c:dPt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B-B99A-4A54-9460-FCEA390BC89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C-B99A-4A54-9460-FCEA390BC893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B99A-4A54-9460-FCEA390BC893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E-B99A-4A54-9460-FCEA390BC893}"/>
              </c:ext>
            </c:extLst>
          </c:dPt>
          <c:dPt>
            <c:idx val="3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5CFB-4344-9230-B53898B2036A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5CFB-4344-9230-B53898B2036A}"/>
              </c:ext>
            </c:extLst>
          </c:dPt>
          <c:val>
            <c:numRef>
              <c:f>Arkusz1!$AH$61:$AH$94</c:f>
              <c:numCache>
                <c:formatCode>General</c:formatCode>
                <c:ptCount val="34"/>
                <c:pt idx="3">
                  <c:v>4</c:v>
                </c:pt>
                <c:pt idx="4">
                  <c:v>3.6666599999999998</c:v>
                </c:pt>
                <c:pt idx="5">
                  <c:v>3.3332999999999999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3.7530000000000001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99A-4A54-9460-FCEA390BC893}"/>
            </c:ext>
          </c:extLst>
        </c:ser>
        <c:ser>
          <c:idx val="4"/>
          <c:order val="4"/>
          <c:tx>
            <c:strRef>
              <c:f>Arkusz1!$AI$59</c:f>
              <c:strCache>
                <c:ptCount val="1"/>
                <c:pt idx="0">
                  <c:v>Dominika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9933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B99A-4A54-9460-FCEA390BC893}"/>
              </c:ext>
            </c:extLst>
          </c:dPt>
          <c:dPt>
            <c:idx val="2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B99A-4A54-9460-FCEA390BC893}"/>
              </c:ext>
            </c:extLst>
          </c:dPt>
          <c:dPt>
            <c:idx val="2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2-B99A-4A54-9460-FCEA390BC893}"/>
              </c:ext>
            </c:extLst>
          </c:dPt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3-B99A-4A54-9460-FCEA390BC893}"/>
              </c:ext>
            </c:extLst>
          </c:dPt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4-B99A-4A54-9460-FCEA390BC893}"/>
              </c:ext>
            </c:extLst>
          </c:dPt>
          <c:dPt>
            <c:idx val="2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5-B99A-4A54-9460-FCEA390BC893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6-B99A-4A54-9460-FCEA390BC893}"/>
              </c:ext>
            </c:extLst>
          </c:dPt>
          <c:dPt>
            <c:idx val="2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7-B99A-4A54-9460-FCEA390BC893}"/>
              </c:ext>
            </c:extLst>
          </c:dPt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8-B99A-4A54-9460-FCEA390BC893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9-B99A-4A54-9460-FCEA390BC893}"/>
              </c:ext>
            </c:extLst>
          </c:dPt>
          <c:val>
            <c:numRef>
              <c:f>Arkusz1!$AI$61:$AI$94</c:f>
              <c:numCache>
                <c:formatCode>General</c:formatCode>
                <c:ptCount val="34"/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B99A-4A54-9460-FCEA390BC893}"/>
            </c:ext>
          </c:extLst>
        </c:ser>
        <c:ser>
          <c:idx val="5"/>
          <c:order val="5"/>
          <c:tx>
            <c:strRef>
              <c:f>Arkusz1!$AJ$59</c:f>
              <c:strCache>
                <c:ptCount val="1"/>
                <c:pt idx="0">
                  <c:v>Magda</c:v>
                </c:pt>
              </c:strCache>
            </c:strRef>
          </c:tx>
          <c:spPr>
            <a:ln w="38100">
              <a:solidFill>
                <a:srgbClr val="FFC000"/>
              </a:solidFill>
              <a:prstDash val="solid"/>
            </a:ln>
          </c:spPr>
          <c:marker>
            <c:symbol val="circle"/>
            <c:size val="15"/>
            <c:spPr>
              <a:solidFill>
                <a:srgbClr val="FFFF00"/>
              </a:solidFill>
              <a:ln>
                <a:solidFill>
                  <a:srgbClr val="FFC000"/>
                </a:solidFill>
                <a:prstDash val="solid"/>
              </a:ln>
            </c:spPr>
          </c:marker>
          <c:val>
            <c:numRef>
              <c:f>Arkusz1!$AJ$61:$AJ$94</c:f>
              <c:numCache>
                <c:formatCode>General</c:formatCode>
                <c:ptCount val="34"/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B99A-4A54-9460-FCEA390BC893}"/>
            </c:ext>
          </c:extLst>
        </c:ser>
        <c:ser>
          <c:idx val="6"/>
          <c:order val="6"/>
          <c:tx>
            <c:strRef>
              <c:f>Arkusz1!$AK$59</c:f>
              <c:strCache>
                <c:ptCount val="1"/>
                <c:pt idx="0">
                  <c:v>Agnieszka P.</c:v>
                </c:pt>
              </c:strCache>
            </c:strRef>
          </c:tx>
          <c:spPr>
            <a:ln>
              <a:solidFill>
                <a:srgbClr val="FF0066"/>
              </a:solidFill>
            </a:ln>
          </c:spPr>
          <c:marker>
            <c:symbol val="circle"/>
            <c:size val="15"/>
            <c:spPr>
              <a:solidFill>
                <a:srgbClr val="FF0066"/>
              </a:solidFill>
              <a:ln>
                <a:solidFill>
                  <a:srgbClr val="CC0066"/>
                </a:solidFill>
              </a:ln>
            </c:spPr>
          </c:marker>
          <c:val>
            <c:numRef>
              <c:f>Arkusz1!$AK$61:$AK$94</c:f>
              <c:numCache>
                <c:formatCode>General</c:formatCode>
                <c:ptCount val="34"/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B99A-4A54-9460-FCEA390BC893}"/>
            </c:ext>
          </c:extLst>
        </c:ser>
        <c:ser>
          <c:idx val="7"/>
          <c:order val="7"/>
          <c:tx>
            <c:strRef>
              <c:f>Arkusz1!$AL$59</c:f>
              <c:strCache>
                <c:ptCount val="1"/>
                <c:pt idx="0">
                  <c:v>Michał</c:v>
                </c:pt>
              </c:strCache>
            </c:strRef>
          </c:tx>
          <c:marker>
            <c:symbol val="circle"/>
            <c:size val="15"/>
            <c:spPr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val>
            <c:numRef>
              <c:f>Arkusz1!$AL$61:$AL$94</c:f>
              <c:numCache>
                <c:formatCode>General</c:formatCode>
                <c:ptCount val="34"/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B99A-4A54-9460-FCEA390BC893}"/>
            </c:ext>
          </c:extLst>
        </c:ser>
        <c:ser>
          <c:idx val="8"/>
          <c:order val="8"/>
          <c:tx>
            <c:strRef>
              <c:f>Arkusz1!$AM$59</c:f>
              <c:strCache>
                <c:ptCount val="1"/>
                <c:pt idx="0">
                  <c:v>Maciek T.</c:v>
                </c:pt>
              </c:strCache>
            </c:strRef>
          </c:tx>
          <c:marker>
            <c:symbol val="circle"/>
            <c:size val="15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dPt>
            <c:idx val="32"/>
            <c:bubble3D val="0"/>
            <c:extLst>
              <c:ext xmlns:c16="http://schemas.microsoft.com/office/drawing/2014/chart" uri="{C3380CC4-5D6E-409C-BE32-E72D297353CC}">
                <c16:uniqueId val="{0000002E-B99A-4A54-9460-FCEA390BC893}"/>
              </c:ext>
            </c:extLst>
          </c:dPt>
          <c:val>
            <c:numRef>
              <c:f>Arkusz1!$AM$61:$AM$94</c:f>
              <c:numCache>
                <c:formatCode>General</c:formatCode>
                <c:ptCount val="34"/>
                <c:pt idx="3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B99A-4A54-9460-FCEA390BC893}"/>
            </c:ext>
          </c:extLst>
        </c:ser>
        <c:ser>
          <c:idx val="9"/>
          <c:order val="9"/>
          <c:tx>
            <c:strRef>
              <c:f>Arkusz1!$AN$59</c:f>
              <c:strCache>
                <c:ptCount val="1"/>
                <c:pt idx="0">
                  <c:v>Ela</c:v>
                </c:pt>
              </c:strCache>
            </c:strRef>
          </c:tx>
          <c:marker>
            <c:symbol val="circle"/>
            <c:size val="15"/>
            <c:spPr>
              <a:ln>
                <a:solidFill>
                  <a:schemeClr val="accent4">
                    <a:lumMod val="50000"/>
                  </a:schemeClr>
                </a:solidFill>
              </a:ln>
            </c:spPr>
          </c:marker>
          <c:val>
            <c:numRef>
              <c:f>Arkusz1!$AN$61:$AN$94</c:f>
              <c:numCache>
                <c:formatCode>General</c:formatCode>
                <c:ptCount val="34"/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B99A-4A54-9460-FCEA390BC893}"/>
            </c:ext>
          </c:extLst>
        </c:ser>
        <c:ser>
          <c:idx val="10"/>
          <c:order val="10"/>
          <c:tx>
            <c:strRef>
              <c:f>Arkusz1!$AO$59</c:f>
              <c:strCache>
                <c:ptCount val="1"/>
                <c:pt idx="0">
                  <c:v>Damian</c:v>
                </c:pt>
              </c:strCache>
            </c:strRef>
          </c:tx>
          <c:marker>
            <c:symbol val="circle"/>
            <c:size val="15"/>
            <c:spPr>
              <a:ln>
                <a:solidFill>
                  <a:schemeClr val="accent5">
                    <a:lumMod val="50000"/>
                  </a:schemeClr>
                </a:solidFill>
              </a:ln>
            </c:spPr>
          </c:marker>
          <c:val>
            <c:numRef>
              <c:f>Arkusz1!$AO$61:$AO$94</c:f>
              <c:numCache>
                <c:formatCode>General</c:formatCode>
                <c:ptCount val="34"/>
                <c:pt idx="1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B99A-4A54-9460-FCEA390BC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0768"/>
        <c:axId val="95828736"/>
      </c:lineChart>
      <c:catAx>
        <c:axId val="10096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95828736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95828736"/>
        <c:scaling>
          <c:orientation val="maxMin"/>
          <c:max val="4"/>
          <c:min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00960768"/>
        <c:crosses val="autoZero"/>
        <c:crossBetween val="midCat"/>
        <c:maj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5862668329244"/>
          <c:y val="0.29556676105142027"/>
          <c:w val="9.4363381214345204E-2"/>
          <c:h val="0.615144643018322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maciek!$B$23:$B$31</c:f>
              <c:numCache>
                <c:formatCode>\+General;\-General;0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34</c:v>
                </c:pt>
                <c:pt idx="6">
                  <c:v>4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7-47F6-ACDF-673ED860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40832"/>
        <c:axId val="144481600"/>
      </c:barChart>
      <c:catAx>
        <c:axId val="14444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81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48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44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maciek!$I$2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maciek!$I$4:$I$12</c:f>
              <c:numCache>
                <c:formatCode>General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34</c:v>
                </c:pt>
                <c:pt idx="6">
                  <c:v>4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C26-93EB-3EF6004D4F97}"/>
            </c:ext>
          </c:extLst>
        </c:ser>
        <c:ser>
          <c:idx val="1"/>
          <c:order val="1"/>
          <c:tx>
            <c:strRef>
              <c:f>maciek!$J$2</c:f>
              <c:strCache>
                <c:ptCount val="1"/>
                <c:pt idx="0">
                  <c:v>Maciek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maciek!$J$4:$J$12</c:f>
              <c:numCache>
                <c:formatCode>General</c:formatCode>
                <c:ptCount val="9"/>
                <c:pt idx="0">
                  <c:v>17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35</c:v>
                </c:pt>
                <c:pt idx="6">
                  <c:v>0</c:v>
                </c:pt>
                <c:pt idx="7">
                  <c:v>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C26-93EB-3EF6004D4F97}"/>
            </c:ext>
          </c:extLst>
        </c:ser>
        <c:ser>
          <c:idx val="2"/>
          <c:order val="2"/>
          <c:tx>
            <c:strRef>
              <c:f>maciek!$K$2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maciek!$K$4:$K$12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C26-93EB-3EF6004D4F97}"/>
            </c:ext>
          </c:extLst>
        </c:ser>
        <c:ser>
          <c:idx val="3"/>
          <c:order val="3"/>
          <c:tx>
            <c:strRef>
              <c:f>maciek!$L$2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maciek!$H$4:$H$12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maciek!$L$4:$L$12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C26-93EB-3EF6004D4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592320"/>
        <c:axId val="145294464"/>
      </c:barChart>
      <c:catAx>
        <c:axId val="1455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5294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9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55923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'27'!$H$4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'27'!$I$4:$L$4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25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B-49C7-B019-DE76E9C732FF}"/>
            </c:ext>
          </c:extLst>
        </c:ser>
        <c:ser>
          <c:idx val="1"/>
          <c:order val="1"/>
          <c:tx>
            <c:strRef>
              <c:f>'27'!$H$5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4B-49C7-B019-DE76E9C732FF}"/>
            </c:ext>
          </c:extLst>
        </c:ser>
        <c:ser>
          <c:idx val="2"/>
          <c:order val="2"/>
          <c:tx>
            <c:strRef>
              <c:f>'27'!$H$6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'27'!$I$6:$L$6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4B-49C7-B019-DE76E9C732FF}"/>
            </c:ext>
          </c:extLst>
        </c:ser>
        <c:ser>
          <c:idx val="3"/>
          <c:order val="3"/>
          <c:tx>
            <c:strRef>
              <c:f>'27'!$H$7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4B-49C7-B019-DE76E9C732FF}"/>
            </c:ext>
          </c:extLst>
        </c:ser>
        <c:ser>
          <c:idx val="4"/>
          <c:order val="4"/>
          <c:tx>
            <c:strRef>
              <c:f>'27'!$H$8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4B-49C7-B019-DE76E9C732FF}"/>
            </c:ext>
          </c:extLst>
        </c:ser>
        <c:ser>
          <c:idx val="5"/>
          <c:order val="5"/>
          <c:tx>
            <c:strRef>
              <c:f>'27'!$H$9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'27'!$I$9:$L$9</c:f>
              <c:numCache>
                <c:formatCode>General</c:formatCode>
                <c:ptCount val="4"/>
                <c:pt idx="0">
                  <c:v>45</c:v>
                </c:pt>
                <c:pt idx="1">
                  <c:v>27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4B-49C7-B019-DE76E9C732FF}"/>
            </c:ext>
          </c:extLst>
        </c:ser>
        <c:ser>
          <c:idx val="6"/>
          <c:order val="6"/>
          <c:tx>
            <c:strRef>
              <c:f>'27'!$H$10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'27'!$I$10:$L$10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4B-49C7-B019-DE76E9C732FF}"/>
            </c:ext>
          </c:extLst>
        </c:ser>
        <c:ser>
          <c:idx val="7"/>
          <c:order val="7"/>
          <c:tx>
            <c:strRef>
              <c:f>'27'!$H$11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'27'!$I$11:$L$11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4B-49C7-B019-DE76E9C732FF}"/>
            </c:ext>
          </c:extLst>
        </c:ser>
        <c:ser>
          <c:idx val="8"/>
          <c:order val="8"/>
          <c:tx>
            <c:strRef>
              <c:f>'27'!$H$12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4B-49C7-B019-DE76E9C73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94368"/>
        <c:axId val="145296768"/>
      </c:barChart>
      <c:catAx>
        <c:axId val="14559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5296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96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5594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'27'!$H$4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'27'!$I$4:$L$4</c:f>
              <c:numCache>
                <c:formatCode>General</c:formatCode>
                <c:ptCount val="4"/>
                <c:pt idx="0">
                  <c:v>3</c:v>
                </c:pt>
                <c:pt idx="1">
                  <c:v>17</c:v>
                </c:pt>
                <c:pt idx="2">
                  <c:v>25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0-4B2A-8568-FF901A99E844}"/>
            </c:ext>
          </c:extLst>
        </c:ser>
        <c:ser>
          <c:idx val="1"/>
          <c:order val="1"/>
          <c:tx>
            <c:strRef>
              <c:f>'27'!$H$5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'27'!$I$5:$L$5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0-4B2A-8568-FF901A99E844}"/>
            </c:ext>
          </c:extLst>
        </c:ser>
        <c:ser>
          <c:idx val="2"/>
          <c:order val="2"/>
          <c:tx>
            <c:strRef>
              <c:f>'27'!$H$6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'27'!$I$6:$L$6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0-4B2A-8568-FF901A99E844}"/>
            </c:ext>
          </c:extLst>
        </c:ser>
        <c:ser>
          <c:idx val="3"/>
          <c:order val="3"/>
          <c:tx>
            <c:strRef>
              <c:f>'27'!$H$7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'27'!$I$7:$L$7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0-4B2A-8568-FF901A99E844}"/>
            </c:ext>
          </c:extLst>
        </c:ser>
        <c:ser>
          <c:idx val="4"/>
          <c:order val="4"/>
          <c:tx>
            <c:strRef>
              <c:f>'27'!$H$8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0-4B2A-8568-FF901A99E844}"/>
            </c:ext>
          </c:extLst>
        </c:ser>
        <c:ser>
          <c:idx val="5"/>
          <c:order val="5"/>
          <c:tx>
            <c:strRef>
              <c:f>'27'!$H$9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'27'!$I$9:$L$9</c:f>
              <c:numCache>
                <c:formatCode>General</c:formatCode>
                <c:ptCount val="4"/>
                <c:pt idx="0">
                  <c:v>45</c:v>
                </c:pt>
                <c:pt idx="1">
                  <c:v>27</c:v>
                </c:pt>
                <c:pt idx="2">
                  <c:v>17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B0-4B2A-8568-FF901A99E844}"/>
            </c:ext>
          </c:extLst>
        </c:ser>
        <c:ser>
          <c:idx val="6"/>
          <c:order val="6"/>
          <c:tx>
            <c:strRef>
              <c:f>'27'!$H$10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'27'!$I$10:$L$10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0-4B2A-8568-FF901A99E844}"/>
            </c:ext>
          </c:extLst>
        </c:ser>
        <c:ser>
          <c:idx val="7"/>
          <c:order val="7"/>
          <c:tx>
            <c:strRef>
              <c:f>'27'!$H$11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'27'!$I$11:$L$11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0-4B2A-8568-FF901A99E844}"/>
            </c:ext>
          </c:extLst>
        </c:ser>
        <c:ser>
          <c:idx val="8"/>
          <c:order val="8"/>
          <c:tx>
            <c:strRef>
              <c:f>'27'!$H$12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Magda</c:v>
                </c:pt>
                <c:pt idx="3">
                  <c:v>Agnieszka</c:v>
                </c:pt>
              </c:strCache>
            </c:strRef>
          </c:cat>
          <c:val>
            <c:numRef>
              <c:f>'27'!$I$12:$L$12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B0-4B2A-8568-FF901A99E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46848"/>
        <c:axId val="145299072"/>
      </c:barChart>
      <c:catAx>
        <c:axId val="1448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5299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5299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846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'27'!$B$23:$B$31</c:f>
              <c:numCache>
                <c:formatCode>\+General;\-General;0</c:formatCode>
                <c:ptCount val="9"/>
                <c:pt idx="0">
                  <c:v>-14</c:v>
                </c:pt>
                <c:pt idx="1">
                  <c:v>6</c:v>
                </c:pt>
                <c:pt idx="2">
                  <c:v>0</c:v>
                </c:pt>
                <c:pt idx="3">
                  <c:v>-2</c:v>
                </c:pt>
                <c:pt idx="4">
                  <c:v>7</c:v>
                </c:pt>
                <c:pt idx="5">
                  <c:v>18</c:v>
                </c:pt>
                <c:pt idx="6">
                  <c:v>6</c:v>
                </c:pt>
                <c:pt idx="7">
                  <c:v>-15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46D5-8D5E-1F2747FD2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47360"/>
        <c:axId val="144826368"/>
      </c:barChart>
      <c:catAx>
        <c:axId val="1448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826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2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847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'27'!$I$2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'27'!$I$4:$I$12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  <c:pt idx="4">
                  <c:v>7</c:v>
                </c:pt>
                <c:pt idx="5">
                  <c:v>45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A-4FE1-AD99-0873E15BA2EA}"/>
            </c:ext>
          </c:extLst>
        </c:ser>
        <c:ser>
          <c:idx val="1"/>
          <c:order val="1"/>
          <c:tx>
            <c:strRef>
              <c:f>'27'!$J$2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'27'!$J$4:$J$12</c:f>
              <c:numCache>
                <c:formatCode>General</c:formatCode>
                <c:ptCount val="9"/>
                <c:pt idx="0">
                  <c:v>17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27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0A-4FE1-AD99-0873E15BA2EA}"/>
            </c:ext>
          </c:extLst>
        </c:ser>
        <c:ser>
          <c:idx val="2"/>
          <c:order val="2"/>
          <c:tx>
            <c:strRef>
              <c:f>'27'!$K$2</c:f>
              <c:strCache>
                <c:ptCount val="1"/>
                <c:pt idx="0">
                  <c:v>Magda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'27'!$K$4:$K$12</c:f>
              <c:numCache>
                <c:formatCode>General</c:formatCode>
                <c:ptCount val="9"/>
                <c:pt idx="0">
                  <c:v>25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  <c:pt idx="6">
                  <c:v>4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A-4FE1-AD99-0873E15BA2EA}"/>
            </c:ext>
          </c:extLst>
        </c:ser>
        <c:ser>
          <c:idx val="3"/>
          <c:order val="3"/>
          <c:tx>
            <c:strRef>
              <c:f>'27'!$L$2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'27'!$H$4:$H$12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'27'!$L$4:$L$12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20</c:v>
                </c:pt>
                <c:pt idx="6">
                  <c:v>13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A-4FE1-AD99-0873E15BA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847872"/>
        <c:axId val="144828096"/>
      </c:barChart>
      <c:catAx>
        <c:axId val="1448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828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48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4484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'28'!$H$4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'28'!$I$4:$L$4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4B88-B2BB-5A2D68A76096}"/>
            </c:ext>
          </c:extLst>
        </c:ser>
        <c:ser>
          <c:idx val="1"/>
          <c:order val="1"/>
          <c:tx>
            <c:strRef>
              <c:f>'28'!$H$5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'28'!$I$5:$L$5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8-4B88-B2BB-5A2D68A76096}"/>
            </c:ext>
          </c:extLst>
        </c:ser>
        <c:ser>
          <c:idx val="2"/>
          <c:order val="2"/>
          <c:tx>
            <c:strRef>
              <c:f>'28'!$H$6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8-4B88-B2BB-5A2D68A76096}"/>
            </c:ext>
          </c:extLst>
        </c:ser>
        <c:ser>
          <c:idx val="3"/>
          <c:order val="3"/>
          <c:tx>
            <c:strRef>
              <c:f>'28'!$H$7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'28'!$I$7:$L$7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8-4B88-B2BB-5A2D68A76096}"/>
            </c:ext>
          </c:extLst>
        </c:ser>
        <c:ser>
          <c:idx val="4"/>
          <c:order val="4"/>
          <c:tx>
            <c:strRef>
              <c:f>'28'!$H$8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8-4B88-B2BB-5A2D68A76096}"/>
            </c:ext>
          </c:extLst>
        </c:ser>
        <c:ser>
          <c:idx val="5"/>
          <c:order val="5"/>
          <c:tx>
            <c:strRef>
              <c:f>'28'!$H$9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'28'!$I$9:$L$9</c:f>
              <c:numCache>
                <c:formatCode>General</c:formatCode>
                <c:ptCount val="4"/>
                <c:pt idx="0">
                  <c:v>40</c:v>
                </c:pt>
                <c:pt idx="1">
                  <c:v>28</c:v>
                </c:pt>
                <c:pt idx="2">
                  <c:v>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8-4B88-B2BB-5A2D68A76096}"/>
            </c:ext>
          </c:extLst>
        </c:ser>
        <c:ser>
          <c:idx val="6"/>
          <c:order val="6"/>
          <c:tx>
            <c:strRef>
              <c:f>'28'!$H$10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'28'!$I$10:$L$10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8-4B88-B2BB-5A2D68A76096}"/>
            </c:ext>
          </c:extLst>
        </c:ser>
        <c:ser>
          <c:idx val="7"/>
          <c:order val="7"/>
          <c:tx>
            <c:strRef>
              <c:f>'28'!$H$11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'28'!$I$11:$L$11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78-4B88-B2BB-5A2D68A76096}"/>
            </c:ext>
          </c:extLst>
        </c:ser>
        <c:ser>
          <c:idx val="8"/>
          <c:order val="8"/>
          <c:tx>
            <c:strRef>
              <c:f>'28'!$H$12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78-4B88-B2BB-5A2D68A76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316992"/>
        <c:axId val="159499968"/>
      </c:barChart>
      <c:catAx>
        <c:axId val="1593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9499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499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9316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199107071477327E-2"/>
          <c:y val="5.6053811659192827E-2"/>
          <c:w val="0.61964811728603841"/>
          <c:h val="0.77578475336322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'28'!$H$4</c:f>
              <c:strCache>
                <c:ptCount val="1"/>
                <c:pt idx="0">
                  <c:v>cele + miasta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'28'!$I$4:$L$4</c:f>
              <c:numCache>
                <c:formatCode>General</c:formatCode>
                <c:ptCount val="4"/>
                <c:pt idx="0">
                  <c:v>17</c:v>
                </c:pt>
                <c:pt idx="1">
                  <c:v>3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6-4068-AF64-4E470861C6EB}"/>
            </c:ext>
          </c:extLst>
        </c:ser>
        <c:ser>
          <c:idx val="1"/>
          <c:order val="1"/>
          <c:tx>
            <c:strRef>
              <c:f>'28'!$H$5</c:f>
              <c:strCache>
                <c:ptCount val="1"/>
                <c:pt idx="0">
                  <c:v>pekin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'28'!$I$5:$L$5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6-4068-AF64-4E470861C6EB}"/>
            </c:ext>
          </c:extLst>
        </c:ser>
        <c:ser>
          <c:idx val="2"/>
          <c:order val="2"/>
          <c:tx>
            <c:strRef>
              <c:f>'28'!$H$6</c:f>
              <c:strCache>
                <c:ptCount val="1"/>
                <c:pt idx="0">
                  <c:v>żetony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'28'!$I$6:$L$6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6-4068-AF64-4E470861C6EB}"/>
            </c:ext>
          </c:extLst>
        </c:ser>
        <c:ser>
          <c:idx val="3"/>
          <c:order val="3"/>
          <c:tx>
            <c:strRef>
              <c:f>'28'!$H$7</c:f>
              <c:strCache>
                <c:ptCount val="1"/>
                <c:pt idx="0">
                  <c:v>surowce pekin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'28'!$I$7:$L$7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76-4068-AF64-4E470861C6EB}"/>
            </c:ext>
          </c:extLst>
        </c:ser>
        <c:ser>
          <c:idx val="4"/>
          <c:order val="4"/>
          <c:tx>
            <c:strRef>
              <c:f>'28'!$H$8</c:f>
              <c:strCache>
                <c:ptCount val="1"/>
                <c:pt idx="0">
                  <c:v>max kontraktów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'28'!$I$8:$L$8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6-4068-AF64-4E470861C6EB}"/>
            </c:ext>
          </c:extLst>
        </c:ser>
        <c:ser>
          <c:idx val="5"/>
          <c:order val="5"/>
          <c:tx>
            <c:strRef>
              <c:f>'28'!$H$9</c:f>
              <c:strCache>
                <c:ptCount val="1"/>
                <c:pt idx="0">
                  <c:v>kontrakty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'28'!$I$9:$L$9</c:f>
              <c:numCache>
                <c:formatCode>General</c:formatCode>
                <c:ptCount val="4"/>
                <c:pt idx="0">
                  <c:v>40</c:v>
                </c:pt>
                <c:pt idx="1">
                  <c:v>28</c:v>
                </c:pt>
                <c:pt idx="2">
                  <c:v>7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76-4068-AF64-4E470861C6EB}"/>
            </c:ext>
          </c:extLst>
        </c:ser>
        <c:ser>
          <c:idx val="6"/>
          <c:order val="6"/>
          <c:tx>
            <c:strRef>
              <c:f>'28'!$H$10</c:f>
              <c:strCache>
                <c:ptCount val="1"/>
                <c:pt idx="0">
                  <c:v>karty miast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'28'!$I$10:$L$10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24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76-4068-AF64-4E470861C6EB}"/>
            </c:ext>
          </c:extLst>
        </c:ser>
        <c:ser>
          <c:idx val="7"/>
          <c:order val="7"/>
          <c:tx>
            <c:strRef>
              <c:f>'28'!$H$11</c:f>
              <c:strCache>
                <c:ptCount val="1"/>
                <c:pt idx="0">
                  <c:v>bonus miejski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'28'!$I$11:$L$11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76-4068-AF64-4E470861C6EB}"/>
            </c:ext>
          </c:extLst>
        </c:ser>
        <c:ser>
          <c:idx val="8"/>
          <c:order val="8"/>
          <c:tx>
            <c:strRef>
              <c:f>'28'!$H$12</c:f>
              <c:strCache>
                <c:ptCount val="1"/>
                <c:pt idx="0">
                  <c:v>za domki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'28'!$I$2:$L$2</c:f>
              <c:strCache>
                <c:ptCount val="4"/>
                <c:pt idx="0">
                  <c:v>Mateusz</c:v>
                </c:pt>
                <c:pt idx="1">
                  <c:v>Justyna</c:v>
                </c:pt>
                <c:pt idx="2">
                  <c:v>Marcin</c:v>
                </c:pt>
                <c:pt idx="3">
                  <c:v>Agnieszka</c:v>
                </c:pt>
              </c:strCache>
            </c:strRef>
          </c:cat>
          <c:val>
            <c:numRef>
              <c:f>'28'!$I$12:$L$12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76-4068-AF64-4E470861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63616"/>
        <c:axId val="159502272"/>
      </c:barChart>
      <c:catAx>
        <c:axId val="16126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9502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0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61263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55494952299727"/>
          <c:y val="0.25112107623318386"/>
          <c:w val="0.23929497477802686"/>
          <c:h val="0.385650224215246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122529644268769E-2"/>
          <c:y val="6.6312997347480113E-2"/>
          <c:w val="0.89920948616600793"/>
          <c:h val="0.87002652519893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'28'!$A$23:$A$31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'28'!$B$23:$B$31</c:f>
              <c:numCache>
                <c:formatCode>\+General;\-General;0</c:formatCode>
                <c:ptCount val="9"/>
                <c:pt idx="0">
                  <c:v>-2</c:v>
                </c:pt>
                <c:pt idx="1">
                  <c:v>-3</c:v>
                </c:pt>
                <c:pt idx="2">
                  <c:v>-1</c:v>
                </c:pt>
                <c:pt idx="3">
                  <c:v>1</c:v>
                </c:pt>
                <c:pt idx="4">
                  <c:v>7</c:v>
                </c:pt>
                <c:pt idx="5">
                  <c:v>33</c:v>
                </c:pt>
                <c:pt idx="6">
                  <c:v>-24</c:v>
                </c:pt>
                <c:pt idx="7">
                  <c:v>-15</c:v>
                </c:pt>
                <c:pt idx="8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4128-9752-12A18FF8E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81376"/>
        <c:axId val="159505152"/>
      </c:barChart>
      <c:catAx>
        <c:axId val="15818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9505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505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+General;\-General;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818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40024584170418E-2"/>
          <c:y val="5.5432432520216054E-2"/>
          <c:w val="0.68905640026527581"/>
          <c:h val="0.720621622762808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'28'!$I$2</c:f>
              <c:strCache>
                <c:ptCount val="1"/>
                <c:pt idx="0">
                  <c:v>Mateusz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'28'!$I$4:$I$12</c:f>
              <c:numCache>
                <c:formatCode>General</c:formatCode>
                <c:ptCount val="9"/>
                <c:pt idx="0">
                  <c:v>17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40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6-4645-B577-E419637EA54A}"/>
            </c:ext>
          </c:extLst>
        </c:ser>
        <c:ser>
          <c:idx val="1"/>
          <c:order val="1"/>
          <c:tx>
            <c:strRef>
              <c:f>'28'!$J$2</c:f>
              <c:strCache>
                <c:ptCount val="1"/>
                <c:pt idx="0">
                  <c:v>Justyna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'28'!$J$4:$J$12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28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6-4645-B577-E419637EA54A}"/>
            </c:ext>
          </c:extLst>
        </c:ser>
        <c:ser>
          <c:idx val="2"/>
          <c:order val="2"/>
          <c:tx>
            <c:strRef>
              <c:f>'28'!$K$2</c:f>
              <c:strCache>
                <c:ptCount val="1"/>
                <c:pt idx="0">
                  <c:v>Marcin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'28'!$K$4:$K$12</c:f>
              <c:numCache>
                <c:formatCode>General</c:formatCode>
                <c:ptCount val="9"/>
                <c:pt idx="0">
                  <c:v>19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7</c:v>
                </c:pt>
                <c:pt idx="6">
                  <c:v>24</c:v>
                </c:pt>
                <c:pt idx="7">
                  <c:v>15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E6-4645-B577-E419637EA54A}"/>
            </c:ext>
          </c:extLst>
        </c:ser>
        <c:ser>
          <c:idx val="3"/>
          <c:order val="3"/>
          <c:tx>
            <c:strRef>
              <c:f>'28'!$L$2</c:f>
              <c:strCache>
                <c:ptCount val="1"/>
                <c:pt idx="0">
                  <c:v>Agnieszka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'28'!$H$4:$H$12</c:f>
              <c:strCache>
                <c:ptCount val="9"/>
                <c:pt idx="0">
                  <c:v>cele + miasta</c:v>
                </c:pt>
                <c:pt idx="1">
                  <c:v>pekin</c:v>
                </c:pt>
                <c:pt idx="2">
                  <c:v>żetony</c:v>
                </c:pt>
                <c:pt idx="3">
                  <c:v>surowce pekin</c:v>
                </c:pt>
                <c:pt idx="4">
                  <c:v>max kontraktów</c:v>
                </c:pt>
                <c:pt idx="5">
                  <c:v>kontrakty</c:v>
                </c:pt>
                <c:pt idx="6">
                  <c:v>karty miast</c:v>
                </c:pt>
                <c:pt idx="7">
                  <c:v>bonus miejski</c:v>
                </c:pt>
                <c:pt idx="8">
                  <c:v>za domki</c:v>
                </c:pt>
              </c:strCache>
            </c:strRef>
          </c:cat>
          <c:val>
            <c:numRef>
              <c:f>'28'!$L$4:$L$12</c:f>
              <c:numCache>
                <c:formatCode>General</c:formatCode>
                <c:ptCount val="9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E6-4645-B577-E419637EA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17504"/>
        <c:axId val="161309824"/>
      </c:barChart>
      <c:catAx>
        <c:axId val="1593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6130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130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159317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45980073386348"/>
          <c:y val="0.33037740570676999"/>
          <c:w val="0.17164231336754554"/>
          <c:h val="0.170731940103939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4" Type="http://schemas.openxmlformats.org/officeDocument/2006/relationships/chart" Target="../charts/chart5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chart" Target="../charts/chart5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4" Type="http://schemas.openxmlformats.org/officeDocument/2006/relationships/chart" Target="../charts/chart5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2" Type="http://schemas.openxmlformats.org/officeDocument/2006/relationships/chart" Target="../charts/chart81.xml"/><Relationship Id="rId1" Type="http://schemas.openxmlformats.org/officeDocument/2006/relationships/chart" Target="../charts/chart80.xml"/><Relationship Id="rId4" Type="http://schemas.openxmlformats.org/officeDocument/2006/relationships/chart" Target="../charts/chart83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6.xml"/><Relationship Id="rId2" Type="http://schemas.openxmlformats.org/officeDocument/2006/relationships/chart" Target="../charts/chart85.xml"/><Relationship Id="rId1" Type="http://schemas.openxmlformats.org/officeDocument/2006/relationships/chart" Target="../charts/chart84.xml"/><Relationship Id="rId4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4" Type="http://schemas.openxmlformats.org/officeDocument/2006/relationships/chart" Target="../charts/chart91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4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4" Type="http://schemas.openxmlformats.org/officeDocument/2006/relationships/chart" Target="../charts/chart9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8.xml"/><Relationship Id="rId2" Type="http://schemas.openxmlformats.org/officeDocument/2006/relationships/chart" Target="../charts/chart97.xml"/><Relationship Id="rId1" Type="http://schemas.openxmlformats.org/officeDocument/2006/relationships/chart" Target="../charts/chart96.xml"/><Relationship Id="rId4" Type="http://schemas.openxmlformats.org/officeDocument/2006/relationships/chart" Target="../charts/chart99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chart" Target="../charts/chart10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4" Type="http://schemas.openxmlformats.org/officeDocument/2006/relationships/chart" Target="../charts/chart107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0.xml"/><Relationship Id="rId2" Type="http://schemas.openxmlformats.org/officeDocument/2006/relationships/chart" Target="../charts/chart109.xml"/><Relationship Id="rId1" Type="http://schemas.openxmlformats.org/officeDocument/2006/relationships/chart" Target="../charts/chart108.xml"/><Relationship Id="rId4" Type="http://schemas.openxmlformats.org/officeDocument/2006/relationships/chart" Target="../charts/chart111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4.xml"/><Relationship Id="rId2" Type="http://schemas.openxmlformats.org/officeDocument/2006/relationships/chart" Target="../charts/chart113.xml"/><Relationship Id="rId1" Type="http://schemas.openxmlformats.org/officeDocument/2006/relationships/chart" Target="../charts/chart112.xml"/><Relationship Id="rId4" Type="http://schemas.openxmlformats.org/officeDocument/2006/relationships/chart" Target="../charts/chart115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8.xml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4" Type="http://schemas.openxmlformats.org/officeDocument/2006/relationships/chart" Target="../charts/chart11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2.xml"/><Relationship Id="rId2" Type="http://schemas.openxmlformats.org/officeDocument/2006/relationships/chart" Target="../charts/chart121.xml"/><Relationship Id="rId1" Type="http://schemas.openxmlformats.org/officeDocument/2006/relationships/chart" Target="../charts/chart120.xml"/><Relationship Id="rId4" Type="http://schemas.openxmlformats.org/officeDocument/2006/relationships/chart" Target="../charts/chart1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chart" Target="../charts/chart3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6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438151</xdr:colOff>
      <xdr:row>99</xdr:row>
      <xdr:rowOff>69851</xdr:rowOff>
    </xdr:from>
    <xdr:to>
      <xdr:col>68</xdr:col>
      <xdr:colOff>342901</xdr:colOff>
      <xdr:row>128</xdr:row>
      <xdr:rowOff>1</xdr:rowOff>
    </xdr:to>
    <xdr:graphicFrame macro="">
      <xdr:nvGraphicFramePr>
        <xdr:cNvPr id="1338" name="Wykres 11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438150</xdr:colOff>
      <xdr:row>130</xdr:row>
      <xdr:rowOff>907</xdr:rowOff>
    </xdr:from>
    <xdr:to>
      <xdr:col>68</xdr:col>
      <xdr:colOff>304800</xdr:colOff>
      <xdr:row>157</xdr:row>
      <xdr:rowOff>38100</xdr:rowOff>
    </xdr:to>
    <xdr:graphicFrame macro="">
      <xdr:nvGraphicFramePr>
        <xdr:cNvPr id="1339" name="Wykres 12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438150</xdr:colOff>
      <xdr:row>160</xdr:row>
      <xdr:rowOff>85724</xdr:rowOff>
    </xdr:from>
    <xdr:to>
      <xdr:col>68</xdr:col>
      <xdr:colOff>342900</xdr:colOff>
      <xdr:row>190</xdr:row>
      <xdr:rowOff>76199</xdr:rowOff>
    </xdr:to>
    <xdr:graphicFrame macro="">
      <xdr:nvGraphicFramePr>
        <xdr:cNvPr id="1340" name="Wykres 13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236444</xdr:colOff>
      <xdr:row>232</xdr:row>
      <xdr:rowOff>133909</xdr:rowOff>
    </xdr:from>
    <xdr:to>
      <xdr:col>68</xdr:col>
      <xdr:colOff>217394</xdr:colOff>
      <xdr:row>262</xdr:row>
      <xdr:rowOff>105335</xdr:rowOff>
    </xdr:to>
    <xdr:graphicFrame macro="">
      <xdr:nvGraphicFramePr>
        <xdr:cNvPr id="1341" name="Wykres 14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236445</xdr:colOff>
      <xdr:row>262</xdr:row>
      <xdr:rowOff>105335</xdr:rowOff>
    </xdr:from>
    <xdr:to>
      <xdr:col>68</xdr:col>
      <xdr:colOff>217395</xdr:colOff>
      <xdr:row>292</xdr:row>
      <xdr:rowOff>67235</xdr:rowOff>
    </xdr:to>
    <xdr:graphicFrame macro="">
      <xdr:nvGraphicFramePr>
        <xdr:cNvPr id="1342" name="Wykres 23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103</xdr:row>
      <xdr:rowOff>95250</xdr:rowOff>
    </xdr:from>
    <xdr:to>
      <xdr:col>45</xdr:col>
      <xdr:colOff>219075</xdr:colOff>
      <xdr:row>123</xdr:row>
      <xdr:rowOff>104775</xdr:rowOff>
    </xdr:to>
    <xdr:graphicFrame macro="">
      <xdr:nvGraphicFramePr>
        <xdr:cNvPr id="1344" name="Wykres 3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118</xdr:col>
      <xdr:colOff>0</xdr:colOff>
      <xdr:row>52</xdr:row>
      <xdr:rowOff>57150</xdr:rowOff>
    </xdr:from>
    <xdr:to>
      <xdr:col>133</xdr:col>
      <xdr:colOff>200025</xdr:colOff>
      <xdr:row>76</xdr:row>
      <xdr:rowOff>57150</xdr:rowOff>
    </xdr:to>
    <xdr:graphicFrame macro="">
      <xdr:nvGraphicFramePr>
        <xdr:cNvPr id="13" name="Wykres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118</xdr:col>
      <xdr:colOff>0</xdr:colOff>
      <xdr:row>76</xdr:row>
      <xdr:rowOff>114300</xdr:rowOff>
    </xdr:from>
    <xdr:to>
      <xdr:col>133</xdr:col>
      <xdr:colOff>200025</xdr:colOff>
      <xdr:row>100</xdr:row>
      <xdr:rowOff>114300</xdr:rowOff>
    </xdr:to>
    <xdr:graphicFrame macro="">
      <xdr:nvGraphicFramePr>
        <xdr:cNvPr id="16" name="Wykres 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53</xdr:row>
      <xdr:rowOff>0</xdr:rowOff>
    </xdr:from>
    <xdr:to>
      <xdr:col>45</xdr:col>
      <xdr:colOff>280927</xdr:colOff>
      <xdr:row>76</xdr:row>
      <xdr:rowOff>144237</xdr:rowOff>
    </xdr:to>
    <xdr:graphicFrame macro="">
      <xdr:nvGraphicFramePr>
        <xdr:cNvPr id="19" name="Wykres 3">
          <a:extLst>
            <a:ext uri="{FF2B5EF4-FFF2-40B4-BE49-F238E27FC236}">
              <a16:creationId xmlns:a16="http://schemas.microsoft.com/office/drawing/2014/main" id="{686E66CD-18BB-472D-B640-B88E46DFE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79</xdr:row>
      <xdr:rowOff>104775</xdr:rowOff>
    </xdr:from>
    <xdr:to>
      <xdr:col>45</xdr:col>
      <xdr:colOff>280926</xdr:colOff>
      <xdr:row>102</xdr:row>
      <xdr:rowOff>41563</xdr:rowOff>
    </xdr:to>
    <xdr:graphicFrame macro="">
      <xdr:nvGraphicFramePr>
        <xdr:cNvPr id="20" name="Wykres 3">
          <a:extLst>
            <a:ext uri="{FF2B5EF4-FFF2-40B4-BE49-F238E27FC236}">
              <a16:creationId xmlns:a16="http://schemas.microsoft.com/office/drawing/2014/main" id="{B5ADB110-686D-488B-BD17-28A80BFCD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53</xdr:row>
      <xdr:rowOff>0</xdr:rowOff>
    </xdr:from>
    <xdr:to>
      <xdr:col>69</xdr:col>
      <xdr:colOff>377598</xdr:colOff>
      <xdr:row>77</xdr:row>
      <xdr:rowOff>0</xdr:rowOff>
    </xdr:to>
    <xdr:graphicFrame macro="">
      <xdr:nvGraphicFramePr>
        <xdr:cNvPr id="21" name="Wykres 6">
          <a:extLst>
            <a:ext uri="{FF2B5EF4-FFF2-40B4-BE49-F238E27FC236}">
              <a16:creationId xmlns:a16="http://schemas.microsoft.com/office/drawing/2014/main" id="{79AC7F91-2BB2-4B34-A61B-F83166B855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135</xdr:col>
      <xdr:colOff>0</xdr:colOff>
      <xdr:row>57</xdr:row>
      <xdr:rowOff>0</xdr:rowOff>
    </xdr:from>
    <xdr:to>
      <xdr:col>150</xdr:col>
      <xdr:colOff>373592</xdr:colOff>
      <xdr:row>85</xdr:row>
      <xdr:rowOff>92075</xdr:rowOff>
    </xdr:to>
    <xdr:graphicFrame macro="">
      <xdr:nvGraphicFramePr>
        <xdr:cNvPr id="26" name="Wykres 6">
          <a:extLst>
            <a:ext uri="{FF2B5EF4-FFF2-40B4-BE49-F238E27FC236}">
              <a16:creationId xmlns:a16="http://schemas.microsoft.com/office/drawing/2014/main" id="{759D200B-0585-423E-A75A-FFC8BF3EE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135</xdr:col>
      <xdr:colOff>0</xdr:colOff>
      <xdr:row>86</xdr:row>
      <xdr:rowOff>34573</xdr:rowOff>
    </xdr:from>
    <xdr:to>
      <xdr:col>150</xdr:col>
      <xdr:colOff>373592</xdr:colOff>
      <xdr:row>114</xdr:row>
      <xdr:rowOff>136173</xdr:rowOff>
    </xdr:to>
    <xdr:graphicFrame macro="">
      <xdr:nvGraphicFramePr>
        <xdr:cNvPr id="27" name="Wykres 6">
          <a:extLst>
            <a:ext uri="{FF2B5EF4-FFF2-40B4-BE49-F238E27FC236}">
              <a16:creationId xmlns:a16="http://schemas.microsoft.com/office/drawing/2014/main" id="{80206172-731C-4FD0-B280-E1FC5344AF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135</xdr:col>
      <xdr:colOff>0</xdr:colOff>
      <xdr:row>115</xdr:row>
      <xdr:rowOff>78671</xdr:rowOff>
    </xdr:from>
    <xdr:to>
      <xdr:col>150</xdr:col>
      <xdr:colOff>561975</xdr:colOff>
      <xdr:row>139</xdr:row>
      <xdr:rowOff>78671</xdr:rowOff>
    </xdr:to>
    <xdr:graphicFrame macro="">
      <xdr:nvGraphicFramePr>
        <xdr:cNvPr id="28" name="Wykres 6">
          <a:extLst>
            <a:ext uri="{FF2B5EF4-FFF2-40B4-BE49-F238E27FC236}">
              <a16:creationId xmlns:a16="http://schemas.microsoft.com/office/drawing/2014/main" id="{E121B0AF-8350-4CC0-B19A-35FB25DEC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135</xdr:col>
      <xdr:colOff>0</xdr:colOff>
      <xdr:row>140</xdr:row>
      <xdr:rowOff>21168</xdr:rowOff>
    </xdr:from>
    <xdr:to>
      <xdr:col>150</xdr:col>
      <xdr:colOff>373592</xdr:colOff>
      <xdr:row>168</xdr:row>
      <xdr:rowOff>122768</xdr:rowOff>
    </xdr:to>
    <xdr:graphicFrame macro="">
      <xdr:nvGraphicFramePr>
        <xdr:cNvPr id="29" name="Wykres 6">
          <a:extLst>
            <a:ext uri="{FF2B5EF4-FFF2-40B4-BE49-F238E27FC236}">
              <a16:creationId xmlns:a16="http://schemas.microsoft.com/office/drawing/2014/main" id="{5BC666C8-2240-41D3-9481-E60D3DD9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8584" name="Wykres 1">
          <a:extLst>
            <a:ext uri="{FF2B5EF4-FFF2-40B4-BE49-F238E27FC236}">
              <a16:creationId xmlns:a16="http://schemas.microsoft.com/office/drawing/2014/main" id="{00000000-0008-0000-0C00-000098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8585" name="Wykres 2">
          <a:extLst>
            <a:ext uri="{FF2B5EF4-FFF2-40B4-BE49-F238E27FC236}">
              <a16:creationId xmlns:a16="http://schemas.microsoft.com/office/drawing/2014/main" id="{00000000-0008-0000-0C00-000099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8586" name="Wykres 3">
          <a:extLst>
            <a:ext uri="{FF2B5EF4-FFF2-40B4-BE49-F238E27FC236}">
              <a16:creationId xmlns:a16="http://schemas.microsoft.com/office/drawing/2014/main" id="{00000000-0008-0000-0C00-00009A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8587" name="Wykres 4">
          <a:extLst>
            <a:ext uri="{FF2B5EF4-FFF2-40B4-BE49-F238E27FC236}">
              <a16:creationId xmlns:a16="http://schemas.microsoft.com/office/drawing/2014/main" id="{00000000-0008-0000-0C00-00009B4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9605" name="Wykres 1">
          <a:extLst>
            <a:ext uri="{FF2B5EF4-FFF2-40B4-BE49-F238E27FC236}">
              <a16:creationId xmlns:a16="http://schemas.microsoft.com/office/drawing/2014/main" id="{00000000-0008-0000-0D00-000095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9606" name="Wykres 2">
          <a:extLst>
            <a:ext uri="{FF2B5EF4-FFF2-40B4-BE49-F238E27FC236}">
              <a16:creationId xmlns:a16="http://schemas.microsoft.com/office/drawing/2014/main" id="{00000000-0008-0000-0D00-000096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9607" name="Wykres 3">
          <a:extLst>
            <a:ext uri="{FF2B5EF4-FFF2-40B4-BE49-F238E27FC236}">
              <a16:creationId xmlns:a16="http://schemas.microsoft.com/office/drawing/2014/main" id="{00000000-0008-0000-0D00-000097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9608" name="Wykres 4">
          <a:extLst>
            <a:ext uri="{FF2B5EF4-FFF2-40B4-BE49-F238E27FC236}">
              <a16:creationId xmlns:a16="http://schemas.microsoft.com/office/drawing/2014/main" id="{00000000-0008-0000-0D00-0000984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3701" name="Wykres 1">
          <a:extLst>
            <a:ext uri="{FF2B5EF4-FFF2-40B4-BE49-F238E27FC236}">
              <a16:creationId xmlns:a16="http://schemas.microsoft.com/office/drawing/2014/main" id="{00000000-0008-0000-0E00-000095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23702" name="Wykres 2">
          <a:extLst>
            <a:ext uri="{FF2B5EF4-FFF2-40B4-BE49-F238E27FC236}">
              <a16:creationId xmlns:a16="http://schemas.microsoft.com/office/drawing/2014/main" id="{00000000-0008-0000-0E00-000096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23703" name="Wykres 3">
          <a:extLst>
            <a:ext uri="{FF2B5EF4-FFF2-40B4-BE49-F238E27FC236}">
              <a16:creationId xmlns:a16="http://schemas.microsoft.com/office/drawing/2014/main" id="{00000000-0008-0000-0E00-000097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23704" name="Wykres 4">
          <a:extLst>
            <a:ext uri="{FF2B5EF4-FFF2-40B4-BE49-F238E27FC236}">
              <a16:creationId xmlns:a16="http://schemas.microsoft.com/office/drawing/2014/main" id="{00000000-0008-0000-0E00-0000985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4725" name="Wykres 1">
          <a:extLst>
            <a:ext uri="{FF2B5EF4-FFF2-40B4-BE49-F238E27FC236}">
              <a16:creationId xmlns:a16="http://schemas.microsoft.com/office/drawing/2014/main" id="{00000000-0008-0000-0F00-000095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24726" name="Wykres 2">
          <a:extLst>
            <a:ext uri="{FF2B5EF4-FFF2-40B4-BE49-F238E27FC236}">
              <a16:creationId xmlns:a16="http://schemas.microsoft.com/office/drawing/2014/main" id="{00000000-0008-0000-0F00-000096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24727" name="Wykres 3">
          <a:extLst>
            <a:ext uri="{FF2B5EF4-FFF2-40B4-BE49-F238E27FC236}">
              <a16:creationId xmlns:a16="http://schemas.microsoft.com/office/drawing/2014/main" id="{00000000-0008-0000-0F00-000097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24728" name="Wykres 4">
          <a:extLst>
            <a:ext uri="{FF2B5EF4-FFF2-40B4-BE49-F238E27FC236}">
              <a16:creationId xmlns:a16="http://schemas.microsoft.com/office/drawing/2014/main" id="{00000000-0008-0000-0F00-0000986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01865" name="Wykres 1">
          <a:extLst>
            <a:ext uri="{FF2B5EF4-FFF2-40B4-BE49-F238E27FC236}">
              <a16:creationId xmlns:a16="http://schemas.microsoft.com/office/drawing/2014/main" id="{00000000-0008-0000-1000-0000891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201866" name="Wykres 2">
          <a:extLst>
            <a:ext uri="{FF2B5EF4-FFF2-40B4-BE49-F238E27FC236}">
              <a16:creationId xmlns:a16="http://schemas.microsoft.com/office/drawing/2014/main" id="{00000000-0008-0000-1000-00008A1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201867" name="Wykres 3">
          <a:extLst>
            <a:ext uri="{FF2B5EF4-FFF2-40B4-BE49-F238E27FC236}">
              <a16:creationId xmlns:a16="http://schemas.microsoft.com/office/drawing/2014/main" id="{00000000-0008-0000-1000-00008B1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201868" name="Wykres 4">
          <a:extLst>
            <a:ext uri="{FF2B5EF4-FFF2-40B4-BE49-F238E27FC236}">
              <a16:creationId xmlns:a16="http://schemas.microsoft.com/office/drawing/2014/main" id="{00000000-0008-0000-1000-00008C140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106001" name="Wykres 1">
          <a:extLst>
            <a:ext uri="{FF2B5EF4-FFF2-40B4-BE49-F238E27FC236}">
              <a16:creationId xmlns:a16="http://schemas.microsoft.com/office/drawing/2014/main" id="{00000000-0008-0000-1100-000051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106002" name="Wykres 2">
          <a:extLst>
            <a:ext uri="{FF2B5EF4-FFF2-40B4-BE49-F238E27FC236}">
              <a16:creationId xmlns:a16="http://schemas.microsoft.com/office/drawing/2014/main" id="{00000000-0008-0000-1100-000052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106003" name="Wykres 3">
          <a:extLst>
            <a:ext uri="{FF2B5EF4-FFF2-40B4-BE49-F238E27FC236}">
              <a16:creationId xmlns:a16="http://schemas.microsoft.com/office/drawing/2014/main" id="{00000000-0008-0000-1100-000053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106004" name="Wykres 4">
          <a:extLst>
            <a:ext uri="{FF2B5EF4-FFF2-40B4-BE49-F238E27FC236}">
              <a16:creationId xmlns:a16="http://schemas.microsoft.com/office/drawing/2014/main" id="{00000000-0008-0000-1100-000054E0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154517" name="Wykres 1">
          <a:extLst>
            <a:ext uri="{FF2B5EF4-FFF2-40B4-BE49-F238E27FC236}">
              <a16:creationId xmlns:a16="http://schemas.microsoft.com/office/drawing/2014/main" id="{00000000-0008-0000-1200-000015E0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2154518" name="Wykres 2">
          <a:extLst>
            <a:ext uri="{FF2B5EF4-FFF2-40B4-BE49-F238E27FC236}">
              <a16:creationId xmlns:a16="http://schemas.microsoft.com/office/drawing/2014/main" id="{00000000-0008-0000-1200-000016E0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2154519" name="Wykres 3">
          <a:extLst>
            <a:ext uri="{FF2B5EF4-FFF2-40B4-BE49-F238E27FC236}">
              <a16:creationId xmlns:a16="http://schemas.microsoft.com/office/drawing/2014/main" id="{00000000-0008-0000-1200-000017E0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2154520" name="Wykres 4">
          <a:extLst>
            <a:ext uri="{FF2B5EF4-FFF2-40B4-BE49-F238E27FC236}">
              <a16:creationId xmlns:a16="http://schemas.microsoft.com/office/drawing/2014/main" id="{00000000-0008-0000-1200-000018E02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123825</xdr:colOff>
      <xdr:row>26</xdr:row>
      <xdr:rowOff>38100</xdr:rowOff>
    </xdr:to>
    <xdr:graphicFrame macro="">
      <xdr:nvGraphicFramePr>
        <xdr:cNvPr id="8348" name="Wykres 4">
          <a:extLst>
            <a:ext uri="{FF2B5EF4-FFF2-40B4-BE49-F238E27FC236}">
              <a16:creationId xmlns:a16="http://schemas.microsoft.com/office/drawing/2014/main" id="{00000000-0008-0000-0400-00009C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123825</xdr:colOff>
      <xdr:row>26</xdr:row>
      <xdr:rowOff>38100</xdr:rowOff>
    </xdr:to>
    <xdr:graphicFrame macro="">
      <xdr:nvGraphicFramePr>
        <xdr:cNvPr id="8349" name="Wykres 8">
          <a:extLst>
            <a:ext uri="{FF2B5EF4-FFF2-40B4-BE49-F238E27FC236}">
              <a16:creationId xmlns:a16="http://schemas.microsoft.com/office/drawing/2014/main" id="{00000000-0008-0000-0400-00009D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133350</xdr:colOff>
      <xdr:row>26</xdr:row>
      <xdr:rowOff>47625</xdr:rowOff>
    </xdr:to>
    <xdr:graphicFrame macro="">
      <xdr:nvGraphicFramePr>
        <xdr:cNvPr id="8350" name="Wykres 9">
          <a:extLst>
            <a:ext uri="{FF2B5EF4-FFF2-40B4-BE49-F238E27FC236}">
              <a16:creationId xmlns:a16="http://schemas.microsoft.com/office/drawing/2014/main" id="{00000000-0008-0000-0400-00009E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542925</xdr:colOff>
      <xdr:row>49</xdr:row>
      <xdr:rowOff>19050</xdr:rowOff>
    </xdr:to>
    <xdr:graphicFrame macro="">
      <xdr:nvGraphicFramePr>
        <xdr:cNvPr id="8351" name="Wykres 11">
          <a:extLst>
            <a:ext uri="{FF2B5EF4-FFF2-40B4-BE49-F238E27FC236}">
              <a16:creationId xmlns:a16="http://schemas.microsoft.com/office/drawing/2014/main" id="{00000000-0008-0000-0400-00009F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FFDC78-8A84-40DD-8358-479258021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A0E518-6547-4F81-A60B-523977CD9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1E716CBD-4CFB-4754-845E-037CAC2C9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1275A2F-0298-472A-AC98-3A6F2EDD1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3845D24-0222-4FE9-AF57-8CAE49065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121AE60-B1B7-40CB-8DB2-747D8AF34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134616-354C-4DF9-97DA-D125F8445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B037303-5C4C-4882-9904-343B3B8A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7A16B9-6812-4A0A-BD57-FF82C6AEB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2822CF0-9E78-46B1-BA77-5C865B2C0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91B481C-AF7E-4BD7-A719-D63733CB9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2E9F18C-E0C2-4E9A-AA72-BA7B9A34B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7C63A6-7B85-4852-A259-37EAF7E2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C393320-C697-4153-A56D-6507432B7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1054F1B5-FE88-4D7E-8029-8716F2500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63756BF-57A7-4586-B6C1-49E13FCB4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77998C7-5AD3-44A3-83C9-CF95E101F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497B046-BB5F-4D05-8B2D-E6E8FB43E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701611C-E2E9-4BC0-A75B-FFFE0D70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8976EF0-6DE4-4F70-BFE5-0ABA56605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AA4CC-2B91-48E5-B4A7-776A28305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228C9F-562A-4CE5-88D0-490E87EEC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E0BEF50-445B-4B76-AE66-885FEC98E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256F1F1F-61ED-4E44-B9CD-1C47A83AE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123825</xdr:colOff>
      <xdr:row>26</xdr:row>
      <xdr:rowOff>38100</xdr:rowOff>
    </xdr:to>
    <xdr:graphicFrame macro="">
      <xdr:nvGraphicFramePr>
        <xdr:cNvPr id="9365" name="Wykres 1">
          <a:extLst>
            <a:ext uri="{FF2B5EF4-FFF2-40B4-BE49-F238E27FC236}">
              <a16:creationId xmlns:a16="http://schemas.microsoft.com/office/drawing/2014/main" id="{00000000-0008-0000-0500-00009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18</xdr:col>
      <xdr:colOff>123825</xdr:colOff>
      <xdr:row>26</xdr:row>
      <xdr:rowOff>38100</xdr:rowOff>
    </xdr:to>
    <xdr:graphicFrame macro="">
      <xdr:nvGraphicFramePr>
        <xdr:cNvPr id="9366" name="Wykres 2">
          <a:extLst>
            <a:ext uri="{FF2B5EF4-FFF2-40B4-BE49-F238E27FC236}">
              <a16:creationId xmlns:a16="http://schemas.microsoft.com/office/drawing/2014/main" id="{00000000-0008-0000-0500-00009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133350</xdr:colOff>
      <xdr:row>26</xdr:row>
      <xdr:rowOff>47625</xdr:rowOff>
    </xdr:to>
    <xdr:graphicFrame macro="">
      <xdr:nvGraphicFramePr>
        <xdr:cNvPr id="9367" name="Wykres 3">
          <a:extLst>
            <a:ext uri="{FF2B5EF4-FFF2-40B4-BE49-F238E27FC236}">
              <a16:creationId xmlns:a16="http://schemas.microsoft.com/office/drawing/2014/main" id="{00000000-0008-0000-0500-00009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12</xdr:col>
      <xdr:colOff>542925</xdr:colOff>
      <xdr:row>49</xdr:row>
      <xdr:rowOff>19050</xdr:rowOff>
    </xdr:to>
    <xdr:graphicFrame macro="">
      <xdr:nvGraphicFramePr>
        <xdr:cNvPr id="9368" name="Wykres 4">
          <a:extLst>
            <a:ext uri="{FF2B5EF4-FFF2-40B4-BE49-F238E27FC236}">
              <a16:creationId xmlns:a16="http://schemas.microsoft.com/office/drawing/2014/main" id="{00000000-0008-0000-0500-00009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0393" name="Wykres 1">
          <a:extLst>
            <a:ext uri="{FF2B5EF4-FFF2-40B4-BE49-F238E27FC236}">
              <a16:creationId xmlns:a16="http://schemas.microsoft.com/office/drawing/2014/main" id="{00000000-0008-0000-0600-00009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0394" name="Wykres 2">
          <a:extLst>
            <a:ext uri="{FF2B5EF4-FFF2-40B4-BE49-F238E27FC236}">
              <a16:creationId xmlns:a16="http://schemas.microsoft.com/office/drawing/2014/main" id="{00000000-0008-0000-0600-00009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161925</xdr:colOff>
      <xdr:row>27</xdr:row>
      <xdr:rowOff>76200</xdr:rowOff>
    </xdr:to>
    <xdr:graphicFrame macro="">
      <xdr:nvGraphicFramePr>
        <xdr:cNvPr id="10395" name="Wykres 7">
          <a:extLst>
            <a:ext uri="{FF2B5EF4-FFF2-40B4-BE49-F238E27FC236}">
              <a16:creationId xmlns:a16="http://schemas.microsoft.com/office/drawing/2014/main" id="{00000000-0008-0000-0600-00009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0396" name="Wykres 8">
          <a:extLst>
            <a:ext uri="{FF2B5EF4-FFF2-40B4-BE49-F238E27FC236}">
              <a16:creationId xmlns:a16="http://schemas.microsoft.com/office/drawing/2014/main" id="{00000000-0008-0000-0600-00009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1414" name="Wykres 1">
          <a:extLst>
            <a:ext uri="{FF2B5EF4-FFF2-40B4-BE49-F238E27FC236}">
              <a16:creationId xmlns:a16="http://schemas.microsoft.com/office/drawing/2014/main" id="{00000000-0008-0000-0700-00009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1415" name="Wykres 2">
          <a:extLst>
            <a:ext uri="{FF2B5EF4-FFF2-40B4-BE49-F238E27FC236}">
              <a16:creationId xmlns:a16="http://schemas.microsoft.com/office/drawing/2014/main" id="{00000000-0008-0000-0700-000097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161925</xdr:colOff>
      <xdr:row>27</xdr:row>
      <xdr:rowOff>76200</xdr:rowOff>
    </xdr:to>
    <xdr:graphicFrame macro="">
      <xdr:nvGraphicFramePr>
        <xdr:cNvPr id="11416" name="Wykres 3">
          <a:extLst>
            <a:ext uri="{FF2B5EF4-FFF2-40B4-BE49-F238E27FC236}">
              <a16:creationId xmlns:a16="http://schemas.microsoft.com/office/drawing/2014/main" id="{00000000-0008-0000-0700-000098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1417" name="Wykres 4">
          <a:extLst>
            <a:ext uri="{FF2B5EF4-FFF2-40B4-BE49-F238E27FC236}">
              <a16:creationId xmlns:a16="http://schemas.microsoft.com/office/drawing/2014/main" id="{00000000-0008-0000-0700-000099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2439" name="Wykres 1">
          <a:extLst>
            <a:ext uri="{FF2B5EF4-FFF2-40B4-BE49-F238E27FC236}">
              <a16:creationId xmlns:a16="http://schemas.microsoft.com/office/drawing/2014/main" id="{00000000-0008-0000-0800-000097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2440" name="Wykres 2">
          <a:extLst>
            <a:ext uri="{FF2B5EF4-FFF2-40B4-BE49-F238E27FC236}">
              <a16:creationId xmlns:a16="http://schemas.microsoft.com/office/drawing/2014/main" id="{00000000-0008-0000-0800-000098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2441" name="Wykres 4">
          <a:extLst>
            <a:ext uri="{FF2B5EF4-FFF2-40B4-BE49-F238E27FC236}">
              <a16:creationId xmlns:a16="http://schemas.microsoft.com/office/drawing/2014/main" id="{00000000-0008-0000-0800-000099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2442" name="Wykres 6">
          <a:extLst>
            <a:ext uri="{FF2B5EF4-FFF2-40B4-BE49-F238E27FC236}">
              <a16:creationId xmlns:a16="http://schemas.microsoft.com/office/drawing/2014/main" id="{00000000-0008-0000-0800-00009A3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3462" name="Wykres 1">
          <a:extLst>
            <a:ext uri="{FF2B5EF4-FFF2-40B4-BE49-F238E27FC236}">
              <a16:creationId xmlns:a16="http://schemas.microsoft.com/office/drawing/2014/main" id="{00000000-0008-0000-0900-000096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3463" name="Wykres 2">
          <a:extLst>
            <a:ext uri="{FF2B5EF4-FFF2-40B4-BE49-F238E27FC236}">
              <a16:creationId xmlns:a16="http://schemas.microsoft.com/office/drawing/2014/main" id="{00000000-0008-0000-0900-000097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3464" name="Wykres 3">
          <a:extLst>
            <a:ext uri="{FF2B5EF4-FFF2-40B4-BE49-F238E27FC236}">
              <a16:creationId xmlns:a16="http://schemas.microsoft.com/office/drawing/2014/main" id="{00000000-0008-0000-0900-000098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3465" name="Wykres 4">
          <a:extLst>
            <a:ext uri="{FF2B5EF4-FFF2-40B4-BE49-F238E27FC236}">
              <a16:creationId xmlns:a16="http://schemas.microsoft.com/office/drawing/2014/main" id="{00000000-0008-0000-0900-0000993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4488" name="Wykres 1">
          <a:extLst>
            <a:ext uri="{FF2B5EF4-FFF2-40B4-BE49-F238E27FC236}">
              <a16:creationId xmlns:a16="http://schemas.microsoft.com/office/drawing/2014/main" id="{00000000-0008-0000-0A00-00009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4489" name="Wykres 2">
          <a:extLst>
            <a:ext uri="{FF2B5EF4-FFF2-40B4-BE49-F238E27FC236}">
              <a16:creationId xmlns:a16="http://schemas.microsoft.com/office/drawing/2014/main" id="{00000000-0008-0000-0A00-00009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4490" name="Wykres 3">
          <a:extLst>
            <a:ext uri="{FF2B5EF4-FFF2-40B4-BE49-F238E27FC236}">
              <a16:creationId xmlns:a16="http://schemas.microsoft.com/office/drawing/2014/main" id="{00000000-0008-0000-0A00-00009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4491" name="Wykres 4">
          <a:extLst>
            <a:ext uri="{FF2B5EF4-FFF2-40B4-BE49-F238E27FC236}">
              <a16:creationId xmlns:a16="http://schemas.microsoft.com/office/drawing/2014/main" id="{00000000-0008-0000-0A00-00009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29</xdr:col>
      <xdr:colOff>123825</xdr:colOff>
      <xdr:row>27</xdr:row>
      <xdr:rowOff>38100</xdr:rowOff>
    </xdr:to>
    <xdr:graphicFrame macro="">
      <xdr:nvGraphicFramePr>
        <xdr:cNvPr id="17561" name="Wykres 1">
          <a:extLst>
            <a:ext uri="{FF2B5EF4-FFF2-40B4-BE49-F238E27FC236}">
              <a16:creationId xmlns:a16="http://schemas.microsoft.com/office/drawing/2014/main" id="{00000000-0008-0000-0B00-000099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123825</xdr:colOff>
      <xdr:row>27</xdr:row>
      <xdr:rowOff>38100</xdr:rowOff>
    </xdr:to>
    <xdr:graphicFrame macro="">
      <xdr:nvGraphicFramePr>
        <xdr:cNvPr id="17562" name="Wykres 2">
          <a:extLst>
            <a:ext uri="{FF2B5EF4-FFF2-40B4-BE49-F238E27FC236}">
              <a16:creationId xmlns:a16="http://schemas.microsoft.com/office/drawing/2014/main" id="{00000000-0008-0000-0B00-00009A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14</xdr:col>
      <xdr:colOff>552450</xdr:colOff>
      <xdr:row>51</xdr:row>
      <xdr:rowOff>28575</xdr:rowOff>
    </xdr:to>
    <xdr:graphicFrame macro="">
      <xdr:nvGraphicFramePr>
        <xdr:cNvPr id="17563" name="Wykres 3">
          <a:extLst>
            <a:ext uri="{FF2B5EF4-FFF2-40B4-BE49-F238E27FC236}">
              <a16:creationId xmlns:a16="http://schemas.microsoft.com/office/drawing/2014/main" id="{00000000-0008-0000-0B00-00009B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171450</xdr:colOff>
      <xdr:row>27</xdr:row>
      <xdr:rowOff>85725</xdr:rowOff>
    </xdr:to>
    <xdr:graphicFrame macro="">
      <xdr:nvGraphicFramePr>
        <xdr:cNvPr id="17564" name="Wykres 4">
          <a:extLst>
            <a:ext uri="{FF2B5EF4-FFF2-40B4-BE49-F238E27FC236}">
              <a16:creationId xmlns:a16="http://schemas.microsoft.com/office/drawing/2014/main" id="{00000000-0008-0000-0B00-00009C4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225"/>
  <sheetViews>
    <sheetView showGridLines="0" tabSelected="1" zoomScale="85" zoomScaleNormal="85" workbookViewId="0"/>
  </sheetViews>
  <sheetFormatPr defaultRowHeight="12.75" x14ac:dyDescent="0.2"/>
  <cols>
    <col min="1" max="1" width="2.85546875" customWidth="1"/>
    <col min="6" max="11" width="9.140625" customWidth="1"/>
    <col min="14" max="14" width="3" bestFit="1" customWidth="1"/>
    <col min="15" max="15" width="6.5703125" bestFit="1" customWidth="1"/>
    <col min="16" max="19" width="9.7109375" customWidth="1"/>
    <col min="20" max="20" width="2.28515625" customWidth="1"/>
    <col min="21" max="24" width="6.5703125" customWidth="1"/>
    <col min="25" max="25" width="2.28515625" customWidth="1"/>
    <col min="26" max="27" width="9.42578125" customWidth="1"/>
    <col min="28" max="28" width="2.28515625" customWidth="1"/>
    <col min="29" max="29" width="3" customWidth="1"/>
    <col min="30" max="30" width="10.140625" bestFit="1" customWidth="1"/>
    <col min="32" max="41" width="9.7109375" customWidth="1"/>
    <col min="42" max="42" width="2.28515625" customWidth="1"/>
    <col min="43" max="54" width="9.7109375" customWidth="1"/>
    <col min="55" max="55" width="2.28515625" customWidth="1"/>
    <col min="56" max="66" width="9.7109375" customWidth="1"/>
    <col min="67" max="67" width="7" bestFit="1" customWidth="1"/>
    <col min="68" max="68" width="4.7109375" bestFit="1" customWidth="1"/>
    <col min="69" max="69" width="6.42578125" customWidth="1"/>
    <col min="70" max="70" width="7" bestFit="1" customWidth="1"/>
    <col min="71" max="71" width="2.28515625" customWidth="1"/>
    <col min="72" max="82" width="9.7109375" customWidth="1"/>
    <col min="83" max="83" width="2.28515625" customWidth="1"/>
    <col min="86" max="86" width="4" customWidth="1"/>
    <col min="88" max="88" width="7.140625" style="13" bestFit="1" customWidth="1"/>
    <col min="89" max="89" width="7.42578125" bestFit="1" customWidth="1"/>
    <col min="90" max="90" width="4" style="13" customWidth="1"/>
    <col min="91" max="91" width="1.7109375" customWidth="1"/>
    <col min="92" max="92" width="5" customWidth="1"/>
    <col min="93" max="93" width="10.140625" bestFit="1" customWidth="1"/>
    <col min="94" max="94" width="4.140625" bestFit="1" customWidth="1"/>
    <col min="96" max="96" width="4" customWidth="1"/>
    <col min="99" max="99" width="12.5703125" bestFit="1" customWidth="1"/>
    <col min="101" max="101" width="4" bestFit="1" customWidth="1"/>
    <col min="102" max="102" width="8" bestFit="1" customWidth="1"/>
    <col min="103" max="103" width="4" bestFit="1" customWidth="1"/>
    <col min="104" max="104" width="9.7109375" bestFit="1" customWidth="1"/>
    <col min="105" max="105" width="3" bestFit="1" customWidth="1"/>
    <col min="106" max="106" width="3" customWidth="1"/>
    <col min="107" max="107" width="8.7109375" bestFit="1" customWidth="1"/>
    <col min="109" max="109" width="11" bestFit="1" customWidth="1"/>
    <col min="110" max="110" width="9.7109375" bestFit="1" customWidth="1"/>
    <col min="111" max="111" width="6.7109375" bestFit="1" customWidth="1"/>
    <col min="112" max="112" width="4" bestFit="1" customWidth="1"/>
    <col min="113" max="113" width="3" bestFit="1" customWidth="1"/>
    <col min="114" max="114" width="11" bestFit="1" customWidth="1"/>
    <col min="115" max="115" width="6.7109375" bestFit="1" customWidth="1"/>
    <col min="116" max="116" width="9.7109375" bestFit="1" customWidth="1"/>
    <col min="117" max="117" width="3" bestFit="1" customWidth="1"/>
    <col min="119" max="119" width="5.28515625" customWidth="1"/>
    <col min="128" max="128" width="5.85546875" customWidth="1"/>
    <col min="134" max="134" width="3.85546875" customWidth="1"/>
    <col min="140" max="140" width="4.140625" customWidth="1"/>
    <col min="146" max="146" width="4.28515625" customWidth="1"/>
    <col min="158" max="158" width="6" customWidth="1"/>
    <col min="165" max="165" width="4.85546875" customWidth="1"/>
  </cols>
  <sheetData>
    <row r="1" spans="2:169" x14ac:dyDescent="0.2">
      <c r="BD1" s="6">
        <v>58.5</v>
      </c>
      <c r="BE1" s="6">
        <v>55.67</v>
      </c>
      <c r="BF1" s="6">
        <v>41</v>
      </c>
      <c r="BG1" s="6">
        <v>49</v>
      </c>
      <c r="BH1" s="6">
        <v>44.333333333333336</v>
      </c>
      <c r="BI1" s="6">
        <v>57</v>
      </c>
      <c r="BJ1" s="6">
        <v>66</v>
      </c>
      <c r="BK1" s="6">
        <v>54</v>
      </c>
      <c r="BL1" s="6">
        <v>69</v>
      </c>
      <c r="BM1" s="6">
        <v>49</v>
      </c>
      <c r="BN1" s="6">
        <v>59</v>
      </c>
      <c r="BO1" t="s">
        <v>63</v>
      </c>
      <c r="CM1" s="91"/>
    </row>
    <row r="2" spans="2:169" x14ac:dyDescent="0.2">
      <c r="AQ2" s="39" t="s">
        <v>67</v>
      </c>
      <c r="AR2" s="75">
        <f t="shared" ref="AR2:AW2" si="0">(AR6*1+AR7*2+AR8*3+AR9*4)/SUM(AR6:AR9)</f>
        <v>1.7941176470588236</v>
      </c>
      <c r="AS2" s="75">
        <f t="shared" si="0"/>
        <v>2.2380952380952381</v>
      </c>
      <c r="AT2" s="75">
        <f t="shared" si="0"/>
        <v>2.1481481481481484</v>
      </c>
      <c r="AU2" s="75">
        <f t="shared" si="0"/>
        <v>2.75</v>
      </c>
      <c r="AV2" s="75">
        <f t="shared" si="0"/>
        <v>3.6666666666666665</v>
      </c>
      <c r="AW2" s="75">
        <f t="shared" si="0"/>
        <v>3</v>
      </c>
      <c r="AX2" s="75">
        <f t="shared" ref="AX2:BA2" si="1">(AX6*1+AX7*2+AX8*3+AX9*4)/SUM(AX6:AX9)</f>
        <v>2</v>
      </c>
      <c r="AY2" s="75">
        <f t="shared" si="1"/>
        <v>3</v>
      </c>
      <c r="AZ2" s="75">
        <f t="shared" si="1"/>
        <v>2</v>
      </c>
      <c r="BA2" s="75">
        <f t="shared" si="1"/>
        <v>4</v>
      </c>
      <c r="BB2" s="75">
        <f>(BB6*1+BB7*2+BB8*3+BB9*4)/SUM(BB6:BB9)</f>
        <v>2</v>
      </c>
      <c r="BD2" s="6">
        <v>70.441176470588232</v>
      </c>
      <c r="BE2" s="6">
        <v>68.352941176470594</v>
      </c>
      <c r="BF2" s="6">
        <v>64.22</v>
      </c>
      <c r="BG2" s="6">
        <v>63.857142857142854</v>
      </c>
      <c r="BH2" s="6">
        <v>60</v>
      </c>
      <c r="BI2" s="6">
        <v>64</v>
      </c>
      <c r="BJ2" s="6">
        <v>66</v>
      </c>
      <c r="BK2" s="6">
        <v>54</v>
      </c>
      <c r="BL2" s="6">
        <v>69</v>
      </c>
      <c r="BM2" s="6">
        <v>49</v>
      </c>
      <c r="BN2" s="6">
        <v>59</v>
      </c>
      <c r="BO2" t="s">
        <v>62</v>
      </c>
    </row>
    <row r="3" spans="2:169" ht="12.75" customHeight="1" x14ac:dyDescent="0.2">
      <c r="AC3" s="103" t="s">
        <v>11</v>
      </c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Q3" s="5" t="s">
        <v>10</v>
      </c>
      <c r="AR3" s="103" t="s">
        <v>17</v>
      </c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D3" s="105" t="s">
        <v>20</v>
      </c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25"/>
      <c r="BP3" s="25"/>
      <c r="BQ3" s="25"/>
    </row>
    <row r="4" spans="2:169" x14ac:dyDescent="0.2">
      <c r="U4" s="103" t="s">
        <v>21</v>
      </c>
      <c r="V4" s="103"/>
      <c r="W4" s="103"/>
      <c r="X4" s="103"/>
      <c r="Z4" s="103" t="s">
        <v>13</v>
      </c>
      <c r="AA4" s="103"/>
      <c r="AD4" t="s">
        <v>10</v>
      </c>
      <c r="AE4" t="s">
        <v>6</v>
      </c>
      <c r="AF4" t="s">
        <v>7</v>
      </c>
      <c r="AG4" t="s">
        <v>8</v>
      </c>
      <c r="AH4" t="s">
        <v>9</v>
      </c>
      <c r="AI4" t="s">
        <v>94</v>
      </c>
      <c r="AJ4" t="s">
        <v>125</v>
      </c>
      <c r="AK4" t="s">
        <v>148</v>
      </c>
      <c r="AL4" t="s">
        <v>149</v>
      </c>
      <c r="AM4" t="s">
        <v>152</v>
      </c>
      <c r="AN4" t="s">
        <v>153</v>
      </c>
      <c r="AO4" t="s">
        <v>157</v>
      </c>
      <c r="AQ4" s="104" t="s">
        <v>16</v>
      </c>
      <c r="AR4" t="s">
        <v>6</v>
      </c>
      <c r="AS4" t="s">
        <v>7</v>
      </c>
      <c r="AT4" t="s">
        <v>8</v>
      </c>
      <c r="AU4" t="s">
        <v>9</v>
      </c>
      <c r="AV4" t="s">
        <v>94</v>
      </c>
      <c r="AW4" t="s">
        <v>125</v>
      </c>
      <c r="AX4" t="s">
        <v>148</v>
      </c>
      <c r="AY4" t="s">
        <v>149</v>
      </c>
      <c r="AZ4" t="s">
        <v>152</v>
      </c>
      <c r="BA4" t="s">
        <v>153</v>
      </c>
      <c r="BB4" t="s">
        <v>157</v>
      </c>
      <c r="BD4" s="6">
        <f ca="1">AVERAGE(BD6:BD39)</f>
        <v>70.441176470588232</v>
      </c>
      <c r="BE4" s="6">
        <f ca="1">AVERAGE(BE6:BE39)</f>
        <v>67.285714285714292</v>
      </c>
      <c r="BF4" s="6">
        <f ca="1">AVERAGE(BF6:BF39)</f>
        <v>62.148148148148145</v>
      </c>
      <c r="BG4" s="6">
        <f ca="1">AVERAGE(BG6:BG39)</f>
        <v>63.35</v>
      </c>
      <c r="BH4" s="6">
        <f t="shared" ref="BH4:BN4" ca="1" si="2">AVERAGE(BH6:BH39)</f>
        <v>44.333333333333336</v>
      </c>
      <c r="BI4" s="6">
        <f t="shared" ca="1" si="2"/>
        <v>57.5</v>
      </c>
      <c r="BJ4" s="6">
        <f t="shared" ca="1" si="2"/>
        <v>66</v>
      </c>
      <c r="BK4" s="6">
        <f t="shared" ca="1" si="2"/>
        <v>54</v>
      </c>
      <c r="BL4" s="6">
        <f t="shared" ca="1" si="2"/>
        <v>69</v>
      </c>
      <c r="BM4" s="6">
        <f t="shared" ca="1" si="2"/>
        <v>49</v>
      </c>
      <c r="BN4" s="6">
        <f t="shared" ca="1" si="2"/>
        <v>59</v>
      </c>
      <c r="BO4" s="7" t="s">
        <v>18</v>
      </c>
      <c r="BQ4" s="7"/>
      <c r="BT4" s="103" t="s">
        <v>19</v>
      </c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DE4" s="74">
        <v>100000000</v>
      </c>
      <c r="DF4" s="51">
        <v>1000000</v>
      </c>
      <c r="DG4" s="51">
        <v>10000</v>
      </c>
      <c r="DH4" s="51">
        <v>100</v>
      </c>
      <c r="FI4" s="94" t="s">
        <v>137</v>
      </c>
    </row>
    <row r="5" spans="2:169" x14ac:dyDescent="0.2">
      <c r="B5" t="s">
        <v>2</v>
      </c>
      <c r="C5" t="s">
        <v>3</v>
      </c>
      <c r="D5" t="s">
        <v>4</v>
      </c>
      <c r="E5" t="s">
        <v>5</v>
      </c>
      <c r="F5" t="s">
        <v>78</v>
      </c>
      <c r="N5" t="s">
        <v>0</v>
      </c>
      <c r="O5" t="s">
        <v>1</v>
      </c>
      <c r="P5" t="s">
        <v>2</v>
      </c>
      <c r="Q5" t="s">
        <v>3</v>
      </c>
      <c r="R5" t="s">
        <v>4</v>
      </c>
      <c r="S5" t="s">
        <v>5</v>
      </c>
      <c r="U5" t="s">
        <v>2</v>
      </c>
      <c r="V5" t="s">
        <v>3</v>
      </c>
      <c r="W5" t="s">
        <v>4</v>
      </c>
      <c r="X5" t="s">
        <v>5</v>
      </c>
      <c r="Z5" t="s">
        <v>14</v>
      </c>
      <c r="AA5" t="s">
        <v>15</v>
      </c>
      <c r="AC5" t="s">
        <v>0</v>
      </c>
      <c r="AD5" t="s">
        <v>12</v>
      </c>
      <c r="AE5">
        <f t="shared" ref="AE5:AJ5" si="3">SUM(AR6:AR9)</f>
        <v>34</v>
      </c>
      <c r="AF5">
        <f t="shared" si="3"/>
        <v>21</v>
      </c>
      <c r="AG5">
        <f t="shared" si="3"/>
        <v>27</v>
      </c>
      <c r="AH5">
        <f t="shared" si="3"/>
        <v>20</v>
      </c>
      <c r="AI5">
        <f t="shared" si="3"/>
        <v>3</v>
      </c>
      <c r="AJ5">
        <f t="shared" si="3"/>
        <v>4</v>
      </c>
      <c r="AK5">
        <f t="shared" ref="AK5:AN5" si="4">SUM(BB6:BB9)</f>
        <v>1</v>
      </c>
      <c r="AL5">
        <f t="shared" si="4"/>
        <v>0</v>
      </c>
      <c r="AM5">
        <f t="shared" ca="1" si="4"/>
        <v>241</v>
      </c>
      <c r="AN5">
        <f t="shared" ca="1" si="4"/>
        <v>116</v>
      </c>
      <c r="AO5">
        <f t="shared" ref="AO5" si="5">SUM(BB6:BB9)</f>
        <v>1</v>
      </c>
      <c r="AQ5" s="104"/>
      <c r="AR5">
        <f t="shared" ref="AR5:BB5" si="6">SUM(AR6:AR9)</f>
        <v>34</v>
      </c>
      <c r="AS5">
        <f t="shared" si="6"/>
        <v>21</v>
      </c>
      <c r="AT5">
        <f t="shared" si="6"/>
        <v>27</v>
      </c>
      <c r="AU5">
        <f t="shared" si="6"/>
        <v>20</v>
      </c>
      <c r="AV5">
        <f t="shared" si="6"/>
        <v>3</v>
      </c>
      <c r="AW5">
        <f t="shared" si="6"/>
        <v>4</v>
      </c>
      <c r="AX5">
        <f t="shared" si="6"/>
        <v>1</v>
      </c>
      <c r="AY5">
        <f t="shared" si="6"/>
        <v>1</v>
      </c>
      <c r="AZ5">
        <f t="shared" si="6"/>
        <v>1</v>
      </c>
      <c r="BA5">
        <f t="shared" si="6"/>
        <v>1</v>
      </c>
      <c r="BB5">
        <f t="shared" si="6"/>
        <v>1</v>
      </c>
      <c r="BD5" t="s">
        <v>6</v>
      </c>
      <c r="BE5" t="s">
        <v>7</v>
      </c>
      <c r="BF5" t="s">
        <v>8</v>
      </c>
      <c r="BG5" t="s">
        <v>9</v>
      </c>
      <c r="BH5" t="s">
        <v>94</v>
      </c>
      <c r="BI5" t="s">
        <v>125</v>
      </c>
      <c r="BJ5" t="s">
        <v>148</v>
      </c>
      <c r="BK5" t="s">
        <v>149</v>
      </c>
      <c r="BL5" t="s">
        <v>152</v>
      </c>
      <c r="BM5" t="s">
        <v>153</v>
      </c>
      <c r="BN5" t="s">
        <v>157</v>
      </c>
      <c r="BP5" s="14" t="s">
        <v>51</v>
      </c>
      <c r="BQ5" s="26" t="s">
        <v>52</v>
      </c>
      <c r="BT5" t="s">
        <v>6</v>
      </c>
      <c r="BU5" t="s">
        <v>7</v>
      </c>
      <c r="BV5" t="s">
        <v>8</v>
      </c>
      <c r="BW5" t="s">
        <v>9</v>
      </c>
      <c r="BX5" t="s">
        <v>94</v>
      </c>
      <c r="BY5" t="s">
        <v>125</v>
      </c>
      <c r="BZ5" t="s">
        <v>148</v>
      </c>
      <c r="CA5" t="s">
        <v>149</v>
      </c>
      <c r="CB5" t="s">
        <v>152</v>
      </c>
      <c r="CC5" t="s">
        <v>153</v>
      </c>
      <c r="CD5" t="s">
        <v>157</v>
      </c>
      <c r="CG5" t="s">
        <v>22</v>
      </c>
      <c r="CH5" t="s">
        <v>48</v>
      </c>
      <c r="CI5" t="s">
        <v>49</v>
      </c>
      <c r="CJ5" s="13" t="s">
        <v>77</v>
      </c>
      <c r="CK5" t="s">
        <v>22</v>
      </c>
      <c r="CL5" s="13" t="s">
        <v>1</v>
      </c>
      <c r="DE5" s="51">
        <f>AR6</f>
        <v>15</v>
      </c>
      <c r="DF5" s="51">
        <f>AR7</f>
        <v>15</v>
      </c>
      <c r="DG5" s="51">
        <f>AR8</f>
        <v>0</v>
      </c>
      <c r="DH5" s="51">
        <f>AR9</f>
        <v>4</v>
      </c>
      <c r="DI5" s="51">
        <v>1</v>
      </c>
      <c r="DJ5" s="74">
        <f t="shared" ref="DJ5:DJ10" si="7">DE5*$DE$4+DF5*$DF$4+DG5*$DG$4+DH5*$DH$4+DI5</f>
        <v>1515000401</v>
      </c>
      <c r="DK5" s="51" t="str">
        <f t="shared" ref="DK5:DK10" si="8">DE5&amp;"-"&amp;DF5&amp;"-"&amp;DG5&amp;"-"&amp;DH5</f>
        <v>15-15-0-4</v>
      </c>
      <c r="DL5" s="51" t="str">
        <f>AR4</f>
        <v>Mateusz</v>
      </c>
      <c r="DM5" s="51">
        <f t="shared" ref="DM5:DM10" si="9">SUM(DE5:DH5)</f>
        <v>34</v>
      </c>
      <c r="DP5" t="str">
        <f>BD5</f>
        <v>Mateusz</v>
      </c>
      <c r="DQ5" t="str">
        <f>BE5</f>
        <v>Marcin</v>
      </c>
      <c r="DR5" t="str">
        <f>BF5</f>
        <v>Justyna</v>
      </c>
      <c r="DS5" t="str">
        <f>BG5</f>
        <v>Agnieszka</v>
      </c>
      <c r="DT5" t="s">
        <v>40</v>
      </c>
      <c r="DU5" s="79" t="s">
        <v>124</v>
      </c>
      <c r="DY5" t="str">
        <f>BD5</f>
        <v>Mateusz</v>
      </c>
      <c r="DZ5" t="str">
        <f>BE5</f>
        <v>Marcin</v>
      </c>
      <c r="EA5" t="str">
        <f>BF5</f>
        <v>Justyna</v>
      </c>
      <c r="EB5" t="str">
        <f>BG5</f>
        <v>Agnieszka</v>
      </c>
      <c r="EE5" t="str">
        <f>BD5</f>
        <v>Mateusz</v>
      </c>
      <c r="EF5" t="str">
        <f>BE5</f>
        <v>Marcin</v>
      </c>
      <c r="EG5" t="str">
        <f>BF5</f>
        <v>Justyna</v>
      </c>
      <c r="EH5" t="str">
        <f>BG5</f>
        <v>Agnieszka</v>
      </c>
      <c r="EK5" t="str">
        <f>BD5</f>
        <v>Mateusz</v>
      </c>
      <c r="EL5" t="str">
        <f>BE5</f>
        <v>Marcin</v>
      </c>
      <c r="EM5" t="str">
        <f>BF5</f>
        <v>Justyna</v>
      </c>
      <c r="EN5" t="str">
        <f>BG5</f>
        <v>Agnieszka</v>
      </c>
      <c r="EQ5" t="str">
        <f>BD5</f>
        <v>Mateusz</v>
      </c>
      <c r="ER5" t="str">
        <f>BE5</f>
        <v>Marcin</v>
      </c>
      <c r="ES5" t="str">
        <f>BF5</f>
        <v>Justyna</v>
      </c>
      <c r="ET5" t="str">
        <f>BG5</f>
        <v>Agnieszka</v>
      </c>
      <c r="EW5" t="str">
        <f>BD5</f>
        <v>Mateusz</v>
      </c>
      <c r="EX5" t="str">
        <f>BE5</f>
        <v>Marcin</v>
      </c>
      <c r="EY5" t="str">
        <f>BF5</f>
        <v>Justyna</v>
      </c>
      <c r="EZ5" t="str">
        <f>BG5</f>
        <v>Agnieszka</v>
      </c>
      <c r="FC5" t="str">
        <f>BD5</f>
        <v>Mateusz</v>
      </c>
      <c r="FD5" t="str">
        <f>BE5</f>
        <v>Marcin</v>
      </c>
      <c r="FE5" t="str">
        <f>BF5</f>
        <v>Justyna</v>
      </c>
      <c r="FF5" t="str">
        <f>BG5</f>
        <v>Agnieszka</v>
      </c>
      <c r="FG5" s="79" t="s">
        <v>100</v>
      </c>
      <c r="FJ5" t="str">
        <f>CK5</f>
        <v>miejsce</v>
      </c>
      <c r="FK5" t="str">
        <f>CL5</f>
        <v>graczy</v>
      </c>
      <c r="FL5">
        <f>CM5</f>
        <v>0</v>
      </c>
      <c r="FM5">
        <f>CN5</f>
        <v>0</v>
      </c>
    </row>
    <row r="6" spans="2:169" x14ac:dyDescent="0.2">
      <c r="B6" s="1" t="s">
        <v>82</v>
      </c>
      <c r="C6" s="1" t="s">
        <v>84</v>
      </c>
      <c r="D6" s="1" t="s">
        <v>81</v>
      </c>
      <c r="E6" s="1"/>
      <c r="F6" s="88">
        <v>43918</v>
      </c>
      <c r="G6" s="56"/>
      <c r="H6" s="56"/>
      <c r="I6" s="56"/>
      <c r="J6" s="56"/>
      <c r="K6" s="56"/>
      <c r="N6">
        <v>1</v>
      </c>
      <c r="O6">
        <v>3</v>
      </c>
      <c r="P6" s="62" t="s">
        <v>6</v>
      </c>
      <c r="Q6" s="63" t="s">
        <v>7</v>
      </c>
      <c r="R6" s="64" t="s">
        <v>8</v>
      </c>
      <c r="S6" s="1"/>
      <c r="U6" s="2">
        <v>62</v>
      </c>
      <c r="V6" s="2">
        <v>60</v>
      </c>
      <c r="W6" s="2">
        <v>41</v>
      </c>
      <c r="X6" s="2"/>
      <c r="Z6" s="37">
        <f t="shared" ref="Z6:Z39" ca="1" si="10">MAX($BD6:$BN6)-LARGE($BD6:$BN6,2)</f>
        <v>2</v>
      </c>
      <c r="AA6" s="2">
        <f t="shared" ref="AA6:AA34" ca="1" si="11">MAX($BD6:$BN6)-LARGE($BD6:$BN6,O6)</f>
        <v>21</v>
      </c>
      <c r="AC6">
        <f>N6</f>
        <v>1</v>
      </c>
      <c r="AD6">
        <f t="shared" ref="AD6:AD32" si="12">COUNTIF(AE6:AO6,"&gt;0")</f>
        <v>3</v>
      </c>
      <c r="AE6" s="2">
        <f>IFERROR(MATCH(AE$4,$P6:$S6,),0)</f>
        <v>1</v>
      </c>
      <c r="AF6" s="2">
        <f t="shared" ref="AF6:AO21" si="13">IFERROR(MATCH(AF$4,$P6:$S6,),0)</f>
        <v>2</v>
      </c>
      <c r="AG6" s="2">
        <f t="shared" si="13"/>
        <v>3</v>
      </c>
      <c r="AH6" s="2">
        <f t="shared" si="13"/>
        <v>0</v>
      </c>
      <c r="AI6" s="2">
        <f t="shared" si="13"/>
        <v>0</v>
      </c>
      <c r="AJ6" s="2">
        <f t="shared" si="13"/>
        <v>0</v>
      </c>
      <c r="AK6" s="2"/>
      <c r="AL6" s="2"/>
      <c r="AM6" s="2"/>
      <c r="AN6" s="2"/>
      <c r="AO6" s="2">
        <f t="shared" si="13"/>
        <v>0</v>
      </c>
      <c r="AQ6" s="3" t="s">
        <v>2</v>
      </c>
      <c r="AR6" s="1">
        <f>COUNTIF(AE$6:AE$39,$AC6)</f>
        <v>15</v>
      </c>
      <c r="AS6" s="1">
        <f>COUNTIF(AF$6:AF$39,$AC6)</f>
        <v>7</v>
      </c>
      <c r="AT6" s="1">
        <f>COUNTIF(AG$6:AG$39,$AC6)</f>
        <v>9</v>
      </c>
      <c r="AU6" s="1">
        <f>COUNTIF(AH$6:AH$39,$AC6)</f>
        <v>3</v>
      </c>
      <c r="AV6" s="1">
        <f t="shared" ref="AV6:BB9" si="14">COUNTIF(AI$6:AI$39,$AC6)</f>
        <v>0</v>
      </c>
      <c r="AW6" s="1">
        <f t="shared" si="14"/>
        <v>0</v>
      </c>
      <c r="AX6" s="1">
        <f t="shared" si="14"/>
        <v>0</v>
      </c>
      <c r="AY6" s="1">
        <f t="shared" si="14"/>
        <v>0</v>
      </c>
      <c r="AZ6" s="1">
        <f t="shared" si="14"/>
        <v>0</v>
      </c>
      <c r="BA6" s="1">
        <f t="shared" si="14"/>
        <v>0</v>
      </c>
      <c r="BB6" s="1">
        <f t="shared" si="14"/>
        <v>0</v>
      </c>
      <c r="BD6" s="2">
        <f t="shared" ref="BD6:BG39" ca="1" si="15">IF(INDIRECT(ADDRESS(ROW($BC6),COLUMN($T6)+AE6,4,1),TRUE)=0,"",INDIRECT(ADDRESS(ROW($BC6),COLUMN($T6)+AE6,4,1),TRUE))</f>
        <v>62</v>
      </c>
      <c r="BE6" s="2">
        <f t="shared" ca="1" si="15"/>
        <v>60</v>
      </c>
      <c r="BF6" s="2">
        <f t="shared" ca="1" si="15"/>
        <v>41</v>
      </c>
      <c r="BG6" s="2"/>
      <c r="BH6" s="2"/>
      <c r="BI6" s="2"/>
      <c r="BJ6" s="2"/>
      <c r="BK6" s="2"/>
      <c r="BL6" s="2"/>
      <c r="BM6" s="2"/>
      <c r="BN6" s="2"/>
      <c r="BP6" s="28">
        <f t="shared" ref="BP6:BP29" ca="1" si="16">SUM(BD6:BN6)</f>
        <v>163</v>
      </c>
      <c r="BQ6" s="27">
        <f t="shared" ref="BQ6:BQ30" ca="1" si="17">BP6/AD6</f>
        <v>54.333333333333336</v>
      </c>
      <c r="BR6" s="24"/>
      <c r="BT6" s="2">
        <f ca="1">BD6</f>
        <v>62</v>
      </c>
      <c r="BU6" s="2">
        <f ca="1">BE6</f>
        <v>60</v>
      </c>
      <c r="BV6" s="2">
        <f ca="1">BF6</f>
        <v>41</v>
      </c>
      <c r="BW6" s="2">
        <f>BG6</f>
        <v>0</v>
      </c>
      <c r="BX6" s="2"/>
      <c r="BY6" s="2"/>
      <c r="BZ6" s="2"/>
      <c r="CA6" s="2"/>
      <c r="CB6" s="2"/>
      <c r="CC6" s="2"/>
      <c r="CD6" s="2">
        <f>BN6</f>
        <v>0</v>
      </c>
      <c r="CG6" s="1">
        <v>1</v>
      </c>
      <c r="CH6" s="1">
        <f t="shared" ref="CH6:CH37" ca="1" si="18">VLOOKUP(DC6,CX:CZ,2,FALSE)</f>
        <v>105</v>
      </c>
      <c r="CI6" s="1" t="str">
        <f t="shared" ref="CI6:CI37" ca="1" si="19">VLOOKUP(DC6,CX:CZ,3,FALSE)</f>
        <v>Marcin</v>
      </c>
      <c r="CJ6" s="13">
        <f t="shared" ref="CJ6:CJ37" ca="1" si="20">VLOOKUP(DC6,CX:DA,4,FALSE)</f>
        <v>18</v>
      </c>
      <c r="CK6">
        <f t="shared" ref="CK6:CK37" ca="1" si="21">VLOOKUP(DC6,CX:DB,5,FALSE)</f>
        <v>1</v>
      </c>
      <c r="CL6" s="55">
        <f t="shared" ref="CL6:CL37" ca="1" si="22">IF(CJ6="&lt;- dzisiaj",VLOOKUP(MAX($CJ:$CJ)+1,$N:$O,2,FALSE),VLOOKUP(CJ6,$N:$O,2,FALSE))</f>
        <v>4</v>
      </c>
      <c r="CO6" s="30" t="s">
        <v>54</v>
      </c>
      <c r="CP6" s="31">
        <f>MAX(U6:U38)</f>
        <v>105</v>
      </c>
      <c r="CQ6" s="32" t="s">
        <v>7</v>
      </c>
      <c r="CR6" s="3"/>
      <c r="CS6" s="3"/>
      <c r="CT6" s="3"/>
      <c r="CU6" s="3"/>
      <c r="CW6" s="51">
        <v>1</v>
      </c>
      <c r="CX6" s="51">
        <f ca="1">VALUE(CY6&amp;"0000")-CW6</f>
        <v>619999</v>
      </c>
      <c r="CY6" s="52">
        <f t="shared" ref="CY6:CY12" ca="1" si="23">BD6</f>
        <v>62</v>
      </c>
      <c r="CZ6" s="51" t="str">
        <f>$BD$5</f>
        <v>Mateusz</v>
      </c>
      <c r="DA6" s="77">
        <v>1</v>
      </c>
      <c r="DB6" s="77">
        <f t="shared" ref="DB6:DB12" si="24">AE6</f>
        <v>1</v>
      </c>
      <c r="DC6" s="51">
        <f t="shared" ref="DC6:DC37" ca="1" si="25">LARGE(CX:CX,CW6)</f>
        <v>1049949</v>
      </c>
      <c r="DE6" s="51">
        <f>AS6</f>
        <v>7</v>
      </c>
      <c r="DF6" s="51">
        <f>AS7</f>
        <v>4</v>
      </c>
      <c r="DG6" s="51">
        <f>AS8</f>
        <v>8</v>
      </c>
      <c r="DH6" s="51">
        <f>AS9</f>
        <v>2</v>
      </c>
      <c r="DI6" s="51">
        <v>2</v>
      </c>
      <c r="DJ6" s="74">
        <f t="shared" si="7"/>
        <v>704080202</v>
      </c>
      <c r="DK6" s="51" t="str">
        <f t="shared" si="8"/>
        <v>7-4-8-2</v>
      </c>
      <c r="DL6" s="51" t="str">
        <f>AS4</f>
        <v>Marcin</v>
      </c>
      <c r="DM6" s="51">
        <f t="shared" si="9"/>
        <v>21</v>
      </c>
      <c r="DO6">
        <f t="shared" ref="DO6:DO38" si="26">N6</f>
        <v>1</v>
      </c>
      <c r="DP6" s="6">
        <f ca="1">AVERAGE(BD$6:BD6)</f>
        <v>62</v>
      </c>
      <c r="DQ6" s="6">
        <f ca="1">AVERAGE(BE$6:BE6)</f>
        <v>60</v>
      </c>
      <c r="DR6" s="6">
        <f ca="1">AVERAGE(BF$6:BF6)</f>
        <v>41</v>
      </c>
      <c r="DS6" s="6"/>
      <c r="DT6" s="86">
        <f ca="1">MAX(DP6:DS39)</f>
        <v>70.441176470588232</v>
      </c>
      <c r="DU6" s="87">
        <f ca="1">AVERAGE($BD$6:BN6)</f>
        <v>54.333333333333336</v>
      </c>
      <c r="DX6">
        <f t="shared" ref="DX6:DX38" si="27">N6</f>
        <v>1</v>
      </c>
      <c r="DY6" s="1">
        <f>COUNTIF(AE$6:AE6,1)</f>
        <v>1</v>
      </c>
      <c r="DZ6" s="1">
        <f>COUNTIF(AF$6:AF6,1)</f>
        <v>0</v>
      </c>
      <c r="EA6" s="1">
        <f>COUNTIF(AG$6:AG6,1)</f>
        <v>0</v>
      </c>
      <c r="EB6" s="1"/>
      <c r="ED6">
        <f t="shared" ref="ED6:ED38" si="28">N6</f>
        <v>1</v>
      </c>
      <c r="EE6" s="1">
        <f>DY6+COUNTIF(AE$6:AE6,2)*0.01+COUNTIF(AE$6:AE6,3)*0.0001+COUNTIF(AE$6:AE6,4)*0.000001</f>
        <v>1</v>
      </c>
      <c r="EF6" s="1">
        <f>DZ6+COUNTIF(AF$6:AF6,2)*0.01+COUNTIF(AF$6:AF6,3)*0.0001+COUNTIF(AF$6:AF6,4)*0.000001</f>
        <v>0.01</v>
      </c>
      <c r="EG6" s="1">
        <f>EA6+COUNTIF(AG$6:AG6,2)*0.01+COUNTIF(AG$6:AG6,3)*0.0001+COUNTIF(AG$6:AG6,4)*0.000001</f>
        <v>1E-4</v>
      </c>
      <c r="EH6" s="1"/>
      <c r="EJ6">
        <f t="shared" ref="EJ6:EJ38" si="29">N6</f>
        <v>1</v>
      </c>
      <c r="EK6" s="2">
        <f>AVERAGE(FJ$6:FJ6)</f>
        <v>1</v>
      </c>
      <c r="EL6" s="2">
        <f>AVERAGE(FK$6:FK6)</f>
        <v>2</v>
      </c>
      <c r="EM6" s="2">
        <f>AVERAGE(FL$6:FL6)</f>
        <v>3</v>
      </c>
      <c r="EN6" s="2"/>
      <c r="EO6" s="3"/>
      <c r="EP6">
        <f t="shared" ref="EP6:EP38" si="30">N6</f>
        <v>1</v>
      </c>
      <c r="EQ6" s="1">
        <f>IF(AE6=0,0,IF($AD6=2,3-AE6,IF($AD6=3,4-AE6,IF($AD6=4,5-AE6,"tekst"))))+IF(AE6=MIN($AE6:$AO6),1,0)</f>
        <v>3</v>
      </c>
      <c r="ER6" s="1">
        <f>IF(AF6=0,0,IF($AD6=2,3-AF6,IF($AD6=3,4-AF6,IF($AD6=4,5-AF6,"tekst"))))+IF(AF6=MIN($AE6:$AO6),1,0)</f>
        <v>2</v>
      </c>
      <c r="ES6" s="1">
        <f>IF(AG6=0,0,IF($AD6=2,3-AG6,IF($AD6=3,4-AG6,IF($AD6=4,5-AG6,"tekst"))))+IF(AG6=MIN($AE6:$AO6),1,0)</f>
        <v>1</v>
      </c>
      <c r="ET6" s="1"/>
      <c r="EU6" s="3"/>
      <c r="EV6">
        <f t="shared" ref="EV6:EV34" si="31">N6</f>
        <v>1</v>
      </c>
      <c r="EW6" s="1">
        <f>MAX($EQ6:$ET6)-EQ6</f>
        <v>0</v>
      </c>
      <c r="EX6" s="1">
        <f t="shared" ref="EX6:EY6" si="32">MAX($EQ6:$ET6)-ER6</f>
        <v>1</v>
      </c>
      <c r="EY6" s="1">
        <f t="shared" si="32"/>
        <v>2</v>
      </c>
      <c r="EZ6" s="1"/>
      <c r="FA6" s="3"/>
      <c r="FB6">
        <f t="shared" ref="FB6:FB38" si="33">N6</f>
        <v>1</v>
      </c>
      <c r="FC6" s="1">
        <f t="shared" ref="FC6:FC28" si="34">DY6-$FG6</f>
        <v>0</v>
      </c>
      <c r="FD6" s="1">
        <f t="shared" ref="FD6:FD28" si="35">DZ6-$FG6</f>
        <v>-1</v>
      </c>
      <c r="FE6" s="1">
        <f t="shared" ref="FE6:FE28" si="36">EA6-$FG6</f>
        <v>-1</v>
      </c>
      <c r="FF6" s="1"/>
      <c r="FG6">
        <f t="shared" ref="FG6:FG28" si="37">MAX(DY6:EB6)</f>
        <v>1</v>
      </c>
      <c r="FI6">
        <f>N6</f>
        <v>1</v>
      </c>
      <c r="FJ6" s="1">
        <f>IF(AE6=0,"nie grał",AE6)</f>
        <v>1</v>
      </c>
      <c r="FK6" s="1">
        <f>IF(AF6=0,"nie grał",AF6)</f>
        <v>2</v>
      </c>
      <c r="FL6" s="1">
        <f>IF(AG6=0,"nie grał",AG6)</f>
        <v>3</v>
      </c>
      <c r="FM6" s="1" t="str">
        <f>IF(AH6=0,"nie grał",AH6)</f>
        <v>nie grał</v>
      </c>
    </row>
    <row r="7" spans="2:169" x14ac:dyDescent="0.2">
      <c r="B7" s="1" t="s">
        <v>82</v>
      </c>
      <c r="C7" s="1" t="s">
        <v>79</v>
      </c>
      <c r="D7" s="1"/>
      <c r="E7" s="1"/>
      <c r="F7" s="88">
        <v>43919</v>
      </c>
      <c r="G7" s="56"/>
      <c r="H7" s="56"/>
      <c r="I7" s="56"/>
      <c r="J7" s="56"/>
      <c r="K7" s="56"/>
      <c r="N7">
        <v>2</v>
      </c>
      <c r="O7">
        <v>2</v>
      </c>
      <c r="P7" s="64" t="s">
        <v>8</v>
      </c>
      <c r="Q7" s="62" t="s">
        <v>6</v>
      </c>
      <c r="R7" s="1"/>
      <c r="S7" s="1"/>
      <c r="U7" s="2">
        <v>58</v>
      </c>
      <c r="V7" s="2">
        <v>55</v>
      </c>
      <c r="W7" s="2"/>
      <c r="X7" s="2"/>
      <c r="Z7" s="37">
        <f t="shared" ca="1" si="10"/>
        <v>3</v>
      </c>
      <c r="AA7" s="2">
        <f t="shared" ca="1" si="11"/>
        <v>3</v>
      </c>
      <c r="AC7">
        <f t="shared" ref="AC7:AC27" si="38">N7</f>
        <v>2</v>
      </c>
      <c r="AD7">
        <f t="shared" si="12"/>
        <v>2</v>
      </c>
      <c r="AE7" s="2">
        <f t="shared" ref="AE7:AO37" si="39">IFERROR(MATCH(AE$4,$P7:$S7,),0)</f>
        <v>2</v>
      </c>
      <c r="AF7" s="2">
        <f t="shared" si="13"/>
        <v>0</v>
      </c>
      <c r="AG7" s="2">
        <f t="shared" si="13"/>
        <v>1</v>
      </c>
      <c r="AH7" s="2">
        <f t="shared" si="13"/>
        <v>0</v>
      </c>
      <c r="AI7" s="2">
        <f t="shared" si="13"/>
        <v>0</v>
      </c>
      <c r="AJ7" s="2">
        <f t="shared" si="13"/>
        <v>0</v>
      </c>
      <c r="AK7" s="2"/>
      <c r="AL7" s="2"/>
      <c r="AM7" s="2"/>
      <c r="AN7" s="2"/>
      <c r="AO7" s="2">
        <f t="shared" si="13"/>
        <v>0</v>
      </c>
      <c r="AQ7" s="4" t="s">
        <v>3</v>
      </c>
      <c r="AR7" s="1">
        <f t="shared" ref="AR7:AU9" si="40">COUNTIF(AE$6:AE$39,$AC7)</f>
        <v>15</v>
      </c>
      <c r="AS7" s="1">
        <f t="shared" si="40"/>
        <v>4</v>
      </c>
      <c r="AT7" s="1">
        <f t="shared" si="40"/>
        <v>9</v>
      </c>
      <c r="AU7" s="1">
        <f t="shared" si="40"/>
        <v>2</v>
      </c>
      <c r="AV7" s="1">
        <f t="shared" si="14"/>
        <v>0</v>
      </c>
      <c r="AW7" s="1">
        <f t="shared" si="14"/>
        <v>1</v>
      </c>
      <c r="AX7" s="1">
        <f t="shared" si="14"/>
        <v>1</v>
      </c>
      <c r="AY7" s="1">
        <f t="shared" si="14"/>
        <v>0</v>
      </c>
      <c r="AZ7" s="1">
        <f t="shared" si="14"/>
        <v>1</v>
      </c>
      <c r="BA7" s="1">
        <f t="shared" si="14"/>
        <v>0</v>
      </c>
      <c r="BB7" s="1">
        <f t="shared" si="14"/>
        <v>1</v>
      </c>
      <c r="BD7" s="2">
        <f t="shared" ca="1" si="15"/>
        <v>55</v>
      </c>
      <c r="BE7" s="2"/>
      <c r="BF7" s="2">
        <f t="shared" ca="1" si="15"/>
        <v>58</v>
      </c>
      <c r="BG7" s="2"/>
      <c r="BH7" s="2"/>
      <c r="BI7" s="2"/>
      <c r="BJ7" s="2"/>
      <c r="BK7" s="2"/>
      <c r="BL7" s="2"/>
      <c r="BM7" s="2"/>
      <c r="BN7" s="2"/>
      <c r="BP7" s="28">
        <f t="shared" ca="1" si="16"/>
        <v>113</v>
      </c>
      <c r="BQ7" s="29">
        <f t="shared" ca="1" si="17"/>
        <v>56.5</v>
      </c>
      <c r="BR7" s="22"/>
      <c r="BT7" s="2">
        <f t="shared" ref="BT7:BT29" ca="1" si="41">BD7+BT6</f>
        <v>117</v>
      </c>
      <c r="BU7" s="2">
        <f t="shared" ref="BU7:BU29" ca="1" si="42">BE7+BU6</f>
        <v>60</v>
      </c>
      <c r="BV7" s="2">
        <f t="shared" ref="BV7:BV29" ca="1" si="43">BF7+BV6</f>
        <v>99</v>
      </c>
      <c r="BW7" s="2">
        <f t="shared" ref="BW7:BW29" si="44">BG7+BW6</f>
        <v>0</v>
      </c>
      <c r="BX7" s="2"/>
      <c r="BY7" s="2"/>
      <c r="BZ7" s="2"/>
      <c r="CA7" s="2"/>
      <c r="CB7" s="2"/>
      <c r="CC7" s="2"/>
      <c r="CD7" s="2">
        <f t="shared" ref="CD7:CD21" si="45">BN7+CD6</f>
        <v>0</v>
      </c>
      <c r="CG7" s="1">
        <f ca="1">IF(CH7=CH6,CG6,CW7)</f>
        <v>2</v>
      </c>
      <c r="CH7" s="1">
        <f t="shared" ca="1" si="18"/>
        <v>95</v>
      </c>
      <c r="CI7" s="1" t="str">
        <f t="shared" ca="1" si="19"/>
        <v>Mateusz</v>
      </c>
      <c r="CJ7" s="13">
        <f t="shared" ca="1" si="20"/>
        <v>16</v>
      </c>
      <c r="CK7">
        <f t="shared" ca="1" si="21"/>
        <v>1</v>
      </c>
      <c r="CL7" s="55">
        <f t="shared" ca="1" si="22"/>
        <v>2</v>
      </c>
      <c r="CO7" s="33" t="s">
        <v>53</v>
      </c>
      <c r="CP7" s="34">
        <f>MIN(U6:U38)</f>
        <v>58</v>
      </c>
      <c r="CQ7" s="35" t="s">
        <v>8</v>
      </c>
      <c r="CR7" s="3"/>
      <c r="CS7" s="3"/>
      <c r="CT7" s="3"/>
      <c r="CU7" s="3"/>
      <c r="CW7" s="93">
        <f>1+CW6</f>
        <v>2</v>
      </c>
      <c r="CX7" s="51">
        <f t="shared" ref="CX7:CX12" ca="1" si="46">VALUE(CY7&amp;"0000")-CW7</f>
        <v>549998</v>
      </c>
      <c r="CY7" s="52">
        <f t="shared" ca="1" si="23"/>
        <v>55</v>
      </c>
      <c r="CZ7" s="51" t="str">
        <f t="shared" ref="CZ7:CZ18" si="47">$BD$5</f>
        <v>Mateusz</v>
      </c>
      <c r="DA7" s="77">
        <v>2</v>
      </c>
      <c r="DB7" s="77">
        <f t="shared" si="24"/>
        <v>2</v>
      </c>
      <c r="DC7" s="51">
        <f t="shared" ca="1" si="25"/>
        <v>949955</v>
      </c>
      <c r="DE7" s="51">
        <f>AT6</f>
        <v>9</v>
      </c>
      <c r="DF7" s="51">
        <f>AT7</f>
        <v>9</v>
      </c>
      <c r="DG7" s="51">
        <f>AT8</f>
        <v>5</v>
      </c>
      <c r="DH7" s="51">
        <f>AT9</f>
        <v>4</v>
      </c>
      <c r="DI7" s="51">
        <v>3</v>
      </c>
      <c r="DJ7" s="74">
        <f t="shared" si="7"/>
        <v>909050403</v>
      </c>
      <c r="DK7" s="51" t="str">
        <f t="shared" si="8"/>
        <v>9-9-5-4</v>
      </c>
      <c r="DL7" s="51" t="str">
        <f>AT4</f>
        <v>Justyna</v>
      </c>
      <c r="DM7" s="51">
        <f t="shared" si="9"/>
        <v>27</v>
      </c>
      <c r="DO7">
        <f t="shared" si="26"/>
        <v>2</v>
      </c>
      <c r="DP7" s="6">
        <f ca="1">AVERAGE(BD$6:BD7)</f>
        <v>58.5</v>
      </c>
      <c r="DQ7" s="6">
        <f ca="1">AVERAGE(BE$6:BE7)</f>
        <v>60</v>
      </c>
      <c r="DR7" s="6">
        <f ca="1">AVERAGE(BF$6:BF7)</f>
        <v>49.5</v>
      </c>
      <c r="DS7" s="6"/>
      <c r="DT7" s="86">
        <f ca="1">DT6</f>
        <v>70.441176470588232</v>
      </c>
      <c r="DU7" s="87">
        <f ca="1">AVERAGE($BD$6:BN7)</f>
        <v>55.2</v>
      </c>
      <c r="DX7">
        <f t="shared" si="27"/>
        <v>2</v>
      </c>
      <c r="DY7" s="1">
        <f>COUNTIF(AE$6:AE7,1)</f>
        <v>1</v>
      </c>
      <c r="DZ7" s="1">
        <f>COUNTIF(AF$6:AF7,1)</f>
        <v>0</v>
      </c>
      <c r="EA7" s="1">
        <f>COUNTIF(AG$6:AG7,1)</f>
        <v>1</v>
      </c>
      <c r="EB7" s="1"/>
      <c r="ED7">
        <f t="shared" si="28"/>
        <v>2</v>
      </c>
      <c r="EE7" s="1">
        <f>DY7+COUNTIF(AE$6:AE7,2)*0.01+COUNTIF(AE$6:AE7,3)*0.0001+COUNTIF(AE$6:AE7,4)*0.000001</f>
        <v>1.01</v>
      </c>
      <c r="EF7" s="1">
        <f>DZ7+COUNTIF(AF$6:AF7,2)*0.01+COUNTIF(AF$6:AF7,3)*0.0001+COUNTIF(AF$6:AF7,4)*0.000001</f>
        <v>0.01</v>
      </c>
      <c r="EG7" s="1">
        <f>EA7+COUNTIF(AG$6:AG7,2)*0.01+COUNTIF(AG$6:AG7,3)*0.0001+COUNTIF(AG$6:AG7,4)*0.000001</f>
        <v>1.0001</v>
      </c>
      <c r="EH7" s="1"/>
      <c r="EJ7">
        <f t="shared" si="29"/>
        <v>2</v>
      </c>
      <c r="EK7" s="2">
        <f>AVERAGE(FJ$6:FJ7)</f>
        <v>1.5</v>
      </c>
      <c r="EL7" s="2">
        <f>AVERAGE(FK$6:FK7)</f>
        <v>2</v>
      </c>
      <c r="EM7" s="2">
        <f>AVERAGE(FL$6:FL7)</f>
        <v>2</v>
      </c>
      <c r="EN7" s="2"/>
      <c r="EO7" s="3"/>
      <c r="EP7">
        <f t="shared" si="30"/>
        <v>2</v>
      </c>
      <c r="EQ7" s="1">
        <f t="shared" ref="EQ7:EQ30" si="48">IF(AE7=0,0,IF($AD7=2,3-AE7,IF($AD7=3,4-AE7,IF($AD7=4,5-AE7,"tekst"))))+IF(AE7=MIN($AE7:$AO7),1,0)+EQ6</f>
        <v>4</v>
      </c>
      <c r="ER7" s="1">
        <f>IF(AF7=0,0,IF($AD7=2,3-AF7,IF($AD7=3,4-AF7,IF($AD7=4,5-AF7,"tekst"))))+IF(AF7=MIN($AE7:$AO7),1,0)+ER6</f>
        <v>3</v>
      </c>
      <c r="ES7" s="1">
        <f t="shared" ref="ES7:ES30" si="49">IF(AG7=0,0,IF($AD7=2,3-AG7,IF($AD7=3,4-AG7,IF($AD7=4,5-AG7,"tekst"))))+IF(AG7=MIN($AE7:$AO7),1,0)+ES6</f>
        <v>3</v>
      </c>
      <c r="ET7" s="1"/>
      <c r="EU7" s="3"/>
      <c r="EV7">
        <f t="shared" si="31"/>
        <v>2</v>
      </c>
      <c r="EW7" s="1">
        <f t="shared" ref="EW7:EW28" si="50">MAX($EQ7:$ET7)-EQ7</f>
        <v>0</v>
      </c>
      <c r="EX7" s="1">
        <f t="shared" ref="EX7:EX28" si="51">MAX($EQ7:$ET7)-ER7</f>
        <v>1</v>
      </c>
      <c r="EY7" s="1">
        <f t="shared" ref="EY7:EY28" si="52">MAX($EQ7:$ET7)-ES7</f>
        <v>1</v>
      </c>
      <c r="EZ7" s="1"/>
      <c r="FA7" s="3"/>
      <c r="FB7">
        <f t="shared" si="33"/>
        <v>2</v>
      </c>
      <c r="FC7" s="1">
        <f t="shared" si="34"/>
        <v>0</v>
      </c>
      <c r="FD7" s="1">
        <f t="shared" si="35"/>
        <v>-1</v>
      </c>
      <c r="FE7" s="1">
        <f t="shared" si="36"/>
        <v>0</v>
      </c>
      <c r="FF7" s="1"/>
      <c r="FG7">
        <f t="shared" si="37"/>
        <v>1</v>
      </c>
      <c r="FI7">
        <f t="shared" ref="FI7:FI35" si="53">N7</f>
        <v>2</v>
      </c>
      <c r="FJ7" s="1">
        <f t="shared" ref="FJ7:FJ33" si="54">IF(AE7=0,"nie grał",AE7)</f>
        <v>2</v>
      </c>
      <c r="FK7" s="1" t="str">
        <f t="shared" ref="FK7:FK33" si="55">IF(AF7=0,"nie grał",AF7)</f>
        <v>nie grał</v>
      </c>
      <c r="FL7" s="1">
        <f t="shared" ref="FL7:FL33" si="56">IF(AG7=0,"nie grał",AG7)</f>
        <v>1</v>
      </c>
      <c r="FM7" s="1" t="str">
        <f t="shared" ref="FM7:FM33" si="57">IF(AH7=0,"nie grał",AH7)</f>
        <v>nie grał</v>
      </c>
    </row>
    <row r="8" spans="2:169" x14ac:dyDescent="0.2">
      <c r="B8" s="1" t="s">
        <v>83</v>
      </c>
      <c r="C8" s="1" t="s">
        <v>156</v>
      </c>
      <c r="D8" s="1"/>
      <c r="E8" s="1"/>
      <c r="F8" s="88">
        <v>43919</v>
      </c>
      <c r="G8" s="56"/>
      <c r="H8" s="56"/>
      <c r="I8" s="56"/>
      <c r="J8" s="56"/>
      <c r="K8" s="56"/>
      <c r="N8">
        <v>3</v>
      </c>
      <c r="O8">
        <v>2</v>
      </c>
      <c r="P8" s="62" t="s">
        <v>6</v>
      </c>
      <c r="Q8" s="64" t="s">
        <v>8</v>
      </c>
      <c r="R8" s="1"/>
      <c r="S8" s="1"/>
      <c r="U8" s="2">
        <v>67</v>
      </c>
      <c r="V8" s="2">
        <v>49</v>
      </c>
      <c r="W8" s="2"/>
      <c r="X8" s="2"/>
      <c r="Z8" s="37">
        <f t="shared" ca="1" si="10"/>
        <v>18</v>
      </c>
      <c r="AA8" s="2">
        <f t="shared" ca="1" si="11"/>
        <v>18</v>
      </c>
      <c r="AC8">
        <f t="shared" si="38"/>
        <v>3</v>
      </c>
      <c r="AD8">
        <f t="shared" si="12"/>
        <v>2</v>
      </c>
      <c r="AE8" s="2">
        <f t="shared" si="39"/>
        <v>1</v>
      </c>
      <c r="AF8" s="2">
        <f t="shared" si="13"/>
        <v>0</v>
      </c>
      <c r="AG8" s="2">
        <f t="shared" si="13"/>
        <v>2</v>
      </c>
      <c r="AH8" s="2">
        <f t="shared" si="13"/>
        <v>0</v>
      </c>
      <c r="AI8" s="2">
        <f t="shared" si="13"/>
        <v>0</v>
      </c>
      <c r="AJ8" s="2">
        <f t="shared" si="13"/>
        <v>0</v>
      </c>
      <c r="AK8" s="2"/>
      <c r="AL8" s="2"/>
      <c r="AM8" s="2"/>
      <c r="AN8" s="2"/>
      <c r="AO8" s="2">
        <f t="shared" si="13"/>
        <v>0</v>
      </c>
      <c r="AQ8" s="4" t="s">
        <v>4</v>
      </c>
      <c r="AR8" s="1">
        <f t="shared" si="40"/>
        <v>0</v>
      </c>
      <c r="AS8" s="1">
        <f t="shared" si="40"/>
        <v>8</v>
      </c>
      <c r="AT8" s="1">
        <f t="shared" si="40"/>
        <v>5</v>
      </c>
      <c r="AU8" s="1">
        <f t="shared" si="40"/>
        <v>12</v>
      </c>
      <c r="AV8" s="1">
        <f t="shared" si="14"/>
        <v>1</v>
      </c>
      <c r="AW8" s="1">
        <f t="shared" si="14"/>
        <v>2</v>
      </c>
      <c r="AX8" s="1">
        <f t="shared" si="14"/>
        <v>0</v>
      </c>
      <c r="AY8" s="1">
        <f t="shared" si="14"/>
        <v>1</v>
      </c>
      <c r="AZ8" s="1">
        <f t="shared" si="14"/>
        <v>0</v>
      </c>
      <c r="BA8" s="1">
        <f t="shared" si="14"/>
        <v>0</v>
      </c>
      <c r="BB8" s="1">
        <f t="shared" si="14"/>
        <v>0</v>
      </c>
      <c r="BD8" s="2">
        <f t="shared" ca="1" si="15"/>
        <v>67</v>
      </c>
      <c r="BE8" s="2"/>
      <c r="BF8" s="2">
        <f t="shared" ca="1" si="15"/>
        <v>49</v>
      </c>
      <c r="BG8" s="2"/>
      <c r="BH8" s="2"/>
      <c r="BI8" s="2"/>
      <c r="BJ8" s="2"/>
      <c r="BK8" s="2"/>
      <c r="BL8" s="2"/>
      <c r="BM8" s="2"/>
      <c r="BN8" s="2"/>
      <c r="BP8" s="28">
        <f t="shared" ca="1" si="16"/>
        <v>116</v>
      </c>
      <c r="BQ8" s="29">
        <f t="shared" ca="1" si="17"/>
        <v>58</v>
      </c>
      <c r="BT8" s="2">
        <f t="shared" ca="1" si="41"/>
        <v>184</v>
      </c>
      <c r="BU8" s="2">
        <f t="shared" ca="1" si="42"/>
        <v>60</v>
      </c>
      <c r="BV8" s="2">
        <f t="shared" ca="1" si="43"/>
        <v>148</v>
      </c>
      <c r="BW8" s="2">
        <f t="shared" si="44"/>
        <v>0</v>
      </c>
      <c r="BX8" s="2"/>
      <c r="BY8" s="2"/>
      <c r="BZ8" s="2"/>
      <c r="CA8" s="2"/>
      <c r="CB8" s="2"/>
      <c r="CC8" s="2"/>
      <c r="CD8" s="2">
        <f t="shared" si="45"/>
        <v>0</v>
      </c>
      <c r="CG8" s="1">
        <f t="shared" ref="CG8:CG40" ca="1" si="58">IF(CH8=CH7,CG7,CW8)</f>
        <v>3</v>
      </c>
      <c r="CH8" s="1">
        <f t="shared" ca="1" si="18"/>
        <v>90</v>
      </c>
      <c r="CI8" s="1" t="str">
        <f t="shared" ca="1" si="19"/>
        <v>Mateusz</v>
      </c>
      <c r="CJ8" s="13">
        <f t="shared" ca="1" si="20"/>
        <v>34</v>
      </c>
      <c r="CK8">
        <f t="shared" ca="1" si="21"/>
        <v>1</v>
      </c>
      <c r="CL8" s="55">
        <f t="shared" ca="1" si="22"/>
        <v>4</v>
      </c>
      <c r="CW8" s="93">
        <f t="shared" ref="CW8:CW40" si="59">1+CW7</f>
        <v>3</v>
      </c>
      <c r="CX8" s="51">
        <f t="shared" ca="1" si="46"/>
        <v>669997</v>
      </c>
      <c r="CY8" s="52">
        <f t="shared" ca="1" si="23"/>
        <v>67</v>
      </c>
      <c r="CZ8" s="51" t="str">
        <f t="shared" si="47"/>
        <v>Mateusz</v>
      </c>
      <c r="DA8" s="77">
        <v>3</v>
      </c>
      <c r="DB8" s="77">
        <f t="shared" si="24"/>
        <v>1</v>
      </c>
      <c r="DC8" s="51">
        <f t="shared" ca="1" si="25"/>
        <v>899889</v>
      </c>
      <c r="DE8" s="51">
        <f>AU6</f>
        <v>3</v>
      </c>
      <c r="DF8" s="51">
        <f>AU7</f>
        <v>2</v>
      </c>
      <c r="DG8" s="51">
        <f>AU8</f>
        <v>12</v>
      </c>
      <c r="DH8" s="51">
        <f>AU9</f>
        <v>3</v>
      </c>
      <c r="DI8" s="51">
        <v>4</v>
      </c>
      <c r="DJ8" s="74">
        <f t="shared" si="7"/>
        <v>302120304</v>
      </c>
      <c r="DK8" s="51" t="str">
        <f t="shared" si="8"/>
        <v>3-2-12-3</v>
      </c>
      <c r="DL8" s="51" t="str">
        <f>AU4</f>
        <v>Agnieszka</v>
      </c>
      <c r="DM8" s="51">
        <f t="shared" si="9"/>
        <v>20</v>
      </c>
      <c r="DO8">
        <f t="shared" si="26"/>
        <v>3</v>
      </c>
      <c r="DP8" s="6">
        <f ca="1">AVERAGE(BD$6:BD8)</f>
        <v>61.333333333333336</v>
      </c>
      <c r="DQ8" s="6">
        <f ca="1">AVERAGE(BE$6:BE8)</f>
        <v>60</v>
      </c>
      <c r="DR8" s="6">
        <f ca="1">AVERAGE(BF$6:BF8)</f>
        <v>49.333333333333336</v>
      </c>
      <c r="DS8" s="6"/>
      <c r="DT8" s="86">
        <f t="shared" ref="DT8:DT39" ca="1" si="60">DT7</f>
        <v>70.441176470588232</v>
      </c>
      <c r="DU8" s="87">
        <f ca="1">AVERAGE($BD$6:BN8)</f>
        <v>56</v>
      </c>
      <c r="DX8">
        <f t="shared" si="27"/>
        <v>3</v>
      </c>
      <c r="DY8" s="1">
        <f>COUNTIF(AE$6:AE8,1)</f>
        <v>2</v>
      </c>
      <c r="DZ8" s="1">
        <f>COUNTIF(AF$6:AF8,1)</f>
        <v>0</v>
      </c>
      <c r="EA8" s="1">
        <f>COUNTIF(AG$6:AG8,1)</f>
        <v>1</v>
      </c>
      <c r="EB8" s="1"/>
      <c r="ED8">
        <f t="shared" si="28"/>
        <v>3</v>
      </c>
      <c r="EE8" s="1">
        <f>DY8+COUNTIF(AE$6:AE8,2)*0.01+COUNTIF(AE$6:AE8,3)*0.0001+COUNTIF(AE$6:AE8,4)*0.000001</f>
        <v>2.0099999999999998</v>
      </c>
      <c r="EF8" s="1">
        <f>DZ8+COUNTIF(AF$6:AF8,2)*0.01+COUNTIF(AF$6:AF8,3)*0.0001+COUNTIF(AF$6:AF8,4)*0.000001</f>
        <v>0.01</v>
      </c>
      <c r="EG8" s="1">
        <f>EA8+COUNTIF(AG$6:AG8,2)*0.01+COUNTIF(AG$6:AG8,3)*0.0001+COUNTIF(AG$6:AG8,4)*0.000001</f>
        <v>1.0101</v>
      </c>
      <c r="EH8" s="1"/>
      <c r="EJ8">
        <f t="shared" si="29"/>
        <v>3</v>
      </c>
      <c r="EK8" s="2">
        <f>AVERAGE(FJ$6:FJ8)</f>
        <v>1.3333333333333333</v>
      </c>
      <c r="EL8" s="2">
        <f>AVERAGE(FK$6:FK8)</f>
        <v>2</v>
      </c>
      <c r="EM8" s="2">
        <f>AVERAGE(FL$6:FL8)</f>
        <v>2</v>
      </c>
      <c r="EN8" s="2"/>
      <c r="EO8" s="3"/>
      <c r="EP8">
        <f t="shared" si="30"/>
        <v>3</v>
      </c>
      <c r="EQ8" s="1">
        <f t="shared" si="48"/>
        <v>6</v>
      </c>
      <c r="ER8" s="1">
        <f t="shared" ref="ER8:ER30" si="61">IF(AF8=0,0,IF($AD8=2,3-AF8,IF($AD8=3,4-AF8,IF($AD8=4,5-AF8,"tekst"))))+IF(AF8=MIN($AE8:$AO8),1,0)+ER7</f>
        <v>4</v>
      </c>
      <c r="ES8" s="1">
        <f t="shared" si="49"/>
        <v>4</v>
      </c>
      <c r="ET8" s="1"/>
      <c r="EU8" s="3"/>
      <c r="EV8">
        <f t="shared" si="31"/>
        <v>3</v>
      </c>
      <c r="EW8" s="1">
        <f t="shared" si="50"/>
        <v>0</v>
      </c>
      <c r="EX8" s="1">
        <f t="shared" si="51"/>
        <v>2</v>
      </c>
      <c r="EY8" s="1">
        <f t="shared" si="52"/>
        <v>2</v>
      </c>
      <c r="EZ8" s="1"/>
      <c r="FA8" s="3"/>
      <c r="FB8">
        <f t="shared" si="33"/>
        <v>3</v>
      </c>
      <c r="FC8" s="1">
        <f t="shared" si="34"/>
        <v>0</v>
      </c>
      <c r="FD8" s="1">
        <f t="shared" si="35"/>
        <v>-2</v>
      </c>
      <c r="FE8" s="1">
        <f t="shared" si="36"/>
        <v>-1</v>
      </c>
      <c r="FF8" s="1"/>
      <c r="FG8">
        <f t="shared" si="37"/>
        <v>2</v>
      </c>
      <c r="FI8">
        <f t="shared" si="53"/>
        <v>3</v>
      </c>
      <c r="FJ8" s="1">
        <f t="shared" si="54"/>
        <v>1</v>
      </c>
      <c r="FK8" s="1" t="str">
        <f t="shared" si="55"/>
        <v>nie grał</v>
      </c>
      <c r="FL8" s="1">
        <f t="shared" si="56"/>
        <v>2</v>
      </c>
      <c r="FM8" s="1" t="str">
        <f t="shared" si="57"/>
        <v>nie grał</v>
      </c>
    </row>
    <row r="9" spans="2:169" x14ac:dyDescent="0.2">
      <c r="B9" s="1" t="s">
        <v>84</v>
      </c>
      <c r="C9" s="1" t="s">
        <v>83</v>
      </c>
      <c r="D9" s="1" t="s">
        <v>81</v>
      </c>
      <c r="E9" s="1" t="s">
        <v>80</v>
      </c>
      <c r="F9" s="88">
        <v>43922</v>
      </c>
      <c r="G9" s="56"/>
      <c r="H9" s="56"/>
      <c r="I9" s="56"/>
      <c r="J9" s="56"/>
      <c r="K9" s="56"/>
      <c r="N9">
        <v>4</v>
      </c>
      <c r="O9">
        <v>4</v>
      </c>
      <c r="P9" s="64" t="s">
        <v>8</v>
      </c>
      <c r="Q9" s="62" t="s">
        <v>6</v>
      </c>
      <c r="R9" s="61" t="s">
        <v>7</v>
      </c>
      <c r="S9" s="63" t="s">
        <v>9</v>
      </c>
      <c r="U9" s="2">
        <v>67</v>
      </c>
      <c r="V9" s="2">
        <v>57</v>
      </c>
      <c r="W9" s="2">
        <v>56</v>
      </c>
      <c r="X9" s="2">
        <v>49</v>
      </c>
      <c r="Z9" s="37">
        <f ca="1">MAX($BD9:$BN9)-LARGE($BD9:$BN9,2)</f>
        <v>10</v>
      </c>
      <c r="AA9" s="2">
        <f ca="1">MAX($BD9:$BN9)-LARGE($BD9:$BN9,O9)</f>
        <v>18</v>
      </c>
      <c r="AC9">
        <f t="shared" si="38"/>
        <v>4</v>
      </c>
      <c r="AD9">
        <f t="shared" si="12"/>
        <v>4</v>
      </c>
      <c r="AE9" s="2">
        <f t="shared" si="39"/>
        <v>2</v>
      </c>
      <c r="AF9" s="2">
        <f t="shared" si="13"/>
        <v>3</v>
      </c>
      <c r="AG9" s="2">
        <f t="shared" si="13"/>
        <v>1</v>
      </c>
      <c r="AH9" s="2">
        <f t="shared" si="13"/>
        <v>4</v>
      </c>
      <c r="AI9" s="2">
        <f t="shared" si="13"/>
        <v>0</v>
      </c>
      <c r="AJ9" s="2">
        <f t="shared" si="13"/>
        <v>0</v>
      </c>
      <c r="AK9" s="2"/>
      <c r="AL9" s="2"/>
      <c r="AM9" s="2"/>
      <c r="AN9" s="2"/>
      <c r="AO9" s="2">
        <f t="shared" si="13"/>
        <v>0</v>
      </c>
      <c r="AQ9" s="4" t="s">
        <v>5</v>
      </c>
      <c r="AR9" s="1">
        <f t="shared" si="40"/>
        <v>4</v>
      </c>
      <c r="AS9" s="1">
        <f t="shared" si="40"/>
        <v>2</v>
      </c>
      <c r="AT9" s="1">
        <f t="shared" si="40"/>
        <v>4</v>
      </c>
      <c r="AU9" s="1">
        <f t="shared" si="40"/>
        <v>3</v>
      </c>
      <c r="AV9" s="1">
        <f t="shared" si="14"/>
        <v>2</v>
      </c>
      <c r="AW9" s="1">
        <f t="shared" si="14"/>
        <v>1</v>
      </c>
      <c r="AX9" s="1">
        <f t="shared" si="14"/>
        <v>0</v>
      </c>
      <c r="AY9" s="1">
        <f t="shared" si="14"/>
        <v>0</v>
      </c>
      <c r="AZ9" s="1">
        <f t="shared" si="14"/>
        <v>0</v>
      </c>
      <c r="BA9" s="1">
        <f t="shared" si="14"/>
        <v>1</v>
      </c>
      <c r="BB9" s="1">
        <f t="shared" si="14"/>
        <v>0</v>
      </c>
      <c r="BD9" s="2">
        <f t="shared" ca="1" si="15"/>
        <v>57</v>
      </c>
      <c r="BE9" s="2">
        <f t="shared" ca="1" si="15"/>
        <v>56</v>
      </c>
      <c r="BF9" s="2">
        <f t="shared" ca="1" si="15"/>
        <v>67</v>
      </c>
      <c r="BG9" s="2">
        <f t="shared" ca="1" si="15"/>
        <v>49</v>
      </c>
      <c r="BH9" s="2"/>
      <c r="BI9" s="2"/>
      <c r="BJ9" s="2"/>
      <c r="BK9" s="2"/>
      <c r="BL9" s="2"/>
      <c r="BM9" s="2"/>
      <c r="BN9" s="2"/>
      <c r="BP9" s="28">
        <f t="shared" ca="1" si="16"/>
        <v>229</v>
      </c>
      <c r="BQ9" s="29">
        <f ca="1">BP9/AD9</f>
        <v>57.25</v>
      </c>
      <c r="BT9" s="2">
        <f t="shared" ref="BT9:BW10" ca="1" si="62">BD9+BT8</f>
        <v>241</v>
      </c>
      <c r="BU9" s="2">
        <f t="shared" ca="1" si="62"/>
        <v>116</v>
      </c>
      <c r="BV9" s="2">
        <f t="shared" ca="1" si="62"/>
        <v>215</v>
      </c>
      <c r="BW9" s="2">
        <f t="shared" ca="1" si="62"/>
        <v>49</v>
      </c>
      <c r="BX9" s="2"/>
      <c r="BY9" s="2"/>
      <c r="BZ9" s="2"/>
      <c r="CA9" s="2"/>
      <c r="CB9" s="2"/>
      <c r="CC9" s="2"/>
      <c r="CD9" s="2">
        <f>BN9+CD8</f>
        <v>0</v>
      </c>
      <c r="CG9" s="1">
        <f ca="1">IF(CH9=CH8,CG8,CW9)</f>
        <v>4</v>
      </c>
      <c r="CH9" s="1">
        <f t="shared" ca="1" si="18"/>
        <v>89</v>
      </c>
      <c r="CI9" s="1" t="str">
        <f t="shared" ca="1" si="19"/>
        <v>Marcin</v>
      </c>
      <c r="CJ9" s="13">
        <f t="shared" ca="1" si="20"/>
        <v>26</v>
      </c>
      <c r="CK9">
        <f t="shared" ca="1" si="21"/>
        <v>1</v>
      </c>
      <c r="CL9" s="55">
        <f t="shared" ca="1" si="22"/>
        <v>4</v>
      </c>
      <c r="CO9" s="30" t="s">
        <v>55</v>
      </c>
      <c r="CP9" s="31">
        <f>MAX(V6:V38)</f>
        <v>85</v>
      </c>
      <c r="CQ9" s="32" t="s">
        <v>6</v>
      </c>
      <c r="CR9" s="3"/>
      <c r="CS9" s="3"/>
      <c r="CT9" s="3"/>
      <c r="CU9" s="3"/>
      <c r="CW9" s="93">
        <f>1+CW8</f>
        <v>4</v>
      </c>
      <c r="CX9" s="51">
        <f t="shared" ca="1" si="46"/>
        <v>569996</v>
      </c>
      <c r="CY9" s="52">
        <f t="shared" ca="1" si="23"/>
        <v>57</v>
      </c>
      <c r="CZ9" s="51" t="str">
        <f t="shared" si="47"/>
        <v>Mateusz</v>
      </c>
      <c r="DA9" s="77">
        <v>4</v>
      </c>
      <c r="DB9" s="77">
        <f>AE9</f>
        <v>2</v>
      </c>
      <c r="DC9" s="51">
        <f t="shared" ca="1" si="25"/>
        <v>889919</v>
      </c>
      <c r="DE9" s="51">
        <f>AV6</f>
        <v>0</v>
      </c>
      <c r="DF9" s="51">
        <f>AV7</f>
        <v>0</v>
      </c>
      <c r="DG9" s="51">
        <f>AV8</f>
        <v>1</v>
      </c>
      <c r="DH9" s="51">
        <f>AV9</f>
        <v>2</v>
      </c>
      <c r="DI9" s="51">
        <v>5</v>
      </c>
      <c r="DJ9" s="74">
        <f t="shared" si="7"/>
        <v>10205</v>
      </c>
      <c r="DK9" s="51" t="str">
        <f t="shared" si="8"/>
        <v>0-0-1-2</v>
      </c>
      <c r="DL9" s="51" t="str">
        <f>AV4</f>
        <v>Dominika</v>
      </c>
      <c r="DM9" s="51">
        <f t="shared" si="9"/>
        <v>3</v>
      </c>
      <c r="DO9">
        <f>N9</f>
        <v>4</v>
      </c>
      <c r="DP9" s="6">
        <f ca="1">AVERAGE(BD$6:BD9)</f>
        <v>60.25</v>
      </c>
      <c r="DQ9" s="6">
        <f ca="1">AVERAGE(BE$6:BE9)</f>
        <v>58</v>
      </c>
      <c r="DR9" s="6">
        <f ca="1">AVERAGE(BF$6:BF9)</f>
        <v>53.75</v>
      </c>
      <c r="DS9" s="6">
        <f ca="1">AVERAGE(BG$6:BG9)</f>
        <v>49</v>
      </c>
      <c r="DT9" s="86">
        <f ca="1">DT8</f>
        <v>70.441176470588232</v>
      </c>
      <c r="DU9" s="87">
        <f ca="1">AVERAGE($BD$6:BN9)</f>
        <v>56.454545454545453</v>
      </c>
      <c r="DX9">
        <f>N9</f>
        <v>4</v>
      </c>
      <c r="DY9" s="1">
        <f>COUNTIF(AE$6:AE9,1)</f>
        <v>2</v>
      </c>
      <c r="DZ9" s="1">
        <f>COUNTIF(AF$6:AF9,1)</f>
        <v>0</v>
      </c>
      <c r="EA9" s="1">
        <f>COUNTIF(AG$6:AG9,1)</f>
        <v>2</v>
      </c>
      <c r="EB9" s="1">
        <f>COUNTIF(AH$6:AH9,1)</f>
        <v>0</v>
      </c>
      <c r="ED9">
        <f>N9</f>
        <v>4</v>
      </c>
      <c r="EE9" s="1">
        <f>DY9+COUNTIF(AE$6:AE9,2)*0.01+COUNTIF(AE$6:AE9,3)*0.0001+COUNTIF(AE$6:AE9,4)*0.000001</f>
        <v>2.02</v>
      </c>
      <c r="EF9" s="1">
        <f>DZ9+COUNTIF(AF$6:AF9,2)*0.01+COUNTIF(AF$6:AF9,3)*0.0001+COUNTIF(AF$6:AF9,4)*0.000001</f>
        <v>1.01E-2</v>
      </c>
      <c r="EG9" s="1">
        <f>EA9+COUNTIF(AG$6:AG9,2)*0.01+COUNTIF(AG$6:AG9,3)*0.0001+COUNTIF(AG$6:AG9,4)*0.000001</f>
        <v>2.0101</v>
      </c>
      <c r="EH9" s="1">
        <f>EB9+COUNTIF(AH$6:AH9,2)*0.01+COUNTIF(AH$6:AH9,3)*0.0001+COUNTIF(AH$6:AH9,4)*0.000001</f>
        <v>9.9999999999999995E-7</v>
      </c>
      <c r="EJ9">
        <f>N9</f>
        <v>4</v>
      </c>
      <c r="EK9" s="2">
        <f>AVERAGE(FJ$6:FJ9)</f>
        <v>1.5</v>
      </c>
      <c r="EL9" s="2">
        <f>AVERAGE(FK$6:FK9)</f>
        <v>2.5</v>
      </c>
      <c r="EM9" s="2">
        <f>AVERAGE(FL$6:FL9)</f>
        <v>1.75</v>
      </c>
      <c r="EN9" s="2">
        <f>AVERAGE(FM$6:FM9)</f>
        <v>4</v>
      </c>
      <c r="EO9" s="3"/>
      <c r="EP9">
        <f>N9</f>
        <v>4</v>
      </c>
      <c r="EQ9" s="1">
        <f t="shared" ref="EQ9:ET10" si="63">IF(AE9=0,0,IF($AD9=2,3-AE9,IF($AD9=3,4-AE9,IF($AD9=4,5-AE9,"tekst"))))+IF(AE9=MIN($AE9:$AO9),1,0)+EQ8</f>
        <v>9</v>
      </c>
      <c r="ER9" s="1">
        <f t="shared" si="63"/>
        <v>6</v>
      </c>
      <c r="ES9" s="1">
        <f t="shared" si="63"/>
        <v>8</v>
      </c>
      <c r="ET9" s="1">
        <f t="shared" si="63"/>
        <v>1</v>
      </c>
      <c r="EU9" s="3"/>
      <c r="EV9">
        <f>N9</f>
        <v>4</v>
      </c>
      <c r="EW9" s="1">
        <f>MAX($EQ9:$ET9)-EQ9</f>
        <v>0</v>
      </c>
      <c r="EX9" s="1">
        <f>MAX($EQ9:$ET9)-ER9</f>
        <v>3</v>
      </c>
      <c r="EY9" s="1">
        <f>MAX($EQ9:$ET9)-ES9</f>
        <v>1</v>
      </c>
      <c r="EZ9" s="1">
        <f>MAX($EQ9:$ET9)-ET9</f>
        <v>8</v>
      </c>
      <c r="FA9" s="3"/>
      <c r="FB9">
        <f>N9</f>
        <v>4</v>
      </c>
      <c r="FC9" s="1">
        <f>DY9-$FG9</f>
        <v>0</v>
      </c>
      <c r="FD9" s="1">
        <f>DZ9-$FG9</f>
        <v>-2</v>
      </c>
      <c r="FE9" s="1">
        <f>EA9-$FG9</f>
        <v>0</v>
      </c>
      <c r="FF9" s="1">
        <f>EB9-$FG9</f>
        <v>-2</v>
      </c>
      <c r="FG9">
        <f t="shared" si="37"/>
        <v>2</v>
      </c>
      <c r="FI9">
        <f>N9</f>
        <v>4</v>
      </c>
      <c r="FJ9" s="1">
        <f>IF(AE9=0,"nie grał",AE9)</f>
        <v>2</v>
      </c>
      <c r="FK9" s="1">
        <f>IF(AF9=0,"nie grał",AF9)</f>
        <v>3</v>
      </c>
      <c r="FL9" s="1">
        <f>IF(AG9=0,"nie grał",AG9)</f>
        <v>1</v>
      </c>
      <c r="FM9" s="1">
        <f>IF(AH9=0,"nie grał",AH9)</f>
        <v>4</v>
      </c>
    </row>
    <row r="10" spans="2:169" x14ac:dyDescent="0.2">
      <c r="B10" s="8" t="s">
        <v>79</v>
      </c>
      <c r="C10" s="8" t="s">
        <v>156</v>
      </c>
      <c r="D10" s="1"/>
      <c r="E10" s="1"/>
      <c r="F10" s="88">
        <v>43923</v>
      </c>
      <c r="G10" s="56"/>
      <c r="H10" s="56"/>
      <c r="I10" s="56"/>
      <c r="J10" s="56"/>
      <c r="K10" s="56"/>
      <c r="N10">
        <v>5</v>
      </c>
      <c r="O10">
        <v>2</v>
      </c>
      <c r="P10" s="64" t="s">
        <v>8</v>
      </c>
      <c r="Q10" s="62" t="s">
        <v>6</v>
      </c>
      <c r="R10" s="1"/>
      <c r="S10" s="1"/>
      <c r="U10" s="2">
        <v>72</v>
      </c>
      <c r="V10" s="2">
        <v>55</v>
      </c>
      <c r="W10" s="2"/>
      <c r="X10" s="2"/>
      <c r="Z10" s="37">
        <f t="shared" ca="1" si="10"/>
        <v>17</v>
      </c>
      <c r="AA10" s="2">
        <f t="shared" ca="1" si="11"/>
        <v>17</v>
      </c>
      <c r="AC10">
        <f t="shared" si="38"/>
        <v>5</v>
      </c>
      <c r="AD10">
        <f t="shared" si="12"/>
        <v>2</v>
      </c>
      <c r="AE10" s="2">
        <f t="shared" si="39"/>
        <v>2</v>
      </c>
      <c r="AF10" s="2">
        <f t="shared" si="13"/>
        <v>0</v>
      </c>
      <c r="AG10" s="2">
        <f t="shared" si="13"/>
        <v>1</v>
      </c>
      <c r="AH10" s="2">
        <f t="shared" si="13"/>
        <v>0</v>
      </c>
      <c r="AI10" s="2">
        <f t="shared" si="13"/>
        <v>0</v>
      </c>
      <c r="AJ10" s="2">
        <f t="shared" si="13"/>
        <v>0</v>
      </c>
      <c r="AK10" s="2"/>
      <c r="AL10" s="2"/>
      <c r="AM10" s="2"/>
      <c r="AN10" s="2"/>
      <c r="AO10" s="2">
        <f t="shared" si="13"/>
        <v>0</v>
      </c>
      <c r="BD10" s="2">
        <f t="shared" ca="1" si="15"/>
        <v>55</v>
      </c>
      <c r="BE10" s="2"/>
      <c r="BF10" s="2">
        <f t="shared" ca="1" si="15"/>
        <v>72</v>
      </c>
      <c r="BG10" s="2"/>
      <c r="BH10" s="2"/>
      <c r="BI10" s="2"/>
      <c r="BJ10" s="2"/>
      <c r="BK10" s="2"/>
      <c r="BL10" s="2"/>
      <c r="BM10" s="2"/>
      <c r="BN10" s="2"/>
      <c r="BP10" s="28">
        <f t="shared" ca="1" si="16"/>
        <v>127</v>
      </c>
      <c r="BQ10" s="29">
        <f t="shared" ca="1" si="17"/>
        <v>63.5</v>
      </c>
      <c r="BT10" s="2">
        <f t="shared" ca="1" si="62"/>
        <v>296</v>
      </c>
      <c r="BU10" s="2">
        <f t="shared" ca="1" si="62"/>
        <v>116</v>
      </c>
      <c r="BV10" s="2">
        <f t="shared" ca="1" si="62"/>
        <v>287</v>
      </c>
      <c r="BW10" s="2">
        <f t="shared" ca="1" si="62"/>
        <v>49</v>
      </c>
      <c r="BX10" s="2"/>
      <c r="BY10" s="2"/>
      <c r="BZ10" s="2"/>
      <c r="CA10" s="2"/>
      <c r="CB10" s="2"/>
      <c r="CC10" s="2"/>
      <c r="CD10" s="2">
        <f>BN10+CD9</f>
        <v>0</v>
      </c>
      <c r="CG10" s="1">
        <f ca="1">IF(CH10=CH9,CG9,CW10)</f>
        <v>5</v>
      </c>
      <c r="CH10" s="1">
        <f t="shared" ca="1" si="18"/>
        <v>87</v>
      </c>
      <c r="CI10" s="1" t="str">
        <f t="shared" ca="1" si="19"/>
        <v>Agnieszka</v>
      </c>
      <c r="CJ10" s="13">
        <f t="shared" ca="1" si="20"/>
        <v>30</v>
      </c>
      <c r="CK10">
        <f t="shared" ca="1" si="21"/>
        <v>1</v>
      </c>
      <c r="CL10" s="55">
        <f t="shared" ca="1" si="22"/>
        <v>4</v>
      </c>
      <c r="CO10" s="33" t="s">
        <v>56</v>
      </c>
      <c r="CP10" s="34">
        <f>MIN(V6:V38)</f>
        <v>49</v>
      </c>
      <c r="CQ10" s="35" t="s">
        <v>8</v>
      </c>
      <c r="CR10" s="3"/>
      <c r="CS10" s="3"/>
      <c r="CT10" s="3"/>
      <c r="CU10" s="3"/>
      <c r="CW10" s="93">
        <f>1+CW9</f>
        <v>5</v>
      </c>
      <c r="CX10" s="51">
        <f t="shared" ca="1" si="46"/>
        <v>549995</v>
      </c>
      <c r="CY10" s="52">
        <f t="shared" ca="1" si="23"/>
        <v>55</v>
      </c>
      <c r="CZ10" s="51" t="str">
        <f t="shared" si="47"/>
        <v>Mateusz</v>
      </c>
      <c r="DA10" s="77">
        <v>5</v>
      </c>
      <c r="DB10" s="77">
        <f t="shared" si="24"/>
        <v>2</v>
      </c>
      <c r="DC10" s="51">
        <f t="shared" ca="1" si="25"/>
        <v>869902</v>
      </c>
      <c r="DE10" s="51">
        <f>BB6</f>
        <v>0</v>
      </c>
      <c r="DF10" s="51">
        <f>BB7</f>
        <v>1</v>
      </c>
      <c r="DG10" s="51">
        <f>BB8</f>
        <v>0</v>
      </c>
      <c r="DH10" s="51">
        <f>BB9</f>
        <v>0</v>
      </c>
      <c r="DI10" s="51">
        <v>6</v>
      </c>
      <c r="DJ10" s="74">
        <f t="shared" si="7"/>
        <v>1000006</v>
      </c>
      <c r="DK10" s="51" t="str">
        <f t="shared" si="8"/>
        <v>0-1-0-0</v>
      </c>
      <c r="DL10" s="51" t="str">
        <f>BB4</f>
        <v>Damian</v>
      </c>
      <c r="DM10" s="51">
        <f t="shared" si="9"/>
        <v>1</v>
      </c>
      <c r="DO10">
        <f t="shared" si="26"/>
        <v>5</v>
      </c>
      <c r="DP10" s="6">
        <f ca="1">AVERAGE(BD$6:BD10)</f>
        <v>59.2</v>
      </c>
      <c r="DQ10" s="6">
        <f ca="1">AVERAGE(BE$6:BE10)</f>
        <v>58</v>
      </c>
      <c r="DR10" s="6">
        <f ca="1">AVERAGE(BF$6:BF10)</f>
        <v>57.4</v>
      </c>
      <c r="DS10" s="6">
        <f ca="1">AVERAGE(BG$6:BG10)</f>
        <v>49</v>
      </c>
      <c r="DT10" s="86">
        <f ca="1">DT9</f>
        <v>70.441176470588232</v>
      </c>
      <c r="DU10" s="87">
        <f ca="1">AVERAGE($BD$6:BN10)</f>
        <v>57.53846153846154</v>
      </c>
      <c r="DX10">
        <f t="shared" si="27"/>
        <v>5</v>
      </c>
      <c r="DY10" s="1">
        <f>COUNTIF(AE$6:AE10,1)</f>
        <v>2</v>
      </c>
      <c r="DZ10" s="1">
        <f>COUNTIF(AF$6:AF10,1)</f>
        <v>0</v>
      </c>
      <c r="EA10" s="1">
        <f>COUNTIF(AG$6:AG10,1)</f>
        <v>3</v>
      </c>
      <c r="EB10" s="1">
        <f>COUNTIF(AH$6:AH10,1)</f>
        <v>0</v>
      </c>
      <c r="ED10">
        <f t="shared" si="28"/>
        <v>5</v>
      </c>
      <c r="EE10" s="1">
        <f>DY10+COUNTIF(AE$6:AE10,2)*0.01+COUNTIF(AE$6:AE10,3)*0.0001+COUNTIF(AE$6:AE10,4)*0.000001</f>
        <v>2.0299999999999998</v>
      </c>
      <c r="EF10" s="1">
        <f>DZ10+COUNTIF(AF$6:AF10,2)*0.01+COUNTIF(AF$6:AF10,3)*0.0001+COUNTIF(AF$6:AF10,4)*0.000001</f>
        <v>1.01E-2</v>
      </c>
      <c r="EG10" s="1">
        <f>EA10+COUNTIF(AG$6:AG10,2)*0.01+COUNTIF(AG$6:AG10,3)*0.0001+COUNTIF(AG$6:AG10,4)*0.000001</f>
        <v>3.0101</v>
      </c>
      <c r="EH10" s="1">
        <f>EB10+COUNTIF(AH$6:AH10,2)*0.01+COUNTIF(AH$6:AH10,3)*0.0001+COUNTIF(AH$6:AH10,4)*0.000001</f>
        <v>9.9999999999999995E-7</v>
      </c>
      <c r="EJ10">
        <f t="shared" si="29"/>
        <v>5</v>
      </c>
      <c r="EK10" s="2">
        <f>AVERAGE(FJ$6:FJ10)</f>
        <v>1.6</v>
      </c>
      <c r="EL10" s="2">
        <f>AVERAGE(FK$6:FK10)</f>
        <v>2.5</v>
      </c>
      <c r="EM10" s="2">
        <f>AVERAGE(FL$6:FL10)</f>
        <v>1.6</v>
      </c>
      <c r="EN10" s="2">
        <f>AVERAGE(FM$6:FM10)</f>
        <v>4</v>
      </c>
      <c r="EO10" s="3"/>
      <c r="EP10">
        <f t="shared" si="30"/>
        <v>5</v>
      </c>
      <c r="EQ10" s="1">
        <f t="shared" si="63"/>
        <v>10</v>
      </c>
      <c r="ER10" s="1">
        <f t="shared" si="63"/>
        <v>7</v>
      </c>
      <c r="ES10" s="1">
        <f t="shared" si="63"/>
        <v>10</v>
      </c>
      <c r="ET10" s="1">
        <f t="shared" si="63"/>
        <v>2</v>
      </c>
      <c r="EU10" s="3"/>
      <c r="EV10">
        <f t="shared" si="31"/>
        <v>5</v>
      </c>
      <c r="EW10" s="1">
        <f t="shared" si="50"/>
        <v>0</v>
      </c>
      <c r="EX10" s="1">
        <f t="shared" si="51"/>
        <v>3</v>
      </c>
      <c r="EY10" s="1">
        <f t="shared" si="52"/>
        <v>0</v>
      </c>
      <c r="EZ10" s="1">
        <f t="shared" ref="EZ10:EZ28" si="64">MAX($EQ10:$ET10)-ET10</f>
        <v>8</v>
      </c>
      <c r="FA10" s="3"/>
      <c r="FB10">
        <f t="shared" si="33"/>
        <v>5</v>
      </c>
      <c r="FC10" s="1">
        <f t="shared" si="34"/>
        <v>-1</v>
      </c>
      <c r="FD10" s="1">
        <f t="shared" si="35"/>
        <v>-3</v>
      </c>
      <c r="FE10" s="1">
        <f t="shared" si="36"/>
        <v>0</v>
      </c>
      <c r="FF10" s="1">
        <f t="shared" ref="FF10:FF28" si="65">EB10-$FG10</f>
        <v>-3</v>
      </c>
      <c r="FG10">
        <f t="shared" si="37"/>
        <v>3</v>
      </c>
      <c r="FI10">
        <f t="shared" si="53"/>
        <v>5</v>
      </c>
      <c r="FJ10" s="1">
        <f t="shared" si="54"/>
        <v>2</v>
      </c>
      <c r="FK10" s="1" t="str">
        <f t="shared" si="55"/>
        <v>nie grał</v>
      </c>
      <c r="FL10" s="1">
        <f t="shared" si="56"/>
        <v>1</v>
      </c>
      <c r="FM10" s="1" t="str">
        <f t="shared" si="57"/>
        <v>nie grał</v>
      </c>
    </row>
    <row r="11" spans="2:169" x14ac:dyDescent="0.2">
      <c r="B11" s="8" t="s">
        <v>84</v>
      </c>
      <c r="C11" s="8" t="s">
        <v>83</v>
      </c>
      <c r="D11" s="1" t="s">
        <v>156</v>
      </c>
      <c r="E11" s="1"/>
      <c r="F11" s="88">
        <v>43925</v>
      </c>
      <c r="G11" s="56"/>
      <c r="H11" s="56"/>
      <c r="I11" s="56"/>
      <c r="J11" s="56"/>
      <c r="K11" s="56"/>
      <c r="N11">
        <v>6</v>
      </c>
      <c r="O11">
        <v>3</v>
      </c>
      <c r="P11" s="62" t="s">
        <v>6</v>
      </c>
      <c r="Q11" s="64" t="s">
        <v>8</v>
      </c>
      <c r="R11" s="63" t="s">
        <v>7</v>
      </c>
      <c r="S11" s="1"/>
      <c r="U11" s="2">
        <v>76</v>
      </c>
      <c r="V11" s="2">
        <v>66</v>
      </c>
      <c r="W11" s="2">
        <v>51</v>
      </c>
      <c r="X11" s="2"/>
      <c r="Z11" s="37">
        <f t="shared" ca="1" si="10"/>
        <v>10</v>
      </c>
      <c r="AA11" s="2">
        <f t="shared" ca="1" si="11"/>
        <v>25</v>
      </c>
      <c r="AC11">
        <f t="shared" si="38"/>
        <v>6</v>
      </c>
      <c r="AD11">
        <f t="shared" si="12"/>
        <v>3</v>
      </c>
      <c r="AE11" s="2">
        <f t="shared" si="39"/>
        <v>1</v>
      </c>
      <c r="AF11" s="2">
        <f t="shared" si="13"/>
        <v>3</v>
      </c>
      <c r="AG11" s="2">
        <f t="shared" si="13"/>
        <v>2</v>
      </c>
      <c r="AH11" s="2">
        <f t="shared" si="13"/>
        <v>0</v>
      </c>
      <c r="AI11" s="2">
        <f t="shared" si="13"/>
        <v>0</v>
      </c>
      <c r="AJ11" s="2">
        <f t="shared" si="13"/>
        <v>0</v>
      </c>
      <c r="AK11" s="2"/>
      <c r="AL11" s="2"/>
      <c r="AM11" s="2"/>
      <c r="AN11" s="2"/>
      <c r="AO11" s="2">
        <f t="shared" si="13"/>
        <v>0</v>
      </c>
      <c r="AQ11" t="s">
        <v>25</v>
      </c>
      <c r="BD11" s="2">
        <f t="shared" ca="1" si="15"/>
        <v>76</v>
      </c>
      <c r="BE11" s="2">
        <f t="shared" ca="1" si="15"/>
        <v>51</v>
      </c>
      <c r="BF11" s="2">
        <f t="shared" ca="1" si="15"/>
        <v>66</v>
      </c>
      <c r="BG11" s="2"/>
      <c r="BH11" s="2"/>
      <c r="BI11" s="2"/>
      <c r="BJ11" s="2"/>
      <c r="BK11" s="2"/>
      <c r="BL11" s="2"/>
      <c r="BM11" s="2"/>
      <c r="BN11" s="2"/>
      <c r="BP11" s="28">
        <f t="shared" ca="1" si="16"/>
        <v>193</v>
      </c>
      <c r="BQ11" s="29">
        <f t="shared" ca="1" si="17"/>
        <v>64.333333333333329</v>
      </c>
      <c r="BT11" s="2">
        <f t="shared" ca="1" si="41"/>
        <v>372</v>
      </c>
      <c r="BU11" s="2">
        <f t="shared" ca="1" si="42"/>
        <v>167</v>
      </c>
      <c r="BV11" s="2">
        <f t="shared" ca="1" si="43"/>
        <v>353</v>
      </c>
      <c r="BW11" s="2">
        <f t="shared" ca="1" si="44"/>
        <v>49</v>
      </c>
      <c r="BX11" s="2"/>
      <c r="BY11" s="2"/>
      <c r="BZ11" s="2"/>
      <c r="CA11" s="2"/>
      <c r="CB11" s="2"/>
      <c r="CC11" s="2"/>
      <c r="CD11" s="2">
        <f t="shared" si="45"/>
        <v>0</v>
      </c>
      <c r="CG11" s="1">
        <f t="shared" ca="1" si="58"/>
        <v>6</v>
      </c>
      <c r="CH11" s="1">
        <f t="shared" ca="1" si="18"/>
        <v>86</v>
      </c>
      <c r="CI11" s="1" t="str">
        <f t="shared" ca="1" si="19"/>
        <v>Mateusz</v>
      </c>
      <c r="CJ11" s="13">
        <f t="shared" ca="1" si="20"/>
        <v>23</v>
      </c>
      <c r="CK11">
        <f t="shared" ca="1" si="21"/>
        <v>1</v>
      </c>
      <c r="CL11" s="55">
        <f t="shared" ca="1" si="22"/>
        <v>4</v>
      </c>
      <c r="CW11" s="93">
        <f t="shared" si="59"/>
        <v>6</v>
      </c>
      <c r="CX11" s="51">
        <f t="shared" ca="1" si="46"/>
        <v>759994</v>
      </c>
      <c r="CY11" s="52">
        <f t="shared" ca="1" si="23"/>
        <v>76</v>
      </c>
      <c r="CZ11" s="51" t="str">
        <f t="shared" si="47"/>
        <v>Mateusz</v>
      </c>
      <c r="DA11" s="77">
        <v>6</v>
      </c>
      <c r="DB11" s="77">
        <f t="shared" si="24"/>
        <v>1</v>
      </c>
      <c r="DC11" s="51">
        <f t="shared" ca="1" si="25"/>
        <v>859931</v>
      </c>
      <c r="DE11" s="51">
        <f>AW6</f>
        <v>0</v>
      </c>
      <c r="DF11" s="51">
        <f>AW7</f>
        <v>1</v>
      </c>
      <c r="DG11" s="51">
        <f>AW8</f>
        <v>2</v>
      </c>
      <c r="DH11" s="51">
        <f>AW9</f>
        <v>1</v>
      </c>
      <c r="DI11" s="51">
        <v>7</v>
      </c>
      <c r="DJ11" s="74">
        <f t="shared" ref="DJ11" si="66">DE11*$DE$4+DF11*$DF$4+DG11*$DG$4+DH11*$DH$4+DI11</f>
        <v>1020107</v>
      </c>
      <c r="DK11" s="51" t="str">
        <f t="shared" ref="DK11" si="67">DE11&amp;"-"&amp;DF11&amp;"-"&amp;DG11&amp;"-"&amp;DH11</f>
        <v>0-1-2-1</v>
      </c>
      <c r="DL11" s="51" t="str">
        <f>AW4</f>
        <v>Magda</v>
      </c>
      <c r="DM11" s="51">
        <f t="shared" ref="DM11:DM15" si="68">SUM(DE11:DH11)</f>
        <v>4</v>
      </c>
      <c r="DO11">
        <f t="shared" si="26"/>
        <v>6</v>
      </c>
      <c r="DP11" s="6">
        <f ca="1">AVERAGE(BD$6:BD11)</f>
        <v>62</v>
      </c>
      <c r="DQ11" s="6">
        <f ca="1">AVERAGE(BE$6:BE11)</f>
        <v>55.666666666666664</v>
      </c>
      <c r="DR11" s="6">
        <f ca="1">AVERAGE(BF$6:BF11)</f>
        <v>58.833333333333336</v>
      </c>
      <c r="DS11" s="6">
        <f ca="1">AVERAGE(BG$6:BG11)</f>
        <v>49</v>
      </c>
      <c r="DT11" s="86">
        <f t="shared" ca="1" si="60"/>
        <v>70.441176470588232</v>
      </c>
      <c r="DU11" s="87">
        <f ca="1">AVERAGE($BD$6:BN11)</f>
        <v>58.8125</v>
      </c>
      <c r="DX11">
        <f t="shared" si="27"/>
        <v>6</v>
      </c>
      <c r="DY11" s="1">
        <f>COUNTIF(AE$6:AE11,1)</f>
        <v>3</v>
      </c>
      <c r="DZ11" s="1">
        <f>COUNTIF(AF$6:AF11,1)</f>
        <v>0</v>
      </c>
      <c r="EA11" s="1">
        <f>COUNTIF(AG$6:AG11,1)</f>
        <v>3</v>
      </c>
      <c r="EB11" s="1">
        <f>COUNTIF(AH$6:AH11,1)</f>
        <v>0</v>
      </c>
      <c r="ED11">
        <f t="shared" si="28"/>
        <v>6</v>
      </c>
      <c r="EE11" s="1">
        <f>DY11+COUNTIF(AE$6:AE11,2)*0.01+COUNTIF(AE$6:AE11,3)*0.0001+COUNTIF(AE$6:AE11,4)*0.000001</f>
        <v>3.03</v>
      </c>
      <c r="EF11" s="1">
        <f>DZ11+COUNTIF(AF$6:AF11,2)*0.01+COUNTIF(AF$6:AF11,3)*0.0001+COUNTIF(AF$6:AF11,4)*0.000001</f>
        <v>1.0200000000000001E-2</v>
      </c>
      <c r="EG11" s="1">
        <f>EA11+COUNTIF(AG$6:AG11,2)*0.01+COUNTIF(AG$6:AG11,3)*0.0001+COUNTIF(AG$6:AG11,4)*0.000001</f>
        <v>3.0201000000000002</v>
      </c>
      <c r="EH11" s="1">
        <f>EB11+COUNTIF(AH$6:AH11,2)*0.01+COUNTIF(AH$6:AH11,3)*0.0001+COUNTIF(AH$6:AH11,4)*0.000001</f>
        <v>9.9999999999999995E-7</v>
      </c>
      <c r="EJ11">
        <f t="shared" si="29"/>
        <v>6</v>
      </c>
      <c r="EK11" s="2">
        <f>AVERAGE(FJ$6:FJ11)</f>
        <v>1.5</v>
      </c>
      <c r="EL11" s="2">
        <f>AVERAGE(FK$6:FK11)</f>
        <v>2.6666666666666665</v>
      </c>
      <c r="EM11" s="2">
        <f>AVERAGE(FL$6:FL11)</f>
        <v>1.6666666666666667</v>
      </c>
      <c r="EN11" s="2">
        <f>AVERAGE(FM$6:FM11)</f>
        <v>4</v>
      </c>
      <c r="EO11" s="3"/>
      <c r="EP11">
        <f t="shared" si="30"/>
        <v>6</v>
      </c>
      <c r="EQ11" s="1">
        <f t="shared" si="48"/>
        <v>13</v>
      </c>
      <c r="ER11" s="1">
        <f t="shared" si="61"/>
        <v>8</v>
      </c>
      <c r="ES11" s="1">
        <f t="shared" si="49"/>
        <v>12</v>
      </c>
      <c r="ET11" s="1">
        <f t="shared" ref="ET11:ET30" si="69">IF(AH11=0,0,IF($AD11=2,3-AH11,IF($AD11=3,4-AH11,IF($AD11=4,5-AH11,"tekst"))))+IF(AH11=MIN($AE11:$AO11),1,0)+ET10</f>
        <v>3</v>
      </c>
      <c r="EU11" s="3"/>
      <c r="EV11">
        <f t="shared" si="31"/>
        <v>6</v>
      </c>
      <c r="EW11" s="1">
        <f t="shared" si="50"/>
        <v>0</v>
      </c>
      <c r="EX11" s="1">
        <f t="shared" si="51"/>
        <v>5</v>
      </c>
      <c r="EY11" s="1">
        <f t="shared" si="52"/>
        <v>1</v>
      </c>
      <c r="EZ11" s="1">
        <f t="shared" si="64"/>
        <v>10</v>
      </c>
      <c r="FA11" s="3"/>
      <c r="FB11">
        <f t="shared" si="33"/>
        <v>6</v>
      </c>
      <c r="FC11" s="1">
        <f t="shared" si="34"/>
        <v>0</v>
      </c>
      <c r="FD11" s="1">
        <f t="shared" si="35"/>
        <v>-3</v>
      </c>
      <c r="FE11" s="1">
        <f t="shared" si="36"/>
        <v>0</v>
      </c>
      <c r="FF11" s="1">
        <f t="shared" si="65"/>
        <v>-3</v>
      </c>
      <c r="FG11">
        <f t="shared" si="37"/>
        <v>3</v>
      </c>
      <c r="FI11">
        <f t="shared" si="53"/>
        <v>6</v>
      </c>
      <c r="FJ11" s="1">
        <f t="shared" si="54"/>
        <v>1</v>
      </c>
      <c r="FK11" s="1">
        <f t="shared" si="55"/>
        <v>3</v>
      </c>
      <c r="FL11" s="1">
        <f t="shared" si="56"/>
        <v>2</v>
      </c>
      <c r="FM11" s="1" t="str">
        <f t="shared" si="57"/>
        <v>nie grał</v>
      </c>
    </row>
    <row r="12" spans="2:169" x14ac:dyDescent="0.2">
      <c r="B12" s="8" t="s">
        <v>81</v>
      </c>
      <c r="C12" s="8" t="s">
        <v>83</v>
      </c>
      <c r="D12" s="1" t="s">
        <v>156</v>
      </c>
      <c r="E12" s="1" t="s">
        <v>84</v>
      </c>
      <c r="F12" s="88">
        <v>43926</v>
      </c>
      <c r="G12" s="56"/>
      <c r="H12" s="56"/>
      <c r="I12" s="56"/>
      <c r="J12" s="56"/>
      <c r="K12" s="56"/>
      <c r="N12">
        <v>7</v>
      </c>
      <c r="O12">
        <v>4</v>
      </c>
      <c r="P12" s="64" t="s">
        <v>8</v>
      </c>
      <c r="Q12" s="63" t="s">
        <v>7</v>
      </c>
      <c r="R12" s="61" t="s">
        <v>9</v>
      </c>
      <c r="S12" s="62" t="s">
        <v>6</v>
      </c>
      <c r="U12" s="9">
        <v>74</v>
      </c>
      <c r="V12" s="9">
        <v>64</v>
      </c>
      <c r="W12" s="1">
        <v>52</v>
      </c>
      <c r="X12" s="1">
        <v>39</v>
      </c>
      <c r="Z12" s="37">
        <f t="shared" ca="1" si="10"/>
        <v>10</v>
      </c>
      <c r="AA12" s="2">
        <f t="shared" ca="1" si="11"/>
        <v>35</v>
      </c>
      <c r="AC12">
        <f t="shared" si="38"/>
        <v>7</v>
      </c>
      <c r="AD12">
        <f t="shared" si="12"/>
        <v>4</v>
      </c>
      <c r="AE12" s="2">
        <f t="shared" si="39"/>
        <v>4</v>
      </c>
      <c r="AF12" s="2">
        <f t="shared" si="13"/>
        <v>2</v>
      </c>
      <c r="AG12" s="2">
        <f t="shared" si="13"/>
        <v>1</v>
      </c>
      <c r="AH12" s="2">
        <f t="shared" si="13"/>
        <v>3</v>
      </c>
      <c r="AI12" s="2">
        <f t="shared" si="13"/>
        <v>0</v>
      </c>
      <c r="AJ12" s="2">
        <f t="shared" si="13"/>
        <v>0</v>
      </c>
      <c r="AK12" s="2"/>
      <c r="AL12" s="2"/>
      <c r="AM12" s="2"/>
      <c r="AN12" s="2"/>
      <c r="AO12" s="2">
        <f t="shared" si="13"/>
        <v>0</v>
      </c>
      <c r="AQ12" t="s">
        <v>22</v>
      </c>
      <c r="AR12" t="s">
        <v>10</v>
      </c>
      <c r="AS12" t="s">
        <v>23</v>
      </c>
      <c r="AT12" t="s">
        <v>24</v>
      </c>
      <c r="BD12" s="2">
        <f t="shared" ca="1" si="15"/>
        <v>39</v>
      </c>
      <c r="BE12" s="2">
        <f t="shared" ca="1" si="15"/>
        <v>64</v>
      </c>
      <c r="BF12" s="2">
        <f t="shared" ca="1" si="15"/>
        <v>74</v>
      </c>
      <c r="BG12" s="2">
        <f t="shared" ca="1" si="15"/>
        <v>52</v>
      </c>
      <c r="BH12" s="1"/>
      <c r="BI12" s="1"/>
      <c r="BJ12" s="2"/>
      <c r="BK12" s="2"/>
      <c r="BL12" s="2"/>
      <c r="BM12" s="2"/>
      <c r="BN12" s="1"/>
      <c r="BP12" s="28">
        <f t="shared" ca="1" si="16"/>
        <v>229</v>
      </c>
      <c r="BQ12" s="29">
        <f t="shared" ca="1" si="17"/>
        <v>57.25</v>
      </c>
      <c r="BT12" s="2">
        <f t="shared" ca="1" si="41"/>
        <v>411</v>
      </c>
      <c r="BU12" s="2">
        <f t="shared" ca="1" si="42"/>
        <v>231</v>
      </c>
      <c r="BV12" s="2">
        <f t="shared" ca="1" si="43"/>
        <v>427</v>
      </c>
      <c r="BW12" s="2">
        <f t="shared" ca="1" si="44"/>
        <v>101</v>
      </c>
      <c r="BX12" s="2"/>
      <c r="BY12" s="2"/>
      <c r="BZ12" s="2"/>
      <c r="CA12" s="2"/>
      <c r="CB12" s="2"/>
      <c r="CC12" s="2"/>
      <c r="CD12" s="2">
        <f t="shared" si="45"/>
        <v>0</v>
      </c>
      <c r="CG12" s="1">
        <f t="shared" ca="1" si="58"/>
        <v>7</v>
      </c>
      <c r="CH12" s="1">
        <f t="shared" ca="1" si="18"/>
        <v>85</v>
      </c>
      <c r="CI12" s="1" t="str">
        <f t="shared" ca="1" si="19"/>
        <v>Justyna</v>
      </c>
      <c r="CJ12" s="13">
        <f t="shared" ca="1" si="20"/>
        <v>8</v>
      </c>
      <c r="CK12">
        <f t="shared" ca="1" si="21"/>
        <v>1</v>
      </c>
      <c r="CL12" s="55">
        <f t="shared" ca="1" si="22"/>
        <v>3</v>
      </c>
      <c r="CO12" s="30" t="s">
        <v>57</v>
      </c>
      <c r="CP12" s="31">
        <f>MAX(W6:W38)</f>
        <v>85</v>
      </c>
      <c r="CQ12" s="32" t="s">
        <v>9</v>
      </c>
      <c r="CR12" s="3"/>
      <c r="CS12" s="3"/>
      <c r="CT12" s="3"/>
      <c r="CU12" s="3"/>
      <c r="CW12" s="93">
        <f t="shared" si="59"/>
        <v>7</v>
      </c>
      <c r="CX12" s="51">
        <f t="shared" ca="1" si="46"/>
        <v>389993</v>
      </c>
      <c r="CY12" s="52">
        <f t="shared" ca="1" si="23"/>
        <v>39</v>
      </c>
      <c r="CZ12" s="51" t="str">
        <f t="shared" si="47"/>
        <v>Mateusz</v>
      </c>
      <c r="DA12" s="77">
        <v>7</v>
      </c>
      <c r="DB12" s="77">
        <f t="shared" si="24"/>
        <v>4</v>
      </c>
      <c r="DC12" s="51">
        <f t="shared" ca="1" si="25"/>
        <v>849981</v>
      </c>
      <c r="DE12" s="51">
        <f>AX6</f>
        <v>0</v>
      </c>
      <c r="DF12" s="51">
        <f>AX7</f>
        <v>1</v>
      </c>
      <c r="DG12" s="51">
        <f>AX8</f>
        <v>0</v>
      </c>
      <c r="DH12" s="51">
        <f>AX9</f>
        <v>0</v>
      </c>
      <c r="DI12" s="51">
        <v>8</v>
      </c>
      <c r="DJ12" s="74">
        <f t="shared" ref="DJ12:DJ15" si="70">DE12*$DE$4+DF12*$DF$4+DG12*$DG$4+DH12*$DH$4+DI12</f>
        <v>1000008</v>
      </c>
      <c r="DK12" s="51" t="str">
        <f t="shared" ref="DK12:DK15" si="71">DE12&amp;"-"&amp;DF12&amp;"-"&amp;DG12&amp;"-"&amp;DH12</f>
        <v>0-1-0-0</v>
      </c>
      <c r="DL12" s="51" t="str">
        <f>AX4</f>
        <v>Agnieszka P.</v>
      </c>
      <c r="DM12" s="51">
        <f t="shared" si="68"/>
        <v>1</v>
      </c>
      <c r="DO12">
        <f t="shared" si="26"/>
        <v>7</v>
      </c>
      <c r="DP12" s="6">
        <f ca="1">AVERAGE(BD$6:BD12)</f>
        <v>58.714285714285715</v>
      </c>
      <c r="DQ12" s="6">
        <f ca="1">AVERAGE(BE$6:BE12)</f>
        <v>57.75</v>
      </c>
      <c r="DR12" s="6">
        <f ca="1">AVERAGE(BF$6:BF12)</f>
        <v>61</v>
      </c>
      <c r="DS12" s="6">
        <f ca="1">AVERAGE(BG$6:BG12)</f>
        <v>50.5</v>
      </c>
      <c r="DT12" s="86">
        <f t="shared" ca="1" si="60"/>
        <v>70.441176470588232</v>
      </c>
      <c r="DU12" s="87">
        <f ca="1">AVERAGE($BD$6:BN12)</f>
        <v>58.5</v>
      </c>
      <c r="DX12">
        <f t="shared" si="27"/>
        <v>7</v>
      </c>
      <c r="DY12" s="1">
        <f>COUNTIF(AE$6:AE12,1)</f>
        <v>3</v>
      </c>
      <c r="DZ12" s="1">
        <f>COUNTIF(AF$6:AF12,1)</f>
        <v>0</v>
      </c>
      <c r="EA12" s="1">
        <f>COUNTIF(AG$6:AG12,1)</f>
        <v>4</v>
      </c>
      <c r="EB12" s="1">
        <f>COUNTIF(AH$6:AH12,1)</f>
        <v>0</v>
      </c>
      <c r="ED12">
        <f t="shared" si="28"/>
        <v>7</v>
      </c>
      <c r="EE12" s="1">
        <f>DY12+COUNTIF(AE$6:AE12,2)*0.01+COUNTIF(AE$6:AE12,3)*0.0001+COUNTIF(AE$6:AE12,4)*0.000001</f>
        <v>3.0300009999999999</v>
      </c>
      <c r="EF12" s="1">
        <f>DZ12+COUNTIF(AF$6:AF12,2)*0.01+COUNTIF(AF$6:AF12,3)*0.0001+COUNTIF(AF$6:AF12,4)*0.000001</f>
        <v>2.0199999999999999E-2</v>
      </c>
      <c r="EG12" s="1">
        <f>EA12+COUNTIF(AG$6:AG12,2)*0.01+COUNTIF(AG$6:AG12,3)*0.0001+COUNTIF(AG$6:AG12,4)*0.000001</f>
        <v>4.0200999999999993</v>
      </c>
      <c r="EH12" s="1">
        <f>EB12+COUNTIF(AH$6:AH12,2)*0.01+COUNTIF(AH$6:AH12,3)*0.0001+COUNTIF(AH$6:AH12,4)*0.000001</f>
        <v>1.01E-4</v>
      </c>
      <c r="EJ12">
        <f t="shared" si="29"/>
        <v>7</v>
      </c>
      <c r="EK12" s="2">
        <f>AVERAGE(FJ$6:FJ12)</f>
        <v>1.8571428571428572</v>
      </c>
      <c r="EL12" s="2">
        <f>AVERAGE(FK$6:FK12)</f>
        <v>2.5</v>
      </c>
      <c r="EM12" s="2">
        <f>AVERAGE(FL$6:FL12)</f>
        <v>1.5714285714285714</v>
      </c>
      <c r="EN12" s="2">
        <f>AVERAGE(FM$6:FM12)</f>
        <v>3.5</v>
      </c>
      <c r="EO12" s="3"/>
      <c r="EP12">
        <f t="shared" si="30"/>
        <v>7</v>
      </c>
      <c r="EQ12" s="1">
        <f t="shared" si="48"/>
        <v>14</v>
      </c>
      <c r="ER12" s="1">
        <f t="shared" si="61"/>
        <v>11</v>
      </c>
      <c r="ES12" s="1">
        <f t="shared" si="49"/>
        <v>16</v>
      </c>
      <c r="ET12" s="1">
        <f t="shared" si="69"/>
        <v>5</v>
      </c>
      <c r="EU12" s="3"/>
      <c r="EV12">
        <f t="shared" si="31"/>
        <v>7</v>
      </c>
      <c r="EW12" s="1">
        <f t="shared" si="50"/>
        <v>2</v>
      </c>
      <c r="EX12" s="1">
        <f t="shared" si="51"/>
        <v>5</v>
      </c>
      <c r="EY12" s="1">
        <f t="shared" si="52"/>
        <v>0</v>
      </c>
      <c r="EZ12" s="1">
        <f t="shared" si="64"/>
        <v>11</v>
      </c>
      <c r="FA12" s="3"/>
      <c r="FB12">
        <f t="shared" si="33"/>
        <v>7</v>
      </c>
      <c r="FC12" s="1">
        <f t="shared" si="34"/>
        <v>-1</v>
      </c>
      <c r="FD12" s="1">
        <f t="shared" si="35"/>
        <v>-4</v>
      </c>
      <c r="FE12" s="1">
        <f t="shared" si="36"/>
        <v>0</v>
      </c>
      <c r="FF12" s="1">
        <f t="shared" si="65"/>
        <v>-4</v>
      </c>
      <c r="FG12">
        <f t="shared" si="37"/>
        <v>4</v>
      </c>
      <c r="FI12">
        <f t="shared" si="53"/>
        <v>7</v>
      </c>
      <c r="FJ12" s="1">
        <f t="shared" si="54"/>
        <v>4</v>
      </c>
      <c r="FK12" s="1">
        <f t="shared" si="55"/>
        <v>2</v>
      </c>
      <c r="FL12" s="1">
        <f t="shared" si="56"/>
        <v>1</v>
      </c>
      <c r="FM12" s="1">
        <f t="shared" si="57"/>
        <v>3</v>
      </c>
    </row>
    <row r="13" spans="2:169" x14ac:dyDescent="0.2">
      <c r="B13" s="8" t="s">
        <v>82</v>
      </c>
      <c r="C13" s="8" t="s">
        <v>81</v>
      </c>
      <c r="D13" s="8" t="s">
        <v>83</v>
      </c>
      <c r="E13" s="1"/>
      <c r="F13" s="88">
        <v>43932</v>
      </c>
      <c r="G13" s="56"/>
      <c r="H13" s="56"/>
      <c r="I13" s="56"/>
      <c r="J13" s="56"/>
      <c r="K13" s="56"/>
      <c r="N13">
        <v>8</v>
      </c>
      <c r="O13">
        <v>3</v>
      </c>
      <c r="P13" s="64" t="s">
        <v>8</v>
      </c>
      <c r="Q13" s="62" t="s">
        <v>6</v>
      </c>
      <c r="R13" s="63" t="s">
        <v>7</v>
      </c>
      <c r="S13" s="1"/>
      <c r="U13" s="9">
        <v>85</v>
      </c>
      <c r="V13" s="9">
        <v>74</v>
      </c>
      <c r="W13" s="9">
        <v>56</v>
      </c>
      <c r="X13" s="1"/>
      <c r="Z13" s="37">
        <f t="shared" ca="1" si="10"/>
        <v>11</v>
      </c>
      <c r="AA13" s="2">
        <f t="shared" ca="1" si="11"/>
        <v>29</v>
      </c>
      <c r="AC13">
        <f t="shared" si="38"/>
        <v>8</v>
      </c>
      <c r="AD13">
        <f t="shared" si="12"/>
        <v>3</v>
      </c>
      <c r="AE13" s="2">
        <f t="shared" si="39"/>
        <v>2</v>
      </c>
      <c r="AF13" s="2">
        <f t="shared" si="13"/>
        <v>3</v>
      </c>
      <c r="AG13" s="2">
        <f t="shared" si="13"/>
        <v>1</v>
      </c>
      <c r="AH13" s="2">
        <f t="shared" si="13"/>
        <v>0</v>
      </c>
      <c r="AI13" s="2">
        <f t="shared" si="13"/>
        <v>0</v>
      </c>
      <c r="AJ13" s="2">
        <f t="shared" si="13"/>
        <v>0</v>
      </c>
      <c r="AK13" s="2"/>
      <c r="AL13" s="2"/>
      <c r="AM13" s="2"/>
      <c r="AN13" s="2"/>
      <c r="AO13" s="2">
        <f t="shared" si="13"/>
        <v>0</v>
      </c>
      <c r="AQ13" s="99">
        <v>1</v>
      </c>
      <c r="AR13" s="99" t="str">
        <f t="shared" ref="AR13:AT19" si="72">DF17</f>
        <v>Mateusz</v>
      </c>
      <c r="AS13" s="100" t="str">
        <f t="shared" si="72"/>
        <v>15-15-0-4</v>
      </c>
      <c r="AT13" s="100">
        <f t="shared" si="72"/>
        <v>34</v>
      </c>
      <c r="AU13" s="3"/>
      <c r="AV13" s="3"/>
      <c r="AW13" s="3"/>
      <c r="AX13" s="3"/>
      <c r="AY13" s="3"/>
      <c r="AZ13" s="3"/>
      <c r="BA13" s="3"/>
      <c r="BD13" s="2">
        <f t="shared" ca="1" si="15"/>
        <v>74</v>
      </c>
      <c r="BE13" s="2">
        <f t="shared" ca="1" si="15"/>
        <v>56</v>
      </c>
      <c r="BF13" s="2">
        <f t="shared" ca="1" si="15"/>
        <v>85</v>
      </c>
      <c r="BG13" s="2"/>
      <c r="BH13" s="2"/>
      <c r="BI13" s="2"/>
      <c r="BJ13" s="2"/>
      <c r="BK13" s="2"/>
      <c r="BL13" s="2"/>
      <c r="BM13" s="2"/>
      <c r="BN13" s="2"/>
      <c r="BP13" s="28">
        <f t="shared" ca="1" si="16"/>
        <v>215</v>
      </c>
      <c r="BQ13" s="29">
        <f t="shared" ca="1" si="17"/>
        <v>71.666666666666671</v>
      </c>
      <c r="BT13" s="2">
        <f t="shared" ca="1" si="41"/>
        <v>485</v>
      </c>
      <c r="BU13" s="2">
        <f t="shared" ca="1" si="42"/>
        <v>287</v>
      </c>
      <c r="BV13" s="2">
        <f t="shared" ca="1" si="43"/>
        <v>512</v>
      </c>
      <c r="BW13" s="2">
        <f t="shared" ca="1" si="44"/>
        <v>101</v>
      </c>
      <c r="BX13" s="2"/>
      <c r="BY13" s="2"/>
      <c r="BZ13" s="2"/>
      <c r="CA13" s="2"/>
      <c r="CB13" s="2"/>
      <c r="CC13" s="2"/>
      <c r="CD13" s="2">
        <f t="shared" si="45"/>
        <v>0</v>
      </c>
      <c r="CG13" s="1">
        <f t="shared" ca="1" si="58"/>
        <v>7</v>
      </c>
      <c r="CH13" s="1">
        <f t="shared" ca="1" si="18"/>
        <v>85</v>
      </c>
      <c r="CI13" s="1" t="str">
        <f t="shared" ca="1" si="19"/>
        <v>Mateusz</v>
      </c>
      <c r="CJ13" s="13">
        <f t="shared" ca="1" si="20"/>
        <v>26</v>
      </c>
      <c r="CK13">
        <f t="shared" ca="1" si="21"/>
        <v>2</v>
      </c>
      <c r="CL13" s="55">
        <f t="shared" ca="1" si="22"/>
        <v>4</v>
      </c>
      <c r="CO13" s="33" t="s">
        <v>58</v>
      </c>
      <c r="CP13" s="34">
        <f>MIN(W6:W38)</f>
        <v>41</v>
      </c>
      <c r="CQ13" s="35" t="s">
        <v>8</v>
      </c>
      <c r="CR13" s="3"/>
      <c r="CS13" s="3"/>
      <c r="CT13" s="3"/>
      <c r="CU13" s="3"/>
      <c r="CW13" s="93">
        <f t="shared" si="59"/>
        <v>8</v>
      </c>
      <c r="CX13" s="51">
        <f t="shared" ref="CX13:CX40" ca="1" si="73">VALUE(CY13&amp;"0000")-CW13</f>
        <v>739992</v>
      </c>
      <c r="CY13" s="52">
        <f ca="1">BF12</f>
        <v>74</v>
      </c>
      <c r="CZ13" s="51" t="str">
        <f>$BF$5</f>
        <v>Justyna</v>
      </c>
      <c r="DA13" s="77">
        <v>7</v>
      </c>
      <c r="DB13" s="77">
        <f>AG12</f>
        <v>1</v>
      </c>
      <c r="DC13" s="51">
        <f t="shared" ca="1" si="25"/>
        <v>849920</v>
      </c>
      <c r="DE13" s="51">
        <f>AY6</f>
        <v>0</v>
      </c>
      <c r="DF13" s="51">
        <f>AY7</f>
        <v>0</v>
      </c>
      <c r="DG13" s="51">
        <f>AY8</f>
        <v>1</v>
      </c>
      <c r="DH13" s="51">
        <f>AY9</f>
        <v>0</v>
      </c>
      <c r="DI13" s="51">
        <v>9</v>
      </c>
      <c r="DJ13" s="74">
        <f t="shared" si="70"/>
        <v>10009</v>
      </c>
      <c r="DK13" s="51" t="str">
        <f t="shared" si="71"/>
        <v>0-0-1-0</v>
      </c>
      <c r="DL13" s="51" t="str">
        <f>AY4</f>
        <v>Michał</v>
      </c>
      <c r="DM13" s="51">
        <f t="shared" si="68"/>
        <v>1</v>
      </c>
      <c r="DO13">
        <f t="shared" si="26"/>
        <v>8</v>
      </c>
      <c r="DP13" s="6">
        <f ca="1">AVERAGE(BD$6:BD13)</f>
        <v>60.625</v>
      </c>
      <c r="DQ13" s="6">
        <f ca="1">AVERAGE(BE$6:BE13)</f>
        <v>57.4</v>
      </c>
      <c r="DR13" s="6">
        <f ca="1">AVERAGE(BF$6:BF13)</f>
        <v>64</v>
      </c>
      <c r="DS13" s="6">
        <f ca="1">AVERAGE(BG$6:BG13)</f>
        <v>50.5</v>
      </c>
      <c r="DT13" s="86">
        <f t="shared" ca="1" si="60"/>
        <v>70.441176470588232</v>
      </c>
      <c r="DU13" s="87">
        <f ca="1">AVERAGE($BD$6:BN13)</f>
        <v>60.217391304347828</v>
      </c>
      <c r="DX13">
        <f t="shared" si="27"/>
        <v>8</v>
      </c>
      <c r="DY13" s="1">
        <f>COUNTIF(AE$6:AE13,1)</f>
        <v>3</v>
      </c>
      <c r="DZ13" s="1">
        <f>COUNTIF(AF$6:AF13,1)</f>
        <v>0</v>
      </c>
      <c r="EA13" s="1">
        <f>COUNTIF(AG$6:AG13,1)</f>
        <v>5</v>
      </c>
      <c r="EB13" s="1">
        <f>COUNTIF(AH$6:AH13,1)</f>
        <v>0</v>
      </c>
      <c r="ED13">
        <f t="shared" si="28"/>
        <v>8</v>
      </c>
      <c r="EE13" s="1">
        <f>DY13+COUNTIF(AE$6:AE13,2)*0.01+COUNTIF(AE$6:AE13,3)*0.0001+COUNTIF(AE$6:AE13,4)*0.000001</f>
        <v>3.0400010000000002</v>
      </c>
      <c r="EF13" s="1">
        <f>DZ13+COUNTIF(AF$6:AF13,2)*0.01+COUNTIF(AF$6:AF13,3)*0.0001+COUNTIF(AF$6:AF13,4)*0.000001</f>
        <v>2.0300000000000002E-2</v>
      </c>
      <c r="EG13" s="1">
        <f>EA13+COUNTIF(AG$6:AG13,2)*0.01+COUNTIF(AG$6:AG13,3)*0.0001+COUNTIF(AG$6:AG13,4)*0.000001</f>
        <v>5.0200999999999993</v>
      </c>
      <c r="EH13" s="1">
        <f>EB13+COUNTIF(AH$6:AH13,2)*0.01+COUNTIF(AH$6:AH13,3)*0.0001+COUNTIF(AH$6:AH13,4)*0.000001</f>
        <v>1.01E-4</v>
      </c>
      <c r="EJ13">
        <f t="shared" si="29"/>
        <v>8</v>
      </c>
      <c r="EK13" s="2">
        <f>AVERAGE(FJ$6:FJ13)</f>
        <v>1.875</v>
      </c>
      <c r="EL13" s="2">
        <f>AVERAGE(FK$6:FK13)</f>
        <v>2.6</v>
      </c>
      <c r="EM13" s="2">
        <f>AVERAGE(FL$6:FL13)</f>
        <v>1.5</v>
      </c>
      <c r="EN13" s="2">
        <f>AVERAGE(FM$6:FM13)</f>
        <v>3.5</v>
      </c>
      <c r="EO13" s="3"/>
      <c r="EP13">
        <f t="shared" si="30"/>
        <v>8</v>
      </c>
      <c r="EQ13" s="1">
        <f t="shared" si="48"/>
        <v>16</v>
      </c>
      <c r="ER13" s="1">
        <f t="shared" si="61"/>
        <v>12</v>
      </c>
      <c r="ES13" s="1">
        <f t="shared" si="49"/>
        <v>19</v>
      </c>
      <c r="ET13" s="1">
        <f t="shared" si="69"/>
        <v>6</v>
      </c>
      <c r="EU13" s="3"/>
      <c r="EV13">
        <f t="shared" si="31"/>
        <v>8</v>
      </c>
      <c r="EW13" s="1">
        <f t="shared" si="50"/>
        <v>3</v>
      </c>
      <c r="EX13" s="1">
        <f t="shared" si="51"/>
        <v>7</v>
      </c>
      <c r="EY13" s="1">
        <f t="shared" si="52"/>
        <v>0</v>
      </c>
      <c r="EZ13" s="1">
        <f t="shared" si="64"/>
        <v>13</v>
      </c>
      <c r="FA13" s="3"/>
      <c r="FB13">
        <f t="shared" si="33"/>
        <v>8</v>
      </c>
      <c r="FC13" s="1">
        <f t="shared" si="34"/>
        <v>-2</v>
      </c>
      <c r="FD13" s="1">
        <f t="shared" si="35"/>
        <v>-5</v>
      </c>
      <c r="FE13" s="1">
        <f t="shared" si="36"/>
        <v>0</v>
      </c>
      <c r="FF13" s="1">
        <f t="shared" si="65"/>
        <v>-5</v>
      </c>
      <c r="FG13">
        <f t="shared" si="37"/>
        <v>5</v>
      </c>
      <c r="FI13">
        <f t="shared" si="53"/>
        <v>8</v>
      </c>
      <c r="FJ13" s="1">
        <f t="shared" si="54"/>
        <v>2</v>
      </c>
      <c r="FK13" s="1">
        <f t="shared" si="55"/>
        <v>3</v>
      </c>
      <c r="FL13" s="1">
        <f t="shared" si="56"/>
        <v>1</v>
      </c>
      <c r="FM13" s="1" t="str">
        <f t="shared" si="57"/>
        <v>nie grał</v>
      </c>
    </row>
    <row r="14" spans="2:169" x14ac:dyDescent="0.2">
      <c r="B14" s="8" t="s">
        <v>83</v>
      </c>
      <c r="C14" s="8" t="s">
        <v>82</v>
      </c>
      <c r="D14" s="1"/>
      <c r="E14" s="1"/>
      <c r="F14" s="88">
        <v>43933</v>
      </c>
      <c r="G14" s="56"/>
      <c r="H14" s="56"/>
      <c r="I14" s="56"/>
      <c r="J14" s="56"/>
      <c r="K14" s="56"/>
      <c r="N14">
        <v>9</v>
      </c>
      <c r="O14">
        <v>2</v>
      </c>
      <c r="P14" s="62" t="s">
        <v>6</v>
      </c>
      <c r="Q14" s="64" t="s">
        <v>8</v>
      </c>
      <c r="R14" s="1"/>
      <c r="S14" s="1"/>
      <c r="U14" s="9">
        <v>73</v>
      </c>
      <c r="V14" s="9">
        <v>66</v>
      </c>
      <c r="W14" s="1"/>
      <c r="X14" s="1"/>
      <c r="Z14" s="37">
        <f t="shared" ca="1" si="10"/>
        <v>7</v>
      </c>
      <c r="AA14" s="2">
        <f t="shared" ca="1" si="11"/>
        <v>7</v>
      </c>
      <c r="AC14">
        <f t="shared" si="38"/>
        <v>9</v>
      </c>
      <c r="AD14">
        <f t="shared" si="12"/>
        <v>2</v>
      </c>
      <c r="AE14" s="2">
        <f t="shared" si="39"/>
        <v>1</v>
      </c>
      <c r="AF14" s="2">
        <f t="shared" si="13"/>
        <v>0</v>
      </c>
      <c r="AG14" s="2">
        <f t="shared" si="13"/>
        <v>2</v>
      </c>
      <c r="AH14" s="2">
        <f t="shared" si="13"/>
        <v>0</v>
      </c>
      <c r="AI14" s="2">
        <f t="shared" si="13"/>
        <v>0</v>
      </c>
      <c r="AJ14" s="2">
        <f t="shared" si="13"/>
        <v>0</v>
      </c>
      <c r="AK14" s="2"/>
      <c r="AL14" s="2"/>
      <c r="AM14" s="2"/>
      <c r="AN14" s="2"/>
      <c r="AO14" s="2">
        <f t="shared" si="13"/>
        <v>0</v>
      </c>
      <c r="AQ14" s="99">
        <f>IF(AS13=AS14,AQ13,2)</f>
        <v>2</v>
      </c>
      <c r="AR14" s="99" t="str">
        <f t="shared" si="72"/>
        <v>Justyna</v>
      </c>
      <c r="AS14" s="100" t="str">
        <f t="shared" si="72"/>
        <v>9-9-5-4</v>
      </c>
      <c r="AT14" s="100">
        <f t="shared" si="72"/>
        <v>27</v>
      </c>
      <c r="AU14" s="3"/>
      <c r="AV14" s="3"/>
      <c r="AW14" s="3"/>
      <c r="AX14" s="3"/>
      <c r="AY14" s="3"/>
      <c r="AZ14" s="3"/>
      <c r="BA14" s="3"/>
      <c r="BD14" s="2">
        <f t="shared" ca="1" si="15"/>
        <v>73</v>
      </c>
      <c r="BE14" s="2"/>
      <c r="BF14" s="2">
        <f t="shared" ca="1" si="15"/>
        <v>66</v>
      </c>
      <c r="BG14" s="2"/>
      <c r="BH14" s="2"/>
      <c r="BI14" s="2"/>
      <c r="BJ14" s="2"/>
      <c r="BK14" s="2"/>
      <c r="BL14" s="2"/>
      <c r="BM14" s="2"/>
      <c r="BN14" s="2"/>
      <c r="BP14" s="28">
        <f t="shared" ca="1" si="16"/>
        <v>139</v>
      </c>
      <c r="BQ14" s="29">
        <f t="shared" ca="1" si="17"/>
        <v>69.5</v>
      </c>
      <c r="BT14" s="2">
        <f t="shared" ca="1" si="41"/>
        <v>558</v>
      </c>
      <c r="BU14" s="2">
        <f t="shared" ca="1" si="42"/>
        <v>287</v>
      </c>
      <c r="BV14" s="2">
        <f t="shared" ca="1" si="43"/>
        <v>578</v>
      </c>
      <c r="BW14" s="2">
        <f t="shared" ca="1" si="44"/>
        <v>101</v>
      </c>
      <c r="BX14" s="2"/>
      <c r="BY14" s="2"/>
      <c r="BZ14" s="2"/>
      <c r="CA14" s="2"/>
      <c r="CB14" s="2"/>
      <c r="CC14" s="2"/>
      <c r="CD14" s="2">
        <f t="shared" si="45"/>
        <v>0</v>
      </c>
      <c r="CG14" s="1">
        <f t="shared" ca="1" si="58"/>
        <v>7</v>
      </c>
      <c r="CH14" s="1">
        <f t="shared" ca="1" si="18"/>
        <v>85</v>
      </c>
      <c r="CI14" s="1" t="str">
        <f t="shared" ca="1" si="19"/>
        <v>Agnieszka</v>
      </c>
      <c r="CJ14" s="13">
        <f t="shared" ca="1" si="20"/>
        <v>26</v>
      </c>
      <c r="CK14">
        <f t="shared" ca="1" si="21"/>
        <v>3</v>
      </c>
      <c r="CL14" s="55">
        <f t="shared" ca="1" si="22"/>
        <v>4</v>
      </c>
      <c r="CW14" s="93">
        <f t="shared" si="59"/>
        <v>9</v>
      </c>
      <c r="CX14" s="51">
        <f t="shared" ca="1" si="73"/>
        <v>739991</v>
      </c>
      <c r="CY14" s="52">
        <f ca="1">BD13</f>
        <v>74</v>
      </c>
      <c r="CZ14" s="51" t="str">
        <f t="shared" si="47"/>
        <v>Mateusz</v>
      </c>
      <c r="DA14" s="77">
        <v>8</v>
      </c>
      <c r="DB14" s="77">
        <f>AE13</f>
        <v>2</v>
      </c>
      <c r="DC14" s="51">
        <f t="shared" ca="1" si="25"/>
        <v>849918</v>
      </c>
      <c r="DE14" s="51">
        <f>AZ6</f>
        <v>0</v>
      </c>
      <c r="DF14" s="51">
        <f>AZ7</f>
        <v>1</v>
      </c>
      <c r="DG14" s="51">
        <f>AZ8</f>
        <v>0</v>
      </c>
      <c r="DH14" s="51">
        <f>AZ9</f>
        <v>0</v>
      </c>
      <c r="DI14" s="51">
        <v>10</v>
      </c>
      <c r="DJ14" s="74">
        <f t="shared" si="70"/>
        <v>1000010</v>
      </c>
      <c r="DK14" s="51" t="str">
        <f t="shared" si="71"/>
        <v>0-1-0-0</v>
      </c>
      <c r="DL14" s="51" t="str">
        <f>AZ4</f>
        <v>Maciek T.</v>
      </c>
      <c r="DM14" s="51">
        <f t="shared" si="68"/>
        <v>1</v>
      </c>
      <c r="DO14">
        <f t="shared" si="26"/>
        <v>9</v>
      </c>
      <c r="DP14" s="6">
        <f ca="1">AVERAGE(BD$6:BD14)</f>
        <v>62</v>
      </c>
      <c r="DQ14" s="6">
        <f ca="1">AVERAGE(BE$6:BE14)</f>
        <v>57.4</v>
      </c>
      <c r="DR14" s="6">
        <f ca="1">AVERAGE(BF$6:BF14)</f>
        <v>64.222222222222229</v>
      </c>
      <c r="DS14" s="6">
        <f ca="1">AVERAGE(BG$6:BG14)</f>
        <v>50.5</v>
      </c>
      <c r="DT14" s="86">
        <f t="shared" ca="1" si="60"/>
        <v>70.441176470588232</v>
      </c>
      <c r="DU14" s="87">
        <f ca="1">AVERAGE($BD$6:BN14)</f>
        <v>60.96</v>
      </c>
      <c r="DX14">
        <f t="shared" si="27"/>
        <v>9</v>
      </c>
      <c r="DY14" s="1">
        <f>COUNTIF(AE$6:AE14,1)</f>
        <v>4</v>
      </c>
      <c r="DZ14" s="1">
        <f>COUNTIF(AF$6:AF14,1)</f>
        <v>0</v>
      </c>
      <c r="EA14" s="1">
        <f>COUNTIF(AG$6:AG14,1)</f>
        <v>5</v>
      </c>
      <c r="EB14" s="1">
        <f>COUNTIF(AH$6:AH14,1)</f>
        <v>0</v>
      </c>
      <c r="ED14">
        <f t="shared" si="28"/>
        <v>9</v>
      </c>
      <c r="EE14" s="1">
        <f>DY14+COUNTIF(AE$6:AE14,2)*0.01+COUNTIF(AE$6:AE14,3)*0.0001+COUNTIF(AE$6:AE14,4)*0.000001</f>
        <v>4.0400010000000002</v>
      </c>
      <c r="EF14" s="1">
        <f>DZ14+COUNTIF(AF$6:AF14,2)*0.01+COUNTIF(AF$6:AF14,3)*0.0001+COUNTIF(AF$6:AF14,4)*0.000001</f>
        <v>2.0300000000000002E-2</v>
      </c>
      <c r="EG14" s="1">
        <f>EA14+COUNTIF(AG$6:AG14,2)*0.01+COUNTIF(AG$6:AG14,3)*0.0001+COUNTIF(AG$6:AG14,4)*0.000001</f>
        <v>5.0301</v>
      </c>
      <c r="EH14" s="1">
        <f>EB14+COUNTIF(AH$6:AH14,2)*0.01+COUNTIF(AH$6:AH14,3)*0.0001+COUNTIF(AH$6:AH14,4)*0.000001</f>
        <v>1.01E-4</v>
      </c>
      <c r="EJ14">
        <f t="shared" si="29"/>
        <v>9</v>
      </c>
      <c r="EK14" s="2">
        <f>AVERAGE(FJ$6:FJ14)</f>
        <v>1.7777777777777777</v>
      </c>
      <c r="EL14" s="2">
        <f>AVERAGE(FK$6:FK14)</f>
        <v>2.6</v>
      </c>
      <c r="EM14" s="2">
        <f>AVERAGE(FL$6:FL14)</f>
        <v>1.5555555555555556</v>
      </c>
      <c r="EN14" s="2">
        <f>AVERAGE(FM$6:FM14)</f>
        <v>3.5</v>
      </c>
      <c r="EO14" s="3"/>
      <c r="EP14">
        <f t="shared" si="30"/>
        <v>9</v>
      </c>
      <c r="EQ14" s="1">
        <f t="shared" si="48"/>
        <v>18</v>
      </c>
      <c r="ER14" s="1">
        <f t="shared" si="61"/>
        <v>13</v>
      </c>
      <c r="ES14" s="1">
        <f t="shared" si="49"/>
        <v>20</v>
      </c>
      <c r="ET14" s="1">
        <f t="shared" si="69"/>
        <v>7</v>
      </c>
      <c r="EU14" s="3"/>
      <c r="EV14">
        <f t="shared" si="31"/>
        <v>9</v>
      </c>
      <c r="EW14" s="1">
        <f t="shared" si="50"/>
        <v>2</v>
      </c>
      <c r="EX14" s="1">
        <f t="shared" si="51"/>
        <v>7</v>
      </c>
      <c r="EY14" s="1">
        <f t="shared" si="52"/>
        <v>0</v>
      </c>
      <c r="EZ14" s="1">
        <f t="shared" si="64"/>
        <v>13</v>
      </c>
      <c r="FA14" s="3"/>
      <c r="FB14">
        <f t="shared" si="33"/>
        <v>9</v>
      </c>
      <c r="FC14" s="1">
        <f t="shared" si="34"/>
        <v>-1</v>
      </c>
      <c r="FD14" s="1">
        <f t="shared" si="35"/>
        <v>-5</v>
      </c>
      <c r="FE14" s="1">
        <f t="shared" si="36"/>
        <v>0</v>
      </c>
      <c r="FF14" s="1">
        <f t="shared" si="65"/>
        <v>-5</v>
      </c>
      <c r="FG14">
        <f t="shared" si="37"/>
        <v>5</v>
      </c>
      <c r="FI14">
        <f t="shared" si="53"/>
        <v>9</v>
      </c>
      <c r="FJ14" s="1">
        <f t="shared" si="54"/>
        <v>1</v>
      </c>
      <c r="FK14" s="1" t="str">
        <f t="shared" si="55"/>
        <v>nie grał</v>
      </c>
      <c r="FL14" s="1">
        <f t="shared" si="56"/>
        <v>2</v>
      </c>
      <c r="FM14" s="1" t="str">
        <f t="shared" si="57"/>
        <v>nie grał</v>
      </c>
    </row>
    <row r="15" spans="2:169" x14ac:dyDescent="0.2">
      <c r="B15" s="8" t="s">
        <v>81</v>
      </c>
      <c r="C15" s="8" t="s">
        <v>32</v>
      </c>
      <c r="D15" s="1"/>
      <c r="E15" s="1"/>
      <c r="F15" s="88">
        <v>43933</v>
      </c>
      <c r="G15" s="56"/>
      <c r="H15" s="56"/>
      <c r="I15" s="56"/>
      <c r="J15" s="56"/>
      <c r="K15" s="56"/>
      <c r="N15">
        <v>10</v>
      </c>
      <c r="O15">
        <v>2</v>
      </c>
      <c r="P15" s="62" t="s">
        <v>6</v>
      </c>
      <c r="Q15" s="64" t="s">
        <v>8</v>
      </c>
      <c r="R15" s="1"/>
      <c r="S15" s="1"/>
      <c r="U15" s="9">
        <v>72</v>
      </c>
      <c r="V15" s="9">
        <v>50</v>
      </c>
      <c r="W15" s="1"/>
      <c r="X15" s="1"/>
      <c r="Z15" s="37">
        <f t="shared" ca="1" si="10"/>
        <v>22</v>
      </c>
      <c r="AA15" s="2">
        <f t="shared" ca="1" si="11"/>
        <v>22</v>
      </c>
      <c r="AC15">
        <f t="shared" si="38"/>
        <v>10</v>
      </c>
      <c r="AD15">
        <f t="shared" si="12"/>
        <v>2</v>
      </c>
      <c r="AE15" s="2">
        <f t="shared" si="39"/>
        <v>1</v>
      </c>
      <c r="AF15" s="2">
        <f t="shared" si="13"/>
        <v>0</v>
      </c>
      <c r="AG15" s="2">
        <f t="shared" si="13"/>
        <v>2</v>
      </c>
      <c r="AH15" s="2">
        <f t="shared" si="13"/>
        <v>0</v>
      </c>
      <c r="AI15" s="2">
        <f t="shared" si="13"/>
        <v>0</v>
      </c>
      <c r="AJ15" s="2">
        <f t="shared" si="13"/>
        <v>0</v>
      </c>
      <c r="AK15" s="2"/>
      <c r="AL15" s="2"/>
      <c r="AM15" s="2"/>
      <c r="AN15" s="2"/>
      <c r="AO15" s="2">
        <f t="shared" si="13"/>
        <v>0</v>
      </c>
      <c r="AQ15" s="99">
        <f>IF(AS14=AS15,AQ14,3)</f>
        <v>3</v>
      </c>
      <c r="AR15" s="99" t="str">
        <f t="shared" si="72"/>
        <v>Marcin</v>
      </c>
      <c r="AS15" s="100" t="str">
        <f t="shared" si="72"/>
        <v>7-4-8-2</v>
      </c>
      <c r="AT15" s="100">
        <f t="shared" si="72"/>
        <v>21</v>
      </c>
      <c r="AU15" s="3"/>
      <c r="AV15" s="3"/>
      <c r="AW15" s="3"/>
      <c r="AX15" s="3"/>
      <c r="AY15" s="3"/>
      <c r="AZ15" s="3"/>
      <c r="BA15" s="3"/>
      <c r="BD15" s="2">
        <f t="shared" ca="1" si="15"/>
        <v>72</v>
      </c>
      <c r="BE15" s="2"/>
      <c r="BF15" s="2">
        <f t="shared" ca="1" si="15"/>
        <v>50</v>
      </c>
      <c r="BG15" s="2"/>
      <c r="BH15" s="2"/>
      <c r="BI15" s="2"/>
      <c r="BJ15" s="2"/>
      <c r="BK15" s="2"/>
      <c r="BL15" s="2"/>
      <c r="BM15" s="2"/>
      <c r="BN15" s="2"/>
      <c r="BP15" s="28">
        <f t="shared" ca="1" si="16"/>
        <v>122</v>
      </c>
      <c r="BQ15" s="29">
        <f t="shared" ca="1" si="17"/>
        <v>61</v>
      </c>
      <c r="BT15" s="2">
        <f t="shared" ca="1" si="41"/>
        <v>630</v>
      </c>
      <c r="BU15" s="2">
        <f t="shared" ca="1" si="42"/>
        <v>287</v>
      </c>
      <c r="BV15" s="2">
        <f t="shared" ca="1" si="43"/>
        <v>628</v>
      </c>
      <c r="BW15" s="2">
        <f t="shared" ca="1" si="44"/>
        <v>101</v>
      </c>
      <c r="BX15" s="2"/>
      <c r="BY15" s="2"/>
      <c r="BZ15" s="2"/>
      <c r="CA15" s="2"/>
      <c r="CB15" s="2"/>
      <c r="CC15" s="2"/>
      <c r="CD15" s="2">
        <f t="shared" si="45"/>
        <v>0</v>
      </c>
      <c r="CG15" s="1">
        <f t="shared" ca="1" si="58"/>
        <v>10</v>
      </c>
      <c r="CH15" s="1">
        <f t="shared" ca="1" si="18"/>
        <v>83</v>
      </c>
      <c r="CI15" s="1" t="str">
        <f t="shared" ca="1" si="19"/>
        <v>Marcin</v>
      </c>
      <c r="CJ15" s="13">
        <f t="shared" ca="1" si="20"/>
        <v>12</v>
      </c>
      <c r="CK15">
        <f t="shared" ca="1" si="21"/>
        <v>1</v>
      </c>
      <c r="CL15" s="55">
        <f t="shared" ca="1" si="22"/>
        <v>4</v>
      </c>
      <c r="CO15" s="30" t="s">
        <v>59</v>
      </c>
      <c r="CP15" s="31">
        <v>64</v>
      </c>
      <c r="CQ15" s="97" t="s">
        <v>7</v>
      </c>
      <c r="CR15" s="3"/>
      <c r="CS15" s="3"/>
      <c r="CT15" s="3"/>
      <c r="CU15" s="3"/>
      <c r="CW15" s="93">
        <f t="shared" si="59"/>
        <v>10</v>
      </c>
      <c r="CX15" s="51">
        <f t="shared" ca="1" si="73"/>
        <v>729990</v>
      </c>
      <c r="CY15" s="52">
        <f ca="1">BD14</f>
        <v>73</v>
      </c>
      <c r="CZ15" s="51" t="str">
        <f t="shared" si="47"/>
        <v>Mateusz</v>
      </c>
      <c r="DA15" s="77">
        <v>9</v>
      </c>
      <c r="DB15" s="77">
        <f>AE14</f>
        <v>1</v>
      </c>
      <c r="DC15" s="51">
        <f t="shared" ca="1" si="25"/>
        <v>829967</v>
      </c>
      <c r="DE15" s="51">
        <f>BA6</f>
        <v>0</v>
      </c>
      <c r="DF15" s="51">
        <f>BA7</f>
        <v>0</v>
      </c>
      <c r="DG15" s="51">
        <f>BA8</f>
        <v>0</v>
      </c>
      <c r="DH15" s="51">
        <f>BA9</f>
        <v>1</v>
      </c>
      <c r="DI15" s="51">
        <v>11</v>
      </c>
      <c r="DJ15" s="74">
        <f t="shared" si="70"/>
        <v>111</v>
      </c>
      <c r="DK15" s="51" t="str">
        <f t="shared" si="71"/>
        <v>0-0-0-1</v>
      </c>
      <c r="DL15" s="51" t="str">
        <f>BA4</f>
        <v>Ela</v>
      </c>
      <c r="DM15" s="51">
        <f t="shared" si="68"/>
        <v>1</v>
      </c>
      <c r="DO15">
        <f t="shared" si="26"/>
        <v>10</v>
      </c>
      <c r="DP15" s="6">
        <f ca="1">AVERAGE(BD$6:BD15)</f>
        <v>63</v>
      </c>
      <c r="DQ15" s="6">
        <f ca="1">AVERAGE(BE$6:BE15)</f>
        <v>57.4</v>
      </c>
      <c r="DR15" s="6">
        <f ca="1">AVERAGE(BF$6:BF15)</f>
        <v>62.8</v>
      </c>
      <c r="DS15" s="6">
        <f ca="1">AVERAGE(BG$6:BG15)</f>
        <v>50.5</v>
      </c>
      <c r="DT15" s="86">
        <f t="shared" ca="1" si="60"/>
        <v>70.441176470588232</v>
      </c>
      <c r="DU15" s="87">
        <f ca="1">AVERAGE($BD$6:BN15)</f>
        <v>60.962962962962962</v>
      </c>
      <c r="DX15">
        <f t="shared" si="27"/>
        <v>10</v>
      </c>
      <c r="DY15" s="1">
        <f>COUNTIF(AE$6:AE15,1)</f>
        <v>5</v>
      </c>
      <c r="DZ15" s="1">
        <f>COUNTIF(AF$6:AF15,1)</f>
        <v>0</v>
      </c>
      <c r="EA15" s="1">
        <f>COUNTIF(AG$6:AG15,1)</f>
        <v>5</v>
      </c>
      <c r="EB15" s="1">
        <f>COUNTIF(AH$6:AH15,1)</f>
        <v>0</v>
      </c>
      <c r="ED15">
        <f t="shared" si="28"/>
        <v>10</v>
      </c>
      <c r="EE15" s="1">
        <f>DY15+COUNTIF(AE$6:AE15,2)*0.01+COUNTIF(AE$6:AE15,3)*0.0001+COUNTIF(AE$6:AE15,4)*0.000001</f>
        <v>5.0400010000000002</v>
      </c>
      <c r="EF15" s="1">
        <f>DZ15+COUNTIF(AF$6:AF15,2)*0.01+COUNTIF(AF$6:AF15,3)*0.0001+COUNTIF(AF$6:AF15,4)*0.000001</f>
        <v>2.0300000000000002E-2</v>
      </c>
      <c r="EG15" s="1">
        <f>EA15+COUNTIF(AG$6:AG15,2)*0.01+COUNTIF(AG$6:AG15,3)*0.0001+COUNTIF(AG$6:AG15,4)*0.000001</f>
        <v>5.0400999999999998</v>
      </c>
      <c r="EH15" s="1">
        <f>EB15+COUNTIF(AH$6:AH15,2)*0.01+COUNTIF(AH$6:AH15,3)*0.0001+COUNTIF(AH$6:AH15,4)*0.000001</f>
        <v>1.01E-4</v>
      </c>
      <c r="EJ15">
        <f t="shared" si="29"/>
        <v>10</v>
      </c>
      <c r="EK15" s="2">
        <f>AVERAGE(FJ$6:FJ15)</f>
        <v>1.7</v>
      </c>
      <c r="EL15" s="2">
        <f>AVERAGE(FK$6:FK15)</f>
        <v>2.6</v>
      </c>
      <c r="EM15" s="2">
        <f>AVERAGE(FL$6:FL15)</f>
        <v>1.6</v>
      </c>
      <c r="EN15" s="2">
        <f>AVERAGE(FM$6:FM15)</f>
        <v>3.5</v>
      </c>
      <c r="EO15" s="3"/>
      <c r="EP15">
        <f t="shared" si="30"/>
        <v>10</v>
      </c>
      <c r="EQ15" s="1">
        <f t="shared" si="48"/>
        <v>20</v>
      </c>
      <c r="ER15" s="1">
        <f t="shared" si="61"/>
        <v>14</v>
      </c>
      <c r="ES15" s="1">
        <f t="shared" si="49"/>
        <v>21</v>
      </c>
      <c r="ET15" s="1">
        <f t="shared" si="69"/>
        <v>8</v>
      </c>
      <c r="EU15" s="3"/>
      <c r="EV15">
        <f t="shared" si="31"/>
        <v>10</v>
      </c>
      <c r="EW15" s="1">
        <f t="shared" si="50"/>
        <v>1</v>
      </c>
      <c r="EX15" s="1">
        <f t="shared" si="51"/>
        <v>7</v>
      </c>
      <c r="EY15" s="1">
        <f t="shared" si="52"/>
        <v>0</v>
      </c>
      <c r="EZ15" s="1">
        <f t="shared" si="64"/>
        <v>13</v>
      </c>
      <c r="FA15" s="3"/>
      <c r="FB15">
        <f t="shared" si="33"/>
        <v>10</v>
      </c>
      <c r="FC15" s="1">
        <f t="shared" si="34"/>
        <v>0</v>
      </c>
      <c r="FD15" s="1">
        <f t="shared" si="35"/>
        <v>-5</v>
      </c>
      <c r="FE15" s="1">
        <f t="shared" si="36"/>
        <v>0</v>
      </c>
      <c r="FF15" s="1">
        <f t="shared" si="65"/>
        <v>-5</v>
      </c>
      <c r="FG15">
        <f t="shared" si="37"/>
        <v>5</v>
      </c>
      <c r="FI15">
        <f t="shared" si="53"/>
        <v>10</v>
      </c>
      <c r="FJ15" s="1">
        <f t="shared" si="54"/>
        <v>1</v>
      </c>
      <c r="FK15" s="1" t="str">
        <f t="shared" si="55"/>
        <v>nie grał</v>
      </c>
      <c r="FL15" s="1">
        <f t="shared" si="56"/>
        <v>2</v>
      </c>
      <c r="FM15" s="1" t="str">
        <f t="shared" si="57"/>
        <v>nie grał</v>
      </c>
    </row>
    <row r="16" spans="2:169" x14ac:dyDescent="0.2">
      <c r="B16" s="8" t="s">
        <v>81</v>
      </c>
      <c r="C16" s="8" t="s">
        <v>82</v>
      </c>
      <c r="D16" s="8" t="s">
        <v>80</v>
      </c>
      <c r="E16" s="8" t="s">
        <v>79</v>
      </c>
      <c r="F16" s="88">
        <v>43936</v>
      </c>
      <c r="G16" s="56"/>
      <c r="H16" s="56"/>
      <c r="I16" s="56"/>
      <c r="J16" s="56"/>
      <c r="K16" s="56"/>
      <c r="N16">
        <v>11</v>
      </c>
      <c r="O16">
        <v>4</v>
      </c>
      <c r="P16" s="62" t="s">
        <v>6</v>
      </c>
      <c r="Q16" s="63" t="s">
        <v>7</v>
      </c>
      <c r="R16" s="61" t="s">
        <v>8</v>
      </c>
      <c r="S16" s="64" t="s">
        <v>9</v>
      </c>
      <c r="U16" s="9">
        <v>74</v>
      </c>
      <c r="V16" s="9">
        <v>69</v>
      </c>
      <c r="W16" s="1">
        <v>55</v>
      </c>
      <c r="X16" s="1">
        <v>50</v>
      </c>
      <c r="Z16" s="37">
        <f t="shared" ca="1" si="10"/>
        <v>5</v>
      </c>
      <c r="AA16" s="2">
        <f t="shared" ca="1" si="11"/>
        <v>24</v>
      </c>
      <c r="AC16">
        <f t="shared" si="38"/>
        <v>11</v>
      </c>
      <c r="AD16">
        <f t="shared" si="12"/>
        <v>4</v>
      </c>
      <c r="AE16" s="2">
        <f t="shared" si="39"/>
        <v>1</v>
      </c>
      <c r="AF16" s="2">
        <f t="shared" si="13"/>
        <v>2</v>
      </c>
      <c r="AG16" s="2">
        <f t="shared" si="13"/>
        <v>3</v>
      </c>
      <c r="AH16" s="2">
        <f t="shared" si="13"/>
        <v>4</v>
      </c>
      <c r="AI16" s="2">
        <f t="shared" si="13"/>
        <v>0</v>
      </c>
      <c r="AJ16" s="2">
        <f t="shared" si="13"/>
        <v>0</v>
      </c>
      <c r="AK16" s="2"/>
      <c r="AL16" s="2"/>
      <c r="AM16" s="2"/>
      <c r="AN16" s="2"/>
      <c r="AO16" s="2">
        <f t="shared" si="13"/>
        <v>0</v>
      </c>
      <c r="AQ16" s="99">
        <f>IF(AS15=AS16,AQ15,4)</f>
        <v>4</v>
      </c>
      <c r="AR16" s="99" t="str">
        <f t="shared" si="72"/>
        <v>Agnieszka</v>
      </c>
      <c r="AS16" s="100" t="str">
        <f t="shared" si="72"/>
        <v>3-2-12-3</v>
      </c>
      <c r="AT16" s="100">
        <f t="shared" si="72"/>
        <v>20</v>
      </c>
      <c r="AU16" s="3"/>
      <c r="AV16" s="3"/>
      <c r="AW16" s="3"/>
      <c r="AX16" s="3"/>
      <c r="AY16" s="3"/>
      <c r="AZ16" s="3"/>
      <c r="BA16" s="3"/>
      <c r="BD16" s="2">
        <f t="shared" ca="1" si="15"/>
        <v>74</v>
      </c>
      <c r="BE16" s="2">
        <f t="shared" ca="1" si="15"/>
        <v>69</v>
      </c>
      <c r="BF16" s="2">
        <f t="shared" ca="1" si="15"/>
        <v>55</v>
      </c>
      <c r="BG16" s="2">
        <f t="shared" ca="1" si="15"/>
        <v>50</v>
      </c>
      <c r="BH16" s="2"/>
      <c r="BI16" s="2"/>
      <c r="BJ16" s="2"/>
      <c r="BK16" s="2"/>
      <c r="BL16" s="2"/>
      <c r="BM16" s="2"/>
      <c r="BN16" s="2"/>
      <c r="BP16" s="28">
        <f t="shared" ca="1" si="16"/>
        <v>248</v>
      </c>
      <c r="BQ16" s="29">
        <f t="shared" ca="1" si="17"/>
        <v>62</v>
      </c>
      <c r="BT16" s="2">
        <f t="shared" ca="1" si="41"/>
        <v>704</v>
      </c>
      <c r="BU16" s="2">
        <f t="shared" ca="1" si="42"/>
        <v>356</v>
      </c>
      <c r="BV16" s="2">
        <f t="shared" ca="1" si="43"/>
        <v>683</v>
      </c>
      <c r="BW16" s="2">
        <f t="shared" ca="1" si="44"/>
        <v>151</v>
      </c>
      <c r="BX16" s="2"/>
      <c r="BY16" s="2"/>
      <c r="BZ16" s="2"/>
      <c r="CA16" s="2"/>
      <c r="CB16" s="2"/>
      <c r="CC16" s="2"/>
      <c r="CD16" s="2">
        <f t="shared" si="45"/>
        <v>0</v>
      </c>
      <c r="CG16" s="1">
        <f t="shared" ca="1" si="58"/>
        <v>10</v>
      </c>
      <c r="CH16" s="1">
        <f t="shared" ca="1" si="18"/>
        <v>83</v>
      </c>
      <c r="CI16" s="1" t="str">
        <f t="shared" ca="1" si="19"/>
        <v>Mateusz</v>
      </c>
      <c r="CJ16" s="13">
        <f t="shared" ca="1" si="20"/>
        <v>15</v>
      </c>
      <c r="CK16">
        <f t="shared" ca="1" si="21"/>
        <v>1</v>
      </c>
      <c r="CL16" s="55">
        <f t="shared" ca="1" si="22"/>
        <v>3</v>
      </c>
      <c r="CO16" s="33" t="s">
        <v>60</v>
      </c>
      <c r="CP16" s="34">
        <f>MIN(X6:X38)</f>
        <v>35</v>
      </c>
      <c r="CQ16" s="35" t="s">
        <v>8</v>
      </c>
      <c r="CR16" s="3"/>
      <c r="CS16" s="3"/>
      <c r="CT16" s="3"/>
      <c r="CU16" s="3"/>
      <c r="CW16" s="93">
        <f t="shared" si="59"/>
        <v>11</v>
      </c>
      <c r="CX16" s="51">
        <f t="shared" ca="1" si="73"/>
        <v>719989</v>
      </c>
      <c r="CY16" s="52">
        <f ca="1">BF10</f>
        <v>72</v>
      </c>
      <c r="CZ16" s="51" t="str">
        <f>$BF$5</f>
        <v>Justyna</v>
      </c>
      <c r="DA16" s="77">
        <v>5</v>
      </c>
      <c r="DB16" s="77">
        <f>AG10</f>
        <v>1</v>
      </c>
      <c r="DC16" s="51">
        <f t="shared" ca="1" si="25"/>
        <v>829958</v>
      </c>
      <c r="DO16">
        <f t="shared" si="26"/>
        <v>11</v>
      </c>
      <c r="DP16" s="6">
        <f ca="1">AVERAGE(BD$6:BD16)</f>
        <v>64</v>
      </c>
      <c r="DQ16" s="6">
        <f ca="1">AVERAGE(BE$6:BE16)</f>
        <v>59.333333333333336</v>
      </c>
      <c r="DR16" s="6">
        <f ca="1">AVERAGE(BF$6:BF16)</f>
        <v>62.090909090909093</v>
      </c>
      <c r="DS16" s="6">
        <f ca="1">AVERAGE(BG$6:BG16)</f>
        <v>50.333333333333336</v>
      </c>
      <c r="DT16" s="86">
        <f t="shared" ca="1" si="60"/>
        <v>70.441176470588232</v>
      </c>
      <c r="DU16" s="87">
        <f ca="1">AVERAGE($BD$6:BN16)</f>
        <v>61.096774193548384</v>
      </c>
      <c r="DX16">
        <f t="shared" si="27"/>
        <v>11</v>
      </c>
      <c r="DY16" s="1">
        <f>COUNTIF(AE$6:AE16,1)</f>
        <v>6</v>
      </c>
      <c r="DZ16" s="1">
        <f>COUNTIF(AF$6:AF16,1)</f>
        <v>0</v>
      </c>
      <c r="EA16" s="1">
        <f>COUNTIF(AG$6:AG16,1)</f>
        <v>5</v>
      </c>
      <c r="EB16" s="1">
        <f>COUNTIF(AH$6:AH16,1)</f>
        <v>0</v>
      </c>
      <c r="ED16">
        <f t="shared" si="28"/>
        <v>11</v>
      </c>
      <c r="EE16" s="1">
        <f>DY16+COUNTIF(AE$6:AE16,2)*0.01+COUNTIF(AE$6:AE16,3)*0.0001+COUNTIF(AE$6:AE16,4)*0.000001</f>
        <v>6.0400010000000002</v>
      </c>
      <c r="EF16" s="1">
        <f>DZ16+COUNTIF(AF$6:AF16,2)*0.01+COUNTIF(AF$6:AF16,3)*0.0001+COUNTIF(AF$6:AF16,4)*0.000001</f>
        <v>3.0300000000000001E-2</v>
      </c>
      <c r="EG16" s="1">
        <f>EA16+COUNTIF(AG$6:AG16,2)*0.01+COUNTIF(AG$6:AG16,3)*0.0001+COUNTIF(AG$6:AG16,4)*0.000001</f>
        <v>5.0402000000000005</v>
      </c>
      <c r="EH16" s="1">
        <f>EB16+COUNTIF(AH$6:AH16,2)*0.01+COUNTIF(AH$6:AH16,3)*0.0001+COUNTIF(AH$6:AH16,4)*0.000001</f>
        <v>1.02E-4</v>
      </c>
      <c r="EJ16">
        <f t="shared" si="29"/>
        <v>11</v>
      </c>
      <c r="EK16" s="2">
        <f>AVERAGE(FJ$6:FJ16)</f>
        <v>1.6363636363636365</v>
      </c>
      <c r="EL16" s="2">
        <f>AVERAGE(FK$6:FK16)</f>
        <v>2.5</v>
      </c>
      <c r="EM16" s="2">
        <f>AVERAGE(FL$6:FL16)</f>
        <v>1.7272727272727273</v>
      </c>
      <c r="EN16" s="2">
        <f>AVERAGE(FM$6:FM16)</f>
        <v>3.6666666666666665</v>
      </c>
      <c r="EO16" s="3"/>
      <c r="EP16">
        <f t="shared" si="30"/>
        <v>11</v>
      </c>
      <c r="EQ16" s="1">
        <f t="shared" si="48"/>
        <v>24</v>
      </c>
      <c r="ER16" s="1">
        <f t="shared" si="61"/>
        <v>17</v>
      </c>
      <c r="ES16" s="1">
        <f t="shared" si="49"/>
        <v>23</v>
      </c>
      <c r="ET16" s="1">
        <f t="shared" si="69"/>
        <v>9</v>
      </c>
      <c r="EU16" s="3"/>
      <c r="EV16">
        <f t="shared" si="31"/>
        <v>11</v>
      </c>
      <c r="EW16" s="1">
        <f t="shared" si="50"/>
        <v>0</v>
      </c>
      <c r="EX16" s="1">
        <f t="shared" si="51"/>
        <v>7</v>
      </c>
      <c r="EY16" s="1">
        <f t="shared" si="52"/>
        <v>1</v>
      </c>
      <c r="EZ16" s="1">
        <f t="shared" si="64"/>
        <v>15</v>
      </c>
      <c r="FA16" s="3"/>
      <c r="FB16">
        <f t="shared" si="33"/>
        <v>11</v>
      </c>
      <c r="FC16" s="1">
        <f t="shared" si="34"/>
        <v>0</v>
      </c>
      <c r="FD16" s="1">
        <f t="shared" si="35"/>
        <v>-6</v>
      </c>
      <c r="FE16" s="1">
        <f t="shared" si="36"/>
        <v>-1</v>
      </c>
      <c r="FF16" s="1">
        <f t="shared" si="65"/>
        <v>-6</v>
      </c>
      <c r="FG16">
        <f t="shared" si="37"/>
        <v>6</v>
      </c>
      <c r="FI16">
        <f t="shared" si="53"/>
        <v>11</v>
      </c>
      <c r="FJ16" s="1">
        <f t="shared" si="54"/>
        <v>1</v>
      </c>
      <c r="FK16" s="1">
        <f t="shared" si="55"/>
        <v>2</v>
      </c>
      <c r="FL16" s="1">
        <f t="shared" si="56"/>
        <v>3</v>
      </c>
      <c r="FM16" s="1">
        <f t="shared" si="57"/>
        <v>4</v>
      </c>
    </row>
    <row r="17" spans="2:169" x14ac:dyDescent="0.2">
      <c r="B17" s="8" t="s">
        <v>79</v>
      </c>
      <c r="C17" s="8" t="s">
        <v>82</v>
      </c>
      <c r="D17" s="8" t="s">
        <v>83</v>
      </c>
      <c r="E17" s="8" t="s">
        <v>81</v>
      </c>
      <c r="F17" s="88">
        <v>43937</v>
      </c>
      <c r="G17" s="56"/>
      <c r="H17" s="56"/>
      <c r="I17" s="56"/>
      <c r="J17" s="56"/>
      <c r="K17" s="56"/>
      <c r="N17">
        <v>12</v>
      </c>
      <c r="O17">
        <v>4</v>
      </c>
      <c r="P17" s="63" t="s">
        <v>7</v>
      </c>
      <c r="Q17" s="61" t="s">
        <v>8</v>
      </c>
      <c r="R17" s="64" t="s">
        <v>9</v>
      </c>
      <c r="S17" s="62" t="s">
        <v>6</v>
      </c>
      <c r="U17" s="9">
        <v>83</v>
      </c>
      <c r="V17" s="9">
        <v>76</v>
      </c>
      <c r="W17" s="8">
        <v>64</v>
      </c>
      <c r="X17" s="1">
        <v>63</v>
      </c>
      <c r="Z17" s="37">
        <f t="shared" ca="1" si="10"/>
        <v>7</v>
      </c>
      <c r="AA17" s="2">
        <f t="shared" ca="1" si="11"/>
        <v>20</v>
      </c>
      <c r="AC17">
        <f t="shared" si="38"/>
        <v>12</v>
      </c>
      <c r="AD17">
        <f t="shared" si="12"/>
        <v>4</v>
      </c>
      <c r="AE17" s="2">
        <f t="shared" si="39"/>
        <v>4</v>
      </c>
      <c r="AF17" s="2">
        <f t="shared" si="13"/>
        <v>1</v>
      </c>
      <c r="AG17" s="2">
        <f t="shared" si="13"/>
        <v>2</v>
      </c>
      <c r="AH17" s="2">
        <f t="shared" si="13"/>
        <v>3</v>
      </c>
      <c r="AI17" s="2">
        <f t="shared" si="13"/>
        <v>0</v>
      </c>
      <c r="AJ17" s="2">
        <f t="shared" si="13"/>
        <v>0</v>
      </c>
      <c r="AK17" s="2"/>
      <c r="AL17" s="2"/>
      <c r="AM17" s="2"/>
      <c r="AN17" s="2"/>
      <c r="AO17" s="2">
        <f t="shared" si="13"/>
        <v>0</v>
      </c>
      <c r="AQ17" s="99">
        <f>IF(AS16=AS17,AQ16,5)</f>
        <v>5</v>
      </c>
      <c r="AR17" s="99" t="str">
        <f t="shared" si="72"/>
        <v>Magda</v>
      </c>
      <c r="AS17" s="100" t="str">
        <f t="shared" si="72"/>
        <v>0-1-2-1</v>
      </c>
      <c r="AT17" s="100">
        <f t="shared" si="72"/>
        <v>4</v>
      </c>
      <c r="BD17" s="2">
        <f t="shared" ca="1" si="15"/>
        <v>63</v>
      </c>
      <c r="BE17" s="2">
        <f t="shared" ca="1" si="15"/>
        <v>83</v>
      </c>
      <c r="BF17" s="2">
        <f t="shared" ca="1" si="15"/>
        <v>76</v>
      </c>
      <c r="BG17" s="2">
        <f t="shared" ca="1" si="15"/>
        <v>64</v>
      </c>
      <c r="BH17" s="2"/>
      <c r="BI17" s="2"/>
      <c r="BJ17" s="2"/>
      <c r="BK17" s="2"/>
      <c r="BL17" s="2"/>
      <c r="BM17" s="2"/>
      <c r="BN17" s="2"/>
      <c r="BP17" s="28">
        <f t="shared" ca="1" si="16"/>
        <v>286</v>
      </c>
      <c r="BQ17" s="29">
        <f t="shared" ca="1" si="17"/>
        <v>71.5</v>
      </c>
      <c r="BT17" s="2">
        <f t="shared" ca="1" si="41"/>
        <v>767</v>
      </c>
      <c r="BU17" s="2">
        <f t="shared" ca="1" si="42"/>
        <v>439</v>
      </c>
      <c r="BV17" s="2">
        <f t="shared" ca="1" si="43"/>
        <v>759</v>
      </c>
      <c r="BW17" s="2">
        <f t="shared" ca="1" si="44"/>
        <v>215</v>
      </c>
      <c r="BX17" s="2"/>
      <c r="BY17" s="2"/>
      <c r="BZ17" s="2"/>
      <c r="CA17" s="2"/>
      <c r="CB17" s="2"/>
      <c r="CC17" s="2"/>
      <c r="CD17" s="2">
        <f t="shared" si="45"/>
        <v>0</v>
      </c>
      <c r="CG17" s="1">
        <f t="shared" ca="1" si="58"/>
        <v>12</v>
      </c>
      <c r="CH17" s="1">
        <f t="shared" ca="1" si="18"/>
        <v>82</v>
      </c>
      <c r="CI17" s="1" t="str">
        <f t="shared" ca="1" si="19"/>
        <v>Marcin</v>
      </c>
      <c r="CJ17" s="13">
        <f t="shared" ca="1" si="20"/>
        <v>28</v>
      </c>
      <c r="CK17">
        <f t="shared" ca="1" si="21"/>
        <v>1</v>
      </c>
      <c r="CL17" s="55">
        <f t="shared" ca="1" si="22"/>
        <v>4</v>
      </c>
      <c r="CW17" s="93">
        <f t="shared" si="59"/>
        <v>12</v>
      </c>
      <c r="CX17" s="51">
        <f t="shared" ca="1" si="73"/>
        <v>719988</v>
      </c>
      <c r="CY17" s="52">
        <f ca="1">BD15</f>
        <v>72</v>
      </c>
      <c r="CZ17" s="51" t="str">
        <f t="shared" si="47"/>
        <v>Mateusz</v>
      </c>
      <c r="DA17" s="77">
        <v>10</v>
      </c>
      <c r="DB17" s="77">
        <f>AE15</f>
        <v>1</v>
      </c>
      <c r="DC17" s="51">
        <f t="shared" ca="1" si="25"/>
        <v>819910</v>
      </c>
      <c r="DE17" s="74">
        <f>LARGE($DJ$5:$DJ$15,DJ17)</f>
        <v>1515000401</v>
      </c>
      <c r="DF17" s="51" t="str">
        <f>VLOOKUP(DE17,$DJ$5:$DL$15,3,FALSE)</f>
        <v>Mateusz</v>
      </c>
      <c r="DG17" s="51" t="str">
        <f>VLOOKUP(DE17,$DJ$5:$DL$15,2,FALSE)</f>
        <v>15-15-0-4</v>
      </c>
      <c r="DH17" s="51">
        <f>VLOOKUP(DE17,$DJ$5:$DM$15,4,FALSE)</f>
        <v>34</v>
      </c>
      <c r="DJ17" s="90">
        <v>1</v>
      </c>
      <c r="DO17">
        <f t="shared" si="26"/>
        <v>12</v>
      </c>
      <c r="DP17" s="6">
        <f ca="1">AVERAGE(BD$6:BD17)</f>
        <v>63.916666666666664</v>
      </c>
      <c r="DQ17" s="6">
        <f ca="1">AVERAGE(BE$6:BE17)</f>
        <v>62.714285714285715</v>
      </c>
      <c r="DR17" s="6">
        <f ca="1">AVERAGE(BF$6:BF17)</f>
        <v>63.25</v>
      </c>
      <c r="DS17" s="6">
        <f ca="1">AVERAGE(BG$6:BG17)</f>
        <v>53.75</v>
      </c>
      <c r="DT17" s="86">
        <f t="shared" ca="1" si="60"/>
        <v>70.441176470588232</v>
      </c>
      <c r="DU17" s="87">
        <f ca="1">AVERAGE($BD$6:BN17)</f>
        <v>62.285714285714285</v>
      </c>
      <c r="DX17">
        <f t="shared" si="27"/>
        <v>12</v>
      </c>
      <c r="DY17" s="1">
        <f>COUNTIF(AE$6:AE17,1)</f>
        <v>6</v>
      </c>
      <c r="DZ17" s="1">
        <f>COUNTIF(AF$6:AF17,1)</f>
        <v>1</v>
      </c>
      <c r="EA17" s="1">
        <f>COUNTIF(AG$6:AG17,1)</f>
        <v>5</v>
      </c>
      <c r="EB17" s="1">
        <f>COUNTIF(AH$6:AH17,1)</f>
        <v>0</v>
      </c>
      <c r="ED17">
        <f t="shared" si="28"/>
        <v>12</v>
      </c>
      <c r="EE17" s="1">
        <f>DY17+COUNTIF(AE$6:AE17,2)*0.01+COUNTIF(AE$6:AE17,3)*0.0001+COUNTIF(AE$6:AE17,4)*0.000001</f>
        <v>6.0400020000000003</v>
      </c>
      <c r="EF17" s="1">
        <f>DZ17+COUNTIF(AF$6:AF17,2)*0.01+COUNTIF(AF$6:AF17,3)*0.0001+COUNTIF(AF$6:AF17,4)*0.000001</f>
        <v>1.0303</v>
      </c>
      <c r="EG17" s="1">
        <f>EA17+COUNTIF(AG$6:AG17,2)*0.01+COUNTIF(AG$6:AG17,3)*0.0001+COUNTIF(AG$6:AG17,4)*0.000001</f>
        <v>5.0502000000000002</v>
      </c>
      <c r="EH17" s="1">
        <f>EB17+COUNTIF(AH$6:AH17,2)*0.01+COUNTIF(AH$6:AH17,3)*0.0001+COUNTIF(AH$6:AH17,4)*0.000001</f>
        <v>2.02E-4</v>
      </c>
      <c r="EJ17">
        <f t="shared" si="29"/>
        <v>12</v>
      </c>
      <c r="EK17" s="2">
        <f>AVERAGE(FJ$6:FJ17)</f>
        <v>1.8333333333333333</v>
      </c>
      <c r="EL17" s="2">
        <f>AVERAGE(FK$6:FK17)</f>
        <v>2.2857142857142856</v>
      </c>
      <c r="EM17" s="2">
        <f>AVERAGE(FL$6:FL17)</f>
        <v>1.75</v>
      </c>
      <c r="EN17" s="2">
        <f>AVERAGE(FM$6:FM17)</f>
        <v>3.5</v>
      </c>
      <c r="EO17" s="3"/>
      <c r="EP17">
        <f t="shared" si="30"/>
        <v>12</v>
      </c>
      <c r="EQ17" s="1">
        <f t="shared" si="48"/>
        <v>25</v>
      </c>
      <c r="ER17" s="1">
        <f t="shared" si="61"/>
        <v>21</v>
      </c>
      <c r="ES17" s="1">
        <f t="shared" si="49"/>
        <v>26</v>
      </c>
      <c r="ET17" s="1">
        <f t="shared" si="69"/>
        <v>11</v>
      </c>
      <c r="EU17" s="3"/>
      <c r="EV17">
        <f t="shared" si="31"/>
        <v>12</v>
      </c>
      <c r="EW17" s="1">
        <f t="shared" si="50"/>
        <v>1</v>
      </c>
      <c r="EX17" s="1">
        <f t="shared" si="51"/>
        <v>5</v>
      </c>
      <c r="EY17" s="1">
        <f t="shared" si="52"/>
        <v>0</v>
      </c>
      <c r="EZ17" s="1">
        <f t="shared" si="64"/>
        <v>15</v>
      </c>
      <c r="FA17" s="3"/>
      <c r="FB17">
        <f t="shared" si="33"/>
        <v>12</v>
      </c>
      <c r="FC17" s="1">
        <f t="shared" si="34"/>
        <v>0</v>
      </c>
      <c r="FD17" s="1">
        <f t="shared" si="35"/>
        <v>-5</v>
      </c>
      <c r="FE17" s="1">
        <f t="shared" si="36"/>
        <v>-1</v>
      </c>
      <c r="FF17" s="1">
        <f t="shared" si="65"/>
        <v>-6</v>
      </c>
      <c r="FG17">
        <f t="shared" si="37"/>
        <v>6</v>
      </c>
      <c r="FI17">
        <f t="shared" si="53"/>
        <v>12</v>
      </c>
      <c r="FJ17" s="1">
        <f t="shared" si="54"/>
        <v>4</v>
      </c>
      <c r="FK17" s="1">
        <f t="shared" si="55"/>
        <v>1</v>
      </c>
      <c r="FL17" s="1">
        <f t="shared" si="56"/>
        <v>2</v>
      </c>
      <c r="FM17" s="1">
        <f t="shared" si="57"/>
        <v>3</v>
      </c>
    </row>
    <row r="18" spans="2:169" x14ac:dyDescent="0.2">
      <c r="B18" s="8" t="s">
        <v>82</v>
      </c>
      <c r="C18" s="8" t="s">
        <v>81</v>
      </c>
      <c r="D18" s="8" t="s">
        <v>32</v>
      </c>
      <c r="E18" s="1"/>
      <c r="F18" s="88">
        <v>43939</v>
      </c>
      <c r="G18" s="56"/>
      <c r="H18" s="56"/>
      <c r="I18" s="56"/>
      <c r="J18" s="56"/>
      <c r="K18" s="56"/>
      <c r="N18">
        <v>13</v>
      </c>
      <c r="O18">
        <v>3</v>
      </c>
      <c r="P18" s="61" t="s">
        <v>8</v>
      </c>
      <c r="Q18" s="62" t="s">
        <v>6</v>
      </c>
      <c r="R18" s="63" t="s">
        <v>7</v>
      </c>
      <c r="S18" s="1"/>
      <c r="U18" s="1">
        <v>75</v>
      </c>
      <c r="V18" s="8">
        <v>68</v>
      </c>
      <c r="W18" s="1">
        <v>52</v>
      </c>
      <c r="X18" s="1"/>
      <c r="Z18" s="37">
        <f t="shared" ca="1" si="10"/>
        <v>7</v>
      </c>
      <c r="AA18" s="2">
        <f t="shared" ca="1" si="11"/>
        <v>23</v>
      </c>
      <c r="AC18">
        <f t="shared" si="38"/>
        <v>13</v>
      </c>
      <c r="AD18">
        <f t="shared" si="12"/>
        <v>3</v>
      </c>
      <c r="AE18" s="2">
        <f t="shared" si="39"/>
        <v>2</v>
      </c>
      <c r="AF18" s="2">
        <f t="shared" si="13"/>
        <v>3</v>
      </c>
      <c r="AG18" s="2">
        <f t="shared" si="13"/>
        <v>1</v>
      </c>
      <c r="AH18" s="2">
        <f t="shared" si="13"/>
        <v>0</v>
      </c>
      <c r="AI18" s="2">
        <f t="shared" si="13"/>
        <v>0</v>
      </c>
      <c r="AJ18" s="2">
        <f t="shared" si="13"/>
        <v>0</v>
      </c>
      <c r="AK18" s="2"/>
      <c r="AL18" s="2"/>
      <c r="AM18" s="2"/>
      <c r="AN18" s="2"/>
      <c r="AO18" s="2">
        <f t="shared" si="13"/>
        <v>0</v>
      </c>
      <c r="AQ18" s="99">
        <f>IF(AS17=AS18,AQ17,6)</f>
        <v>6</v>
      </c>
      <c r="AR18" s="99" t="str">
        <f t="shared" si="72"/>
        <v>Maciek T.</v>
      </c>
      <c r="AS18" s="100" t="str">
        <f t="shared" si="72"/>
        <v>0-1-0-0</v>
      </c>
      <c r="AT18" s="100">
        <f t="shared" si="72"/>
        <v>1</v>
      </c>
      <c r="BD18" s="2">
        <f t="shared" ca="1" si="15"/>
        <v>68</v>
      </c>
      <c r="BE18" s="2">
        <f t="shared" ca="1" si="15"/>
        <v>52</v>
      </c>
      <c r="BF18" s="2">
        <f t="shared" ca="1" si="15"/>
        <v>75</v>
      </c>
      <c r="BG18" s="2"/>
      <c r="BH18" s="2"/>
      <c r="BI18" s="2"/>
      <c r="BJ18" s="2"/>
      <c r="BK18" s="2"/>
      <c r="BL18" s="2"/>
      <c r="BM18" s="2"/>
      <c r="BN18" s="2"/>
      <c r="BP18" s="28">
        <f t="shared" ca="1" si="16"/>
        <v>195</v>
      </c>
      <c r="BQ18" s="29">
        <f t="shared" ca="1" si="17"/>
        <v>65</v>
      </c>
      <c r="BT18" s="2">
        <f t="shared" ca="1" si="41"/>
        <v>835</v>
      </c>
      <c r="BU18" s="2">
        <f t="shared" ca="1" si="42"/>
        <v>491</v>
      </c>
      <c r="BV18" s="2">
        <f t="shared" ca="1" si="43"/>
        <v>834</v>
      </c>
      <c r="BW18" s="2">
        <f t="shared" ca="1" si="44"/>
        <v>215</v>
      </c>
      <c r="BX18" s="2"/>
      <c r="BY18" s="2"/>
      <c r="BZ18" s="2"/>
      <c r="CA18" s="2"/>
      <c r="CB18" s="2"/>
      <c r="CC18" s="2"/>
      <c r="CD18" s="2">
        <f t="shared" si="45"/>
        <v>0</v>
      </c>
      <c r="CG18" s="1">
        <f t="shared" ca="1" si="58"/>
        <v>12</v>
      </c>
      <c r="CH18" s="1">
        <f t="shared" ca="1" si="18"/>
        <v>82</v>
      </c>
      <c r="CI18" s="1" t="str">
        <f t="shared" ca="1" si="19"/>
        <v>Mateusz</v>
      </c>
      <c r="CJ18" s="13">
        <f t="shared" ca="1" si="20"/>
        <v>31</v>
      </c>
      <c r="CK18">
        <f t="shared" ca="1" si="21"/>
        <v>1</v>
      </c>
      <c r="CL18" s="55">
        <f t="shared" ca="1" si="22"/>
        <v>3</v>
      </c>
      <c r="CW18" s="93">
        <f t="shared" si="59"/>
        <v>13</v>
      </c>
      <c r="CX18" s="51">
        <f t="shared" ca="1" si="73"/>
        <v>739987</v>
      </c>
      <c r="CY18" s="52">
        <f ca="1">BD16</f>
        <v>74</v>
      </c>
      <c r="CZ18" s="51" t="str">
        <f t="shared" si="47"/>
        <v>Mateusz</v>
      </c>
      <c r="DA18" s="77">
        <v>11</v>
      </c>
      <c r="DB18" s="77">
        <f>AE16</f>
        <v>1</v>
      </c>
      <c r="DC18" s="51">
        <f t="shared" ca="1" si="25"/>
        <v>819900</v>
      </c>
      <c r="DE18" s="74">
        <f t="shared" ref="DE18:DE27" si="74">LARGE($DJ$5:$DJ$15,DJ18)</f>
        <v>909050403</v>
      </c>
      <c r="DF18" s="51" t="str">
        <f t="shared" ref="DF18:DF27" si="75">VLOOKUP(DE18,$DJ$5:$DL$15,3,FALSE)</f>
        <v>Justyna</v>
      </c>
      <c r="DG18" s="51" t="str">
        <f t="shared" ref="DG18:DG27" si="76">VLOOKUP(DE18,$DJ$5:$DL$15,2,FALSE)</f>
        <v>9-9-5-4</v>
      </c>
      <c r="DH18" s="51">
        <f t="shared" ref="DH18:DH27" si="77">VLOOKUP(DE18,$DJ$5:$DM$15,4,FALSE)</f>
        <v>27</v>
      </c>
      <c r="DJ18" s="90">
        <v>2</v>
      </c>
      <c r="DO18">
        <f t="shared" si="26"/>
        <v>13</v>
      </c>
      <c r="DP18" s="6">
        <f ca="1">AVERAGE(BD$6:BD18)</f>
        <v>64.230769230769226</v>
      </c>
      <c r="DQ18" s="6">
        <f ca="1">AVERAGE(BE$6:BE18)</f>
        <v>61.375</v>
      </c>
      <c r="DR18" s="6">
        <f ca="1">AVERAGE(BF$6:BF18)</f>
        <v>64.15384615384616</v>
      </c>
      <c r="DS18" s="6">
        <f ca="1">AVERAGE(BG$6:BG18)</f>
        <v>53.75</v>
      </c>
      <c r="DT18" s="86">
        <f t="shared" ca="1" si="60"/>
        <v>70.441176470588232</v>
      </c>
      <c r="DU18" s="87">
        <f ca="1">AVERAGE($BD$6:BN18)</f>
        <v>62.5</v>
      </c>
      <c r="DX18">
        <f t="shared" si="27"/>
        <v>13</v>
      </c>
      <c r="DY18" s="1">
        <f>COUNTIF(AE$6:AE18,1)</f>
        <v>6</v>
      </c>
      <c r="DZ18" s="1">
        <f>COUNTIF(AF$6:AF18,1)</f>
        <v>1</v>
      </c>
      <c r="EA18" s="1">
        <f>COUNTIF(AG$6:AG18,1)</f>
        <v>6</v>
      </c>
      <c r="EB18" s="1">
        <f>COUNTIF(AH$6:AH18,1)</f>
        <v>0</v>
      </c>
      <c r="ED18">
        <f t="shared" si="28"/>
        <v>13</v>
      </c>
      <c r="EE18" s="1">
        <f>DY18+COUNTIF(AE$6:AE18,2)*0.01+COUNTIF(AE$6:AE18,3)*0.0001+COUNTIF(AE$6:AE18,4)*0.000001</f>
        <v>6.0500020000000001</v>
      </c>
      <c r="EF18" s="1">
        <f>DZ18+COUNTIF(AF$6:AF18,2)*0.01+COUNTIF(AF$6:AF18,3)*0.0001+COUNTIF(AF$6:AF18,4)*0.000001</f>
        <v>1.0304</v>
      </c>
      <c r="EG18" s="1">
        <f>EA18+COUNTIF(AG$6:AG18,2)*0.01+COUNTIF(AG$6:AG18,3)*0.0001+COUNTIF(AG$6:AG18,4)*0.000001</f>
        <v>6.0502000000000002</v>
      </c>
      <c r="EH18" s="1">
        <f>EB18+COUNTIF(AH$6:AH18,2)*0.01+COUNTIF(AH$6:AH18,3)*0.0001+COUNTIF(AH$6:AH18,4)*0.000001</f>
        <v>2.02E-4</v>
      </c>
      <c r="EJ18">
        <f t="shared" si="29"/>
        <v>13</v>
      </c>
      <c r="EK18" s="2">
        <f>AVERAGE(FJ$6:FJ18)</f>
        <v>1.8461538461538463</v>
      </c>
      <c r="EL18" s="2">
        <f>AVERAGE(FK$6:FK18)</f>
        <v>2.375</v>
      </c>
      <c r="EM18" s="2">
        <f>AVERAGE(FL$6:FL18)</f>
        <v>1.6923076923076923</v>
      </c>
      <c r="EN18" s="2">
        <f>AVERAGE(FM$6:FM18)</f>
        <v>3.5</v>
      </c>
      <c r="EO18" s="3"/>
      <c r="EP18">
        <f t="shared" si="30"/>
        <v>13</v>
      </c>
      <c r="EQ18" s="1">
        <f t="shared" si="48"/>
        <v>27</v>
      </c>
      <c r="ER18" s="1">
        <f t="shared" si="61"/>
        <v>22</v>
      </c>
      <c r="ES18" s="1">
        <f t="shared" si="49"/>
        <v>29</v>
      </c>
      <c r="ET18" s="1">
        <f t="shared" si="69"/>
        <v>12</v>
      </c>
      <c r="EU18" s="3"/>
      <c r="EV18">
        <f t="shared" si="31"/>
        <v>13</v>
      </c>
      <c r="EW18" s="1">
        <f t="shared" si="50"/>
        <v>2</v>
      </c>
      <c r="EX18" s="1">
        <f t="shared" si="51"/>
        <v>7</v>
      </c>
      <c r="EY18" s="1">
        <f t="shared" si="52"/>
        <v>0</v>
      </c>
      <c r="EZ18" s="1">
        <f t="shared" si="64"/>
        <v>17</v>
      </c>
      <c r="FA18" s="3"/>
      <c r="FB18">
        <f t="shared" si="33"/>
        <v>13</v>
      </c>
      <c r="FC18" s="1">
        <f t="shared" si="34"/>
        <v>0</v>
      </c>
      <c r="FD18" s="1">
        <f t="shared" si="35"/>
        <v>-5</v>
      </c>
      <c r="FE18" s="1">
        <f t="shared" si="36"/>
        <v>0</v>
      </c>
      <c r="FF18" s="1">
        <f t="shared" si="65"/>
        <v>-6</v>
      </c>
      <c r="FG18">
        <f t="shared" si="37"/>
        <v>6</v>
      </c>
      <c r="FI18">
        <f t="shared" si="53"/>
        <v>13</v>
      </c>
      <c r="FJ18" s="1">
        <f t="shared" si="54"/>
        <v>2</v>
      </c>
      <c r="FK18" s="1">
        <f t="shared" si="55"/>
        <v>3</v>
      </c>
      <c r="FL18" s="1">
        <f t="shared" si="56"/>
        <v>1</v>
      </c>
      <c r="FM18" s="1" t="str">
        <f t="shared" si="57"/>
        <v>nie grał</v>
      </c>
    </row>
    <row r="19" spans="2:169" x14ac:dyDescent="0.2">
      <c r="B19" s="8" t="s">
        <v>156</v>
      </c>
      <c r="C19" s="8" t="s">
        <v>81</v>
      </c>
      <c r="D19" s="8" t="s">
        <v>80</v>
      </c>
      <c r="E19" s="1"/>
      <c r="F19" s="88">
        <v>43941</v>
      </c>
      <c r="G19" s="56"/>
      <c r="H19" s="56"/>
      <c r="I19" s="56"/>
      <c r="J19" s="56"/>
      <c r="K19" s="56"/>
      <c r="N19">
        <v>14</v>
      </c>
      <c r="O19">
        <v>3</v>
      </c>
      <c r="P19" s="64" t="s">
        <v>9</v>
      </c>
      <c r="Q19" s="62" t="s">
        <v>6</v>
      </c>
      <c r="R19" s="61" t="s">
        <v>8</v>
      </c>
      <c r="S19" s="1"/>
      <c r="U19" s="1">
        <v>65</v>
      </c>
      <c r="V19" s="1">
        <v>65</v>
      </c>
      <c r="W19" s="1">
        <v>51</v>
      </c>
      <c r="X19" s="1"/>
      <c r="Z19" s="37">
        <f t="shared" ca="1" si="10"/>
        <v>0</v>
      </c>
      <c r="AA19" s="2">
        <f t="shared" ca="1" si="11"/>
        <v>14</v>
      </c>
      <c r="AC19">
        <f t="shared" si="38"/>
        <v>14</v>
      </c>
      <c r="AD19">
        <f t="shared" si="12"/>
        <v>3</v>
      </c>
      <c r="AE19" s="2">
        <f t="shared" si="39"/>
        <v>2</v>
      </c>
      <c r="AF19" s="2">
        <f t="shared" si="13"/>
        <v>0</v>
      </c>
      <c r="AG19" s="2">
        <f t="shared" si="13"/>
        <v>3</v>
      </c>
      <c r="AH19" s="2">
        <f t="shared" si="13"/>
        <v>1</v>
      </c>
      <c r="AI19" s="2">
        <f t="shared" si="13"/>
        <v>0</v>
      </c>
      <c r="AJ19" s="2">
        <f t="shared" si="13"/>
        <v>0</v>
      </c>
      <c r="AK19" s="2"/>
      <c r="AL19" s="2"/>
      <c r="AM19" s="2"/>
      <c r="AN19" s="2"/>
      <c r="AO19" s="2">
        <f t="shared" si="13"/>
        <v>0</v>
      </c>
      <c r="AQ19" s="99">
        <f>IF(AS18=AS19,AQ18,7)</f>
        <v>6</v>
      </c>
      <c r="AR19" s="99" t="str">
        <f t="shared" si="72"/>
        <v>Agnieszka P.</v>
      </c>
      <c r="AS19" s="100" t="str">
        <f t="shared" si="72"/>
        <v>0-1-0-0</v>
      </c>
      <c r="AT19" s="100">
        <f t="shared" si="72"/>
        <v>1</v>
      </c>
      <c r="BD19" s="2">
        <f t="shared" ca="1" si="15"/>
        <v>65</v>
      </c>
      <c r="BE19" s="2"/>
      <c r="BF19" s="2">
        <f t="shared" ca="1" si="15"/>
        <v>51</v>
      </c>
      <c r="BG19" s="2">
        <f t="shared" ca="1" si="15"/>
        <v>65</v>
      </c>
      <c r="BH19" s="2"/>
      <c r="BI19" s="2"/>
      <c r="BJ19" s="2"/>
      <c r="BK19" s="2"/>
      <c r="BL19" s="2"/>
      <c r="BM19" s="2"/>
      <c r="BN19" s="2"/>
      <c r="BP19" s="28">
        <f t="shared" ca="1" si="16"/>
        <v>181</v>
      </c>
      <c r="BQ19" s="29">
        <f t="shared" ca="1" si="17"/>
        <v>60.333333333333336</v>
      </c>
      <c r="BT19" s="2">
        <f t="shared" ca="1" si="41"/>
        <v>900</v>
      </c>
      <c r="BU19" s="2">
        <f t="shared" ca="1" si="42"/>
        <v>491</v>
      </c>
      <c r="BV19" s="2">
        <f t="shared" ca="1" si="43"/>
        <v>885</v>
      </c>
      <c r="BW19" s="2">
        <f t="shared" ca="1" si="44"/>
        <v>280</v>
      </c>
      <c r="BX19" s="2"/>
      <c r="BY19" s="2"/>
      <c r="BZ19" s="2"/>
      <c r="CA19" s="2"/>
      <c r="CB19" s="2"/>
      <c r="CC19" s="2"/>
      <c r="CD19" s="2">
        <f t="shared" si="45"/>
        <v>0</v>
      </c>
      <c r="CG19" s="1">
        <f t="shared" ca="1" si="58"/>
        <v>12</v>
      </c>
      <c r="CH19" s="1">
        <f t="shared" ca="1" si="18"/>
        <v>82</v>
      </c>
      <c r="CI19" s="1" t="str">
        <f t="shared" ca="1" si="19"/>
        <v>Mateusz</v>
      </c>
      <c r="CJ19" s="13">
        <f t="shared" ca="1" si="20"/>
        <v>32</v>
      </c>
      <c r="CK19">
        <f t="shared" ca="1" si="21"/>
        <v>1</v>
      </c>
      <c r="CL19" s="55">
        <f t="shared" ca="1" si="22"/>
        <v>4</v>
      </c>
      <c r="CM19" s="38"/>
      <c r="CW19" s="93">
        <f t="shared" si="59"/>
        <v>14</v>
      </c>
      <c r="CX19" s="51">
        <f t="shared" ca="1" si="73"/>
        <v>409986</v>
      </c>
      <c r="CY19" s="52">
        <f ca="1">BF6</f>
        <v>41</v>
      </c>
      <c r="CZ19" s="51" t="str">
        <f t="shared" ref="CZ19:CZ27" si="78">$BF$5</f>
        <v>Justyna</v>
      </c>
      <c r="DA19" s="77">
        <v>1</v>
      </c>
      <c r="DB19" s="77">
        <f>AG6</f>
        <v>3</v>
      </c>
      <c r="DC19" s="51">
        <f t="shared" ca="1" si="25"/>
        <v>819897</v>
      </c>
      <c r="DE19" s="74">
        <f t="shared" si="74"/>
        <v>704080202</v>
      </c>
      <c r="DF19" s="51" t="str">
        <f t="shared" si="75"/>
        <v>Marcin</v>
      </c>
      <c r="DG19" s="51" t="str">
        <f t="shared" si="76"/>
        <v>7-4-8-2</v>
      </c>
      <c r="DH19" s="51">
        <f t="shared" si="77"/>
        <v>21</v>
      </c>
      <c r="DJ19" s="90">
        <v>3</v>
      </c>
      <c r="DO19">
        <f t="shared" si="26"/>
        <v>14</v>
      </c>
      <c r="DP19" s="6">
        <f ca="1">AVERAGE(BD$6:BD19)</f>
        <v>64.285714285714292</v>
      </c>
      <c r="DQ19" s="6">
        <f ca="1">AVERAGE(BE$6:BE19)</f>
        <v>61.375</v>
      </c>
      <c r="DR19" s="6">
        <f ca="1">AVERAGE(BF$6:BF19)</f>
        <v>63.214285714285715</v>
      </c>
      <c r="DS19" s="6">
        <f ca="1">AVERAGE(BG$6:BG19)</f>
        <v>56</v>
      </c>
      <c r="DT19" s="86">
        <f t="shared" ca="1" si="60"/>
        <v>70.441176470588232</v>
      </c>
      <c r="DU19" s="87">
        <f ca="1">AVERAGE($BD$6:BN19)</f>
        <v>62.341463414634148</v>
      </c>
      <c r="DX19">
        <f t="shared" si="27"/>
        <v>14</v>
      </c>
      <c r="DY19" s="1">
        <f>COUNTIF(AE$6:AE19,1)</f>
        <v>6</v>
      </c>
      <c r="DZ19" s="1">
        <f>COUNTIF(AF$6:AF19,1)</f>
        <v>1</v>
      </c>
      <c r="EA19" s="1">
        <f>COUNTIF(AG$6:AG19,1)</f>
        <v>6</v>
      </c>
      <c r="EB19" s="1">
        <f>COUNTIF(AH$6:AH19,1)</f>
        <v>1</v>
      </c>
      <c r="ED19">
        <f t="shared" si="28"/>
        <v>14</v>
      </c>
      <c r="EE19" s="1">
        <f>DY19+COUNTIF(AE$6:AE19,2)*0.01+COUNTIF(AE$6:AE19,3)*0.0001+COUNTIF(AE$6:AE19,4)*0.000001</f>
        <v>6.0600019999999999</v>
      </c>
      <c r="EF19" s="1">
        <f>DZ19+COUNTIF(AF$6:AF19,2)*0.01+COUNTIF(AF$6:AF19,3)*0.0001+COUNTIF(AF$6:AF19,4)*0.000001</f>
        <v>1.0304</v>
      </c>
      <c r="EG19" s="1">
        <f>EA19+COUNTIF(AG$6:AG19,2)*0.01+COUNTIF(AG$6:AG19,3)*0.0001+COUNTIF(AG$6:AG19,4)*0.000001</f>
        <v>6.0503</v>
      </c>
      <c r="EH19" s="1">
        <f>EB19+COUNTIF(AH$6:AH19,2)*0.01+COUNTIF(AH$6:AH19,3)*0.0001+COUNTIF(AH$6:AH19,4)*0.000001</f>
        <v>1.000202</v>
      </c>
      <c r="EJ19">
        <f t="shared" si="29"/>
        <v>14</v>
      </c>
      <c r="EK19" s="2">
        <f>AVERAGE(FJ$6:FJ19)</f>
        <v>1.8571428571428572</v>
      </c>
      <c r="EL19" s="2">
        <f>AVERAGE(FK$6:FK19)</f>
        <v>2.375</v>
      </c>
      <c r="EM19" s="2">
        <f>AVERAGE(FL$6:FL19)</f>
        <v>1.7857142857142858</v>
      </c>
      <c r="EN19" s="2">
        <f>AVERAGE(FM$6:FM19)</f>
        <v>3</v>
      </c>
      <c r="EO19" s="3"/>
      <c r="EP19">
        <f t="shared" si="30"/>
        <v>14</v>
      </c>
      <c r="EQ19" s="1">
        <f t="shared" si="48"/>
        <v>29</v>
      </c>
      <c r="ER19" s="1">
        <f t="shared" si="61"/>
        <v>23</v>
      </c>
      <c r="ES19" s="1">
        <f t="shared" si="49"/>
        <v>30</v>
      </c>
      <c r="ET19" s="1">
        <f t="shared" si="69"/>
        <v>15</v>
      </c>
      <c r="EU19" s="3"/>
      <c r="EV19">
        <f t="shared" si="31"/>
        <v>14</v>
      </c>
      <c r="EW19" s="1">
        <f t="shared" si="50"/>
        <v>1</v>
      </c>
      <c r="EX19" s="1">
        <f t="shared" si="51"/>
        <v>7</v>
      </c>
      <c r="EY19" s="1">
        <f t="shared" si="52"/>
        <v>0</v>
      </c>
      <c r="EZ19" s="1">
        <f t="shared" si="64"/>
        <v>15</v>
      </c>
      <c r="FA19" s="3"/>
      <c r="FB19">
        <f t="shared" si="33"/>
        <v>14</v>
      </c>
      <c r="FC19" s="1">
        <f t="shared" si="34"/>
        <v>0</v>
      </c>
      <c r="FD19" s="1">
        <f t="shared" si="35"/>
        <v>-5</v>
      </c>
      <c r="FE19" s="1">
        <f t="shared" si="36"/>
        <v>0</v>
      </c>
      <c r="FF19" s="1">
        <f t="shared" si="65"/>
        <v>-5</v>
      </c>
      <c r="FG19">
        <f t="shared" si="37"/>
        <v>6</v>
      </c>
      <c r="FI19">
        <f t="shared" si="53"/>
        <v>14</v>
      </c>
      <c r="FJ19" s="1">
        <f t="shared" si="54"/>
        <v>2</v>
      </c>
      <c r="FK19" s="1" t="str">
        <f t="shared" si="55"/>
        <v>nie grał</v>
      </c>
      <c r="FL19" s="1">
        <f t="shared" si="56"/>
        <v>3</v>
      </c>
      <c r="FM19" s="1">
        <f t="shared" si="57"/>
        <v>1</v>
      </c>
    </row>
    <row r="20" spans="2:169" x14ac:dyDescent="0.2">
      <c r="B20" s="8" t="s">
        <v>32</v>
      </c>
      <c r="C20" s="8" t="s">
        <v>156</v>
      </c>
      <c r="D20" s="8" t="s">
        <v>79</v>
      </c>
      <c r="E20" s="1"/>
      <c r="F20" s="88">
        <v>43965</v>
      </c>
      <c r="G20" s="56"/>
      <c r="H20" s="56"/>
      <c r="I20" s="56"/>
      <c r="J20" s="56"/>
      <c r="K20" s="56"/>
      <c r="N20">
        <v>15</v>
      </c>
      <c r="O20">
        <v>3</v>
      </c>
      <c r="P20" s="62" t="s">
        <v>6</v>
      </c>
      <c r="Q20" s="64" t="s">
        <v>9</v>
      </c>
      <c r="R20" s="61" t="s">
        <v>8</v>
      </c>
      <c r="S20" s="1"/>
      <c r="U20" s="1">
        <v>83</v>
      </c>
      <c r="V20" s="1">
        <v>81</v>
      </c>
      <c r="W20" s="1">
        <v>51</v>
      </c>
      <c r="X20" s="1"/>
      <c r="Z20" s="37">
        <f t="shared" ca="1" si="10"/>
        <v>2</v>
      </c>
      <c r="AA20" s="2">
        <f t="shared" ca="1" si="11"/>
        <v>32</v>
      </c>
      <c r="AC20">
        <f t="shared" si="38"/>
        <v>15</v>
      </c>
      <c r="AD20">
        <f t="shared" si="12"/>
        <v>3</v>
      </c>
      <c r="AE20" s="2">
        <f t="shared" si="39"/>
        <v>1</v>
      </c>
      <c r="AF20" s="2">
        <f t="shared" si="13"/>
        <v>0</v>
      </c>
      <c r="AG20" s="2">
        <f t="shared" si="13"/>
        <v>3</v>
      </c>
      <c r="AH20" s="2">
        <f t="shared" si="13"/>
        <v>2</v>
      </c>
      <c r="AI20" s="2">
        <f t="shared" si="13"/>
        <v>0</v>
      </c>
      <c r="AJ20" s="2">
        <f t="shared" si="13"/>
        <v>0</v>
      </c>
      <c r="AK20" s="2"/>
      <c r="AL20" s="2"/>
      <c r="AM20" s="2"/>
      <c r="AN20" s="2"/>
      <c r="AO20" s="2">
        <f t="shared" si="13"/>
        <v>0</v>
      </c>
      <c r="AQ20" s="99">
        <f>IF(AS19=AS20,AQ19,8)</f>
        <v>6</v>
      </c>
      <c r="AR20" s="99" t="str">
        <f t="shared" ref="AR20:AR23" si="79">DF24</f>
        <v>Damian</v>
      </c>
      <c r="AS20" s="100" t="str">
        <f t="shared" ref="AS20:AS23" si="80">DG24</f>
        <v>0-1-0-0</v>
      </c>
      <c r="AT20" s="100">
        <f t="shared" ref="AT20:AT23" si="81">DH24</f>
        <v>1</v>
      </c>
      <c r="BD20" s="2">
        <f t="shared" ca="1" si="15"/>
        <v>83</v>
      </c>
      <c r="BE20" s="2"/>
      <c r="BF20" s="2">
        <f t="shared" ca="1" si="15"/>
        <v>51</v>
      </c>
      <c r="BG20" s="2">
        <f t="shared" ca="1" si="15"/>
        <v>81</v>
      </c>
      <c r="BH20" s="2"/>
      <c r="BI20" s="2"/>
      <c r="BJ20" s="2"/>
      <c r="BK20" s="2"/>
      <c r="BL20" s="2"/>
      <c r="BM20" s="2"/>
      <c r="BN20" s="2"/>
      <c r="BP20" s="28">
        <f t="shared" ca="1" si="16"/>
        <v>215</v>
      </c>
      <c r="BQ20" s="29">
        <f t="shared" ca="1" si="17"/>
        <v>71.666666666666671</v>
      </c>
      <c r="BT20" s="2">
        <f t="shared" ca="1" si="41"/>
        <v>983</v>
      </c>
      <c r="BU20" s="2">
        <f t="shared" ca="1" si="42"/>
        <v>491</v>
      </c>
      <c r="BV20" s="2">
        <f t="shared" ca="1" si="43"/>
        <v>936</v>
      </c>
      <c r="BW20" s="2">
        <f t="shared" ca="1" si="44"/>
        <v>361</v>
      </c>
      <c r="BX20" s="2"/>
      <c r="BY20" s="2"/>
      <c r="BZ20" s="2"/>
      <c r="CA20" s="2"/>
      <c r="CB20" s="2"/>
      <c r="CC20" s="2"/>
      <c r="CD20" s="2">
        <f t="shared" si="45"/>
        <v>0</v>
      </c>
      <c r="CG20" s="1">
        <f t="shared" ca="1" si="58"/>
        <v>15</v>
      </c>
      <c r="CH20" s="1">
        <f t="shared" ca="1" si="18"/>
        <v>81</v>
      </c>
      <c r="CI20" s="1" t="str">
        <f t="shared" ca="1" si="19"/>
        <v>Agnieszka</v>
      </c>
      <c r="CJ20" s="13">
        <f t="shared" ca="1" si="20"/>
        <v>15</v>
      </c>
      <c r="CK20">
        <f t="shared" ca="1" si="21"/>
        <v>2</v>
      </c>
      <c r="CL20" s="55">
        <f t="shared" ca="1" si="22"/>
        <v>3</v>
      </c>
      <c r="CM20" s="38"/>
      <c r="CO20" s="70" t="s">
        <v>93</v>
      </c>
      <c r="CR20" s="71" t="s">
        <v>92</v>
      </c>
      <c r="CS20" s="4"/>
      <c r="CT20" s="72"/>
      <c r="CU20" s="13" t="s">
        <v>76</v>
      </c>
      <c r="CW20" s="93">
        <f t="shared" si="59"/>
        <v>15</v>
      </c>
      <c r="CX20" s="51">
        <f t="shared" ca="1" si="73"/>
        <v>579985</v>
      </c>
      <c r="CY20" s="52">
        <f ca="1">BF7</f>
        <v>58</v>
      </c>
      <c r="CZ20" s="51" t="str">
        <f t="shared" si="78"/>
        <v>Justyna</v>
      </c>
      <c r="DA20" s="77">
        <v>2</v>
      </c>
      <c r="DB20" s="77">
        <f>AG7</f>
        <v>1</v>
      </c>
      <c r="DC20" s="51">
        <f t="shared" ca="1" si="25"/>
        <v>809956</v>
      </c>
      <c r="DE20" s="74">
        <f t="shared" si="74"/>
        <v>302120304</v>
      </c>
      <c r="DF20" s="51" t="str">
        <f t="shared" si="75"/>
        <v>Agnieszka</v>
      </c>
      <c r="DG20" s="51" t="str">
        <f t="shared" si="76"/>
        <v>3-2-12-3</v>
      </c>
      <c r="DH20" s="51">
        <f t="shared" si="77"/>
        <v>20</v>
      </c>
      <c r="DJ20" s="90">
        <v>4</v>
      </c>
      <c r="DO20">
        <f t="shared" si="26"/>
        <v>15</v>
      </c>
      <c r="DP20" s="6">
        <f ca="1">AVERAGE(BD$6:BD20)</f>
        <v>65.533333333333331</v>
      </c>
      <c r="DQ20" s="6">
        <f ca="1">AVERAGE(BE$6:BE20)</f>
        <v>61.375</v>
      </c>
      <c r="DR20" s="6">
        <f ca="1">AVERAGE(BF$6:BF20)</f>
        <v>62.4</v>
      </c>
      <c r="DS20" s="6">
        <f ca="1">AVERAGE(BG$6:BG20)</f>
        <v>60.166666666666664</v>
      </c>
      <c r="DT20" s="86">
        <f t="shared" ca="1" si="60"/>
        <v>70.441176470588232</v>
      </c>
      <c r="DU20" s="87">
        <f ca="1">AVERAGE($BD$6:BN20)</f>
        <v>62.977272727272727</v>
      </c>
      <c r="DX20">
        <f t="shared" si="27"/>
        <v>15</v>
      </c>
      <c r="DY20" s="1">
        <f>COUNTIF(AE$6:AE20,1)</f>
        <v>7</v>
      </c>
      <c r="DZ20" s="1">
        <f>COUNTIF(AF$6:AF20,1)</f>
        <v>1</v>
      </c>
      <c r="EA20" s="1">
        <f>COUNTIF(AG$6:AG20,1)</f>
        <v>6</v>
      </c>
      <c r="EB20" s="1">
        <f>COUNTIF(AH$6:AH20,1)</f>
        <v>1</v>
      </c>
      <c r="ED20">
        <f t="shared" si="28"/>
        <v>15</v>
      </c>
      <c r="EE20" s="1">
        <f>DY20+COUNTIF(AE$6:AE20,2)*0.01+COUNTIF(AE$6:AE20,3)*0.0001+COUNTIF(AE$6:AE20,4)*0.000001</f>
        <v>7.0600019999999999</v>
      </c>
      <c r="EF20" s="1">
        <f>DZ20+COUNTIF(AF$6:AF20,2)*0.01+COUNTIF(AF$6:AF20,3)*0.0001+COUNTIF(AF$6:AF20,4)*0.000001</f>
        <v>1.0304</v>
      </c>
      <c r="EG20" s="1">
        <f>EA20+COUNTIF(AG$6:AG20,2)*0.01+COUNTIF(AG$6:AG20,3)*0.0001+COUNTIF(AG$6:AG20,4)*0.000001</f>
        <v>6.0503999999999998</v>
      </c>
      <c r="EH20" s="1">
        <f>EB20+COUNTIF(AH$6:AH20,2)*0.01+COUNTIF(AH$6:AH20,3)*0.0001+COUNTIF(AH$6:AH20,4)*0.000001</f>
        <v>1.010202</v>
      </c>
      <c r="EJ20">
        <f t="shared" si="29"/>
        <v>15</v>
      </c>
      <c r="EK20" s="2">
        <f>AVERAGE(FJ$6:FJ20)</f>
        <v>1.8</v>
      </c>
      <c r="EL20" s="2">
        <f>AVERAGE(FK$6:FK20)</f>
        <v>2.375</v>
      </c>
      <c r="EM20" s="2">
        <f>AVERAGE(FL$6:FL20)</f>
        <v>1.8666666666666667</v>
      </c>
      <c r="EN20" s="2">
        <f>AVERAGE(FM$6:FM20)</f>
        <v>2.8333333333333335</v>
      </c>
      <c r="EO20" s="3"/>
      <c r="EP20">
        <f t="shared" si="30"/>
        <v>15</v>
      </c>
      <c r="EQ20" s="1">
        <f t="shared" si="48"/>
        <v>32</v>
      </c>
      <c r="ER20" s="1">
        <f t="shared" si="61"/>
        <v>24</v>
      </c>
      <c r="ES20" s="1">
        <f t="shared" si="49"/>
        <v>31</v>
      </c>
      <c r="ET20" s="1">
        <f t="shared" si="69"/>
        <v>17</v>
      </c>
      <c r="EU20" s="3"/>
      <c r="EV20">
        <f t="shared" si="31"/>
        <v>15</v>
      </c>
      <c r="EW20" s="1">
        <f t="shared" si="50"/>
        <v>0</v>
      </c>
      <c r="EX20" s="1">
        <f t="shared" si="51"/>
        <v>8</v>
      </c>
      <c r="EY20" s="1">
        <f t="shared" si="52"/>
        <v>1</v>
      </c>
      <c r="EZ20" s="1">
        <f t="shared" si="64"/>
        <v>15</v>
      </c>
      <c r="FA20" s="3"/>
      <c r="FB20">
        <f t="shared" si="33"/>
        <v>15</v>
      </c>
      <c r="FC20" s="1">
        <f t="shared" si="34"/>
        <v>0</v>
      </c>
      <c r="FD20" s="1">
        <f t="shared" si="35"/>
        <v>-6</v>
      </c>
      <c r="FE20" s="1">
        <f t="shared" si="36"/>
        <v>-1</v>
      </c>
      <c r="FF20" s="1">
        <f t="shared" si="65"/>
        <v>-6</v>
      </c>
      <c r="FG20">
        <f t="shared" si="37"/>
        <v>7</v>
      </c>
      <c r="FI20">
        <f t="shared" si="53"/>
        <v>15</v>
      </c>
      <c r="FJ20" s="1">
        <f t="shared" si="54"/>
        <v>1</v>
      </c>
      <c r="FK20" s="1" t="str">
        <f t="shared" si="55"/>
        <v>nie grał</v>
      </c>
      <c r="FL20" s="1">
        <f t="shared" si="56"/>
        <v>3</v>
      </c>
      <c r="FM20" s="1">
        <f t="shared" si="57"/>
        <v>2</v>
      </c>
    </row>
    <row r="21" spans="2:169" x14ac:dyDescent="0.2">
      <c r="B21" s="8" t="s">
        <v>84</v>
      </c>
      <c r="C21" s="8" t="s">
        <v>82</v>
      </c>
      <c r="D21" s="8"/>
      <c r="E21" s="1"/>
      <c r="F21" s="88">
        <v>43967</v>
      </c>
      <c r="G21" s="56"/>
      <c r="H21" s="56"/>
      <c r="I21" s="56"/>
      <c r="J21" s="56"/>
      <c r="K21" s="56"/>
      <c r="N21">
        <v>16</v>
      </c>
      <c r="O21">
        <v>2</v>
      </c>
      <c r="P21" s="62" t="s">
        <v>6</v>
      </c>
      <c r="Q21" s="64" t="s">
        <v>157</v>
      </c>
      <c r="R21" s="61"/>
      <c r="S21" s="1"/>
      <c r="U21" s="1">
        <v>95</v>
      </c>
      <c r="V21" s="1">
        <v>59</v>
      </c>
      <c r="W21" s="1"/>
      <c r="X21" s="1"/>
      <c r="Z21" s="2">
        <f t="shared" ca="1" si="10"/>
        <v>36</v>
      </c>
      <c r="AA21" s="2">
        <f t="shared" ca="1" si="11"/>
        <v>36</v>
      </c>
      <c r="AC21">
        <f t="shared" si="38"/>
        <v>16</v>
      </c>
      <c r="AD21">
        <f t="shared" si="12"/>
        <v>2</v>
      </c>
      <c r="AE21" s="2">
        <f t="shared" si="39"/>
        <v>1</v>
      </c>
      <c r="AF21" s="2">
        <f t="shared" si="13"/>
        <v>0</v>
      </c>
      <c r="AG21" s="2">
        <f t="shared" si="13"/>
        <v>0</v>
      </c>
      <c r="AH21" s="2">
        <f t="shared" si="13"/>
        <v>0</v>
      </c>
      <c r="AI21" s="2">
        <f t="shared" si="13"/>
        <v>0</v>
      </c>
      <c r="AJ21" s="2">
        <f t="shared" si="13"/>
        <v>0</v>
      </c>
      <c r="AK21" s="2"/>
      <c r="AL21" s="2"/>
      <c r="AM21" s="2"/>
      <c r="AN21" s="2"/>
      <c r="AO21" s="2">
        <f t="shared" si="13"/>
        <v>2</v>
      </c>
      <c r="AQ21" s="99">
        <f>IF(AS20=AS21,AQ20,9)</f>
        <v>9</v>
      </c>
      <c r="AR21" s="99" t="str">
        <f t="shared" si="79"/>
        <v>Dominika</v>
      </c>
      <c r="AS21" s="100" t="str">
        <f t="shared" si="80"/>
        <v>0-0-1-2</v>
      </c>
      <c r="AT21" s="100">
        <f t="shared" si="81"/>
        <v>3</v>
      </c>
      <c r="BD21" s="2">
        <f t="shared" ca="1" si="15"/>
        <v>95</v>
      </c>
      <c r="BE21" s="2"/>
      <c r="BF21" s="2"/>
      <c r="BG21" s="2"/>
      <c r="BH21" s="2"/>
      <c r="BI21" s="2"/>
      <c r="BJ21" s="2"/>
      <c r="BK21" s="2"/>
      <c r="BL21" s="2"/>
      <c r="BM21" s="2"/>
      <c r="BN21" s="2">
        <f ca="1">IF(INDIRECT(ADDRESS(ROW($BC21),COLUMN($T21)+AO21,4,1),TRUE)=0,"",INDIRECT(ADDRESS(ROW($BC21),COLUMN($T21)+AO21,4,1),TRUE))</f>
        <v>59</v>
      </c>
      <c r="BP21" s="28">
        <f t="shared" ca="1" si="16"/>
        <v>154</v>
      </c>
      <c r="BQ21" s="29">
        <f t="shared" ca="1" si="17"/>
        <v>77</v>
      </c>
      <c r="BT21" s="2">
        <f t="shared" ca="1" si="41"/>
        <v>1078</v>
      </c>
      <c r="BU21" s="2">
        <f t="shared" ca="1" si="42"/>
        <v>491</v>
      </c>
      <c r="BV21" s="2">
        <f t="shared" ca="1" si="43"/>
        <v>936</v>
      </c>
      <c r="BW21" s="2">
        <f t="shared" ca="1" si="44"/>
        <v>361</v>
      </c>
      <c r="BX21" s="2"/>
      <c r="BY21" s="2"/>
      <c r="BZ21" s="2"/>
      <c r="CA21" s="2"/>
      <c r="CB21" s="2"/>
      <c r="CC21" s="2"/>
      <c r="CD21" s="2">
        <f t="shared" ca="1" si="45"/>
        <v>59</v>
      </c>
      <c r="CG21" s="1">
        <f t="shared" ca="1" si="58"/>
        <v>16</v>
      </c>
      <c r="CH21" s="1">
        <f t="shared" ca="1" si="18"/>
        <v>80</v>
      </c>
      <c r="CI21" s="1" t="str">
        <f t="shared" ca="1" si="19"/>
        <v>Marcin</v>
      </c>
      <c r="CJ21" s="13">
        <f t="shared" ca="1" si="20"/>
        <v>17</v>
      </c>
      <c r="CK21">
        <f t="shared" ca="1" si="21"/>
        <v>1</v>
      </c>
      <c r="CL21" s="55">
        <f t="shared" ca="1" si="22"/>
        <v>3</v>
      </c>
      <c r="CM21" s="38"/>
      <c r="CO21" s="45" t="s">
        <v>73</v>
      </c>
      <c r="CP21" s="46">
        <f>COUNTIF(U6:U39,"&gt;=80")</f>
        <v>14</v>
      </c>
      <c r="CQ21" s="98" t="s">
        <v>70</v>
      </c>
      <c r="CR21" s="73">
        <f>COUNTIF(V6:X39,"&gt;=80")</f>
        <v>4</v>
      </c>
      <c r="CS21" s="4" t="s">
        <v>75</v>
      </c>
      <c r="CT21" s="72"/>
      <c r="CU21" s="66">
        <f>CP21/SUM(CP21,CR21)</f>
        <v>0.77777777777777779</v>
      </c>
      <c r="CW21" s="93">
        <f t="shared" si="59"/>
        <v>16</v>
      </c>
      <c r="CX21" s="51">
        <f t="shared" ca="1" si="73"/>
        <v>489984</v>
      </c>
      <c r="CY21" s="52">
        <f ca="1">BF8</f>
        <v>49</v>
      </c>
      <c r="CZ21" s="51" t="str">
        <f t="shared" si="78"/>
        <v>Justyna</v>
      </c>
      <c r="DA21" s="77">
        <v>3</v>
      </c>
      <c r="DB21" s="77">
        <f>AG8</f>
        <v>2</v>
      </c>
      <c r="DC21" s="51">
        <f t="shared" ca="1" si="25"/>
        <v>799952</v>
      </c>
      <c r="DE21" s="74">
        <f t="shared" si="74"/>
        <v>1020107</v>
      </c>
      <c r="DF21" s="51" t="str">
        <f t="shared" si="75"/>
        <v>Magda</v>
      </c>
      <c r="DG21" s="51" t="str">
        <f t="shared" si="76"/>
        <v>0-1-2-1</v>
      </c>
      <c r="DH21" s="51">
        <f t="shared" si="77"/>
        <v>4</v>
      </c>
      <c r="DJ21" s="90">
        <v>5</v>
      </c>
      <c r="DO21">
        <f t="shared" si="26"/>
        <v>16</v>
      </c>
      <c r="DP21" s="6">
        <f ca="1">AVERAGE(BD$6:BD21)</f>
        <v>67.375</v>
      </c>
      <c r="DQ21" s="6">
        <f ca="1">AVERAGE(BE$6:BE21)</f>
        <v>61.375</v>
      </c>
      <c r="DR21" s="6">
        <f ca="1">AVERAGE(BF$6:BF21)</f>
        <v>62.4</v>
      </c>
      <c r="DS21" s="6">
        <f ca="1">AVERAGE(BG$6:BG21)</f>
        <v>60.166666666666664</v>
      </c>
      <c r="DT21" s="86">
        <f t="shared" ca="1" si="60"/>
        <v>70.441176470588232</v>
      </c>
      <c r="DU21" s="87">
        <f ca="1">AVERAGE($BD$6:BN21)</f>
        <v>63.586956521739133</v>
      </c>
      <c r="DX21">
        <f t="shared" si="27"/>
        <v>16</v>
      </c>
      <c r="DY21" s="1">
        <f>COUNTIF(AE$6:AE21,1)</f>
        <v>8</v>
      </c>
      <c r="DZ21" s="1">
        <f>COUNTIF(AF$6:AF21,1)</f>
        <v>1</v>
      </c>
      <c r="EA21" s="1">
        <f>COUNTIF(AG$6:AG21,1)</f>
        <v>6</v>
      </c>
      <c r="EB21" s="1">
        <f>COUNTIF(AH$6:AH21,1)</f>
        <v>1</v>
      </c>
      <c r="ED21">
        <f t="shared" si="28"/>
        <v>16</v>
      </c>
      <c r="EE21" s="1">
        <f>DY21+COUNTIF(AE$6:AE21,2)*0.01+COUNTIF(AE$6:AE21,3)*0.0001+COUNTIF(AE$6:AE21,4)*0.000001</f>
        <v>8.0600020000000008</v>
      </c>
      <c r="EF21" s="1">
        <f>DZ21+COUNTIF(AF$6:AF21,2)*0.01+COUNTIF(AF$6:AF21,3)*0.0001+COUNTIF(AF$6:AF21,4)*0.000001</f>
        <v>1.0304</v>
      </c>
      <c r="EG21" s="1">
        <f>EA21+COUNTIF(AG$6:AG21,2)*0.01+COUNTIF(AG$6:AG21,3)*0.0001+COUNTIF(AG$6:AG21,4)*0.000001</f>
        <v>6.0503999999999998</v>
      </c>
      <c r="EH21" s="1">
        <f>EB21+COUNTIF(AH$6:AH21,2)*0.01+COUNTIF(AH$6:AH21,3)*0.0001+COUNTIF(AH$6:AH21,4)*0.000001</f>
        <v>1.010202</v>
      </c>
      <c r="EJ21">
        <f t="shared" si="29"/>
        <v>16</v>
      </c>
      <c r="EK21" s="2">
        <f>AVERAGE(FJ$6:FJ21)</f>
        <v>1.75</v>
      </c>
      <c r="EL21" s="2">
        <f>AVERAGE(FK$6:FK21)</f>
        <v>2.375</v>
      </c>
      <c r="EM21" s="2">
        <f>AVERAGE(FL$6:FL21)</f>
        <v>1.8666666666666667</v>
      </c>
      <c r="EN21" s="2">
        <f>AVERAGE(FM$6:FM21)</f>
        <v>2.8333333333333335</v>
      </c>
      <c r="EO21" s="3"/>
      <c r="EP21">
        <f t="shared" si="30"/>
        <v>16</v>
      </c>
      <c r="EQ21" s="1">
        <f t="shared" si="48"/>
        <v>34</v>
      </c>
      <c r="ER21" s="1">
        <f t="shared" si="61"/>
        <v>25</v>
      </c>
      <c r="ES21" s="1">
        <f t="shared" si="49"/>
        <v>32</v>
      </c>
      <c r="ET21" s="1">
        <f t="shared" si="69"/>
        <v>18</v>
      </c>
      <c r="EU21" s="3"/>
      <c r="EV21">
        <f t="shared" si="31"/>
        <v>16</v>
      </c>
      <c r="EW21" s="1">
        <f t="shared" si="50"/>
        <v>0</v>
      </c>
      <c r="EX21" s="1">
        <f t="shared" si="51"/>
        <v>9</v>
      </c>
      <c r="EY21" s="1">
        <f t="shared" si="52"/>
        <v>2</v>
      </c>
      <c r="EZ21" s="1">
        <f t="shared" si="64"/>
        <v>16</v>
      </c>
      <c r="FA21" s="3"/>
      <c r="FB21">
        <f t="shared" si="33"/>
        <v>16</v>
      </c>
      <c r="FC21" s="1">
        <f t="shared" si="34"/>
        <v>0</v>
      </c>
      <c r="FD21" s="1">
        <f t="shared" si="35"/>
        <v>-7</v>
      </c>
      <c r="FE21" s="1">
        <f t="shared" si="36"/>
        <v>-2</v>
      </c>
      <c r="FF21" s="1">
        <f t="shared" si="65"/>
        <v>-7</v>
      </c>
      <c r="FG21">
        <f t="shared" si="37"/>
        <v>8</v>
      </c>
      <c r="FI21">
        <f t="shared" si="53"/>
        <v>16</v>
      </c>
      <c r="FJ21" s="1">
        <f t="shared" si="54"/>
        <v>1</v>
      </c>
      <c r="FK21" s="1" t="str">
        <f t="shared" si="55"/>
        <v>nie grał</v>
      </c>
      <c r="FL21" s="1" t="str">
        <f t="shared" si="56"/>
        <v>nie grał</v>
      </c>
      <c r="FM21" s="1" t="str">
        <f t="shared" si="57"/>
        <v>nie grał</v>
      </c>
    </row>
    <row r="22" spans="2:169" x14ac:dyDescent="0.2">
      <c r="B22" s="8" t="s">
        <v>82</v>
      </c>
      <c r="C22" s="8" t="s">
        <v>84</v>
      </c>
      <c r="D22" s="8" t="s">
        <v>83</v>
      </c>
      <c r="E22" s="1"/>
      <c r="F22" s="88">
        <v>43969</v>
      </c>
      <c r="G22" s="56"/>
      <c r="H22" s="56"/>
      <c r="I22" s="56"/>
      <c r="J22" s="56"/>
      <c r="K22" s="56"/>
      <c r="N22">
        <v>17</v>
      </c>
      <c r="O22">
        <v>3</v>
      </c>
      <c r="P22" s="63" t="s">
        <v>7</v>
      </c>
      <c r="Q22" s="62" t="s">
        <v>6</v>
      </c>
      <c r="R22" s="64" t="s">
        <v>9</v>
      </c>
      <c r="S22" s="1"/>
      <c r="U22" s="1">
        <v>80</v>
      </c>
      <c r="V22" s="1">
        <v>79</v>
      </c>
      <c r="W22" s="1">
        <v>60</v>
      </c>
      <c r="X22" s="1"/>
      <c r="Z22" s="2">
        <f t="shared" ca="1" si="10"/>
        <v>1</v>
      </c>
      <c r="AA22" s="2">
        <f t="shared" ca="1" si="11"/>
        <v>20</v>
      </c>
      <c r="AC22">
        <f t="shared" si="38"/>
        <v>17</v>
      </c>
      <c r="AD22">
        <f t="shared" si="12"/>
        <v>3</v>
      </c>
      <c r="AE22" s="2">
        <f t="shared" si="39"/>
        <v>2</v>
      </c>
      <c r="AF22" s="2">
        <f t="shared" si="39"/>
        <v>1</v>
      </c>
      <c r="AG22" s="2">
        <f t="shared" si="39"/>
        <v>0</v>
      </c>
      <c r="AH22" s="2">
        <f t="shared" si="39"/>
        <v>3</v>
      </c>
      <c r="AI22" s="2">
        <f t="shared" si="39"/>
        <v>0</v>
      </c>
      <c r="AJ22" s="2">
        <f t="shared" si="39"/>
        <v>0</v>
      </c>
      <c r="AK22" s="2"/>
      <c r="AL22" s="2"/>
      <c r="AM22" s="2"/>
      <c r="AN22" s="2"/>
      <c r="AO22" s="2">
        <f t="shared" si="39"/>
        <v>0</v>
      </c>
      <c r="AQ22" s="99">
        <f>IF(AS21=AS22,AQ21,10)</f>
        <v>10</v>
      </c>
      <c r="AR22" s="99" t="str">
        <f t="shared" si="79"/>
        <v>Michał</v>
      </c>
      <c r="AS22" s="100" t="str">
        <f t="shared" si="80"/>
        <v>0-0-1-0</v>
      </c>
      <c r="AT22" s="100">
        <f t="shared" si="81"/>
        <v>1</v>
      </c>
      <c r="BD22" s="2">
        <f t="shared" ca="1" si="15"/>
        <v>79</v>
      </c>
      <c r="BE22" s="2">
        <f t="shared" ca="1" si="15"/>
        <v>80</v>
      </c>
      <c r="BF22" s="2"/>
      <c r="BG22" s="2">
        <f t="shared" ca="1" si="15"/>
        <v>60</v>
      </c>
      <c r="BH22" s="2"/>
      <c r="BI22" s="2"/>
      <c r="BJ22" s="2"/>
      <c r="BK22" s="2"/>
      <c r="BL22" s="2"/>
      <c r="BM22" s="2"/>
      <c r="BN22" s="2"/>
      <c r="BP22" s="28">
        <f t="shared" ca="1" si="16"/>
        <v>219</v>
      </c>
      <c r="BQ22" s="29">
        <f t="shared" ca="1" si="17"/>
        <v>73</v>
      </c>
      <c r="BT22" s="2">
        <f t="shared" ca="1" si="41"/>
        <v>1157</v>
      </c>
      <c r="BU22" s="2">
        <f t="shared" ca="1" si="42"/>
        <v>571</v>
      </c>
      <c r="BV22" s="2">
        <f t="shared" ca="1" si="43"/>
        <v>936</v>
      </c>
      <c r="BW22" s="2">
        <f t="shared" ca="1" si="44"/>
        <v>421</v>
      </c>
      <c r="BX22" s="2"/>
      <c r="BY22" s="2"/>
      <c r="BZ22" s="2"/>
      <c r="CA22" s="2"/>
      <c r="CB22" s="2"/>
      <c r="CC22" s="2"/>
      <c r="CD22" s="2">
        <f t="shared" ref="CD22:CD27" ca="1" si="82">BN22+CD21</f>
        <v>59</v>
      </c>
      <c r="CG22" s="1">
        <f t="shared" ca="1" si="58"/>
        <v>16</v>
      </c>
      <c r="CH22" s="1">
        <f t="shared" ca="1" si="18"/>
        <v>80</v>
      </c>
      <c r="CI22" s="1" t="str">
        <f t="shared" ca="1" si="19"/>
        <v>Mateusz</v>
      </c>
      <c r="CJ22" s="13">
        <f t="shared" ca="1" si="20"/>
        <v>29</v>
      </c>
      <c r="CK22">
        <f t="shared" ca="1" si="21"/>
        <v>1</v>
      </c>
      <c r="CL22" s="55">
        <f t="shared" ca="1" si="22"/>
        <v>4</v>
      </c>
      <c r="CM22" s="38"/>
      <c r="CO22" s="47" t="s">
        <v>72</v>
      </c>
      <c r="CP22" s="80">
        <f>COUNTIF(U6:U39,"&gt;=70")-CP21</f>
        <v>15</v>
      </c>
      <c r="CQ22" s="49" t="s">
        <v>70</v>
      </c>
      <c r="CR22" s="81">
        <f>COUNTIF(V6:X39,"&gt;=70")-CR21</f>
        <v>7</v>
      </c>
      <c r="CS22" s="4" t="s">
        <v>70</v>
      </c>
      <c r="CT22" s="72"/>
      <c r="CU22" s="66">
        <f>CP22/SUM(CP22,CR22)</f>
        <v>0.68181818181818177</v>
      </c>
      <c r="CW22" s="93">
        <f t="shared" si="59"/>
        <v>17</v>
      </c>
      <c r="CX22" s="51">
        <f t="shared" ca="1" si="73"/>
        <v>669983</v>
      </c>
      <c r="CY22" s="52">
        <f ca="1">BF9</f>
        <v>67</v>
      </c>
      <c r="CZ22" s="51" t="str">
        <f t="shared" si="78"/>
        <v>Justyna</v>
      </c>
      <c r="DA22" s="77">
        <v>4</v>
      </c>
      <c r="DB22" s="77">
        <f>AG9</f>
        <v>1</v>
      </c>
      <c r="DC22" s="51">
        <f t="shared" ca="1" si="25"/>
        <v>799908</v>
      </c>
      <c r="DE22" s="74">
        <f t="shared" si="74"/>
        <v>1000010</v>
      </c>
      <c r="DF22" s="51" t="str">
        <f t="shared" si="75"/>
        <v>Maciek T.</v>
      </c>
      <c r="DG22" s="51" t="str">
        <f t="shared" si="76"/>
        <v>0-1-0-0</v>
      </c>
      <c r="DH22" s="51">
        <f t="shared" si="77"/>
        <v>1</v>
      </c>
      <c r="DJ22" s="90">
        <v>6</v>
      </c>
      <c r="DO22">
        <f t="shared" si="26"/>
        <v>17</v>
      </c>
      <c r="DP22" s="6">
        <f ca="1">AVERAGE(BD$6:BD22)</f>
        <v>68.058823529411768</v>
      </c>
      <c r="DQ22" s="6">
        <f ca="1">AVERAGE(BE$6:BE22)</f>
        <v>63.444444444444443</v>
      </c>
      <c r="DR22" s="6">
        <f ca="1">AVERAGE(BF$6:BF22)</f>
        <v>62.4</v>
      </c>
      <c r="DS22" s="6">
        <f ca="1">AVERAGE(BG$6:BG22)</f>
        <v>60.142857142857146</v>
      </c>
      <c r="DT22" s="86">
        <f t="shared" ca="1" si="60"/>
        <v>70.441176470588232</v>
      </c>
      <c r="DU22" s="87">
        <f ca="1">AVERAGE($BD$6:BN22)</f>
        <v>64.163265306122454</v>
      </c>
      <c r="DX22">
        <f t="shared" si="27"/>
        <v>17</v>
      </c>
      <c r="DY22" s="1">
        <f>COUNTIF(AE$6:AE22,1)</f>
        <v>8</v>
      </c>
      <c r="DZ22" s="1">
        <f>COUNTIF(AF$6:AF22,1)</f>
        <v>2</v>
      </c>
      <c r="EA22" s="1">
        <f>COUNTIF(AG$6:AG22,1)</f>
        <v>6</v>
      </c>
      <c r="EB22" s="1">
        <f>COUNTIF(AH$6:AH22,1)</f>
        <v>1</v>
      </c>
      <c r="ED22">
        <f t="shared" si="28"/>
        <v>17</v>
      </c>
      <c r="EE22" s="1">
        <f>DY22+COUNTIF(AE$6:AE22,2)*0.01+COUNTIF(AE$6:AE22,3)*0.0001+COUNTIF(AE$6:AE22,4)*0.000001</f>
        <v>8.0700020000000006</v>
      </c>
      <c r="EF22" s="1">
        <f>DZ22+COUNTIF(AF$6:AF22,2)*0.01+COUNTIF(AF$6:AF22,3)*0.0001+COUNTIF(AF$6:AF22,4)*0.000001</f>
        <v>2.0303999999999998</v>
      </c>
      <c r="EG22" s="1">
        <f>EA22+COUNTIF(AG$6:AG22,2)*0.01+COUNTIF(AG$6:AG22,3)*0.0001+COUNTIF(AG$6:AG22,4)*0.000001</f>
        <v>6.0503999999999998</v>
      </c>
      <c r="EH22" s="1">
        <f>EB22+COUNTIF(AH$6:AH22,2)*0.01+COUNTIF(AH$6:AH22,3)*0.0001+COUNTIF(AH$6:AH22,4)*0.000001</f>
        <v>1.010302</v>
      </c>
      <c r="EJ22">
        <f t="shared" si="29"/>
        <v>17</v>
      </c>
      <c r="EK22" s="2">
        <f>AVERAGE(FJ$6:FJ22)</f>
        <v>1.7647058823529411</v>
      </c>
      <c r="EL22" s="2">
        <f>AVERAGE(FK$6:FK22)</f>
        <v>2.2222222222222223</v>
      </c>
      <c r="EM22" s="2">
        <f>AVERAGE(FL$6:FL22)</f>
        <v>1.8666666666666667</v>
      </c>
      <c r="EN22" s="2">
        <f>AVERAGE(FM$6:FM22)</f>
        <v>2.8571428571428572</v>
      </c>
      <c r="EO22" s="3"/>
      <c r="EP22">
        <f t="shared" si="30"/>
        <v>17</v>
      </c>
      <c r="EQ22" s="1">
        <f t="shared" si="48"/>
        <v>36</v>
      </c>
      <c r="ER22" s="1">
        <f t="shared" si="61"/>
        <v>28</v>
      </c>
      <c r="ES22" s="1">
        <f t="shared" si="49"/>
        <v>33</v>
      </c>
      <c r="ET22" s="1">
        <f t="shared" si="69"/>
        <v>19</v>
      </c>
      <c r="EU22" s="3"/>
      <c r="EV22">
        <f t="shared" si="31"/>
        <v>17</v>
      </c>
      <c r="EW22" s="1">
        <f t="shared" si="50"/>
        <v>0</v>
      </c>
      <c r="EX22" s="1">
        <f t="shared" si="51"/>
        <v>8</v>
      </c>
      <c r="EY22" s="1">
        <f t="shared" si="52"/>
        <v>3</v>
      </c>
      <c r="EZ22" s="1">
        <f t="shared" si="64"/>
        <v>17</v>
      </c>
      <c r="FA22" s="3"/>
      <c r="FB22">
        <f t="shared" si="33"/>
        <v>17</v>
      </c>
      <c r="FC22" s="1">
        <f t="shared" si="34"/>
        <v>0</v>
      </c>
      <c r="FD22" s="1">
        <f t="shared" si="35"/>
        <v>-6</v>
      </c>
      <c r="FE22" s="1">
        <f t="shared" si="36"/>
        <v>-2</v>
      </c>
      <c r="FF22" s="1">
        <f t="shared" si="65"/>
        <v>-7</v>
      </c>
      <c r="FG22">
        <f t="shared" si="37"/>
        <v>8</v>
      </c>
      <c r="FI22">
        <f t="shared" si="53"/>
        <v>17</v>
      </c>
      <c r="FJ22" s="1">
        <f t="shared" si="54"/>
        <v>2</v>
      </c>
      <c r="FK22" s="1">
        <f t="shared" si="55"/>
        <v>1</v>
      </c>
      <c r="FL22" s="1" t="str">
        <f t="shared" si="56"/>
        <v>nie grał</v>
      </c>
      <c r="FM22" s="1">
        <f t="shared" si="57"/>
        <v>3</v>
      </c>
    </row>
    <row r="23" spans="2:169" x14ac:dyDescent="0.2">
      <c r="B23" s="8" t="s">
        <v>79</v>
      </c>
      <c r="C23" s="8" t="s">
        <v>82</v>
      </c>
      <c r="D23" s="8" t="s">
        <v>156</v>
      </c>
      <c r="E23" s="1" t="s">
        <v>84</v>
      </c>
      <c r="F23" s="88">
        <v>43970</v>
      </c>
      <c r="G23" s="56"/>
      <c r="H23" s="56"/>
      <c r="I23" s="56"/>
      <c r="J23" s="56"/>
      <c r="K23" s="56"/>
      <c r="N23">
        <v>18</v>
      </c>
      <c r="O23">
        <v>4</v>
      </c>
      <c r="P23" s="63" t="s">
        <v>7</v>
      </c>
      <c r="Q23" s="64" t="s">
        <v>8</v>
      </c>
      <c r="R23" s="61" t="s">
        <v>94</v>
      </c>
      <c r="S23" s="62" t="s">
        <v>6</v>
      </c>
      <c r="U23" s="8">
        <v>105</v>
      </c>
      <c r="V23" s="8">
        <v>61</v>
      </c>
      <c r="W23" s="8">
        <v>60</v>
      </c>
      <c r="X23" s="8">
        <v>41</v>
      </c>
      <c r="Z23" s="2">
        <f t="shared" ca="1" si="10"/>
        <v>44</v>
      </c>
      <c r="AA23" s="2">
        <f t="shared" ca="1" si="11"/>
        <v>64</v>
      </c>
      <c r="AC23">
        <f t="shared" si="38"/>
        <v>18</v>
      </c>
      <c r="AD23">
        <f t="shared" si="12"/>
        <v>4</v>
      </c>
      <c r="AE23" s="2">
        <f t="shared" si="39"/>
        <v>4</v>
      </c>
      <c r="AF23" s="2">
        <f t="shared" si="39"/>
        <v>1</v>
      </c>
      <c r="AG23" s="2">
        <f t="shared" si="39"/>
        <v>2</v>
      </c>
      <c r="AH23" s="2">
        <f t="shared" si="39"/>
        <v>0</v>
      </c>
      <c r="AI23" s="2">
        <f t="shared" si="39"/>
        <v>3</v>
      </c>
      <c r="AJ23" s="2">
        <f t="shared" si="39"/>
        <v>0</v>
      </c>
      <c r="AK23" s="2"/>
      <c r="AL23" s="2"/>
      <c r="AM23" s="2"/>
      <c r="AN23" s="2"/>
      <c r="AO23" s="2">
        <f t="shared" si="39"/>
        <v>0</v>
      </c>
      <c r="AQ23" s="99">
        <f>IF(AS22=AS23,AQ22,11)</f>
        <v>11</v>
      </c>
      <c r="AR23" s="99" t="str">
        <f t="shared" si="79"/>
        <v>Ela</v>
      </c>
      <c r="AS23" s="100" t="str">
        <f t="shared" si="80"/>
        <v>0-0-0-1</v>
      </c>
      <c r="AT23" s="100">
        <f t="shared" si="81"/>
        <v>1</v>
      </c>
      <c r="BD23" s="2">
        <f t="shared" ca="1" si="15"/>
        <v>41</v>
      </c>
      <c r="BE23" s="2">
        <f t="shared" ca="1" si="15"/>
        <v>105</v>
      </c>
      <c r="BF23" s="2">
        <f t="shared" ca="1" si="15"/>
        <v>61</v>
      </c>
      <c r="BG23" s="2"/>
      <c r="BH23" s="2">
        <f t="shared" ref="BH23:BH24" ca="1" si="83">IF(INDIRECT(ADDRESS(ROW($BC23),COLUMN($T23)+AI23,4,1),TRUE)=0,"",INDIRECT(ADDRESS(ROW($BC23),COLUMN($T23)+AI23,4,1),TRUE))</f>
        <v>60</v>
      </c>
      <c r="BI23" s="2"/>
      <c r="BJ23" s="2"/>
      <c r="BK23" s="2"/>
      <c r="BL23" s="2"/>
      <c r="BM23" s="2"/>
      <c r="BN23" s="2"/>
      <c r="BP23" s="28">
        <f t="shared" ca="1" si="16"/>
        <v>267</v>
      </c>
      <c r="BQ23" s="29">
        <f t="shared" ca="1" si="17"/>
        <v>66.75</v>
      </c>
      <c r="BT23" s="2">
        <f t="shared" ca="1" si="41"/>
        <v>1198</v>
      </c>
      <c r="BU23" s="2">
        <f t="shared" ca="1" si="42"/>
        <v>676</v>
      </c>
      <c r="BV23" s="2">
        <f t="shared" ca="1" si="43"/>
        <v>997</v>
      </c>
      <c r="BW23" s="2">
        <f t="shared" ca="1" si="44"/>
        <v>421</v>
      </c>
      <c r="BX23" s="2">
        <f t="shared" ref="BX23:BX28" ca="1" si="84">BH23+BX22</f>
        <v>60</v>
      </c>
      <c r="BY23" s="2"/>
      <c r="BZ23" s="2"/>
      <c r="CA23" s="2"/>
      <c r="CB23" s="2"/>
      <c r="CC23" s="2"/>
      <c r="CD23" s="2">
        <f t="shared" ca="1" si="82"/>
        <v>59</v>
      </c>
      <c r="CG23" s="1">
        <f t="shared" ca="1" si="58"/>
        <v>16</v>
      </c>
      <c r="CH23" s="1">
        <f t="shared" ca="1" si="18"/>
        <v>80</v>
      </c>
      <c r="CI23" s="1" t="str">
        <f t="shared" ca="1" si="19"/>
        <v>Justyna</v>
      </c>
      <c r="CJ23" s="13">
        <f t="shared" ca="1" si="20"/>
        <v>34</v>
      </c>
      <c r="CK23">
        <f t="shared" ca="1" si="21"/>
        <v>2</v>
      </c>
      <c r="CL23" s="55">
        <f t="shared" ca="1" si="22"/>
        <v>4</v>
      </c>
      <c r="CM23" s="38"/>
      <c r="CO23" s="47" t="s">
        <v>71</v>
      </c>
      <c r="CP23" s="80">
        <f>COUNTIF(U6:U39,"&gt;=60")-CP22-CP21</f>
        <v>4</v>
      </c>
      <c r="CQ23" s="49" t="s">
        <v>70</v>
      </c>
      <c r="CR23" s="81">
        <f>COUNTIF(V6:X39,"&gt;=60")-CR22-CR21</f>
        <v>31</v>
      </c>
      <c r="CS23" s="4" t="s">
        <v>70</v>
      </c>
      <c r="CT23" s="72"/>
      <c r="CU23" s="66">
        <f>CP23/SUM(CP23,CR23)</f>
        <v>0.11428571428571428</v>
      </c>
      <c r="CW23" s="93">
        <f t="shared" si="59"/>
        <v>18</v>
      </c>
      <c r="CX23" s="51">
        <f t="shared" ca="1" si="73"/>
        <v>659982</v>
      </c>
      <c r="CY23" s="52">
        <f ca="1">BF11</f>
        <v>66</v>
      </c>
      <c r="CZ23" s="51" t="str">
        <f t="shared" si="78"/>
        <v>Justyna</v>
      </c>
      <c r="DA23" s="77">
        <v>6</v>
      </c>
      <c r="DB23" s="77">
        <f>AG11</f>
        <v>2</v>
      </c>
      <c r="DC23" s="51">
        <f t="shared" ca="1" si="25"/>
        <v>799888</v>
      </c>
      <c r="DE23" s="74">
        <f t="shared" si="74"/>
        <v>1000008</v>
      </c>
      <c r="DF23" s="51" t="str">
        <f t="shared" si="75"/>
        <v>Agnieszka P.</v>
      </c>
      <c r="DG23" s="51" t="str">
        <f t="shared" si="76"/>
        <v>0-1-0-0</v>
      </c>
      <c r="DH23" s="51">
        <f t="shared" si="77"/>
        <v>1</v>
      </c>
      <c r="DJ23" s="90">
        <v>7</v>
      </c>
      <c r="DO23">
        <f t="shared" si="26"/>
        <v>18</v>
      </c>
      <c r="DP23" s="6">
        <f ca="1">AVERAGE(BD$6:BD23)</f>
        <v>66.555555555555557</v>
      </c>
      <c r="DQ23" s="6">
        <f ca="1">AVERAGE(BE$6:BE23)</f>
        <v>67.599999999999994</v>
      </c>
      <c r="DR23" s="6">
        <f ca="1">AVERAGE(BF$6:BF23)</f>
        <v>62.3125</v>
      </c>
      <c r="DS23" s="6">
        <f ca="1">AVERAGE(BG$6:BG23)</f>
        <v>60.142857142857146</v>
      </c>
      <c r="DT23" s="86">
        <f t="shared" ca="1" si="60"/>
        <v>70.441176470588232</v>
      </c>
      <c r="DU23" s="87">
        <f ca="1">AVERAGE($BD$6:BN23)</f>
        <v>64.35849056603773</v>
      </c>
      <c r="DX23">
        <f t="shared" si="27"/>
        <v>18</v>
      </c>
      <c r="DY23" s="1">
        <f>COUNTIF(AE$6:AE23,1)</f>
        <v>8</v>
      </c>
      <c r="DZ23" s="1">
        <f>COUNTIF(AF$6:AF23,1)</f>
        <v>3</v>
      </c>
      <c r="EA23" s="1">
        <f>COUNTIF(AG$6:AG23,1)</f>
        <v>6</v>
      </c>
      <c r="EB23" s="1">
        <f>COUNTIF(AH$6:AH23,1)</f>
        <v>1</v>
      </c>
      <c r="ED23">
        <f t="shared" si="28"/>
        <v>18</v>
      </c>
      <c r="EE23" s="1">
        <f>DY23+COUNTIF(AE$6:AE23,2)*0.01+COUNTIF(AE$6:AE23,3)*0.0001+COUNTIF(AE$6:AE23,4)*0.000001</f>
        <v>8.0700029999999998</v>
      </c>
      <c r="EF23" s="1">
        <f>DZ23+COUNTIF(AF$6:AF23,2)*0.01+COUNTIF(AF$6:AF23,3)*0.0001+COUNTIF(AF$6:AF23,4)*0.000001</f>
        <v>3.0303999999999998</v>
      </c>
      <c r="EG23" s="1">
        <f>EA23+COUNTIF(AG$6:AG23,2)*0.01+COUNTIF(AG$6:AG23,3)*0.0001+COUNTIF(AG$6:AG23,4)*0.000001</f>
        <v>6.0603999999999996</v>
      </c>
      <c r="EH23" s="1">
        <f>EB23+COUNTIF(AH$6:AH23,2)*0.01+COUNTIF(AH$6:AH23,3)*0.0001+COUNTIF(AH$6:AH23,4)*0.000001</f>
        <v>1.010302</v>
      </c>
      <c r="EJ23">
        <f t="shared" si="29"/>
        <v>18</v>
      </c>
      <c r="EK23" s="2">
        <f>AVERAGE(FJ$6:FJ23)</f>
        <v>1.8888888888888888</v>
      </c>
      <c r="EL23" s="2">
        <f>AVERAGE(FK$6:FK23)</f>
        <v>2.1</v>
      </c>
      <c r="EM23" s="2">
        <f>AVERAGE(FL$6:FL23)</f>
        <v>1.875</v>
      </c>
      <c r="EN23" s="2">
        <f>AVERAGE(FM$6:FM23)</f>
        <v>2.8571428571428572</v>
      </c>
      <c r="EO23" s="3"/>
      <c r="EP23">
        <f t="shared" si="30"/>
        <v>18</v>
      </c>
      <c r="EQ23" s="1">
        <f t="shared" si="48"/>
        <v>37</v>
      </c>
      <c r="ER23" s="1">
        <f t="shared" si="61"/>
        <v>32</v>
      </c>
      <c r="ES23" s="1">
        <f t="shared" si="49"/>
        <v>36</v>
      </c>
      <c r="ET23" s="1">
        <f t="shared" si="69"/>
        <v>20</v>
      </c>
      <c r="EU23" s="3"/>
      <c r="EV23">
        <f t="shared" si="31"/>
        <v>18</v>
      </c>
      <c r="EW23" s="1">
        <f t="shared" si="50"/>
        <v>0</v>
      </c>
      <c r="EX23" s="1">
        <f t="shared" si="51"/>
        <v>5</v>
      </c>
      <c r="EY23" s="1">
        <f t="shared" si="52"/>
        <v>1</v>
      </c>
      <c r="EZ23" s="1">
        <f t="shared" si="64"/>
        <v>17</v>
      </c>
      <c r="FA23" s="3"/>
      <c r="FB23">
        <f t="shared" si="33"/>
        <v>18</v>
      </c>
      <c r="FC23" s="1">
        <f t="shared" si="34"/>
        <v>0</v>
      </c>
      <c r="FD23" s="1">
        <f t="shared" si="35"/>
        <v>-5</v>
      </c>
      <c r="FE23" s="1">
        <f t="shared" si="36"/>
        <v>-2</v>
      </c>
      <c r="FF23" s="1">
        <f t="shared" si="65"/>
        <v>-7</v>
      </c>
      <c r="FG23">
        <f t="shared" si="37"/>
        <v>8</v>
      </c>
      <c r="FI23">
        <f t="shared" si="53"/>
        <v>18</v>
      </c>
      <c r="FJ23" s="1">
        <f t="shared" si="54"/>
        <v>4</v>
      </c>
      <c r="FK23" s="1">
        <f t="shared" si="55"/>
        <v>1</v>
      </c>
      <c r="FL23" s="1">
        <f t="shared" si="56"/>
        <v>2</v>
      </c>
      <c r="FM23" s="1" t="str">
        <f t="shared" si="57"/>
        <v>nie grał</v>
      </c>
    </row>
    <row r="24" spans="2:169" x14ac:dyDescent="0.2">
      <c r="B24" s="8" t="s">
        <v>82</v>
      </c>
      <c r="C24" s="8" t="s">
        <v>81</v>
      </c>
      <c r="D24" s="8" t="s">
        <v>83</v>
      </c>
      <c r="E24" s="8" t="s">
        <v>156</v>
      </c>
      <c r="F24" s="88">
        <v>43971</v>
      </c>
      <c r="G24" s="56"/>
      <c r="H24" s="56"/>
      <c r="I24" s="56"/>
      <c r="J24" s="56"/>
      <c r="K24" s="56"/>
      <c r="N24">
        <v>19</v>
      </c>
      <c r="O24">
        <v>4</v>
      </c>
      <c r="P24" s="64" t="s">
        <v>8</v>
      </c>
      <c r="Q24" s="62" t="s">
        <v>6</v>
      </c>
      <c r="R24" s="61" t="s">
        <v>9</v>
      </c>
      <c r="S24" s="63" t="s">
        <v>94</v>
      </c>
      <c r="U24" s="8">
        <v>79</v>
      </c>
      <c r="V24" s="8">
        <v>71</v>
      </c>
      <c r="W24" s="8">
        <v>53</v>
      </c>
      <c r="X24" s="8">
        <v>37</v>
      </c>
      <c r="Z24" s="2">
        <f t="shared" ca="1" si="10"/>
        <v>8</v>
      </c>
      <c r="AA24" s="2">
        <f t="shared" ca="1" si="11"/>
        <v>42</v>
      </c>
      <c r="AC24">
        <f t="shared" si="38"/>
        <v>19</v>
      </c>
      <c r="AD24">
        <f t="shared" si="12"/>
        <v>4</v>
      </c>
      <c r="AE24" s="2">
        <f t="shared" si="39"/>
        <v>2</v>
      </c>
      <c r="AF24" s="2">
        <f t="shared" si="39"/>
        <v>0</v>
      </c>
      <c r="AG24" s="2">
        <f t="shared" si="39"/>
        <v>1</v>
      </c>
      <c r="AH24" s="2">
        <f t="shared" si="39"/>
        <v>3</v>
      </c>
      <c r="AI24" s="2">
        <f t="shared" si="39"/>
        <v>4</v>
      </c>
      <c r="AJ24" s="2">
        <f t="shared" si="39"/>
        <v>0</v>
      </c>
      <c r="AK24" s="2"/>
      <c r="AL24" s="2"/>
      <c r="AM24" s="2"/>
      <c r="AN24" s="2"/>
      <c r="AO24" s="2">
        <f t="shared" si="39"/>
        <v>0</v>
      </c>
      <c r="BD24" s="2">
        <f t="shared" ca="1" si="15"/>
        <v>71</v>
      </c>
      <c r="BE24" s="2"/>
      <c r="BF24" s="2">
        <f t="shared" ca="1" si="15"/>
        <v>79</v>
      </c>
      <c r="BG24" s="2">
        <f t="shared" ca="1" si="15"/>
        <v>53</v>
      </c>
      <c r="BH24" s="2">
        <f t="shared" ca="1" si="83"/>
        <v>37</v>
      </c>
      <c r="BI24" s="2"/>
      <c r="BJ24" s="2"/>
      <c r="BK24" s="2"/>
      <c r="BL24" s="2"/>
      <c r="BM24" s="2"/>
      <c r="BN24" s="2"/>
      <c r="BP24" s="28">
        <f t="shared" ca="1" si="16"/>
        <v>240</v>
      </c>
      <c r="BQ24" s="29">
        <f t="shared" ca="1" si="17"/>
        <v>60</v>
      </c>
      <c r="BT24" s="2">
        <f t="shared" ca="1" si="41"/>
        <v>1269</v>
      </c>
      <c r="BU24" s="2">
        <f t="shared" ca="1" si="42"/>
        <v>676</v>
      </c>
      <c r="BV24" s="2">
        <f t="shared" ca="1" si="43"/>
        <v>1076</v>
      </c>
      <c r="BW24" s="2">
        <f t="shared" ca="1" si="44"/>
        <v>474</v>
      </c>
      <c r="BX24" s="2">
        <f t="shared" ca="1" si="84"/>
        <v>97</v>
      </c>
      <c r="BY24" s="2"/>
      <c r="BZ24" s="2"/>
      <c r="CA24" s="2"/>
      <c r="CB24" s="2"/>
      <c r="CC24" s="2"/>
      <c r="CD24" s="2">
        <f t="shared" ca="1" si="82"/>
        <v>59</v>
      </c>
      <c r="CG24" s="1">
        <f t="shared" ca="1" si="58"/>
        <v>19</v>
      </c>
      <c r="CH24" s="1">
        <f t="shared" ca="1" si="18"/>
        <v>79</v>
      </c>
      <c r="CI24" s="1" t="str">
        <f t="shared" ca="1" si="19"/>
        <v>Mateusz</v>
      </c>
      <c r="CJ24" s="13">
        <f t="shared" ca="1" si="20"/>
        <v>17</v>
      </c>
      <c r="CK24">
        <f t="shared" ca="1" si="21"/>
        <v>2</v>
      </c>
      <c r="CL24" s="55">
        <f t="shared" ca="1" si="22"/>
        <v>3</v>
      </c>
      <c r="CM24" s="38"/>
      <c r="CO24" s="48" t="s">
        <v>74</v>
      </c>
      <c r="CP24" s="82">
        <f>COUNTIF(U6:U39,"&gt;=0")-CP22-CP21-CP23</f>
        <v>1</v>
      </c>
      <c r="CQ24" s="50" t="s">
        <v>75</v>
      </c>
      <c r="CR24" s="81">
        <f>COUNTIF(V6:X39,"&gt;=0")-CR22-CR21-CR23</f>
        <v>38</v>
      </c>
      <c r="CS24" s="4" t="s">
        <v>70</v>
      </c>
      <c r="CT24" s="72"/>
      <c r="CU24" s="66">
        <f>CP24/SUM(CP24,CR24)</f>
        <v>2.564102564102564E-2</v>
      </c>
      <c r="CW24" s="93">
        <f t="shared" si="59"/>
        <v>19</v>
      </c>
      <c r="CX24" s="51">
        <f t="shared" ca="1" si="73"/>
        <v>849981</v>
      </c>
      <c r="CY24" s="52">
        <f ca="1">BF13</f>
        <v>85</v>
      </c>
      <c r="CZ24" s="51" t="str">
        <f t="shared" si="78"/>
        <v>Justyna</v>
      </c>
      <c r="DA24" s="77">
        <v>8</v>
      </c>
      <c r="DB24" s="77">
        <f>AG13</f>
        <v>1</v>
      </c>
      <c r="DC24" s="51">
        <f t="shared" ca="1" si="25"/>
        <v>789953</v>
      </c>
      <c r="DE24" s="74">
        <f t="shared" si="74"/>
        <v>1000006</v>
      </c>
      <c r="DF24" s="51" t="str">
        <f t="shared" si="75"/>
        <v>Damian</v>
      </c>
      <c r="DG24" s="51" t="str">
        <f t="shared" si="76"/>
        <v>0-1-0-0</v>
      </c>
      <c r="DH24" s="51">
        <f t="shared" si="77"/>
        <v>1</v>
      </c>
      <c r="DJ24" s="90">
        <v>8</v>
      </c>
      <c r="DO24">
        <f t="shared" si="26"/>
        <v>19</v>
      </c>
      <c r="DP24" s="6">
        <f ca="1">AVERAGE(BD$6:BD24)</f>
        <v>66.78947368421052</v>
      </c>
      <c r="DQ24" s="6">
        <f ca="1">AVERAGE(BE$6:BE24)</f>
        <v>67.599999999999994</v>
      </c>
      <c r="DR24" s="6">
        <f ca="1">AVERAGE(BF$6:BF24)</f>
        <v>63.294117647058826</v>
      </c>
      <c r="DS24" s="6">
        <f ca="1">AVERAGE(BG$6:BG24)</f>
        <v>59.25</v>
      </c>
      <c r="DT24" s="86">
        <f t="shared" ca="1" si="60"/>
        <v>70.441176470588232</v>
      </c>
      <c r="DU24" s="87">
        <f ca="1">AVERAGE($BD$6:BN24)</f>
        <v>64.05263157894737</v>
      </c>
      <c r="DX24">
        <f t="shared" si="27"/>
        <v>19</v>
      </c>
      <c r="DY24" s="1">
        <f>COUNTIF(AE$6:AE24,1)</f>
        <v>8</v>
      </c>
      <c r="DZ24" s="1">
        <f>COUNTIF(AF$6:AF24,1)</f>
        <v>3</v>
      </c>
      <c r="EA24" s="1">
        <f>COUNTIF(AG$6:AG24,1)</f>
        <v>7</v>
      </c>
      <c r="EB24" s="1">
        <f>COUNTIF(AH$6:AH24,1)</f>
        <v>1</v>
      </c>
      <c r="ED24">
        <f t="shared" si="28"/>
        <v>19</v>
      </c>
      <c r="EE24" s="1">
        <f>DY24+COUNTIF(AE$6:AE24,2)*0.01+COUNTIF(AE$6:AE24,3)*0.0001+COUNTIF(AE$6:AE24,4)*0.000001</f>
        <v>8.0800029999999996</v>
      </c>
      <c r="EF24" s="1">
        <f>DZ24+COUNTIF(AF$6:AF24,2)*0.01+COUNTIF(AF$6:AF24,3)*0.0001+COUNTIF(AF$6:AF24,4)*0.000001</f>
        <v>3.0303999999999998</v>
      </c>
      <c r="EG24" s="1">
        <f>EA24+COUNTIF(AG$6:AG24,2)*0.01+COUNTIF(AG$6:AG24,3)*0.0001+COUNTIF(AG$6:AG24,4)*0.000001</f>
        <v>7.0603999999999996</v>
      </c>
      <c r="EH24" s="1">
        <f>EB24+COUNTIF(AH$6:AH24,2)*0.01+COUNTIF(AH$6:AH24,3)*0.0001+COUNTIF(AH$6:AH24,4)*0.000001</f>
        <v>1.010402</v>
      </c>
      <c r="EJ24">
        <f t="shared" si="29"/>
        <v>19</v>
      </c>
      <c r="EK24" s="2">
        <f>AVERAGE(FJ$6:FJ24)</f>
        <v>1.8947368421052631</v>
      </c>
      <c r="EL24" s="2">
        <f>AVERAGE(FK$6:FK24)</f>
        <v>2.1</v>
      </c>
      <c r="EM24" s="2">
        <f>AVERAGE(FL$6:FL24)</f>
        <v>1.8235294117647058</v>
      </c>
      <c r="EN24" s="2">
        <f>AVERAGE(FM$6:FM24)</f>
        <v>2.875</v>
      </c>
      <c r="EO24" s="3"/>
      <c r="EP24">
        <f t="shared" si="30"/>
        <v>19</v>
      </c>
      <c r="EQ24" s="1">
        <f t="shared" si="48"/>
        <v>40</v>
      </c>
      <c r="ER24" s="1">
        <f t="shared" si="61"/>
        <v>33</v>
      </c>
      <c r="ES24" s="1">
        <f t="shared" si="49"/>
        <v>40</v>
      </c>
      <c r="ET24" s="1">
        <f t="shared" si="69"/>
        <v>22</v>
      </c>
      <c r="EU24" s="3"/>
      <c r="EV24">
        <f t="shared" si="31"/>
        <v>19</v>
      </c>
      <c r="EW24" s="1">
        <f t="shared" si="50"/>
        <v>0</v>
      </c>
      <c r="EX24" s="1">
        <f t="shared" si="51"/>
        <v>7</v>
      </c>
      <c r="EY24" s="1">
        <f t="shared" si="52"/>
        <v>0</v>
      </c>
      <c r="EZ24" s="1">
        <f t="shared" si="64"/>
        <v>18</v>
      </c>
      <c r="FA24" s="3"/>
      <c r="FB24">
        <f t="shared" si="33"/>
        <v>19</v>
      </c>
      <c r="FC24" s="1">
        <f t="shared" si="34"/>
        <v>0</v>
      </c>
      <c r="FD24" s="1">
        <f t="shared" si="35"/>
        <v>-5</v>
      </c>
      <c r="FE24" s="1">
        <f t="shared" si="36"/>
        <v>-1</v>
      </c>
      <c r="FF24" s="1">
        <f t="shared" si="65"/>
        <v>-7</v>
      </c>
      <c r="FG24">
        <f t="shared" si="37"/>
        <v>8</v>
      </c>
      <c r="FI24">
        <f t="shared" si="53"/>
        <v>19</v>
      </c>
      <c r="FJ24" s="1">
        <f t="shared" si="54"/>
        <v>2</v>
      </c>
      <c r="FK24" s="1" t="str">
        <f t="shared" si="55"/>
        <v>nie grał</v>
      </c>
      <c r="FL24" s="1">
        <f t="shared" si="56"/>
        <v>1</v>
      </c>
      <c r="FM24" s="1">
        <f t="shared" si="57"/>
        <v>3</v>
      </c>
    </row>
    <row r="25" spans="2:169" x14ac:dyDescent="0.2">
      <c r="B25" s="8" t="s">
        <v>81</v>
      </c>
      <c r="C25" s="8" t="s">
        <v>83</v>
      </c>
      <c r="D25" s="8" t="s">
        <v>32</v>
      </c>
      <c r="E25" s="8" t="s">
        <v>79</v>
      </c>
      <c r="F25" s="88">
        <v>43973</v>
      </c>
      <c r="G25" s="56"/>
      <c r="H25" s="56"/>
      <c r="I25" s="56"/>
      <c r="J25" s="56"/>
      <c r="K25" s="56"/>
      <c r="N25">
        <v>20</v>
      </c>
      <c r="O25">
        <v>4</v>
      </c>
      <c r="P25" s="61" t="s">
        <v>8</v>
      </c>
      <c r="Q25" s="62" t="s">
        <v>6</v>
      </c>
      <c r="R25" s="64" t="s">
        <v>9</v>
      </c>
      <c r="S25" s="63" t="s">
        <v>7</v>
      </c>
      <c r="U25" s="8">
        <v>76</v>
      </c>
      <c r="V25" s="8">
        <v>62</v>
      </c>
      <c r="W25" s="8">
        <v>61</v>
      </c>
      <c r="X25" s="8">
        <v>60</v>
      </c>
      <c r="Z25" s="2">
        <f t="shared" ca="1" si="10"/>
        <v>14</v>
      </c>
      <c r="AA25" s="2">
        <f t="shared" ca="1" si="11"/>
        <v>16</v>
      </c>
      <c r="AC25">
        <f t="shared" si="38"/>
        <v>20</v>
      </c>
      <c r="AD25">
        <f t="shared" si="12"/>
        <v>4</v>
      </c>
      <c r="AE25" s="2">
        <f t="shared" si="39"/>
        <v>2</v>
      </c>
      <c r="AF25" s="2">
        <f t="shared" si="39"/>
        <v>4</v>
      </c>
      <c r="AG25" s="2">
        <f t="shared" si="39"/>
        <v>1</v>
      </c>
      <c r="AH25" s="2">
        <f t="shared" si="39"/>
        <v>3</v>
      </c>
      <c r="AI25" s="2">
        <f t="shared" si="39"/>
        <v>0</v>
      </c>
      <c r="AJ25" s="2">
        <f t="shared" si="39"/>
        <v>0</v>
      </c>
      <c r="AK25" s="2"/>
      <c r="AL25" s="2"/>
      <c r="AM25" s="2"/>
      <c r="AN25" s="2"/>
      <c r="AO25" s="2">
        <f t="shared" si="39"/>
        <v>0</v>
      </c>
      <c r="BD25" s="2">
        <f t="shared" ca="1" si="15"/>
        <v>62</v>
      </c>
      <c r="BE25" s="2">
        <f t="shared" ca="1" si="15"/>
        <v>60</v>
      </c>
      <c r="BF25" s="2">
        <f t="shared" ca="1" si="15"/>
        <v>76</v>
      </c>
      <c r="BG25" s="2">
        <f t="shared" ca="1" si="15"/>
        <v>61</v>
      </c>
      <c r="BH25" s="2"/>
      <c r="BI25" s="2"/>
      <c r="BJ25" s="2"/>
      <c r="BK25" s="2"/>
      <c r="BL25" s="2"/>
      <c r="BM25" s="2"/>
      <c r="BN25" s="2"/>
      <c r="BP25" s="28">
        <f t="shared" ca="1" si="16"/>
        <v>259</v>
      </c>
      <c r="BQ25" s="29">
        <f t="shared" ca="1" si="17"/>
        <v>64.75</v>
      </c>
      <c r="BT25" s="2">
        <f t="shared" ca="1" si="41"/>
        <v>1331</v>
      </c>
      <c r="BU25" s="2">
        <f t="shared" ca="1" si="42"/>
        <v>736</v>
      </c>
      <c r="BV25" s="2">
        <f t="shared" ca="1" si="43"/>
        <v>1152</v>
      </c>
      <c r="BW25" s="2">
        <f t="shared" ca="1" si="44"/>
        <v>535</v>
      </c>
      <c r="BX25" s="2">
        <f t="shared" ca="1" si="84"/>
        <v>97</v>
      </c>
      <c r="BY25" s="2"/>
      <c r="BZ25" s="2"/>
      <c r="CA25" s="2"/>
      <c r="CB25" s="2"/>
      <c r="CC25" s="2"/>
      <c r="CD25" s="2">
        <f t="shared" ca="1" si="82"/>
        <v>59</v>
      </c>
      <c r="CG25" s="1">
        <f t="shared" ca="1" si="58"/>
        <v>19</v>
      </c>
      <c r="CH25" s="1">
        <f t="shared" ca="1" si="18"/>
        <v>79</v>
      </c>
      <c r="CI25" s="1" t="str">
        <f t="shared" ca="1" si="19"/>
        <v>Justyna</v>
      </c>
      <c r="CJ25" s="13">
        <f t="shared" ca="1" si="20"/>
        <v>19</v>
      </c>
      <c r="CK25">
        <f t="shared" ca="1" si="21"/>
        <v>1</v>
      </c>
      <c r="CL25" s="55">
        <f t="shared" ca="1" si="22"/>
        <v>4</v>
      </c>
      <c r="CM25" s="38"/>
      <c r="CW25" s="93">
        <f t="shared" si="59"/>
        <v>20</v>
      </c>
      <c r="CX25" s="51">
        <f t="shared" ca="1" si="73"/>
        <v>659980</v>
      </c>
      <c r="CY25" s="52">
        <f ca="1">BF14</f>
        <v>66</v>
      </c>
      <c r="CZ25" s="51" t="str">
        <f t="shared" si="78"/>
        <v>Justyna</v>
      </c>
      <c r="DA25" s="77">
        <v>9</v>
      </c>
      <c r="DB25" s="77">
        <f>AG14</f>
        <v>2</v>
      </c>
      <c r="DC25" s="51">
        <f t="shared" ca="1" si="25"/>
        <v>789945</v>
      </c>
      <c r="DE25" s="74">
        <f t="shared" si="74"/>
        <v>10205</v>
      </c>
      <c r="DF25" s="51" t="str">
        <f t="shared" si="75"/>
        <v>Dominika</v>
      </c>
      <c r="DG25" s="51" t="str">
        <f t="shared" si="76"/>
        <v>0-0-1-2</v>
      </c>
      <c r="DH25" s="51">
        <f t="shared" si="77"/>
        <v>3</v>
      </c>
      <c r="DJ25" s="90">
        <v>9</v>
      </c>
      <c r="DO25">
        <f t="shared" si="26"/>
        <v>20</v>
      </c>
      <c r="DP25" s="6">
        <f ca="1">AVERAGE(BD$6:BD25)</f>
        <v>66.55</v>
      </c>
      <c r="DQ25" s="6">
        <f ca="1">AVERAGE(BE$6:BE25)</f>
        <v>66.909090909090907</v>
      </c>
      <c r="DR25" s="6">
        <f ca="1">AVERAGE(BF$6:BF25)</f>
        <v>64</v>
      </c>
      <c r="DS25" s="6">
        <f ca="1">AVERAGE(BG$6:BG25)</f>
        <v>59.444444444444443</v>
      </c>
      <c r="DT25" s="86">
        <f t="shared" ca="1" si="60"/>
        <v>70.441176470588232</v>
      </c>
      <c r="DU25" s="87">
        <f ca="1">AVERAGE($BD$6:BN25)</f>
        <v>64.098360655737707</v>
      </c>
      <c r="DX25">
        <f t="shared" si="27"/>
        <v>20</v>
      </c>
      <c r="DY25" s="1">
        <f>COUNTIF(AE$6:AE25,1)</f>
        <v>8</v>
      </c>
      <c r="DZ25" s="1">
        <f>COUNTIF(AF$6:AF25,1)</f>
        <v>3</v>
      </c>
      <c r="EA25" s="1">
        <f>COUNTIF(AG$6:AG25,1)</f>
        <v>8</v>
      </c>
      <c r="EB25" s="1">
        <f>COUNTIF(AH$6:AH25,1)</f>
        <v>1</v>
      </c>
      <c r="ED25">
        <f t="shared" si="28"/>
        <v>20</v>
      </c>
      <c r="EE25" s="1">
        <f>DY25+COUNTIF(AE$6:AE25,2)*0.01+COUNTIF(AE$6:AE25,3)*0.0001+COUNTIF(AE$6:AE25,4)*0.000001</f>
        <v>8.0900029999999994</v>
      </c>
      <c r="EF25" s="1">
        <f>DZ25+COUNTIF(AF$6:AF25,2)*0.01+COUNTIF(AF$6:AF25,3)*0.0001+COUNTIF(AF$6:AF25,4)*0.000001</f>
        <v>3.0304009999999999</v>
      </c>
      <c r="EG25" s="1">
        <f>EA25+COUNTIF(AG$6:AG25,2)*0.01+COUNTIF(AG$6:AG25,3)*0.0001+COUNTIF(AG$6:AG25,4)*0.000001</f>
        <v>8.0604000000000013</v>
      </c>
      <c r="EH25" s="1">
        <f>EB25+COUNTIF(AH$6:AH25,2)*0.01+COUNTIF(AH$6:AH25,3)*0.0001+COUNTIF(AH$6:AH25,4)*0.000001</f>
        <v>1.010502</v>
      </c>
      <c r="EJ25">
        <f t="shared" si="29"/>
        <v>20</v>
      </c>
      <c r="EK25" s="2">
        <f>AVERAGE(FJ$6:FJ25)</f>
        <v>1.9</v>
      </c>
      <c r="EL25" s="2">
        <f>AVERAGE(FK$6:FK25)</f>
        <v>2.2727272727272729</v>
      </c>
      <c r="EM25" s="2">
        <f>AVERAGE(FL$6:FL25)</f>
        <v>1.7777777777777777</v>
      </c>
      <c r="EN25" s="2">
        <f>AVERAGE(FM$6:FM25)</f>
        <v>2.8888888888888888</v>
      </c>
      <c r="EO25" s="3"/>
      <c r="EP25">
        <f t="shared" si="30"/>
        <v>20</v>
      </c>
      <c r="EQ25" s="1">
        <f t="shared" si="48"/>
        <v>43</v>
      </c>
      <c r="ER25" s="1">
        <f t="shared" si="61"/>
        <v>34</v>
      </c>
      <c r="ES25" s="1">
        <f t="shared" si="49"/>
        <v>44</v>
      </c>
      <c r="ET25" s="1">
        <f t="shared" si="69"/>
        <v>24</v>
      </c>
      <c r="EU25" s="3"/>
      <c r="EV25">
        <f t="shared" si="31"/>
        <v>20</v>
      </c>
      <c r="EW25" s="1">
        <f t="shared" si="50"/>
        <v>1</v>
      </c>
      <c r="EX25" s="1">
        <f t="shared" si="51"/>
        <v>10</v>
      </c>
      <c r="EY25" s="1">
        <f t="shared" si="52"/>
        <v>0</v>
      </c>
      <c r="EZ25" s="1">
        <f t="shared" si="64"/>
        <v>20</v>
      </c>
      <c r="FA25" s="3"/>
      <c r="FB25">
        <f t="shared" si="33"/>
        <v>20</v>
      </c>
      <c r="FC25" s="1">
        <f t="shared" si="34"/>
        <v>0</v>
      </c>
      <c r="FD25" s="1">
        <f t="shared" si="35"/>
        <v>-5</v>
      </c>
      <c r="FE25" s="1">
        <f t="shared" si="36"/>
        <v>0</v>
      </c>
      <c r="FF25" s="1">
        <f t="shared" si="65"/>
        <v>-7</v>
      </c>
      <c r="FG25">
        <f t="shared" si="37"/>
        <v>8</v>
      </c>
      <c r="FI25">
        <f t="shared" si="53"/>
        <v>20</v>
      </c>
      <c r="FJ25" s="1">
        <f t="shared" si="54"/>
        <v>2</v>
      </c>
      <c r="FK25" s="1">
        <f t="shared" si="55"/>
        <v>4</v>
      </c>
      <c r="FL25" s="1">
        <f t="shared" si="56"/>
        <v>1</v>
      </c>
      <c r="FM25" s="1">
        <f t="shared" si="57"/>
        <v>3</v>
      </c>
    </row>
    <row r="26" spans="2:169" x14ac:dyDescent="0.2">
      <c r="B26" s="8" t="s">
        <v>83</v>
      </c>
      <c r="C26" s="8" t="s">
        <v>84</v>
      </c>
      <c r="D26" s="8" t="s">
        <v>79</v>
      </c>
      <c r="E26" s="8" t="s">
        <v>82</v>
      </c>
      <c r="F26" s="88">
        <v>43980</v>
      </c>
      <c r="G26" s="56"/>
      <c r="H26" s="56"/>
      <c r="I26" s="56"/>
      <c r="J26" s="56"/>
      <c r="K26" s="56"/>
      <c r="N26">
        <v>21</v>
      </c>
      <c r="O26">
        <v>4</v>
      </c>
      <c r="P26" s="63" t="s">
        <v>7</v>
      </c>
      <c r="Q26" s="62" t="s">
        <v>6</v>
      </c>
      <c r="R26" s="64" t="s">
        <v>9</v>
      </c>
      <c r="S26" s="61" t="s">
        <v>8</v>
      </c>
      <c r="U26" s="8">
        <v>72</v>
      </c>
      <c r="V26" s="8">
        <v>69</v>
      </c>
      <c r="W26" s="8">
        <v>65</v>
      </c>
      <c r="X26" s="8">
        <v>49</v>
      </c>
      <c r="Z26" s="2">
        <f t="shared" ca="1" si="10"/>
        <v>3</v>
      </c>
      <c r="AA26" s="2">
        <f t="shared" ca="1" si="11"/>
        <v>23</v>
      </c>
      <c r="AC26">
        <f t="shared" si="38"/>
        <v>21</v>
      </c>
      <c r="AD26">
        <f t="shared" si="12"/>
        <v>4</v>
      </c>
      <c r="AE26" s="2">
        <f t="shared" si="39"/>
        <v>2</v>
      </c>
      <c r="AF26" s="2">
        <f t="shared" si="39"/>
        <v>1</v>
      </c>
      <c r="AG26" s="2">
        <f t="shared" si="39"/>
        <v>4</v>
      </c>
      <c r="AH26" s="2">
        <f t="shared" si="39"/>
        <v>3</v>
      </c>
      <c r="AI26" s="2">
        <f t="shared" si="39"/>
        <v>0</v>
      </c>
      <c r="AJ26" s="2">
        <f t="shared" si="39"/>
        <v>0</v>
      </c>
      <c r="AK26" s="2"/>
      <c r="AL26" s="2"/>
      <c r="AM26" s="2"/>
      <c r="AN26" s="2"/>
      <c r="AO26" s="2">
        <f t="shared" si="39"/>
        <v>0</v>
      </c>
      <c r="BD26" s="2">
        <f t="shared" ca="1" si="15"/>
        <v>69</v>
      </c>
      <c r="BE26" s="2">
        <f t="shared" ca="1" si="15"/>
        <v>72</v>
      </c>
      <c r="BF26" s="2">
        <f t="shared" ca="1" si="15"/>
        <v>49</v>
      </c>
      <c r="BG26" s="2">
        <f t="shared" ca="1" si="15"/>
        <v>65</v>
      </c>
      <c r="BH26" s="2"/>
      <c r="BI26" s="2"/>
      <c r="BJ26" s="2"/>
      <c r="BK26" s="2"/>
      <c r="BL26" s="2"/>
      <c r="BM26" s="2"/>
      <c r="BN26" s="2"/>
      <c r="BP26" s="28">
        <f t="shared" ca="1" si="16"/>
        <v>255</v>
      </c>
      <c r="BQ26" s="29">
        <f t="shared" ca="1" si="17"/>
        <v>63.75</v>
      </c>
      <c r="BT26" s="2">
        <f t="shared" ca="1" si="41"/>
        <v>1400</v>
      </c>
      <c r="BU26" s="2">
        <f t="shared" ca="1" si="42"/>
        <v>808</v>
      </c>
      <c r="BV26" s="2">
        <f t="shared" ca="1" si="43"/>
        <v>1201</v>
      </c>
      <c r="BW26" s="2">
        <f t="shared" ca="1" si="44"/>
        <v>600</v>
      </c>
      <c r="BX26" s="2">
        <f t="shared" ca="1" si="84"/>
        <v>97</v>
      </c>
      <c r="BY26" s="2"/>
      <c r="BZ26" s="2"/>
      <c r="CA26" s="2"/>
      <c r="CB26" s="2"/>
      <c r="CC26" s="2"/>
      <c r="CD26" s="2">
        <f t="shared" ca="1" si="82"/>
        <v>59</v>
      </c>
      <c r="CG26" s="1">
        <f t="shared" ca="1" si="58"/>
        <v>19</v>
      </c>
      <c r="CH26" s="1">
        <f t="shared" ca="1" si="18"/>
        <v>79</v>
      </c>
      <c r="CI26" s="1" t="str">
        <f t="shared" ca="1" si="19"/>
        <v>Mateusz</v>
      </c>
      <c r="CJ26" s="13">
        <f t="shared" ca="1" si="20"/>
        <v>33</v>
      </c>
      <c r="CK26">
        <f t="shared" ca="1" si="21"/>
        <v>1</v>
      </c>
      <c r="CL26" s="55">
        <f t="shared" ca="1" si="22"/>
        <v>4</v>
      </c>
      <c r="CM26" s="38"/>
      <c r="CR26">
        <f>SUM(CP21:CP24,CR21:CR24)</f>
        <v>114</v>
      </c>
      <c r="CW26" s="93">
        <f t="shared" si="59"/>
        <v>21</v>
      </c>
      <c r="CX26" s="51">
        <f t="shared" ca="1" si="73"/>
        <v>499979</v>
      </c>
      <c r="CY26" s="52">
        <f ca="1">BF15</f>
        <v>50</v>
      </c>
      <c r="CZ26" s="51" t="str">
        <f t="shared" si="78"/>
        <v>Justyna</v>
      </c>
      <c r="DA26" s="77">
        <v>10</v>
      </c>
      <c r="DB26" s="77">
        <f>AG15</f>
        <v>2</v>
      </c>
      <c r="DC26" s="51">
        <f t="shared" ca="1" si="25"/>
        <v>789893</v>
      </c>
      <c r="DE26" s="74">
        <f t="shared" si="74"/>
        <v>10009</v>
      </c>
      <c r="DF26" s="51" t="str">
        <f t="shared" si="75"/>
        <v>Michał</v>
      </c>
      <c r="DG26" s="51" t="str">
        <f t="shared" si="76"/>
        <v>0-0-1-0</v>
      </c>
      <c r="DH26" s="51">
        <f t="shared" si="77"/>
        <v>1</v>
      </c>
      <c r="DJ26" s="90">
        <v>10</v>
      </c>
      <c r="DO26">
        <f t="shared" si="26"/>
        <v>21</v>
      </c>
      <c r="DP26" s="6">
        <f ca="1">AVERAGE(BD$6:BD26)</f>
        <v>66.666666666666671</v>
      </c>
      <c r="DQ26" s="6">
        <f ca="1">AVERAGE(BE$6:BE26)</f>
        <v>67.333333333333329</v>
      </c>
      <c r="DR26" s="6">
        <f ca="1">AVERAGE(BF$6:BF26)</f>
        <v>63.210526315789473</v>
      </c>
      <c r="DS26" s="6">
        <f ca="1">AVERAGE(BG$6:BG26)</f>
        <v>60</v>
      </c>
      <c r="DT26" s="86">
        <f t="shared" ca="1" si="60"/>
        <v>70.441176470588232</v>
      </c>
      <c r="DU26" s="87">
        <f ca="1">AVERAGE($BD$6:BN26)</f>
        <v>64.07692307692308</v>
      </c>
      <c r="DX26">
        <f t="shared" si="27"/>
        <v>21</v>
      </c>
      <c r="DY26" s="1">
        <f>COUNTIF(AE$6:AE26,1)</f>
        <v>8</v>
      </c>
      <c r="DZ26" s="1">
        <f>COUNTIF(AF$6:AF26,1)</f>
        <v>4</v>
      </c>
      <c r="EA26" s="1">
        <f>COUNTIF(AG$6:AG26,1)</f>
        <v>8</v>
      </c>
      <c r="EB26" s="1">
        <f>COUNTIF(AH$6:AH26,1)</f>
        <v>1</v>
      </c>
      <c r="ED26">
        <f t="shared" si="28"/>
        <v>21</v>
      </c>
      <c r="EE26" s="1">
        <f>DY26+COUNTIF(AE$6:AE26,2)*0.01+COUNTIF(AE$6:AE26,3)*0.0001+COUNTIF(AE$6:AE26,4)*0.000001</f>
        <v>8.1000029999999992</v>
      </c>
      <c r="EF26" s="1">
        <f>DZ26+COUNTIF(AF$6:AF26,2)*0.01+COUNTIF(AF$6:AF26,3)*0.0001+COUNTIF(AF$6:AF26,4)*0.000001</f>
        <v>4.0304010000000003</v>
      </c>
      <c r="EG26" s="1">
        <f>EA26+COUNTIF(AG$6:AG26,2)*0.01+COUNTIF(AG$6:AG26,3)*0.0001+COUNTIF(AG$6:AG26,4)*0.000001</f>
        <v>8.0604010000000006</v>
      </c>
      <c r="EH26" s="1">
        <f>EB26+COUNTIF(AH$6:AH26,2)*0.01+COUNTIF(AH$6:AH26,3)*0.0001+COUNTIF(AH$6:AH26,4)*0.000001</f>
        <v>1.010602</v>
      </c>
      <c r="EJ26">
        <f t="shared" si="29"/>
        <v>21</v>
      </c>
      <c r="EK26" s="2">
        <f>AVERAGE(FJ$6:FJ26)</f>
        <v>1.9047619047619047</v>
      </c>
      <c r="EL26" s="2">
        <f>AVERAGE(FK$6:FK26)</f>
        <v>2.1666666666666665</v>
      </c>
      <c r="EM26" s="2">
        <f>AVERAGE(FL$6:FL26)</f>
        <v>1.8947368421052631</v>
      </c>
      <c r="EN26" s="2">
        <f>AVERAGE(FM$6:FM26)</f>
        <v>2.9</v>
      </c>
      <c r="EO26" s="3"/>
      <c r="EP26">
        <f t="shared" si="30"/>
        <v>21</v>
      </c>
      <c r="EQ26" s="1">
        <f t="shared" si="48"/>
        <v>46</v>
      </c>
      <c r="ER26" s="1">
        <f t="shared" si="61"/>
        <v>38</v>
      </c>
      <c r="ES26" s="1">
        <f t="shared" si="49"/>
        <v>45</v>
      </c>
      <c r="ET26" s="1">
        <f t="shared" si="69"/>
        <v>26</v>
      </c>
      <c r="EU26" s="3"/>
      <c r="EV26">
        <f t="shared" si="31"/>
        <v>21</v>
      </c>
      <c r="EW26" s="1">
        <f t="shared" si="50"/>
        <v>0</v>
      </c>
      <c r="EX26" s="1">
        <f t="shared" si="51"/>
        <v>8</v>
      </c>
      <c r="EY26" s="1">
        <f t="shared" si="52"/>
        <v>1</v>
      </c>
      <c r="EZ26" s="1">
        <f t="shared" si="64"/>
        <v>20</v>
      </c>
      <c r="FA26" s="3"/>
      <c r="FB26">
        <f t="shared" si="33"/>
        <v>21</v>
      </c>
      <c r="FC26" s="1">
        <f t="shared" si="34"/>
        <v>0</v>
      </c>
      <c r="FD26" s="1">
        <f t="shared" si="35"/>
        <v>-4</v>
      </c>
      <c r="FE26" s="1">
        <f t="shared" si="36"/>
        <v>0</v>
      </c>
      <c r="FF26" s="1">
        <f t="shared" si="65"/>
        <v>-7</v>
      </c>
      <c r="FG26">
        <f t="shared" si="37"/>
        <v>8</v>
      </c>
      <c r="FI26">
        <f t="shared" si="53"/>
        <v>21</v>
      </c>
      <c r="FJ26" s="1">
        <f t="shared" si="54"/>
        <v>2</v>
      </c>
      <c r="FK26" s="1">
        <f t="shared" si="55"/>
        <v>1</v>
      </c>
      <c r="FL26" s="1">
        <f t="shared" si="56"/>
        <v>4</v>
      </c>
      <c r="FM26" s="1">
        <f t="shared" si="57"/>
        <v>3</v>
      </c>
    </row>
    <row r="27" spans="2:169" x14ac:dyDescent="0.2">
      <c r="B27" s="8" t="s">
        <v>156</v>
      </c>
      <c r="C27" s="8" t="s">
        <v>83</v>
      </c>
      <c r="D27" s="8" t="s">
        <v>84</v>
      </c>
      <c r="E27" s="1"/>
      <c r="F27" s="88">
        <v>43983</v>
      </c>
      <c r="G27" s="56"/>
      <c r="H27" s="56"/>
      <c r="I27" s="56"/>
      <c r="J27" s="56"/>
      <c r="K27" s="56"/>
      <c r="N27">
        <v>22</v>
      </c>
      <c r="O27">
        <v>3</v>
      </c>
      <c r="P27" s="63" t="s">
        <v>8</v>
      </c>
      <c r="Q27" s="62" t="s">
        <v>6</v>
      </c>
      <c r="R27" s="64" t="s">
        <v>9</v>
      </c>
      <c r="S27" s="1"/>
      <c r="U27" s="8">
        <v>72</v>
      </c>
      <c r="V27" s="8">
        <v>70</v>
      </c>
      <c r="W27" s="8">
        <v>66</v>
      </c>
      <c r="X27" s="8"/>
      <c r="Z27" s="2">
        <f t="shared" ca="1" si="10"/>
        <v>2</v>
      </c>
      <c r="AA27" s="2">
        <f t="shared" ca="1" si="11"/>
        <v>6</v>
      </c>
      <c r="AC27">
        <f t="shared" si="38"/>
        <v>22</v>
      </c>
      <c r="AD27">
        <f t="shared" si="12"/>
        <v>3</v>
      </c>
      <c r="AE27" s="2">
        <f t="shared" si="39"/>
        <v>2</v>
      </c>
      <c r="AF27" s="2">
        <f t="shared" si="39"/>
        <v>0</v>
      </c>
      <c r="AG27" s="2">
        <f t="shared" si="39"/>
        <v>1</v>
      </c>
      <c r="AH27" s="2">
        <f t="shared" si="39"/>
        <v>3</v>
      </c>
      <c r="AI27" s="2">
        <f t="shared" si="39"/>
        <v>0</v>
      </c>
      <c r="AJ27" s="2">
        <f t="shared" si="39"/>
        <v>0</v>
      </c>
      <c r="AK27" s="2"/>
      <c r="AL27" s="2"/>
      <c r="AM27" s="2"/>
      <c r="AN27" s="2"/>
      <c r="AO27" s="2">
        <f t="shared" si="39"/>
        <v>0</v>
      </c>
      <c r="BD27" s="2">
        <f t="shared" ca="1" si="15"/>
        <v>70</v>
      </c>
      <c r="BE27" s="2"/>
      <c r="BF27" s="2">
        <f t="shared" ca="1" si="15"/>
        <v>72</v>
      </c>
      <c r="BG27" s="2">
        <f t="shared" ca="1" si="15"/>
        <v>66</v>
      </c>
      <c r="BH27" s="2"/>
      <c r="BI27" s="2"/>
      <c r="BJ27" s="2"/>
      <c r="BK27" s="2"/>
      <c r="BL27" s="2"/>
      <c r="BM27" s="2"/>
      <c r="BN27" s="2"/>
      <c r="BP27" s="28">
        <f t="shared" ca="1" si="16"/>
        <v>208</v>
      </c>
      <c r="BQ27" s="29">
        <f t="shared" ca="1" si="17"/>
        <v>69.333333333333329</v>
      </c>
      <c r="BT27" s="2">
        <f t="shared" ca="1" si="41"/>
        <v>1470</v>
      </c>
      <c r="BU27" s="2">
        <f t="shared" ca="1" si="42"/>
        <v>808</v>
      </c>
      <c r="BV27" s="2">
        <f t="shared" ca="1" si="43"/>
        <v>1273</v>
      </c>
      <c r="BW27" s="2">
        <f t="shared" ca="1" si="44"/>
        <v>666</v>
      </c>
      <c r="BX27" s="2">
        <f t="shared" ca="1" si="84"/>
        <v>97</v>
      </c>
      <c r="BY27" s="2"/>
      <c r="BZ27" s="2"/>
      <c r="CA27" s="2"/>
      <c r="CB27" s="2"/>
      <c r="CC27" s="2"/>
      <c r="CD27" s="2">
        <f t="shared" ca="1" si="82"/>
        <v>59</v>
      </c>
      <c r="CG27" s="1">
        <f t="shared" ca="1" si="58"/>
        <v>22</v>
      </c>
      <c r="CH27" s="1">
        <f t="shared" ca="1" si="18"/>
        <v>76</v>
      </c>
      <c r="CI27" s="1" t="str">
        <f t="shared" ca="1" si="19"/>
        <v>Mateusz</v>
      </c>
      <c r="CJ27" s="13">
        <f t="shared" ca="1" si="20"/>
        <v>6</v>
      </c>
      <c r="CK27">
        <f t="shared" ca="1" si="21"/>
        <v>1</v>
      </c>
      <c r="CL27" s="55">
        <f t="shared" ca="1" si="22"/>
        <v>3</v>
      </c>
      <c r="CM27" s="38"/>
      <c r="CW27" s="93">
        <f t="shared" si="59"/>
        <v>22</v>
      </c>
      <c r="CX27" s="51">
        <f t="shared" ca="1" si="73"/>
        <v>549978</v>
      </c>
      <c r="CY27" s="52">
        <f ca="1">BF16</f>
        <v>55</v>
      </c>
      <c r="CZ27" s="51" t="str">
        <f t="shared" si="78"/>
        <v>Justyna</v>
      </c>
      <c r="DA27" s="77">
        <v>11</v>
      </c>
      <c r="DB27" s="77">
        <f>AG16</f>
        <v>3</v>
      </c>
      <c r="DC27" s="51">
        <f t="shared" ca="1" si="25"/>
        <v>759994</v>
      </c>
      <c r="DE27" s="74">
        <f t="shared" si="74"/>
        <v>111</v>
      </c>
      <c r="DF27" s="51" t="str">
        <f t="shared" si="75"/>
        <v>Ela</v>
      </c>
      <c r="DG27" s="51" t="str">
        <f t="shared" si="76"/>
        <v>0-0-0-1</v>
      </c>
      <c r="DH27" s="51">
        <f t="shared" si="77"/>
        <v>1</v>
      </c>
      <c r="DJ27" s="90">
        <v>11</v>
      </c>
      <c r="DO27">
        <f t="shared" si="26"/>
        <v>22</v>
      </c>
      <c r="DP27" s="6">
        <f ca="1">AVERAGE(BD$6:BD27)</f>
        <v>66.818181818181813</v>
      </c>
      <c r="DQ27" s="6">
        <f ca="1">AVERAGE(BE$6:BE27)</f>
        <v>67.333333333333329</v>
      </c>
      <c r="DR27" s="6">
        <f ca="1">AVERAGE(BF$6:BF27)</f>
        <v>63.65</v>
      </c>
      <c r="DS27" s="6">
        <f ca="1">AVERAGE(BG$6:BG27)</f>
        <v>60.545454545454547</v>
      </c>
      <c r="DT27" s="86">
        <f t="shared" ca="1" si="60"/>
        <v>70.441176470588232</v>
      </c>
      <c r="DU27" s="87">
        <f ca="1">AVERAGE($BD$6:BN27)</f>
        <v>64.308823529411768</v>
      </c>
      <c r="DX27">
        <f t="shared" si="27"/>
        <v>22</v>
      </c>
      <c r="DY27" s="1">
        <f>COUNTIF(AE$6:AE27,1)</f>
        <v>8</v>
      </c>
      <c r="DZ27" s="1">
        <f>COUNTIF(AF$6:AF27,1)</f>
        <v>4</v>
      </c>
      <c r="EA27" s="1">
        <f>COUNTIF(AG$6:AG27,1)</f>
        <v>9</v>
      </c>
      <c r="EB27" s="1">
        <f>COUNTIF(AH$6:AH27,1)</f>
        <v>1</v>
      </c>
      <c r="ED27">
        <f t="shared" si="28"/>
        <v>22</v>
      </c>
      <c r="EE27" s="1">
        <f>DY27+COUNTIF(AE$6:AE27,2)*0.01+COUNTIF(AE$6:AE27,3)*0.0001+COUNTIF(AE$6:AE27,4)*0.000001</f>
        <v>8.110002999999999</v>
      </c>
      <c r="EF27" s="1">
        <f>DZ27+COUNTIF(AF$6:AF27,2)*0.01+COUNTIF(AF$6:AF27,3)*0.0001+COUNTIF(AF$6:AF27,4)*0.000001</f>
        <v>4.0304010000000003</v>
      </c>
      <c r="EG27" s="1">
        <f>EA27+COUNTIF(AG$6:AG27,2)*0.01+COUNTIF(AG$6:AG27,3)*0.0001+COUNTIF(AG$6:AG27,4)*0.000001</f>
        <v>9.0604010000000006</v>
      </c>
      <c r="EH27" s="1">
        <f>EB27+COUNTIF(AH$6:AH27,2)*0.01+COUNTIF(AH$6:AH27,3)*0.0001+COUNTIF(AH$6:AH27,4)*0.000001</f>
        <v>1.010702</v>
      </c>
      <c r="EJ27">
        <f t="shared" si="29"/>
        <v>22</v>
      </c>
      <c r="EK27" s="2">
        <f>AVERAGE(FJ$6:FJ27)</f>
        <v>1.9090909090909092</v>
      </c>
      <c r="EL27" s="2">
        <f>AVERAGE(FK$6:FK27)</f>
        <v>2.1666666666666665</v>
      </c>
      <c r="EM27" s="2">
        <f>AVERAGE(FL$6:FL27)</f>
        <v>1.85</v>
      </c>
      <c r="EN27" s="2">
        <f>AVERAGE(FM$6:FM27)</f>
        <v>2.9090909090909092</v>
      </c>
      <c r="EO27" s="3"/>
      <c r="EP27">
        <f t="shared" si="30"/>
        <v>22</v>
      </c>
      <c r="EQ27" s="1">
        <f t="shared" si="48"/>
        <v>48</v>
      </c>
      <c r="ER27" s="1">
        <f t="shared" si="61"/>
        <v>39</v>
      </c>
      <c r="ES27" s="1">
        <f t="shared" si="49"/>
        <v>48</v>
      </c>
      <c r="ET27" s="1">
        <f t="shared" si="69"/>
        <v>27</v>
      </c>
      <c r="EU27" s="3"/>
      <c r="EV27">
        <f t="shared" si="31"/>
        <v>22</v>
      </c>
      <c r="EW27" s="1">
        <f t="shared" si="50"/>
        <v>0</v>
      </c>
      <c r="EX27" s="1">
        <f t="shared" si="51"/>
        <v>9</v>
      </c>
      <c r="EY27" s="1">
        <f t="shared" si="52"/>
        <v>0</v>
      </c>
      <c r="EZ27" s="1">
        <f t="shared" si="64"/>
        <v>21</v>
      </c>
      <c r="FA27" s="3"/>
      <c r="FB27">
        <f t="shared" si="33"/>
        <v>22</v>
      </c>
      <c r="FC27" s="1">
        <f t="shared" si="34"/>
        <v>-1</v>
      </c>
      <c r="FD27" s="1">
        <f t="shared" si="35"/>
        <v>-5</v>
      </c>
      <c r="FE27" s="1">
        <f t="shared" si="36"/>
        <v>0</v>
      </c>
      <c r="FF27" s="1">
        <f t="shared" si="65"/>
        <v>-8</v>
      </c>
      <c r="FG27">
        <f t="shared" si="37"/>
        <v>9</v>
      </c>
      <c r="FI27">
        <f t="shared" si="53"/>
        <v>22</v>
      </c>
      <c r="FJ27" s="1">
        <f t="shared" si="54"/>
        <v>2</v>
      </c>
      <c r="FK27" s="1" t="str">
        <f t="shared" si="55"/>
        <v>nie grał</v>
      </c>
      <c r="FL27" s="1">
        <f t="shared" si="56"/>
        <v>1</v>
      </c>
      <c r="FM27" s="1">
        <f t="shared" si="57"/>
        <v>3</v>
      </c>
    </row>
    <row r="28" spans="2:169" x14ac:dyDescent="0.2">
      <c r="B28" s="8" t="s">
        <v>32</v>
      </c>
      <c r="C28" s="8" t="s">
        <v>83</v>
      </c>
      <c r="D28" s="8" t="s">
        <v>156</v>
      </c>
      <c r="E28" s="1" t="s">
        <v>84</v>
      </c>
      <c r="F28" s="88">
        <v>43986</v>
      </c>
      <c r="G28" s="56"/>
      <c r="H28" s="56"/>
      <c r="I28" s="56"/>
      <c r="J28" s="56"/>
      <c r="K28" s="56"/>
      <c r="N28">
        <v>23</v>
      </c>
      <c r="O28">
        <v>4</v>
      </c>
      <c r="P28" s="62" t="s">
        <v>6</v>
      </c>
      <c r="Q28" s="61" t="s">
        <v>9</v>
      </c>
      <c r="R28" s="63" t="s">
        <v>7</v>
      </c>
      <c r="S28" s="64" t="s">
        <v>8</v>
      </c>
      <c r="U28" s="8">
        <v>86</v>
      </c>
      <c r="V28" s="8">
        <v>67</v>
      </c>
      <c r="W28" s="8">
        <v>50</v>
      </c>
      <c r="X28" s="8">
        <v>35</v>
      </c>
      <c r="Z28" s="2">
        <f t="shared" ca="1" si="10"/>
        <v>19</v>
      </c>
      <c r="AA28" s="2">
        <f t="shared" ca="1" si="11"/>
        <v>51</v>
      </c>
      <c r="AC28">
        <f t="shared" ref="AC28:AC39" si="85">N28</f>
        <v>23</v>
      </c>
      <c r="AD28">
        <f t="shared" si="12"/>
        <v>4</v>
      </c>
      <c r="AE28" s="2">
        <f t="shared" si="39"/>
        <v>1</v>
      </c>
      <c r="AF28" s="2">
        <f t="shared" si="39"/>
        <v>3</v>
      </c>
      <c r="AG28" s="2">
        <f t="shared" si="39"/>
        <v>4</v>
      </c>
      <c r="AH28" s="2">
        <f t="shared" si="39"/>
        <v>2</v>
      </c>
      <c r="AI28" s="2">
        <f t="shared" si="39"/>
        <v>0</v>
      </c>
      <c r="AJ28" s="2">
        <f t="shared" si="39"/>
        <v>0</v>
      </c>
      <c r="AK28" s="2"/>
      <c r="AL28" s="2"/>
      <c r="AM28" s="2"/>
      <c r="AN28" s="2"/>
      <c r="AO28" s="2">
        <f t="shared" si="39"/>
        <v>0</v>
      </c>
      <c r="BD28" s="2">
        <f t="shared" ca="1" si="15"/>
        <v>86</v>
      </c>
      <c r="BE28" s="2">
        <f t="shared" ca="1" si="15"/>
        <v>50</v>
      </c>
      <c r="BF28" s="2">
        <f t="shared" ca="1" si="15"/>
        <v>35</v>
      </c>
      <c r="BG28" s="2">
        <f t="shared" ca="1" si="15"/>
        <v>67</v>
      </c>
      <c r="BH28" s="2"/>
      <c r="BI28" s="2"/>
      <c r="BJ28" s="2"/>
      <c r="BK28" s="2"/>
      <c r="BL28" s="2"/>
      <c r="BM28" s="2"/>
      <c r="BN28" s="2"/>
      <c r="BP28" s="28">
        <f t="shared" ca="1" si="16"/>
        <v>238</v>
      </c>
      <c r="BQ28" s="29">
        <f t="shared" ca="1" si="17"/>
        <v>59.5</v>
      </c>
      <c r="BT28" s="2">
        <f t="shared" ca="1" si="41"/>
        <v>1556</v>
      </c>
      <c r="BU28" s="2">
        <f t="shared" ca="1" si="42"/>
        <v>858</v>
      </c>
      <c r="BV28" s="2">
        <f t="shared" ca="1" si="43"/>
        <v>1308</v>
      </c>
      <c r="BW28" s="2">
        <f t="shared" ca="1" si="44"/>
        <v>733</v>
      </c>
      <c r="BX28" s="2">
        <f t="shared" ca="1" si="84"/>
        <v>97</v>
      </c>
      <c r="BY28" s="2"/>
      <c r="BZ28" s="2"/>
      <c r="CA28" s="2"/>
      <c r="CB28" s="2"/>
      <c r="CC28" s="2"/>
      <c r="CD28" s="2">
        <f ca="1">BN28+CD27</f>
        <v>59</v>
      </c>
      <c r="CG28" s="1">
        <f t="shared" ca="1" si="58"/>
        <v>22</v>
      </c>
      <c r="CH28" s="1">
        <f t="shared" ca="1" si="18"/>
        <v>76</v>
      </c>
      <c r="CI28" s="1" t="str">
        <f t="shared" ca="1" si="19"/>
        <v>Justyna</v>
      </c>
      <c r="CJ28" s="13">
        <f t="shared" ca="1" si="20"/>
        <v>12</v>
      </c>
      <c r="CK28">
        <f t="shared" ca="1" si="21"/>
        <v>2</v>
      </c>
      <c r="CL28" s="55">
        <f t="shared" ca="1" si="22"/>
        <v>4</v>
      </c>
      <c r="CO28" t="s">
        <v>6</v>
      </c>
      <c r="CW28" s="93">
        <f t="shared" si="59"/>
        <v>23</v>
      </c>
      <c r="CX28" s="51">
        <f t="shared" ca="1" si="73"/>
        <v>599977</v>
      </c>
      <c r="CY28" s="52">
        <f ca="1">BE6</f>
        <v>60</v>
      </c>
      <c r="CZ28" s="51" t="str">
        <f t="shared" ref="CZ28:CZ33" si="86">$BE$5</f>
        <v>Marcin</v>
      </c>
      <c r="DA28" s="77">
        <v>1</v>
      </c>
      <c r="DB28" s="77">
        <v>2</v>
      </c>
      <c r="DC28" s="51">
        <f t="shared" ca="1" si="25"/>
        <v>759966</v>
      </c>
      <c r="DO28">
        <f t="shared" si="26"/>
        <v>23</v>
      </c>
      <c r="DP28" s="6">
        <f ca="1">AVERAGE(BD$6:BD28)</f>
        <v>67.652173913043484</v>
      </c>
      <c r="DQ28" s="6">
        <f ca="1">AVERAGE(BE$6:BE28)</f>
        <v>66</v>
      </c>
      <c r="DR28" s="6">
        <f ca="1">AVERAGE(BF$6:BF28)</f>
        <v>62.285714285714285</v>
      </c>
      <c r="DS28" s="6">
        <f ca="1">AVERAGE(BG$6:BG28)</f>
        <v>61.083333333333336</v>
      </c>
      <c r="DT28" s="86">
        <f t="shared" ca="1" si="60"/>
        <v>70.441176470588232</v>
      </c>
      <c r="DU28" s="87">
        <f ca="1">AVERAGE($BD$6:BN28)</f>
        <v>64.041666666666671</v>
      </c>
      <c r="DX28">
        <f t="shared" si="27"/>
        <v>23</v>
      </c>
      <c r="DY28" s="1">
        <f>COUNTIF(AE$6:AE28,1)</f>
        <v>9</v>
      </c>
      <c r="DZ28" s="1">
        <f>COUNTIF(AF$6:AF28,1)</f>
        <v>4</v>
      </c>
      <c r="EA28" s="1">
        <f>COUNTIF(AG$6:AG28,1)</f>
        <v>9</v>
      </c>
      <c r="EB28" s="1">
        <f>COUNTIF(AH$6:AH28,1)</f>
        <v>1</v>
      </c>
      <c r="ED28">
        <f t="shared" si="28"/>
        <v>23</v>
      </c>
      <c r="EE28" s="1">
        <f>DY28+COUNTIF(AE$6:AE28,2)*0.01+COUNTIF(AE$6:AE28,3)*0.0001+COUNTIF(AE$6:AE28,4)*0.000001</f>
        <v>9.110002999999999</v>
      </c>
      <c r="EF28" s="1">
        <f>DZ28+COUNTIF(AF$6:AF28,2)*0.01+COUNTIF(AF$6:AF28,3)*0.0001+COUNTIF(AF$6:AF28,4)*0.000001</f>
        <v>4.0305010000000001</v>
      </c>
      <c r="EG28" s="1">
        <f>EA28+COUNTIF(AG$6:AG28,2)*0.01+COUNTIF(AG$6:AG28,3)*0.0001+COUNTIF(AG$6:AG28,4)*0.000001</f>
        <v>9.0604020000000016</v>
      </c>
      <c r="EH28" s="1">
        <f>EB28+COUNTIF(AH$6:AH28,2)*0.01+COUNTIF(AH$6:AH28,3)*0.0001+COUNTIF(AH$6:AH28,4)*0.000001</f>
        <v>1.020702</v>
      </c>
      <c r="EJ28">
        <f t="shared" si="29"/>
        <v>23</v>
      </c>
      <c r="EK28" s="2">
        <f>AVERAGE(FJ$6:FJ28)</f>
        <v>1.8695652173913044</v>
      </c>
      <c r="EL28" s="2">
        <f>AVERAGE(FK$6:FK28)</f>
        <v>2.2307692307692308</v>
      </c>
      <c r="EM28" s="2">
        <f>AVERAGE(FL$6:FL28)</f>
        <v>1.9523809523809523</v>
      </c>
      <c r="EN28" s="2">
        <f>AVERAGE(FM$6:FM28)</f>
        <v>2.8333333333333335</v>
      </c>
      <c r="EO28" s="3"/>
      <c r="EP28">
        <f t="shared" si="30"/>
        <v>23</v>
      </c>
      <c r="EQ28" s="1">
        <f t="shared" si="48"/>
        <v>52</v>
      </c>
      <c r="ER28" s="1">
        <f t="shared" si="61"/>
        <v>41</v>
      </c>
      <c r="ES28" s="1">
        <f t="shared" si="49"/>
        <v>49</v>
      </c>
      <c r="ET28" s="1">
        <f t="shared" si="69"/>
        <v>30</v>
      </c>
      <c r="EU28" s="3"/>
      <c r="EV28">
        <f t="shared" si="31"/>
        <v>23</v>
      </c>
      <c r="EW28" s="1">
        <f t="shared" si="50"/>
        <v>0</v>
      </c>
      <c r="EX28" s="1">
        <f t="shared" si="51"/>
        <v>11</v>
      </c>
      <c r="EY28" s="1">
        <f t="shared" si="52"/>
        <v>3</v>
      </c>
      <c r="EZ28" s="1">
        <f t="shared" si="64"/>
        <v>22</v>
      </c>
      <c r="FA28" s="3"/>
      <c r="FB28">
        <f t="shared" si="33"/>
        <v>23</v>
      </c>
      <c r="FC28" s="1">
        <f t="shared" si="34"/>
        <v>0</v>
      </c>
      <c r="FD28" s="1">
        <f t="shared" si="35"/>
        <v>-5</v>
      </c>
      <c r="FE28" s="1">
        <f t="shared" si="36"/>
        <v>0</v>
      </c>
      <c r="FF28" s="1">
        <f t="shared" si="65"/>
        <v>-8</v>
      </c>
      <c r="FG28">
        <f t="shared" si="37"/>
        <v>9</v>
      </c>
      <c r="FI28">
        <f t="shared" si="53"/>
        <v>23</v>
      </c>
      <c r="FJ28" s="1">
        <f t="shared" si="54"/>
        <v>1</v>
      </c>
      <c r="FK28" s="1">
        <f t="shared" si="55"/>
        <v>3</v>
      </c>
      <c r="FL28" s="1">
        <f t="shared" si="56"/>
        <v>4</v>
      </c>
      <c r="FM28" s="1">
        <f t="shared" si="57"/>
        <v>2</v>
      </c>
    </row>
    <row r="29" spans="2:169" x14ac:dyDescent="0.2">
      <c r="B29" s="8" t="s">
        <v>82</v>
      </c>
      <c r="C29" s="8" t="s">
        <v>79</v>
      </c>
      <c r="D29" s="8" t="s">
        <v>32</v>
      </c>
      <c r="E29" s="8" t="s">
        <v>83</v>
      </c>
      <c r="F29" s="88">
        <v>43994</v>
      </c>
      <c r="G29" s="56"/>
      <c r="H29" s="56"/>
      <c r="I29" s="56"/>
      <c r="J29" s="56"/>
      <c r="K29" s="56"/>
      <c r="N29">
        <v>24</v>
      </c>
      <c r="O29">
        <v>4</v>
      </c>
      <c r="P29" s="64" t="s">
        <v>9</v>
      </c>
      <c r="Q29" s="61" t="s">
        <v>125</v>
      </c>
      <c r="R29" s="63" t="s">
        <v>7</v>
      </c>
      <c r="S29" s="62" t="s">
        <v>6</v>
      </c>
      <c r="U29" s="8">
        <v>76</v>
      </c>
      <c r="V29" s="8">
        <v>64</v>
      </c>
      <c r="W29" s="8">
        <v>62</v>
      </c>
      <c r="X29" s="8">
        <v>58</v>
      </c>
      <c r="Z29" s="2">
        <f t="shared" ca="1" si="10"/>
        <v>12</v>
      </c>
      <c r="AA29" s="2">
        <f t="shared" ca="1" si="11"/>
        <v>18</v>
      </c>
      <c r="AC29">
        <f t="shared" si="85"/>
        <v>24</v>
      </c>
      <c r="AD29">
        <f t="shared" si="12"/>
        <v>4</v>
      </c>
      <c r="AE29" s="2">
        <f t="shared" si="39"/>
        <v>4</v>
      </c>
      <c r="AF29" s="2">
        <f t="shared" si="39"/>
        <v>3</v>
      </c>
      <c r="AG29" s="2">
        <f t="shared" si="39"/>
        <v>0</v>
      </c>
      <c r="AH29" s="2">
        <f t="shared" si="39"/>
        <v>1</v>
      </c>
      <c r="AI29" s="2">
        <f t="shared" si="39"/>
        <v>0</v>
      </c>
      <c r="AJ29" s="2">
        <f t="shared" si="39"/>
        <v>2</v>
      </c>
      <c r="AK29" s="2"/>
      <c r="AL29" s="2"/>
      <c r="AM29" s="2"/>
      <c r="AN29" s="2"/>
      <c r="AO29" s="2">
        <f t="shared" si="39"/>
        <v>0</v>
      </c>
      <c r="BD29" s="2">
        <f t="shared" ca="1" si="15"/>
        <v>58</v>
      </c>
      <c r="BE29" s="2">
        <f t="shared" ca="1" si="15"/>
        <v>62</v>
      </c>
      <c r="BF29" s="2"/>
      <c r="BG29" s="2">
        <f t="shared" ca="1" si="15"/>
        <v>76</v>
      </c>
      <c r="BH29" s="2"/>
      <c r="BI29" s="2">
        <f ca="1">IF(INDIRECT(ADDRESS(ROW($BC29),COLUMN($T29)+AJ29,4,1),TRUE)=0,"",INDIRECT(ADDRESS(ROW($BC29),COLUMN($T29)+AJ29,4,1),TRUE))</f>
        <v>64</v>
      </c>
      <c r="BJ29" s="2"/>
      <c r="BK29" s="2"/>
      <c r="BL29" s="2"/>
      <c r="BM29" s="2"/>
      <c r="BN29" s="2"/>
      <c r="BP29" s="28">
        <f t="shared" ca="1" si="16"/>
        <v>260</v>
      </c>
      <c r="BQ29" s="29">
        <f t="shared" ca="1" si="17"/>
        <v>65</v>
      </c>
      <c r="BT29" s="2">
        <f t="shared" ca="1" si="41"/>
        <v>1614</v>
      </c>
      <c r="BU29" s="2">
        <f t="shared" ca="1" si="42"/>
        <v>920</v>
      </c>
      <c r="BV29" s="2">
        <f t="shared" ca="1" si="43"/>
        <v>1308</v>
      </c>
      <c r="BW29" s="2">
        <f t="shared" ca="1" si="44"/>
        <v>809</v>
      </c>
      <c r="BX29" s="2">
        <f ca="1">BH29+BX28</f>
        <v>97</v>
      </c>
      <c r="BY29" s="2">
        <f ca="1">BI29+BY28</f>
        <v>64</v>
      </c>
      <c r="BZ29" s="2"/>
      <c r="CA29" s="2"/>
      <c r="CB29" s="2"/>
      <c r="CC29" s="2"/>
      <c r="CD29" s="2">
        <f ca="1">BN29+CD28</f>
        <v>59</v>
      </c>
      <c r="CG29" s="1">
        <f t="shared" ca="1" si="58"/>
        <v>22</v>
      </c>
      <c r="CH29" s="1">
        <f t="shared" ca="1" si="18"/>
        <v>76</v>
      </c>
      <c r="CI29" s="1" t="str">
        <f t="shared" ca="1" si="19"/>
        <v>Justyna</v>
      </c>
      <c r="CJ29" s="13">
        <f t="shared" ca="1" si="20"/>
        <v>20</v>
      </c>
      <c r="CK29">
        <f t="shared" ca="1" si="21"/>
        <v>1</v>
      </c>
      <c r="CL29" s="55">
        <f t="shared" ca="1" si="22"/>
        <v>4</v>
      </c>
      <c r="CO29" s="39" t="s">
        <v>128</v>
      </c>
      <c r="CP29" s="24">
        <f ca="1">MAX(BD6:BD35)</f>
        <v>95</v>
      </c>
      <c r="CQ29" t="s">
        <v>130</v>
      </c>
      <c r="CW29" s="93">
        <f t="shared" si="59"/>
        <v>24</v>
      </c>
      <c r="CX29" s="51">
        <f t="shared" ca="1" si="73"/>
        <v>559976</v>
      </c>
      <c r="CY29" s="52">
        <f ca="1">BE9</f>
        <v>56</v>
      </c>
      <c r="CZ29" s="51" t="str">
        <f t="shared" si="86"/>
        <v>Marcin</v>
      </c>
      <c r="DA29" s="77">
        <v>4</v>
      </c>
      <c r="DB29" s="77">
        <v>3</v>
      </c>
      <c r="DC29" s="51">
        <f t="shared" ca="1" si="25"/>
        <v>759940</v>
      </c>
      <c r="DO29">
        <f t="shared" si="26"/>
        <v>24</v>
      </c>
      <c r="DP29" s="6">
        <f ca="1">AVERAGE(BD$6:BD29)</f>
        <v>67.25</v>
      </c>
      <c r="DQ29" s="6">
        <f ca="1">AVERAGE(BE$6:BE29)</f>
        <v>65.714285714285708</v>
      </c>
      <c r="DR29" s="6">
        <f ca="1">AVERAGE(BF$6:BF29)</f>
        <v>62.285714285714285</v>
      </c>
      <c r="DS29" s="6">
        <f ca="1">AVERAGE(BG$6:BG29)</f>
        <v>62.230769230769234</v>
      </c>
      <c r="DT29" s="86">
        <f t="shared" ca="1" si="60"/>
        <v>70.441176470588232</v>
      </c>
      <c r="DU29" s="87">
        <f ca="1">AVERAGE($BD$6:BN29)</f>
        <v>64.09210526315789</v>
      </c>
      <c r="DX29">
        <f t="shared" si="27"/>
        <v>24</v>
      </c>
      <c r="DY29" s="1">
        <f>COUNTIF(AE$6:AE29,1)</f>
        <v>9</v>
      </c>
      <c r="DZ29" s="1">
        <f>COUNTIF(AF$6:AF29,1)</f>
        <v>4</v>
      </c>
      <c r="EA29" s="1">
        <f>COUNTIF(AG$6:AG29,1)</f>
        <v>9</v>
      </c>
      <c r="EB29" s="1">
        <f>COUNTIF(AH$6:AH29,1)</f>
        <v>2</v>
      </c>
      <c r="ED29">
        <f t="shared" si="28"/>
        <v>24</v>
      </c>
      <c r="EE29" s="1">
        <f>DY29+COUNTIF(AE$6:AE29,2)*0.01+COUNTIF(AE$6:AE29,3)*0.0001+COUNTIF(AE$6:AE29,4)*0.000001</f>
        <v>9.110004</v>
      </c>
      <c r="EF29" s="1">
        <f>DZ29+COUNTIF(AF$6:AF29,2)*0.01+COUNTIF(AF$6:AF29,3)*0.0001+COUNTIF(AF$6:AF29,4)*0.000001</f>
        <v>4.0306010000000008</v>
      </c>
      <c r="EG29" s="1">
        <f>EA29+COUNTIF(AG$6:AG29,2)*0.01+COUNTIF(AG$6:AG29,3)*0.0001+COUNTIF(AG$6:AG29,4)*0.000001</f>
        <v>9.0604020000000016</v>
      </c>
      <c r="EH29" s="1">
        <f>EB29+COUNTIF(AH$6:AH29,2)*0.01+COUNTIF(AH$6:AH29,3)*0.0001+COUNTIF(AH$6:AH29,4)*0.000001</f>
        <v>2.020702</v>
      </c>
      <c r="EJ29">
        <f t="shared" si="29"/>
        <v>24</v>
      </c>
      <c r="EK29" s="2">
        <f>AVERAGE(FJ$6:FJ29)</f>
        <v>1.9583333333333333</v>
      </c>
      <c r="EL29" s="2">
        <f>AVERAGE(FK$6:FK29)</f>
        <v>2.2857142857142856</v>
      </c>
      <c r="EM29" s="2">
        <f>AVERAGE(FL$6:FL29)</f>
        <v>1.9523809523809523</v>
      </c>
      <c r="EN29" s="2">
        <f>AVERAGE(FM$6:FM29)</f>
        <v>2.6923076923076925</v>
      </c>
      <c r="EP29">
        <f t="shared" si="30"/>
        <v>24</v>
      </c>
      <c r="EQ29" s="1">
        <f t="shared" si="48"/>
        <v>53</v>
      </c>
      <c r="ER29" s="1">
        <f t="shared" si="61"/>
        <v>43</v>
      </c>
      <c r="ES29" s="1">
        <f t="shared" si="49"/>
        <v>50</v>
      </c>
      <c r="ET29" s="1">
        <f t="shared" si="69"/>
        <v>34</v>
      </c>
      <c r="EV29">
        <f t="shared" si="31"/>
        <v>24</v>
      </c>
      <c r="EW29" s="1">
        <f t="shared" ref="EW29" si="87">MAX($EQ29:$ET29)-EQ29</f>
        <v>0</v>
      </c>
      <c r="EX29" s="1">
        <f t="shared" ref="EX29" si="88">MAX($EQ29:$ET29)-ER29</f>
        <v>10</v>
      </c>
      <c r="EY29" s="1">
        <f t="shared" ref="EY29" si="89">MAX($EQ29:$ET29)-ES29</f>
        <v>3</v>
      </c>
      <c r="EZ29" s="1">
        <f t="shared" ref="EZ29" si="90">MAX($EQ29:$ET29)-ET29</f>
        <v>19</v>
      </c>
      <c r="FB29">
        <f t="shared" si="33"/>
        <v>24</v>
      </c>
      <c r="FC29" s="1">
        <f t="shared" ref="FC29" si="91">DY29-$FG29</f>
        <v>0</v>
      </c>
      <c r="FD29" s="1">
        <f t="shared" ref="FD29" si="92">DZ29-$FG29</f>
        <v>-5</v>
      </c>
      <c r="FE29" s="1">
        <f t="shared" ref="FE29" si="93">EA29-$FG29</f>
        <v>0</v>
      </c>
      <c r="FF29" s="1">
        <f t="shared" ref="FF29" si="94">EB29-$FG29</f>
        <v>-7</v>
      </c>
      <c r="FG29">
        <f t="shared" ref="FG29" si="95">MAX(DY29:EB29)</f>
        <v>9</v>
      </c>
      <c r="FI29">
        <f t="shared" si="53"/>
        <v>24</v>
      </c>
      <c r="FJ29" s="1">
        <f t="shared" si="54"/>
        <v>4</v>
      </c>
      <c r="FK29" s="1">
        <f t="shared" si="55"/>
        <v>3</v>
      </c>
      <c r="FL29" s="1" t="str">
        <f t="shared" si="56"/>
        <v>nie grał</v>
      </c>
      <c r="FM29" s="1">
        <f t="shared" si="57"/>
        <v>1</v>
      </c>
    </row>
    <row r="30" spans="2:169" x14ac:dyDescent="0.2">
      <c r="B30" s="8" t="s">
        <v>81</v>
      </c>
      <c r="C30" s="8" t="s">
        <v>32</v>
      </c>
      <c r="D30" s="8" t="s">
        <v>79</v>
      </c>
      <c r="E30" s="1"/>
      <c r="F30" s="88">
        <v>44005</v>
      </c>
      <c r="N30">
        <v>25</v>
      </c>
      <c r="O30">
        <v>3</v>
      </c>
      <c r="P30" s="63" t="s">
        <v>7</v>
      </c>
      <c r="Q30" s="62" t="s">
        <v>6</v>
      </c>
      <c r="R30" s="61" t="s">
        <v>125</v>
      </c>
      <c r="S30" s="1"/>
      <c r="U30" s="8">
        <v>71</v>
      </c>
      <c r="V30" s="8">
        <v>70</v>
      </c>
      <c r="W30" s="8">
        <v>58</v>
      </c>
      <c r="X30" s="8"/>
      <c r="Z30" s="2">
        <f t="shared" ca="1" si="10"/>
        <v>1</v>
      </c>
      <c r="AA30" s="2">
        <f t="shared" ca="1" si="11"/>
        <v>13</v>
      </c>
      <c r="AC30">
        <f t="shared" si="85"/>
        <v>25</v>
      </c>
      <c r="AD30">
        <f t="shared" si="12"/>
        <v>3</v>
      </c>
      <c r="AE30" s="2">
        <f t="shared" si="39"/>
        <v>2</v>
      </c>
      <c r="AF30" s="2">
        <f t="shared" si="39"/>
        <v>1</v>
      </c>
      <c r="AG30" s="2">
        <f t="shared" si="39"/>
        <v>0</v>
      </c>
      <c r="AH30" s="2">
        <f t="shared" si="39"/>
        <v>0</v>
      </c>
      <c r="AI30" s="2">
        <f t="shared" si="39"/>
        <v>0</v>
      </c>
      <c r="AJ30" s="2">
        <f t="shared" si="39"/>
        <v>3</v>
      </c>
      <c r="AK30" s="2"/>
      <c r="AL30" s="2"/>
      <c r="AM30" s="2"/>
      <c r="AN30" s="2"/>
      <c r="AO30" s="2">
        <f t="shared" si="39"/>
        <v>0</v>
      </c>
      <c r="BD30" s="2">
        <f t="shared" ca="1" si="15"/>
        <v>70</v>
      </c>
      <c r="BE30" s="2">
        <f t="shared" ca="1" si="15"/>
        <v>71</v>
      </c>
      <c r="BF30" s="2"/>
      <c r="BG30" s="2"/>
      <c r="BH30" s="2"/>
      <c r="BI30" s="2">
        <f ca="1">IF(INDIRECT(ADDRESS(ROW($BC30),COLUMN($T30)+AJ30,4,1),TRUE)=0,"",INDIRECT(ADDRESS(ROW($BC30),COLUMN($T30)+AJ30,4,1),TRUE))</f>
        <v>58</v>
      </c>
      <c r="BJ30" s="2"/>
      <c r="BK30" s="2"/>
      <c r="BL30" s="2"/>
      <c r="BM30" s="2"/>
      <c r="BN30" s="2"/>
      <c r="BP30" s="28">
        <f t="shared" ref="BP30" ca="1" si="96">SUM(BD30:BN30)</f>
        <v>199</v>
      </c>
      <c r="BQ30" s="29">
        <f t="shared" ca="1" si="17"/>
        <v>66.333333333333329</v>
      </c>
      <c r="BT30" s="2">
        <f t="shared" ref="BT30" ca="1" si="97">BD30+BT29</f>
        <v>1684</v>
      </c>
      <c r="BU30" s="2">
        <f t="shared" ref="BU30" ca="1" si="98">BE30+BU29</f>
        <v>991</v>
      </c>
      <c r="BV30" s="2">
        <f t="shared" ref="BV30" ca="1" si="99">BF30+BV29</f>
        <v>1308</v>
      </c>
      <c r="BW30" s="2">
        <f t="shared" ref="BW30" ca="1" si="100">BG30+BW29</f>
        <v>809</v>
      </c>
      <c r="BX30" s="2">
        <f t="shared" ref="BX30" ca="1" si="101">BH30+BX29</f>
        <v>97</v>
      </c>
      <c r="BY30" s="2">
        <f t="shared" ref="BY30" ca="1" si="102">BI30+BY29</f>
        <v>122</v>
      </c>
      <c r="BZ30" s="2"/>
      <c r="CA30" s="2"/>
      <c r="CB30" s="2"/>
      <c r="CC30" s="2"/>
      <c r="CD30" s="2">
        <f ca="1">BN30+CD29</f>
        <v>59</v>
      </c>
      <c r="CG30" s="1">
        <f t="shared" ca="1" si="58"/>
        <v>22</v>
      </c>
      <c r="CH30" s="1">
        <f t="shared" ca="1" si="18"/>
        <v>76</v>
      </c>
      <c r="CI30" s="1" t="str">
        <f t="shared" ca="1" si="19"/>
        <v>Agnieszka</v>
      </c>
      <c r="CJ30" s="13">
        <f t="shared" ca="1" si="20"/>
        <v>24</v>
      </c>
      <c r="CK30">
        <f t="shared" ca="1" si="21"/>
        <v>1</v>
      </c>
      <c r="CL30" s="55">
        <f t="shared" ca="1" si="22"/>
        <v>4</v>
      </c>
      <c r="CO30" s="39" t="s">
        <v>129</v>
      </c>
      <c r="CP30" s="24">
        <f ca="1">MIN(BD6:BD35)</f>
        <v>39</v>
      </c>
      <c r="CQ30" t="s">
        <v>130</v>
      </c>
      <c r="CW30" s="93">
        <f t="shared" si="59"/>
        <v>25</v>
      </c>
      <c r="CX30" s="51">
        <f t="shared" ca="1" si="73"/>
        <v>509975</v>
      </c>
      <c r="CY30" s="52">
        <f ca="1">BE11</f>
        <v>51</v>
      </c>
      <c r="CZ30" s="51" t="str">
        <f t="shared" si="86"/>
        <v>Marcin</v>
      </c>
      <c r="DA30" s="77">
        <v>6</v>
      </c>
      <c r="DB30" s="77">
        <v>3</v>
      </c>
      <c r="DC30" s="51">
        <f t="shared" ca="1" si="25"/>
        <v>759925</v>
      </c>
      <c r="DO30">
        <f t="shared" si="26"/>
        <v>25</v>
      </c>
      <c r="DP30" s="6">
        <f ca="1">AVERAGE(BD$6:BD30)</f>
        <v>67.36</v>
      </c>
      <c r="DQ30" s="6">
        <f ca="1">AVERAGE(BE$6:BE30)</f>
        <v>66.066666666666663</v>
      </c>
      <c r="DR30" s="6">
        <f ca="1">AVERAGE(BF$6:BF30)</f>
        <v>62.285714285714285</v>
      </c>
      <c r="DS30" s="6">
        <f ca="1">AVERAGE(BG$6:BG30)</f>
        <v>62.230769230769234</v>
      </c>
      <c r="DT30" s="86">
        <f t="shared" ca="1" si="60"/>
        <v>70.441176470588232</v>
      </c>
      <c r="DU30" s="87">
        <f ca="1">AVERAGE($BD$6:BN30)</f>
        <v>64.177215189873422</v>
      </c>
      <c r="DX30">
        <f t="shared" si="27"/>
        <v>25</v>
      </c>
      <c r="DY30" s="1">
        <f>COUNTIF(AE$6:AE30,1)</f>
        <v>9</v>
      </c>
      <c r="DZ30" s="1">
        <f>COUNTIF(AF$6:AF30,1)</f>
        <v>5</v>
      </c>
      <c r="EA30" s="1">
        <f>COUNTIF(AG$6:AG30,1)</f>
        <v>9</v>
      </c>
      <c r="EB30" s="1">
        <f>COUNTIF(AH$6:AH30,1)</f>
        <v>2</v>
      </c>
      <c r="ED30">
        <f t="shared" si="28"/>
        <v>25</v>
      </c>
      <c r="EE30" s="1">
        <f>DY30+COUNTIF(AE$6:AE30,2)*0.01+COUNTIF(AE$6:AE30,3)*0.0001+COUNTIF(AE$6:AE30,4)*0.000001</f>
        <v>9.1200039999999998</v>
      </c>
      <c r="EF30" s="1">
        <f>DZ30+COUNTIF(AF$6:AF30,2)*0.01+COUNTIF(AF$6:AF30,3)*0.0001+COUNTIF(AF$6:AF30,4)*0.000001</f>
        <v>5.0306010000000008</v>
      </c>
      <c r="EG30" s="1">
        <f>EA30+COUNTIF(AG$6:AG30,2)*0.01+COUNTIF(AG$6:AG30,3)*0.0001+COUNTIF(AG$6:AG30,4)*0.000001</f>
        <v>9.0604020000000016</v>
      </c>
      <c r="EH30" s="1">
        <f>EB30+COUNTIF(AH$6:AH30,2)*0.01+COUNTIF(AH$6:AH30,3)*0.0001+COUNTIF(AH$6:AH30,4)*0.000001</f>
        <v>2.020702</v>
      </c>
      <c r="EJ30">
        <f t="shared" si="29"/>
        <v>25</v>
      </c>
      <c r="EK30" s="2">
        <f>AVERAGE(FJ$6:FJ30)</f>
        <v>1.96</v>
      </c>
      <c r="EL30" s="2">
        <f>AVERAGE(FK$6:FK30)</f>
        <v>2.2000000000000002</v>
      </c>
      <c r="EM30" s="2">
        <f>AVERAGE(FL$6:FL30)</f>
        <v>1.9523809523809523</v>
      </c>
      <c r="EN30" s="2">
        <f>AVERAGE(FM$6:FM30)</f>
        <v>2.6923076923076925</v>
      </c>
      <c r="EP30">
        <f t="shared" si="30"/>
        <v>25</v>
      </c>
      <c r="EQ30" s="1">
        <f t="shared" si="48"/>
        <v>55</v>
      </c>
      <c r="ER30" s="1">
        <f t="shared" si="61"/>
        <v>46</v>
      </c>
      <c r="ES30" s="1">
        <f t="shared" si="49"/>
        <v>51</v>
      </c>
      <c r="ET30" s="1">
        <f t="shared" si="69"/>
        <v>35</v>
      </c>
      <c r="EV30">
        <f t="shared" si="31"/>
        <v>25</v>
      </c>
      <c r="EW30" s="1">
        <f t="shared" ref="EW30" si="103">MAX($EQ30:$ET30)-EQ30</f>
        <v>0</v>
      </c>
      <c r="EX30" s="1">
        <f t="shared" ref="EX30" si="104">MAX($EQ30:$ET30)-ER30</f>
        <v>9</v>
      </c>
      <c r="EY30" s="1">
        <f t="shared" ref="EY30" si="105">MAX($EQ30:$ET30)-ES30</f>
        <v>4</v>
      </c>
      <c r="EZ30" s="1">
        <f t="shared" ref="EZ30" si="106">MAX($EQ30:$ET30)-ET30</f>
        <v>20</v>
      </c>
      <c r="FB30">
        <f t="shared" si="33"/>
        <v>25</v>
      </c>
      <c r="FC30" s="1">
        <f t="shared" ref="FC30" si="107">DY30-$FG30</f>
        <v>0</v>
      </c>
      <c r="FD30" s="1">
        <f t="shared" ref="FD30" si="108">DZ30-$FG30</f>
        <v>-4</v>
      </c>
      <c r="FE30" s="1">
        <f t="shared" ref="FE30" si="109">EA30-$FG30</f>
        <v>0</v>
      </c>
      <c r="FF30" s="1">
        <f t="shared" ref="FF30" si="110">EB30-$FG30</f>
        <v>-7</v>
      </c>
      <c r="FG30">
        <f t="shared" ref="FG30:FG32" si="111">MAX(DY30:EB30)</f>
        <v>9</v>
      </c>
      <c r="FI30">
        <f t="shared" si="53"/>
        <v>25</v>
      </c>
      <c r="FJ30" s="1">
        <f t="shared" si="54"/>
        <v>2</v>
      </c>
      <c r="FK30" s="1">
        <f t="shared" si="55"/>
        <v>1</v>
      </c>
      <c r="FL30" s="1" t="str">
        <f t="shared" si="56"/>
        <v>nie grał</v>
      </c>
      <c r="FM30" s="1" t="str">
        <f t="shared" si="57"/>
        <v>nie grał</v>
      </c>
    </row>
    <row r="31" spans="2:169" x14ac:dyDescent="0.2">
      <c r="B31" s="8" t="s">
        <v>79</v>
      </c>
      <c r="C31" s="8" t="s">
        <v>82</v>
      </c>
      <c r="D31" s="1" t="s">
        <v>84</v>
      </c>
      <c r="E31" s="8" t="s">
        <v>81</v>
      </c>
      <c r="F31" s="88">
        <v>44012</v>
      </c>
      <c r="N31">
        <v>26</v>
      </c>
      <c r="O31">
        <v>4</v>
      </c>
      <c r="P31" s="63" t="s">
        <v>7</v>
      </c>
      <c r="Q31" s="62" t="s">
        <v>6</v>
      </c>
      <c r="R31" s="64" t="s">
        <v>9</v>
      </c>
      <c r="S31" s="61" t="s">
        <v>125</v>
      </c>
      <c r="U31" s="8">
        <v>89</v>
      </c>
      <c r="V31" s="8">
        <v>85</v>
      </c>
      <c r="W31" s="8">
        <v>85</v>
      </c>
      <c r="X31" s="8">
        <v>49</v>
      </c>
      <c r="Z31" s="2">
        <f t="shared" ca="1" si="10"/>
        <v>4</v>
      </c>
      <c r="AA31" s="2">
        <f t="shared" ca="1" si="11"/>
        <v>40</v>
      </c>
      <c r="AC31">
        <f t="shared" si="85"/>
        <v>26</v>
      </c>
      <c r="AD31">
        <f t="shared" si="12"/>
        <v>4</v>
      </c>
      <c r="AE31" s="2">
        <f t="shared" si="39"/>
        <v>2</v>
      </c>
      <c r="AF31" s="2">
        <f t="shared" si="39"/>
        <v>1</v>
      </c>
      <c r="AG31" s="2">
        <f t="shared" si="39"/>
        <v>0</v>
      </c>
      <c r="AH31" s="2">
        <f t="shared" si="39"/>
        <v>3</v>
      </c>
      <c r="AI31" s="2">
        <f t="shared" si="39"/>
        <v>0</v>
      </c>
      <c r="AJ31" s="2">
        <f t="shared" si="39"/>
        <v>4</v>
      </c>
      <c r="AK31" s="2"/>
      <c r="AL31" s="2"/>
      <c r="AM31" s="2"/>
      <c r="AN31" s="2"/>
      <c r="AO31" s="2">
        <f t="shared" si="39"/>
        <v>0</v>
      </c>
      <c r="BD31" s="2">
        <f t="shared" ca="1" si="15"/>
        <v>85</v>
      </c>
      <c r="BE31" s="2">
        <f t="shared" ca="1" si="15"/>
        <v>89</v>
      </c>
      <c r="BF31" s="2"/>
      <c r="BG31" s="2">
        <f t="shared" ca="1" si="15"/>
        <v>85</v>
      </c>
      <c r="BH31" s="2"/>
      <c r="BI31" s="2">
        <f ca="1">IF(INDIRECT(ADDRESS(ROW($BC31),COLUMN($T31)+AJ31,4,1),TRUE)=0,"",INDIRECT(ADDRESS(ROW($BC31),COLUMN($T31)+AJ31,4,1),TRUE))</f>
        <v>49</v>
      </c>
      <c r="BJ31" s="2"/>
      <c r="BK31" s="2"/>
      <c r="BL31" s="2"/>
      <c r="BM31" s="2"/>
      <c r="BN31" s="2"/>
      <c r="BP31" s="28">
        <f t="shared" ref="BP31" ca="1" si="112">SUM(BD31:BN31)</f>
        <v>308</v>
      </c>
      <c r="BQ31" s="29">
        <f t="shared" ref="BQ31" ca="1" si="113">BP31/AD31</f>
        <v>77</v>
      </c>
      <c r="BT31" s="2">
        <f t="shared" ref="BT31" ca="1" si="114">BD31+BT30</f>
        <v>1769</v>
      </c>
      <c r="BU31" s="2">
        <f t="shared" ref="BU31" ca="1" si="115">BE31+BU30</f>
        <v>1080</v>
      </c>
      <c r="BV31" s="2">
        <f t="shared" ref="BV31" ca="1" si="116">BF31+BV30</f>
        <v>1308</v>
      </c>
      <c r="BW31" s="2">
        <f t="shared" ref="BW31" ca="1" si="117">BG31+BW30</f>
        <v>894</v>
      </c>
      <c r="BX31" s="2">
        <f t="shared" ref="BX31" ca="1" si="118">BH31+BX30</f>
        <v>97</v>
      </c>
      <c r="BY31" s="2">
        <f t="shared" ref="BY31" ca="1" si="119">BI31+BY30</f>
        <v>171</v>
      </c>
      <c r="BZ31" s="2"/>
      <c r="CA31" s="2"/>
      <c r="CB31" s="2"/>
      <c r="CC31" s="2"/>
      <c r="CD31" s="2">
        <f ca="1">BN31+CD30</f>
        <v>59</v>
      </c>
      <c r="CG31" s="1">
        <f t="shared" ca="1" si="58"/>
        <v>26</v>
      </c>
      <c r="CH31" s="1">
        <f t="shared" ca="1" si="18"/>
        <v>75</v>
      </c>
      <c r="CI31" s="1" t="str">
        <f t="shared" ca="1" si="19"/>
        <v>Justyna</v>
      </c>
      <c r="CJ31" s="13">
        <f t="shared" ca="1" si="20"/>
        <v>13</v>
      </c>
      <c r="CK31">
        <f t="shared" ca="1" si="21"/>
        <v>1</v>
      </c>
      <c r="CL31" s="55">
        <f t="shared" ca="1" si="22"/>
        <v>3</v>
      </c>
      <c r="CO31" s="45" t="s">
        <v>73</v>
      </c>
      <c r="CP31" s="46">
        <f ca="1">COUNTIF(BD6:BD39,"&gt;=80")</f>
        <v>8</v>
      </c>
      <c r="CQ31" s="10" t="s">
        <v>70</v>
      </c>
      <c r="CW31" s="93">
        <f t="shared" si="59"/>
        <v>26</v>
      </c>
      <c r="CX31" s="51">
        <f t="shared" ca="1" si="73"/>
        <v>639974</v>
      </c>
      <c r="CY31" s="52">
        <f ca="1">BE12</f>
        <v>64</v>
      </c>
      <c r="CZ31" s="51" t="str">
        <f t="shared" si="86"/>
        <v>Marcin</v>
      </c>
      <c r="DA31" s="77">
        <v>7</v>
      </c>
      <c r="DB31" s="77">
        <v>2</v>
      </c>
      <c r="DC31" s="51">
        <f t="shared" ca="1" si="25"/>
        <v>749962</v>
      </c>
      <c r="DO31">
        <f t="shared" si="26"/>
        <v>26</v>
      </c>
      <c r="DP31" s="6">
        <f ca="1">AVERAGE(BD$6:BD31)</f>
        <v>68.038461538461533</v>
      </c>
      <c r="DQ31" s="6">
        <f ca="1">AVERAGE(BE$6:BE31)</f>
        <v>67.5</v>
      </c>
      <c r="DR31" s="6">
        <f ca="1">AVERAGE(BF$6:BF31)</f>
        <v>62.285714285714285</v>
      </c>
      <c r="DS31" s="6">
        <f ca="1">AVERAGE(BG$6:BG31)</f>
        <v>63.857142857142854</v>
      </c>
      <c r="DT31" s="86">
        <f t="shared" ca="1" si="60"/>
        <v>70.441176470588232</v>
      </c>
      <c r="DU31" s="87">
        <f ca="1">AVERAGE($BD$6:BN31)</f>
        <v>64.795180722891573</v>
      </c>
      <c r="DX31">
        <f t="shared" si="27"/>
        <v>26</v>
      </c>
      <c r="DY31" s="1">
        <f>COUNTIF(AE$6:AE31,1)</f>
        <v>9</v>
      </c>
      <c r="DZ31" s="1">
        <f>COUNTIF(AF$6:AF31,1)</f>
        <v>6</v>
      </c>
      <c r="EA31" s="1">
        <f>COUNTIF(AG$6:AG31,1)</f>
        <v>9</v>
      </c>
      <c r="EB31" s="1">
        <f>COUNTIF(AH$6:AH31,1)</f>
        <v>2</v>
      </c>
      <c r="ED31">
        <f t="shared" si="28"/>
        <v>26</v>
      </c>
      <c r="EE31" s="1">
        <f>DY31+COUNTIF(AE$6:AE31,2)*0.01+COUNTIF(AE$6:AE31,3)*0.0001+COUNTIF(AE$6:AE31,4)*0.000001</f>
        <v>9.1300040000000013</v>
      </c>
      <c r="EF31" s="1">
        <f>DZ31+COUNTIF(AF$6:AF31,2)*0.01+COUNTIF(AF$6:AF31,3)*0.0001+COUNTIF(AF$6:AF31,4)*0.000001</f>
        <v>6.0306010000000008</v>
      </c>
      <c r="EG31" s="1">
        <f>EA31+COUNTIF(AG$6:AG31,2)*0.01+COUNTIF(AG$6:AG31,3)*0.0001+COUNTIF(AG$6:AG31,4)*0.000001</f>
        <v>9.0604020000000016</v>
      </c>
      <c r="EH31" s="1">
        <f>EB31+COUNTIF(AH$6:AH31,2)*0.01+COUNTIF(AH$6:AH31,3)*0.0001+COUNTIF(AH$6:AH31,4)*0.000001</f>
        <v>2.0208019999999998</v>
      </c>
      <c r="EJ31">
        <f t="shared" si="29"/>
        <v>26</v>
      </c>
      <c r="EK31" s="2">
        <f>AVERAGE(FJ$6:FJ31)</f>
        <v>1.9615384615384615</v>
      </c>
      <c r="EL31" s="2">
        <f>AVERAGE(FK$6:FK31)</f>
        <v>2.125</v>
      </c>
      <c r="EM31" s="2">
        <f>AVERAGE(FL$6:FL31)</f>
        <v>1.9523809523809523</v>
      </c>
      <c r="EN31" s="2">
        <f>AVERAGE(FM$6:FM31)</f>
        <v>2.7142857142857144</v>
      </c>
      <c r="EP31">
        <f t="shared" si="30"/>
        <v>26</v>
      </c>
      <c r="EQ31" s="1">
        <f t="shared" ref="EQ31" si="120">IF(AE31=0,0,IF($AD31=2,3-AE31,IF($AD31=3,4-AE31,IF($AD31=4,5-AE31,"tekst"))))+IF(AE31=MIN($AE31:$AO31),1,0)+EQ30</f>
        <v>58</v>
      </c>
      <c r="ER31" s="1">
        <f t="shared" ref="ER31" si="121">IF(AF31=0,0,IF($AD31=2,3-AF31,IF($AD31=3,4-AF31,IF($AD31=4,5-AF31,"tekst"))))+IF(AF31=MIN($AE31:$AO31),1,0)+ER30</f>
        <v>50</v>
      </c>
      <c r="ES31" s="1">
        <f t="shared" ref="ES31" si="122">IF(AG31=0,0,IF($AD31=2,3-AG31,IF($AD31=3,4-AG31,IF($AD31=4,5-AG31,"tekst"))))+IF(AG31=MIN($AE31:$AO31),1,0)+ES30</f>
        <v>52</v>
      </c>
      <c r="ET31" s="1">
        <f t="shared" ref="ET31" si="123">IF(AH31=0,0,IF($AD31=2,3-AH31,IF($AD31=3,4-AH31,IF($AD31=4,5-AH31,"tekst"))))+IF(AH31=MIN($AE31:$AO31),1,0)+ET30</f>
        <v>37</v>
      </c>
      <c r="EV31">
        <f t="shared" si="31"/>
        <v>26</v>
      </c>
      <c r="EW31" s="1">
        <f t="shared" ref="EW31" si="124">MAX($EQ31:$ET31)-EQ31</f>
        <v>0</v>
      </c>
      <c r="EX31" s="1">
        <f t="shared" ref="EX31" si="125">MAX($EQ31:$ET31)-ER31</f>
        <v>8</v>
      </c>
      <c r="EY31" s="1">
        <f t="shared" ref="EY31" si="126">MAX($EQ31:$ET31)-ES31</f>
        <v>6</v>
      </c>
      <c r="EZ31" s="1">
        <f t="shared" ref="EZ31" si="127">MAX($EQ31:$ET31)-ET31</f>
        <v>21</v>
      </c>
      <c r="FB31">
        <f t="shared" si="33"/>
        <v>26</v>
      </c>
      <c r="FC31" s="1">
        <f t="shared" ref="FC31" si="128">DY31-$FG31</f>
        <v>0</v>
      </c>
      <c r="FD31" s="1">
        <f t="shared" ref="FD31" si="129">DZ31-$FG31</f>
        <v>-3</v>
      </c>
      <c r="FE31" s="1">
        <f t="shared" ref="FE31" si="130">EA31-$FG31</f>
        <v>0</v>
      </c>
      <c r="FF31" s="1">
        <f t="shared" ref="FF31" si="131">EB31-$FG31</f>
        <v>-7</v>
      </c>
      <c r="FG31">
        <f t="shared" si="111"/>
        <v>9</v>
      </c>
      <c r="FI31">
        <f t="shared" si="53"/>
        <v>26</v>
      </c>
      <c r="FJ31" s="1">
        <f t="shared" si="54"/>
        <v>2</v>
      </c>
      <c r="FK31" s="1">
        <f t="shared" si="55"/>
        <v>1</v>
      </c>
      <c r="FL31" s="1" t="str">
        <f t="shared" si="56"/>
        <v>nie grał</v>
      </c>
      <c r="FM31" s="1">
        <f t="shared" si="57"/>
        <v>3</v>
      </c>
    </row>
    <row r="32" spans="2:169" x14ac:dyDescent="0.2">
      <c r="B32" s="8" t="s">
        <v>32</v>
      </c>
      <c r="C32" s="8" t="s">
        <v>81</v>
      </c>
      <c r="D32" s="8" t="s">
        <v>83</v>
      </c>
      <c r="E32" s="1" t="s">
        <v>84</v>
      </c>
      <c r="F32" s="88">
        <v>44121</v>
      </c>
      <c r="N32">
        <v>27</v>
      </c>
      <c r="O32">
        <v>4</v>
      </c>
      <c r="P32" s="62" t="s">
        <v>6</v>
      </c>
      <c r="Q32" s="63" t="s">
        <v>8</v>
      </c>
      <c r="R32" s="61" t="s">
        <v>125</v>
      </c>
      <c r="S32" s="64" t="s">
        <v>9</v>
      </c>
      <c r="U32" s="8">
        <v>73</v>
      </c>
      <c r="V32" s="8">
        <v>67</v>
      </c>
      <c r="W32" s="8">
        <v>59</v>
      </c>
      <c r="X32" s="8">
        <v>39</v>
      </c>
      <c r="Z32" s="2">
        <f t="shared" ca="1" si="10"/>
        <v>6</v>
      </c>
      <c r="AA32" s="2">
        <f t="shared" ca="1" si="11"/>
        <v>34</v>
      </c>
      <c r="AC32">
        <f t="shared" si="85"/>
        <v>27</v>
      </c>
      <c r="AD32">
        <f t="shared" si="12"/>
        <v>4</v>
      </c>
      <c r="AE32" s="2">
        <f t="shared" si="39"/>
        <v>1</v>
      </c>
      <c r="AF32" s="2">
        <f t="shared" si="39"/>
        <v>0</v>
      </c>
      <c r="AG32" s="2">
        <f t="shared" si="39"/>
        <v>2</v>
      </c>
      <c r="AH32" s="2">
        <f t="shared" si="39"/>
        <v>4</v>
      </c>
      <c r="AI32" s="2">
        <f t="shared" si="39"/>
        <v>0</v>
      </c>
      <c r="AJ32" s="2">
        <f t="shared" si="39"/>
        <v>3</v>
      </c>
      <c r="AK32" s="2"/>
      <c r="AL32" s="2"/>
      <c r="AM32" s="2"/>
      <c r="AN32" s="2"/>
      <c r="AO32" s="2">
        <f t="shared" si="39"/>
        <v>0</v>
      </c>
      <c r="BD32" s="2">
        <f t="shared" ca="1" si="15"/>
        <v>73</v>
      </c>
      <c r="BE32" s="2"/>
      <c r="BF32" s="2">
        <f t="shared" ca="1" si="15"/>
        <v>67</v>
      </c>
      <c r="BG32" s="2">
        <f t="shared" ca="1" si="15"/>
        <v>39</v>
      </c>
      <c r="BH32" s="2"/>
      <c r="BI32" s="2">
        <f ca="1">IF(INDIRECT(ADDRESS(ROW($BC32),COLUMN($T32)+AJ32,4,1),TRUE)=0,"",INDIRECT(ADDRESS(ROW($BC32),COLUMN($T32)+AJ32,4,1),TRUE))</f>
        <v>59</v>
      </c>
      <c r="BJ32" s="2"/>
      <c r="BK32" s="2"/>
      <c r="BL32" s="2"/>
      <c r="BM32" s="2"/>
      <c r="BN32" s="2"/>
      <c r="BP32" s="28">
        <f t="shared" ref="BP32" ca="1" si="132">SUM(BD32:BN32)</f>
        <v>238</v>
      </c>
      <c r="BQ32" s="29">
        <f t="shared" ref="BQ32" ca="1" si="133">BP32/AD32</f>
        <v>59.5</v>
      </c>
      <c r="BT32" s="2">
        <f t="shared" ref="BT32" ca="1" si="134">BD32+BT31</f>
        <v>1842</v>
      </c>
      <c r="BU32" s="2">
        <f t="shared" ref="BU32" ca="1" si="135">BE32+BU31</f>
        <v>1080</v>
      </c>
      <c r="BV32" s="2">
        <f t="shared" ref="BV32" ca="1" si="136">BF32+BV31</f>
        <v>1375</v>
      </c>
      <c r="BW32" s="2">
        <f t="shared" ref="BW32" ca="1" si="137">BG32+BW31</f>
        <v>933</v>
      </c>
      <c r="BX32" s="2">
        <f t="shared" ref="BX32" ca="1" si="138">BH32+BX31</f>
        <v>97</v>
      </c>
      <c r="BY32" s="2">
        <f t="shared" ref="BY32" ca="1" si="139">BI32+BY31</f>
        <v>230</v>
      </c>
      <c r="BZ32" s="2"/>
      <c r="CA32" s="2"/>
      <c r="CB32" s="2"/>
      <c r="CC32" s="2"/>
      <c r="CD32" s="2">
        <f ca="1">BN32+CD31</f>
        <v>59</v>
      </c>
      <c r="CG32" s="1">
        <f t="shared" ca="1" si="58"/>
        <v>27</v>
      </c>
      <c r="CH32" s="1">
        <f t="shared" ca="1" si="18"/>
        <v>74</v>
      </c>
      <c r="CI32" s="1" t="str">
        <f t="shared" ca="1" si="19"/>
        <v>Justyna</v>
      </c>
      <c r="CJ32" s="13">
        <f t="shared" ca="1" si="20"/>
        <v>7</v>
      </c>
      <c r="CK32">
        <f t="shared" ca="1" si="21"/>
        <v>1</v>
      </c>
      <c r="CL32" s="55">
        <f t="shared" ca="1" si="22"/>
        <v>4</v>
      </c>
      <c r="CO32" s="47" t="s">
        <v>72</v>
      </c>
      <c r="CP32" s="80">
        <f ca="1">COUNTIF(BD6:BD39,"&gt;=70")-CP31</f>
        <v>12</v>
      </c>
      <c r="CQ32" s="49" t="s">
        <v>70</v>
      </c>
      <c r="CW32" s="93">
        <f t="shared" si="59"/>
        <v>27</v>
      </c>
      <c r="CX32" s="51">
        <f t="shared" ca="1" si="73"/>
        <v>559973</v>
      </c>
      <c r="CY32" s="52">
        <f ca="1">BE13</f>
        <v>56</v>
      </c>
      <c r="CZ32" s="51" t="str">
        <f t="shared" si="86"/>
        <v>Marcin</v>
      </c>
      <c r="DA32" s="77">
        <v>8</v>
      </c>
      <c r="DB32" s="77">
        <v>3</v>
      </c>
      <c r="DC32" s="51">
        <f t="shared" ca="1" si="25"/>
        <v>739992</v>
      </c>
      <c r="DO32">
        <f t="shared" si="26"/>
        <v>27</v>
      </c>
      <c r="DP32" s="6">
        <f ca="1">AVERAGE(BD$6:BD32)</f>
        <v>68.222222222222229</v>
      </c>
      <c r="DQ32" s="6">
        <f ca="1">AVERAGE(BE$6:BE32)</f>
        <v>67.5</v>
      </c>
      <c r="DR32" s="6">
        <f ca="1">AVERAGE(BF$6:BF32)</f>
        <v>62.5</v>
      </c>
      <c r="DS32" s="6">
        <f ca="1">AVERAGE(BG$6:BG32)</f>
        <v>62.2</v>
      </c>
      <c r="DT32" s="86">
        <f t="shared" ca="1" si="60"/>
        <v>70.441176470588232</v>
      </c>
      <c r="DU32" s="87">
        <f ca="1">AVERAGE($BD$6:BN32)</f>
        <v>64.551724137931032</v>
      </c>
      <c r="DX32">
        <f t="shared" si="27"/>
        <v>27</v>
      </c>
      <c r="DY32" s="1">
        <f>COUNTIF(AE$6:AE32,1)</f>
        <v>10</v>
      </c>
      <c r="DZ32" s="1">
        <f>COUNTIF(AF$6:AF32,1)</f>
        <v>6</v>
      </c>
      <c r="EA32" s="1">
        <f>COUNTIF(AG$6:AG32,1)</f>
        <v>9</v>
      </c>
      <c r="EB32" s="1">
        <f>COUNTIF(AH$6:AH32,1)</f>
        <v>2</v>
      </c>
      <c r="ED32">
        <f t="shared" si="28"/>
        <v>27</v>
      </c>
      <c r="EE32" s="1">
        <f>DY32+COUNTIF(AE$6:AE32,2)*0.01+COUNTIF(AE$6:AE32,3)*0.0001+COUNTIF(AE$6:AE32,4)*0.000001</f>
        <v>10.130004000000001</v>
      </c>
      <c r="EF32" s="1">
        <f>DZ32+COUNTIF(AF$6:AF32,2)*0.01+COUNTIF(AF$6:AF32,3)*0.0001+COUNTIF(AF$6:AF32,4)*0.000001</f>
        <v>6.0306010000000008</v>
      </c>
      <c r="EG32" s="1">
        <f>EA32+COUNTIF(AG$6:AG32,2)*0.01+COUNTIF(AG$6:AG32,3)*0.0001+COUNTIF(AG$6:AG32,4)*0.000001</f>
        <v>9.0704020000000014</v>
      </c>
      <c r="EH32" s="1">
        <f>EB32+COUNTIF(AH$6:AH32,2)*0.01+COUNTIF(AH$6:AH32,3)*0.0001+COUNTIF(AH$6:AH32,4)*0.000001</f>
        <v>2.0208029999999999</v>
      </c>
      <c r="EJ32">
        <f t="shared" si="29"/>
        <v>27</v>
      </c>
      <c r="EK32" s="2">
        <f>AVERAGE(FJ$6:FJ32)</f>
        <v>1.9259259259259258</v>
      </c>
      <c r="EL32" s="2">
        <f>AVERAGE(FK$6:FK32)</f>
        <v>2.125</v>
      </c>
      <c r="EM32" s="2">
        <f>AVERAGE(FL$6:FL32)</f>
        <v>1.9545454545454546</v>
      </c>
      <c r="EN32" s="2">
        <f>AVERAGE(FM$6:FM32)</f>
        <v>2.8</v>
      </c>
      <c r="EP32">
        <f t="shared" si="30"/>
        <v>27</v>
      </c>
      <c r="EQ32" s="1">
        <f t="shared" ref="EQ32" si="140">IF(AE32=0,0,IF($AD32=2,3-AE32,IF($AD32=3,4-AE32,IF($AD32=4,5-AE32,"tekst"))))+IF(AE32=MIN($AE32:$AO32),1,0)+EQ31</f>
        <v>62</v>
      </c>
      <c r="ER32" s="1">
        <f t="shared" ref="ER32" si="141">IF(AF32=0,0,IF($AD32=2,3-AF32,IF($AD32=3,4-AF32,IF($AD32=4,5-AF32,"tekst"))))+IF(AF32=MIN($AE32:$AO32),1,0)+ER31</f>
        <v>51</v>
      </c>
      <c r="ES32" s="1">
        <f t="shared" ref="ES32" si="142">IF(AG32=0,0,IF($AD32=2,3-AG32,IF($AD32=3,4-AG32,IF($AD32=4,5-AG32,"tekst"))))+IF(AG32=MIN($AE32:$AO32),1,0)+ES31</f>
        <v>55</v>
      </c>
      <c r="ET32" s="1">
        <f t="shared" ref="ET32" si="143">IF(AH32=0,0,IF($AD32=2,3-AH32,IF($AD32=3,4-AH32,IF($AD32=4,5-AH32,"tekst"))))+IF(AH32=MIN($AE32:$AO32),1,0)+ET31</f>
        <v>38</v>
      </c>
      <c r="EV32">
        <f t="shared" si="31"/>
        <v>27</v>
      </c>
      <c r="EW32" s="1">
        <f t="shared" ref="EW32" si="144">MAX($EQ32:$ET32)-EQ32</f>
        <v>0</v>
      </c>
      <c r="EX32" s="1">
        <f t="shared" ref="EX32" si="145">MAX($EQ32:$ET32)-ER32</f>
        <v>11</v>
      </c>
      <c r="EY32" s="1">
        <f t="shared" ref="EY32" si="146">MAX($EQ32:$ET32)-ES32</f>
        <v>7</v>
      </c>
      <c r="EZ32" s="1">
        <f t="shared" ref="EZ32" si="147">MAX($EQ32:$ET32)-ET32</f>
        <v>24</v>
      </c>
      <c r="FB32">
        <f t="shared" si="33"/>
        <v>27</v>
      </c>
      <c r="FC32" s="1">
        <f t="shared" ref="FC32" si="148">DY32-$FG32</f>
        <v>0</v>
      </c>
      <c r="FD32" s="1">
        <f t="shared" ref="FD32" si="149">DZ32-$FG32</f>
        <v>-4</v>
      </c>
      <c r="FE32" s="1">
        <f t="shared" ref="FE32" si="150">EA32-$FG32</f>
        <v>-1</v>
      </c>
      <c r="FF32" s="1">
        <f t="shared" ref="FF32" si="151">EB32-$FG32</f>
        <v>-8</v>
      </c>
      <c r="FG32">
        <f t="shared" si="111"/>
        <v>10</v>
      </c>
      <c r="FI32">
        <f t="shared" si="53"/>
        <v>27</v>
      </c>
      <c r="FJ32" s="1">
        <f t="shared" si="54"/>
        <v>1</v>
      </c>
      <c r="FK32" s="1" t="str">
        <f t="shared" si="55"/>
        <v>nie grał</v>
      </c>
      <c r="FL32" s="1">
        <f t="shared" si="56"/>
        <v>2</v>
      </c>
      <c r="FM32" s="1">
        <f t="shared" si="57"/>
        <v>4</v>
      </c>
    </row>
    <row r="33" spans="2:169" x14ac:dyDescent="0.2">
      <c r="B33" s="8" t="s">
        <v>82</v>
      </c>
      <c r="C33" s="8" t="s">
        <v>81</v>
      </c>
      <c r="D33" s="8" t="s">
        <v>83</v>
      </c>
      <c r="E33" s="1" t="s">
        <v>80</v>
      </c>
      <c r="F33" s="88">
        <v>44122</v>
      </c>
      <c r="N33">
        <v>28</v>
      </c>
      <c r="O33">
        <v>4</v>
      </c>
      <c r="P33" s="63" t="s">
        <v>7</v>
      </c>
      <c r="Q33" s="62" t="s">
        <v>6</v>
      </c>
      <c r="R33" s="64" t="s">
        <v>9</v>
      </c>
      <c r="S33" s="61" t="s">
        <v>8</v>
      </c>
      <c r="U33" s="8">
        <v>82</v>
      </c>
      <c r="V33" s="8">
        <v>73</v>
      </c>
      <c r="W33" s="8">
        <v>53</v>
      </c>
      <c r="X33" s="8">
        <v>45</v>
      </c>
      <c r="Z33" s="2">
        <f t="shared" ca="1" si="10"/>
        <v>9</v>
      </c>
      <c r="AA33" s="2">
        <f t="shared" ca="1" si="11"/>
        <v>37</v>
      </c>
      <c r="AC33">
        <f t="shared" si="85"/>
        <v>28</v>
      </c>
      <c r="AD33">
        <f>COUNTIF(AE33:AO33,"&gt;0")</f>
        <v>4</v>
      </c>
      <c r="AE33" s="2">
        <f t="shared" si="39"/>
        <v>2</v>
      </c>
      <c r="AF33" s="2">
        <f t="shared" si="39"/>
        <v>1</v>
      </c>
      <c r="AG33" s="2">
        <f t="shared" si="39"/>
        <v>4</v>
      </c>
      <c r="AH33" s="2">
        <f t="shared" si="39"/>
        <v>3</v>
      </c>
      <c r="AI33" s="2">
        <f t="shared" si="39"/>
        <v>0</v>
      </c>
      <c r="AJ33" s="2">
        <f t="shared" si="39"/>
        <v>0</v>
      </c>
      <c r="AK33" s="2"/>
      <c r="AL33" s="2"/>
      <c r="AM33" s="2"/>
      <c r="AN33" s="2"/>
      <c r="AO33" s="2">
        <f t="shared" si="39"/>
        <v>0</v>
      </c>
      <c r="BD33" s="2">
        <f t="shared" ca="1" si="15"/>
        <v>73</v>
      </c>
      <c r="BE33" s="2">
        <f t="shared" ca="1" si="15"/>
        <v>82</v>
      </c>
      <c r="BF33" s="2">
        <f t="shared" ca="1" si="15"/>
        <v>45</v>
      </c>
      <c r="BG33" s="2">
        <f t="shared" ca="1" si="15"/>
        <v>53</v>
      </c>
      <c r="BH33" s="2"/>
      <c r="BI33" s="2"/>
      <c r="BJ33" s="2"/>
      <c r="BK33" s="2"/>
      <c r="BL33" s="2"/>
      <c r="BM33" s="2"/>
      <c r="BN33" s="2"/>
      <c r="BP33" s="28">
        <f t="shared" ref="BP33" ca="1" si="152">SUM(BD33:BN33)</f>
        <v>253</v>
      </c>
      <c r="BQ33" s="29">
        <f t="shared" ref="BQ33" ca="1" si="153">BP33/AD33</f>
        <v>63.25</v>
      </c>
      <c r="BT33" s="2">
        <f t="shared" ref="BT33:BT34" ca="1" si="154">BD33+BT32</f>
        <v>1915</v>
      </c>
      <c r="BU33" s="2">
        <f t="shared" ref="BU33:BU34" ca="1" si="155">BE33+BU32</f>
        <v>1162</v>
      </c>
      <c r="BV33" s="2">
        <f t="shared" ref="BV33:BV35" ca="1" si="156">BF33+BV32</f>
        <v>1420</v>
      </c>
      <c r="BW33" s="2">
        <f t="shared" ref="BW33:BW34" ca="1" si="157">BG33+BW32</f>
        <v>986</v>
      </c>
      <c r="BX33" s="2">
        <f t="shared" ref="BX33:BX34" ca="1" si="158">BH33+BX32</f>
        <v>97</v>
      </c>
      <c r="BY33" s="2">
        <f ca="1">BI33+BY32</f>
        <v>230</v>
      </c>
      <c r="BZ33" s="2"/>
      <c r="CA33" s="2"/>
      <c r="CB33" s="2"/>
      <c r="CC33" s="2"/>
      <c r="CD33" s="2">
        <f t="shared" ref="CD33" ca="1" si="159">BN33+CD32</f>
        <v>59</v>
      </c>
      <c r="CG33" s="1">
        <f t="shared" ca="1" si="58"/>
        <v>27</v>
      </c>
      <c r="CH33" s="1">
        <f t="shared" ca="1" si="18"/>
        <v>74</v>
      </c>
      <c r="CI33" s="1" t="str">
        <f t="shared" ca="1" si="19"/>
        <v>Mateusz</v>
      </c>
      <c r="CJ33" s="13">
        <f t="shared" ca="1" si="20"/>
        <v>8</v>
      </c>
      <c r="CK33">
        <f t="shared" ca="1" si="21"/>
        <v>2</v>
      </c>
      <c r="CL33" s="55">
        <f t="shared" ca="1" si="22"/>
        <v>3</v>
      </c>
      <c r="CO33" s="47" t="s">
        <v>71</v>
      </c>
      <c r="CP33" s="80">
        <f ca="1">COUNTIF(BD6:BD39,"&gt;=60")-CP32-CP31</f>
        <v>8</v>
      </c>
      <c r="CQ33" s="49" t="s">
        <v>70</v>
      </c>
      <c r="CW33" s="93">
        <f t="shared" si="59"/>
        <v>28</v>
      </c>
      <c r="CX33" s="51">
        <f t="shared" ca="1" si="73"/>
        <v>689972</v>
      </c>
      <c r="CY33" s="52">
        <f ca="1">BE16</f>
        <v>69</v>
      </c>
      <c r="CZ33" s="51" t="str">
        <f t="shared" si="86"/>
        <v>Marcin</v>
      </c>
      <c r="DA33" s="77">
        <v>11</v>
      </c>
      <c r="DB33" s="77">
        <v>2</v>
      </c>
      <c r="DC33" s="51">
        <f t="shared" ca="1" si="25"/>
        <v>739991</v>
      </c>
      <c r="DO33">
        <f t="shared" si="26"/>
        <v>28</v>
      </c>
      <c r="DP33" s="6">
        <f ca="1">AVERAGE(BD$6:BD33)</f>
        <v>68.392857142857139</v>
      </c>
      <c r="DQ33" s="6">
        <f ca="1">AVERAGE(BE$6:BE33)</f>
        <v>68.352941176470594</v>
      </c>
      <c r="DR33" s="6">
        <f ca="1">AVERAGE(BF$6:BF33)</f>
        <v>61.739130434782609</v>
      </c>
      <c r="DS33" s="6">
        <f ca="1">AVERAGE(BG$6:BG33)</f>
        <v>61.625</v>
      </c>
      <c r="DT33" s="86">
        <f t="shared" ca="1" si="60"/>
        <v>70.441176470588232</v>
      </c>
      <c r="DU33" s="87">
        <f ca="1">AVERAGE($BD$6:BN33)</f>
        <v>64.494505494505489</v>
      </c>
      <c r="DX33">
        <f t="shared" si="27"/>
        <v>28</v>
      </c>
      <c r="DY33" s="1">
        <f>COUNTIF(AE$6:AE33,1)</f>
        <v>10</v>
      </c>
      <c r="DZ33" s="1">
        <f>COUNTIF(AF$6:AF33,1)</f>
        <v>7</v>
      </c>
      <c r="EA33" s="1">
        <f>COUNTIF(AG$6:AG33,1)</f>
        <v>9</v>
      </c>
      <c r="EB33" s="1">
        <f>COUNTIF(AH$6:AH33,1)</f>
        <v>2</v>
      </c>
      <c r="ED33">
        <f t="shared" si="28"/>
        <v>28</v>
      </c>
      <c r="EE33" s="1">
        <f>DY33+COUNTIF(AE$6:AE33,2)*0.01+COUNTIF(AE$6:AE33,3)*0.0001+COUNTIF(AE$6:AE33,4)*0.000001</f>
        <v>10.140004000000001</v>
      </c>
      <c r="EF33" s="1">
        <f>DZ33+COUNTIF(AF$6:AF33,2)*0.01+COUNTIF(AF$6:AF33,3)*0.0001+COUNTIF(AF$6:AF33,4)*0.000001</f>
        <v>7.0306010000000008</v>
      </c>
      <c r="EG33" s="1">
        <f>EA33+COUNTIF(AG$6:AG33,2)*0.01+COUNTIF(AG$6:AG33,3)*0.0001+COUNTIF(AG$6:AG33,4)*0.000001</f>
        <v>9.0704030000000007</v>
      </c>
      <c r="EH33" s="1">
        <f>EB33+COUNTIF(AH$6:AH33,2)*0.01+COUNTIF(AH$6:AH33,3)*0.0001+COUNTIF(AH$6:AH33,4)*0.000001</f>
        <v>2.0209030000000001</v>
      </c>
      <c r="EJ33">
        <f t="shared" si="29"/>
        <v>28</v>
      </c>
      <c r="EK33" s="2">
        <f>AVERAGE(FJ$6:FJ33)</f>
        <v>1.9285714285714286</v>
      </c>
      <c r="EL33" s="2">
        <f>AVERAGE(FK$6:FK33)</f>
        <v>2.0588235294117645</v>
      </c>
      <c r="EM33" s="2">
        <f>AVERAGE(FL$6:FL33)</f>
        <v>2.0434782608695654</v>
      </c>
      <c r="EN33" s="2">
        <f>AVERAGE(FM$6:FM33)</f>
        <v>2.8125</v>
      </c>
      <c r="EP33">
        <f t="shared" si="30"/>
        <v>28</v>
      </c>
      <c r="EQ33" s="1">
        <f t="shared" ref="EQ33" si="160">IF(AE33=0,0,IF($AD33=2,3-AE33,IF($AD33=3,4-AE33,IF($AD33=4,5-AE33,"tekst"))))+IF(AE33=MIN($AE33:$AO33),1,0)+EQ32</f>
        <v>65</v>
      </c>
      <c r="ER33" s="1">
        <f t="shared" ref="ER33" si="161">IF(AF33=0,0,IF($AD33=2,3-AF33,IF($AD33=3,4-AF33,IF($AD33=4,5-AF33,"tekst"))))+IF(AF33=MIN($AE33:$AO33),1,0)+ER32</f>
        <v>55</v>
      </c>
      <c r="ES33" s="1">
        <f t="shared" ref="ES33" si="162">IF(AG33=0,0,IF($AD33=2,3-AG33,IF($AD33=3,4-AG33,IF($AD33=4,5-AG33,"tekst"))))+IF(AG33=MIN($AE33:$AO33),1,0)+ES32</f>
        <v>56</v>
      </c>
      <c r="ET33" s="1">
        <f t="shared" ref="ET33" si="163">IF(AH33=0,0,IF($AD33=2,3-AH33,IF($AD33=3,4-AH33,IF($AD33=4,5-AH33,"tekst"))))+IF(AH33=MIN($AE33:$AO33),1,0)+ET32</f>
        <v>40</v>
      </c>
      <c r="EV33">
        <f t="shared" si="31"/>
        <v>28</v>
      </c>
      <c r="EW33" s="1">
        <f t="shared" ref="EW33" si="164">MAX($EQ33:$ET33)-EQ33</f>
        <v>0</v>
      </c>
      <c r="EX33" s="1">
        <f t="shared" ref="EX33" si="165">MAX($EQ33:$ET33)-ER33</f>
        <v>10</v>
      </c>
      <c r="EY33" s="1">
        <f t="shared" ref="EY33" si="166">MAX($EQ33:$ET33)-ES33</f>
        <v>9</v>
      </c>
      <c r="EZ33" s="1">
        <f t="shared" ref="EZ33" si="167">MAX($EQ33:$ET33)-ET33</f>
        <v>25</v>
      </c>
      <c r="FB33">
        <f t="shared" si="33"/>
        <v>28</v>
      </c>
      <c r="FC33" s="1">
        <f t="shared" ref="FC33" si="168">DY33-$FG33</f>
        <v>0</v>
      </c>
      <c r="FD33" s="1">
        <f t="shared" ref="FD33" si="169">DZ33-$FG33</f>
        <v>-3</v>
      </c>
      <c r="FE33" s="1">
        <f t="shared" ref="FE33" si="170">EA33-$FG33</f>
        <v>-1</v>
      </c>
      <c r="FF33" s="1">
        <f t="shared" ref="FF33" si="171">EB33-$FG33</f>
        <v>-8</v>
      </c>
      <c r="FG33">
        <f t="shared" ref="FG33" si="172">MAX(DY33:EB33)</f>
        <v>10</v>
      </c>
      <c r="FI33">
        <f t="shared" si="53"/>
        <v>28</v>
      </c>
      <c r="FJ33" s="1">
        <f t="shared" si="54"/>
        <v>2</v>
      </c>
      <c r="FK33" s="1">
        <f t="shared" si="55"/>
        <v>1</v>
      </c>
      <c r="FL33" s="1">
        <f t="shared" si="56"/>
        <v>4</v>
      </c>
      <c r="FM33" s="1">
        <f t="shared" si="57"/>
        <v>3</v>
      </c>
    </row>
    <row r="34" spans="2:169" x14ac:dyDescent="0.2">
      <c r="B34" s="8" t="s">
        <v>81</v>
      </c>
      <c r="C34" s="8" t="s">
        <v>82</v>
      </c>
      <c r="D34" s="8" t="s">
        <v>79</v>
      </c>
      <c r="E34" s="1" t="s">
        <v>84</v>
      </c>
      <c r="F34" s="88">
        <v>44206</v>
      </c>
      <c r="N34">
        <v>29</v>
      </c>
      <c r="O34">
        <v>4</v>
      </c>
      <c r="P34" s="62" t="s">
        <v>6</v>
      </c>
      <c r="Q34" s="64" t="s">
        <v>8</v>
      </c>
      <c r="R34" s="61" t="s">
        <v>9</v>
      </c>
      <c r="S34" s="63" t="s">
        <v>7</v>
      </c>
      <c r="U34" s="8">
        <v>80</v>
      </c>
      <c r="V34" s="8">
        <v>68</v>
      </c>
      <c r="W34" s="8">
        <v>66</v>
      </c>
      <c r="X34" s="8">
        <v>64</v>
      </c>
      <c r="Z34" s="2">
        <f t="shared" ca="1" si="10"/>
        <v>12</v>
      </c>
      <c r="AA34" s="2">
        <f t="shared" ca="1" si="11"/>
        <v>16</v>
      </c>
      <c r="AC34">
        <f t="shared" si="85"/>
        <v>29</v>
      </c>
      <c r="AD34">
        <f>COUNTIF(AE34:AO34,"&gt;0")</f>
        <v>4</v>
      </c>
      <c r="AE34" s="2">
        <f t="shared" si="39"/>
        <v>1</v>
      </c>
      <c r="AF34" s="2">
        <f t="shared" si="39"/>
        <v>4</v>
      </c>
      <c r="AG34" s="2">
        <f t="shared" si="39"/>
        <v>2</v>
      </c>
      <c r="AH34" s="2">
        <f t="shared" si="39"/>
        <v>3</v>
      </c>
      <c r="AI34" s="2">
        <f t="shared" si="39"/>
        <v>0</v>
      </c>
      <c r="AJ34" s="2">
        <f t="shared" si="39"/>
        <v>0</v>
      </c>
      <c r="AK34" s="2"/>
      <c r="AL34" s="2"/>
      <c r="AM34" s="2"/>
      <c r="AN34" s="2"/>
      <c r="AO34" s="2">
        <f t="shared" si="39"/>
        <v>0</v>
      </c>
      <c r="BD34" s="2">
        <f t="shared" ca="1" si="15"/>
        <v>80</v>
      </c>
      <c r="BE34" s="2">
        <f t="shared" ca="1" si="15"/>
        <v>64</v>
      </c>
      <c r="BF34" s="2">
        <f t="shared" ca="1" si="15"/>
        <v>68</v>
      </c>
      <c r="BG34" s="2">
        <f t="shared" ca="1" si="15"/>
        <v>66</v>
      </c>
      <c r="BH34" s="2"/>
      <c r="BI34" s="2"/>
      <c r="BJ34" s="2"/>
      <c r="BK34" s="2"/>
      <c r="BL34" s="2"/>
      <c r="BM34" s="2"/>
      <c r="BN34" s="2"/>
      <c r="BP34" s="28">
        <f t="shared" ref="BP34" ca="1" si="173">SUM(BD34:BN34)</f>
        <v>278</v>
      </c>
      <c r="BQ34" s="29">
        <f t="shared" ref="BQ34" ca="1" si="174">BP34/AD34</f>
        <v>69.5</v>
      </c>
      <c r="BT34" s="2">
        <f t="shared" ca="1" si="154"/>
        <v>1995</v>
      </c>
      <c r="BU34" s="2">
        <f t="shared" ca="1" si="155"/>
        <v>1226</v>
      </c>
      <c r="BV34" s="2">
        <f t="shared" ca="1" si="156"/>
        <v>1488</v>
      </c>
      <c r="BW34" s="2">
        <f t="shared" ca="1" si="157"/>
        <v>1052</v>
      </c>
      <c r="BX34" s="2">
        <f t="shared" ca="1" si="158"/>
        <v>97</v>
      </c>
      <c r="BY34" s="2">
        <f ca="1">BI34+BY33</f>
        <v>230</v>
      </c>
      <c r="BZ34" s="2"/>
      <c r="CA34" s="2"/>
      <c r="CB34" s="2"/>
      <c r="CC34" s="2"/>
      <c r="CD34" s="2">
        <f t="shared" ref="CD34" ca="1" si="175">BN34+CD33</f>
        <v>59</v>
      </c>
      <c r="CG34" s="1">
        <f t="shared" ca="1" si="58"/>
        <v>27</v>
      </c>
      <c r="CH34" s="1">
        <f t="shared" ca="1" si="18"/>
        <v>74</v>
      </c>
      <c r="CI34" s="1" t="str">
        <f t="shared" ca="1" si="19"/>
        <v>Mateusz</v>
      </c>
      <c r="CJ34" s="13">
        <f t="shared" ca="1" si="20"/>
        <v>11</v>
      </c>
      <c r="CK34">
        <f t="shared" ca="1" si="21"/>
        <v>1</v>
      </c>
      <c r="CL34" s="55">
        <f t="shared" ca="1" si="22"/>
        <v>4</v>
      </c>
      <c r="CO34" s="48" t="s">
        <v>74</v>
      </c>
      <c r="CP34" s="82">
        <f ca="1">COUNTIF(BD6:BD39,"&gt;=0")-CP32-CP31-CP33</f>
        <v>6</v>
      </c>
      <c r="CQ34" s="50" t="s">
        <v>70</v>
      </c>
      <c r="CS34">
        <f ca="1">SUM(CP31:CP34)</f>
        <v>34</v>
      </c>
      <c r="CW34" s="93">
        <f t="shared" si="59"/>
        <v>29</v>
      </c>
      <c r="CX34" s="51">
        <f t="shared" ca="1" si="73"/>
        <v>489971</v>
      </c>
      <c r="CY34" s="52">
        <f ca="1">BG9</f>
        <v>49</v>
      </c>
      <c r="CZ34" s="52" t="str">
        <f>$BG$5</f>
        <v>Agnieszka</v>
      </c>
      <c r="DA34" s="77">
        <v>4</v>
      </c>
      <c r="DB34" s="77">
        <v>4</v>
      </c>
      <c r="DC34" s="51">
        <f t="shared" ca="1" si="25"/>
        <v>739987</v>
      </c>
      <c r="DO34">
        <f t="shared" si="26"/>
        <v>29</v>
      </c>
      <c r="DP34" s="6">
        <f ca="1">AVERAGE(BD$6:BD34)</f>
        <v>68.793103448275858</v>
      </c>
      <c r="DQ34" s="6">
        <f ca="1">AVERAGE(BE$6:BE34)</f>
        <v>68.111111111111114</v>
      </c>
      <c r="DR34" s="6">
        <f ca="1">AVERAGE(BF$6:BF34)</f>
        <v>62</v>
      </c>
      <c r="DS34" s="6">
        <f ca="1">AVERAGE(BG$6:BG34)</f>
        <v>61.882352941176471</v>
      </c>
      <c r="DT34" s="86">
        <f t="shared" ca="1" si="60"/>
        <v>70.441176470588232</v>
      </c>
      <c r="DU34" s="87">
        <f ca="1">AVERAGE($BD$6:BN34)</f>
        <v>64.705263157894734</v>
      </c>
      <c r="DX34">
        <f t="shared" si="27"/>
        <v>29</v>
      </c>
      <c r="DY34" s="1">
        <f>COUNTIF(AE$6:AE34,1)</f>
        <v>11</v>
      </c>
      <c r="DZ34" s="1">
        <f>COUNTIF(AF$6:AF34,1)</f>
        <v>7</v>
      </c>
      <c r="EA34" s="1">
        <f>COUNTIF(AG$6:AG34,1)</f>
        <v>9</v>
      </c>
      <c r="EB34" s="1">
        <f>COUNTIF(AH$6:AH34,1)</f>
        <v>2</v>
      </c>
      <c r="ED34">
        <f t="shared" si="28"/>
        <v>29</v>
      </c>
      <c r="EE34" s="1">
        <f>DY34+COUNTIF(AE$6:AE34,2)*0.01+COUNTIF(AE$6:AE34,3)*0.0001+COUNTIF(AE$6:AE34,4)*0.000001</f>
        <v>11.140004000000001</v>
      </c>
      <c r="EF34" s="1">
        <f>DZ34+COUNTIF(AF$6:AF34,2)*0.01+COUNTIF(AF$6:AF34,3)*0.0001+COUNTIF(AF$6:AF34,4)*0.000001</f>
        <v>7.0306020000000009</v>
      </c>
      <c r="EG34" s="1">
        <f>EA34+COUNTIF(AG$6:AG34,2)*0.01+COUNTIF(AG$6:AG34,3)*0.0001+COUNTIF(AG$6:AG34,4)*0.000001</f>
        <v>9.0804030000000004</v>
      </c>
      <c r="EH34" s="1">
        <f>EB34+COUNTIF(AH$6:AH34,2)*0.01+COUNTIF(AH$6:AH34,3)*0.0001+COUNTIF(AH$6:AH34,4)*0.000001</f>
        <v>2.0210029999999999</v>
      </c>
      <c r="EJ34">
        <f t="shared" si="29"/>
        <v>29</v>
      </c>
      <c r="EK34" s="2">
        <f>AVERAGE(FJ$6:FJ34)</f>
        <v>1.896551724137931</v>
      </c>
      <c r="EL34" s="2">
        <f>AVERAGE(FK$6:FK34)</f>
        <v>2.1666666666666665</v>
      </c>
      <c r="EM34" s="2">
        <f>AVERAGE(FL$6:FL34)</f>
        <v>2.0416666666666665</v>
      </c>
      <c r="EN34" s="2">
        <f>AVERAGE(FM$6:FM34)</f>
        <v>2.8235294117647061</v>
      </c>
      <c r="EP34">
        <f t="shared" si="30"/>
        <v>29</v>
      </c>
      <c r="EQ34" s="1">
        <f t="shared" ref="EQ34:EQ35" si="176">IF(AE34=0,0,IF($AD34=2,3-AE34,IF($AD34=3,4-AE34,IF($AD34=4,5-AE34,"tekst"))))+IF(AE34=MIN($AE34:$AO34),1,0)+EQ33</f>
        <v>69</v>
      </c>
      <c r="ER34" s="1">
        <f t="shared" ref="ER34:ER35" si="177">IF(AF34=0,0,IF($AD34=2,3-AF34,IF($AD34=3,4-AF34,IF($AD34=4,5-AF34,"tekst"))))+IF(AF34=MIN($AE34:$AO34),1,0)+ER33</f>
        <v>56</v>
      </c>
      <c r="ES34" s="1">
        <f t="shared" ref="ES34:ES35" si="178">IF(AG34=0,0,IF($AD34=2,3-AG34,IF($AD34=3,4-AG34,IF($AD34=4,5-AG34,"tekst"))))+IF(AG34=MIN($AE34:$AO34),1,0)+ES33</f>
        <v>59</v>
      </c>
      <c r="ET34" s="1">
        <f t="shared" ref="ET34:ET35" si="179">IF(AH34=0,0,IF($AD34=2,3-AH34,IF($AD34=3,4-AH34,IF($AD34=4,5-AH34,"tekst"))))+IF(AH34=MIN($AE34:$AO34),1,0)+ET33</f>
        <v>42</v>
      </c>
      <c r="EV34">
        <f t="shared" si="31"/>
        <v>29</v>
      </c>
      <c r="EW34" s="1">
        <f t="shared" ref="EW34" si="180">MAX($EQ34:$ET34)-EQ34</f>
        <v>0</v>
      </c>
      <c r="EX34" s="1">
        <f t="shared" ref="EX34" si="181">MAX($EQ34:$ET34)-ER34</f>
        <v>13</v>
      </c>
      <c r="EY34" s="1">
        <f t="shared" ref="EY34" si="182">MAX($EQ34:$ET34)-ES34</f>
        <v>10</v>
      </c>
      <c r="EZ34" s="1">
        <f t="shared" ref="EZ34" si="183">MAX($EQ34:$ET34)-ET34</f>
        <v>27</v>
      </c>
      <c r="FB34">
        <f t="shared" si="33"/>
        <v>29</v>
      </c>
      <c r="FC34" s="1">
        <f t="shared" ref="FC34" si="184">DY34-$FG34</f>
        <v>0</v>
      </c>
      <c r="FD34" s="1">
        <f t="shared" ref="FD34:FD35" si="185">DZ34-$FG34</f>
        <v>-4</v>
      </c>
      <c r="FE34" s="1">
        <f t="shared" ref="FE34:FE35" si="186">EA34-$FG34</f>
        <v>-2</v>
      </c>
      <c r="FF34" s="1">
        <f t="shared" ref="FF34:FF35" si="187">EB34-$FG34</f>
        <v>-9</v>
      </c>
      <c r="FG34">
        <f t="shared" ref="FG34:FG35" si="188">MAX(DY34:EB34)</f>
        <v>11</v>
      </c>
      <c r="FI34">
        <f t="shared" si="53"/>
        <v>29</v>
      </c>
      <c r="FJ34" s="1">
        <f t="shared" ref="FJ34:FJ35" si="189">IF(AE34=0,"nie grał",AE34)</f>
        <v>1</v>
      </c>
      <c r="FK34" s="1">
        <f t="shared" ref="FK34:FK35" si="190">IF(AF34=0,"nie grał",AF34)</f>
        <v>4</v>
      </c>
      <c r="FL34" s="1">
        <f t="shared" ref="FL34:FL35" si="191">IF(AG34=0,"nie grał",AG34)</f>
        <v>2</v>
      </c>
      <c r="FM34" s="1">
        <f t="shared" ref="FM34:FM35" si="192">IF(AH34=0,"nie grał",AH34)</f>
        <v>3</v>
      </c>
    </row>
    <row r="35" spans="2:169" x14ac:dyDescent="0.2">
      <c r="B35" s="8" t="s">
        <v>81</v>
      </c>
      <c r="C35" s="1" t="s">
        <v>84</v>
      </c>
      <c r="D35" s="8" t="s">
        <v>32</v>
      </c>
      <c r="E35" s="8" t="s">
        <v>156</v>
      </c>
      <c r="F35" s="88">
        <v>44265</v>
      </c>
      <c r="N35">
        <v>30</v>
      </c>
      <c r="O35">
        <v>4</v>
      </c>
      <c r="P35" s="64" t="s">
        <v>9</v>
      </c>
      <c r="Q35" s="62" t="s">
        <v>6</v>
      </c>
      <c r="R35" s="63" t="s">
        <v>7</v>
      </c>
      <c r="S35" s="61" t="s">
        <v>94</v>
      </c>
      <c r="U35" s="8">
        <v>87</v>
      </c>
      <c r="V35" s="8">
        <v>67</v>
      </c>
      <c r="W35" s="8">
        <v>57</v>
      </c>
      <c r="X35" s="8">
        <v>36</v>
      </c>
      <c r="Z35" s="2">
        <f t="shared" ca="1" si="10"/>
        <v>20</v>
      </c>
      <c r="AA35" s="2">
        <f ca="1">MAX($BD35:$BN35)-LARGE($BD35:$BN35,O35)</f>
        <v>51</v>
      </c>
      <c r="AC35">
        <f t="shared" si="85"/>
        <v>30</v>
      </c>
      <c r="AD35">
        <f>COUNTIF(AE35:AO35,"&gt;0")</f>
        <v>4</v>
      </c>
      <c r="AE35" s="2">
        <f t="shared" si="39"/>
        <v>2</v>
      </c>
      <c r="AF35" s="2">
        <f t="shared" si="39"/>
        <v>3</v>
      </c>
      <c r="AG35" s="2">
        <f t="shared" si="39"/>
        <v>0</v>
      </c>
      <c r="AH35" s="2">
        <f t="shared" si="39"/>
        <v>1</v>
      </c>
      <c r="AI35" s="2">
        <f t="shared" si="39"/>
        <v>4</v>
      </c>
      <c r="AJ35" s="2">
        <f t="shared" si="39"/>
        <v>0</v>
      </c>
      <c r="AK35" s="2"/>
      <c r="AL35" s="2"/>
      <c r="AM35" s="2"/>
      <c r="AN35" s="2"/>
      <c r="AO35" s="2">
        <f t="shared" si="39"/>
        <v>0</v>
      </c>
      <c r="BD35" s="2">
        <f t="shared" ca="1" si="15"/>
        <v>67</v>
      </c>
      <c r="BE35" s="2">
        <f t="shared" ca="1" si="15"/>
        <v>57</v>
      </c>
      <c r="BF35" s="2"/>
      <c r="BG35" s="2">
        <f t="shared" ca="1" si="15"/>
        <v>87</v>
      </c>
      <c r="BH35" s="2">
        <f ca="1">IF(INDIRECT(ADDRESS(ROW($BC35),COLUMN($T35)+AI35,4,1),TRUE)=0,"",INDIRECT(ADDRESS(ROW($BC35),COLUMN($T35)+AI35,4,1),TRUE))</f>
        <v>36</v>
      </c>
      <c r="BI35" s="2"/>
      <c r="BJ35" s="2"/>
      <c r="BK35" s="2"/>
      <c r="BL35" s="2"/>
      <c r="BM35" s="2"/>
      <c r="BN35" s="2"/>
      <c r="BP35" s="28">
        <f t="shared" ref="BP35" ca="1" si="193">SUM(BD35:BN35)</f>
        <v>247</v>
      </c>
      <c r="BQ35" s="29">
        <f t="shared" ref="BQ35" ca="1" si="194">BP35/AD35</f>
        <v>61.75</v>
      </c>
      <c r="BT35" s="2">
        <f t="shared" ref="BT35" ca="1" si="195">BD35+BT34</f>
        <v>2062</v>
      </c>
      <c r="BU35" s="2">
        <f t="shared" ref="BU35" ca="1" si="196">BE35+BU34</f>
        <v>1283</v>
      </c>
      <c r="BV35" s="2">
        <f t="shared" ca="1" si="156"/>
        <v>1488</v>
      </c>
      <c r="BW35" s="2">
        <f t="shared" ref="BW35" ca="1" si="197">BG35+BW34</f>
        <v>1139</v>
      </c>
      <c r="BX35" s="2">
        <f t="shared" ref="BX35" ca="1" si="198">BH35+BX34</f>
        <v>133</v>
      </c>
      <c r="BY35" s="2">
        <f t="shared" ref="BY35" ca="1" si="199">BI35+BY34</f>
        <v>230</v>
      </c>
      <c r="BZ35" s="2"/>
      <c r="CA35" s="2"/>
      <c r="CB35" s="2"/>
      <c r="CC35" s="2"/>
      <c r="CD35" s="2">
        <f t="shared" ref="CD35" ca="1" si="200">BN35+CD34</f>
        <v>59</v>
      </c>
      <c r="CG35" s="1">
        <f t="shared" ca="1" si="58"/>
        <v>30</v>
      </c>
      <c r="CH35" s="1">
        <f t="shared" ca="1" si="18"/>
        <v>73</v>
      </c>
      <c r="CI35" s="1" t="str">
        <f t="shared" ca="1" si="19"/>
        <v>Mateusz</v>
      </c>
      <c r="CJ35" s="13">
        <f t="shared" ca="1" si="20"/>
        <v>9</v>
      </c>
      <c r="CK35">
        <f t="shared" ca="1" si="21"/>
        <v>1</v>
      </c>
      <c r="CL35" s="55">
        <f t="shared" ca="1" si="22"/>
        <v>2</v>
      </c>
      <c r="CW35" s="93">
        <f t="shared" si="59"/>
        <v>30</v>
      </c>
      <c r="CX35" s="51">
        <f t="shared" ca="1" si="73"/>
        <v>519970</v>
      </c>
      <c r="CY35" s="51">
        <f ca="1">BG12</f>
        <v>52</v>
      </c>
      <c r="CZ35" s="52" t="str">
        <f>$BG$5</f>
        <v>Agnieszka</v>
      </c>
      <c r="DA35" s="77">
        <v>7</v>
      </c>
      <c r="DB35" s="77">
        <v>3</v>
      </c>
      <c r="DC35" s="51">
        <f t="shared" ca="1" si="25"/>
        <v>729990</v>
      </c>
      <c r="DO35" s="4">
        <f t="shared" si="26"/>
        <v>30</v>
      </c>
      <c r="DP35" s="6">
        <f ca="1">AVERAGE(BD$6:BD35)</f>
        <v>68.733333333333334</v>
      </c>
      <c r="DQ35" s="6">
        <f ca="1">AVERAGE(BE$6:BE35)</f>
        <v>67.526315789473685</v>
      </c>
      <c r="DR35" s="6">
        <f ca="1">AVERAGE(BF$6:BF35)</f>
        <v>62</v>
      </c>
      <c r="DS35" s="6">
        <f ca="1">AVERAGE(BG$6:BG35)</f>
        <v>63.277777777777779</v>
      </c>
      <c r="DT35" s="86">
        <f t="shared" ca="1" si="60"/>
        <v>70.441176470588232</v>
      </c>
      <c r="DU35" s="87">
        <f ca="1">AVERAGE($BD$6:BN35)</f>
        <v>64.585858585858588</v>
      </c>
      <c r="DX35" s="4">
        <f t="shared" si="27"/>
        <v>30</v>
      </c>
      <c r="DY35" s="1">
        <f>COUNTIF(AE$6:AE35,1)</f>
        <v>11</v>
      </c>
      <c r="DZ35" s="1">
        <f>COUNTIF(AF$6:AF35,1)</f>
        <v>7</v>
      </c>
      <c r="EA35" s="1">
        <f>COUNTIF(AG$6:AG35,1)</f>
        <v>9</v>
      </c>
      <c r="EB35" s="1">
        <f>COUNTIF(AH$6:AH35,1)</f>
        <v>3</v>
      </c>
      <c r="ED35" s="4">
        <f t="shared" si="28"/>
        <v>30</v>
      </c>
      <c r="EE35" s="1">
        <f>DY35+COUNTIF(AE$6:AE35,2)*0.01+COUNTIF(AE$6:AE35,3)*0.0001+COUNTIF(AE$6:AE35,4)*0.000001</f>
        <v>11.150004000000001</v>
      </c>
      <c r="EF35" s="1">
        <f>DZ35+COUNTIF(AF$6:AF35,2)*0.01+COUNTIF(AF$6:AF35,3)*0.0001+COUNTIF(AF$6:AF35,4)*0.000001</f>
        <v>7.0307020000000007</v>
      </c>
      <c r="EG35" s="1">
        <f>EA35+COUNTIF(AG$6:AG35,2)*0.01+COUNTIF(AG$6:AG35,3)*0.0001+COUNTIF(AG$6:AG35,4)*0.000001</f>
        <v>9.0804030000000004</v>
      </c>
      <c r="EH35" s="1">
        <f>EB35+COUNTIF(AH$6:AH35,2)*0.01+COUNTIF(AH$6:AH35,3)*0.0001+COUNTIF(AH$6:AH35,4)*0.000001</f>
        <v>3.0210029999999999</v>
      </c>
      <c r="EJ35" s="4">
        <f t="shared" si="29"/>
        <v>30</v>
      </c>
      <c r="EK35" s="2">
        <f>AVERAGE(FJ$6:FJ35)</f>
        <v>1.9</v>
      </c>
      <c r="EL35" s="2">
        <f>AVERAGE(FK$6:FK35)</f>
        <v>2.2105263157894739</v>
      </c>
      <c r="EM35" s="2">
        <f>AVERAGE(FL$6:FL35)</f>
        <v>2.0416666666666665</v>
      </c>
      <c r="EN35" s="2">
        <f>AVERAGE(FM$6:FM35)</f>
        <v>2.7222222222222223</v>
      </c>
      <c r="EP35" s="4">
        <f t="shared" si="30"/>
        <v>30</v>
      </c>
      <c r="EQ35" s="1">
        <f t="shared" si="176"/>
        <v>72</v>
      </c>
      <c r="ER35" s="1">
        <f t="shared" si="177"/>
        <v>58</v>
      </c>
      <c r="ES35" s="1">
        <f t="shared" si="178"/>
        <v>60</v>
      </c>
      <c r="ET35" s="1">
        <f t="shared" si="179"/>
        <v>46</v>
      </c>
      <c r="EV35">
        <f t="shared" ref="EV35:EV38" si="201">N35</f>
        <v>30</v>
      </c>
      <c r="EW35" s="1">
        <f t="shared" ref="EW35:EW38" si="202">MAX($EQ35:$ET35)-EQ35</f>
        <v>0</v>
      </c>
      <c r="EX35" s="1">
        <f t="shared" ref="EX35:EX38" si="203">MAX($EQ35:$ET35)-ER35</f>
        <v>14</v>
      </c>
      <c r="EY35" s="1">
        <f t="shared" ref="EY35:EY38" si="204">MAX($EQ35:$ET35)-ES35</f>
        <v>12</v>
      </c>
      <c r="EZ35" s="1">
        <f t="shared" ref="EZ35:EZ38" si="205">MAX($EQ35:$ET35)-ET35</f>
        <v>26</v>
      </c>
      <c r="FB35" s="4">
        <f t="shared" si="33"/>
        <v>30</v>
      </c>
      <c r="FC35" s="1">
        <f>DY35-$FG35</f>
        <v>0</v>
      </c>
      <c r="FD35" s="1">
        <f t="shared" si="185"/>
        <v>-4</v>
      </c>
      <c r="FE35" s="1">
        <f t="shared" si="186"/>
        <v>-2</v>
      </c>
      <c r="FF35" s="1">
        <f t="shared" si="187"/>
        <v>-8</v>
      </c>
      <c r="FG35">
        <f t="shared" si="188"/>
        <v>11</v>
      </c>
      <c r="FI35" s="4">
        <f t="shared" si="53"/>
        <v>30</v>
      </c>
      <c r="FJ35" s="1">
        <f t="shared" si="189"/>
        <v>2</v>
      </c>
      <c r="FK35" s="1">
        <f t="shared" si="190"/>
        <v>3</v>
      </c>
      <c r="FL35" s="1" t="str">
        <f t="shared" si="191"/>
        <v>nie grał</v>
      </c>
      <c r="FM35" s="1">
        <f t="shared" si="192"/>
        <v>1</v>
      </c>
    </row>
    <row r="36" spans="2:169" x14ac:dyDescent="0.2">
      <c r="B36" s="8" t="s">
        <v>156</v>
      </c>
      <c r="C36" s="8" t="s">
        <v>32</v>
      </c>
      <c r="D36" s="8" t="s">
        <v>83</v>
      </c>
      <c r="E36" s="1"/>
      <c r="F36" s="88">
        <v>44314</v>
      </c>
      <c r="N36">
        <v>31</v>
      </c>
      <c r="O36">
        <v>3</v>
      </c>
      <c r="P36" s="62" t="s">
        <v>6</v>
      </c>
      <c r="Q36" s="64" t="s">
        <v>148</v>
      </c>
      <c r="R36" s="63" t="s">
        <v>149</v>
      </c>
      <c r="S36" s="1"/>
      <c r="U36" s="8">
        <v>82</v>
      </c>
      <c r="V36" s="8">
        <v>66</v>
      </c>
      <c r="W36" s="8">
        <v>54</v>
      </c>
      <c r="X36" s="8"/>
      <c r="Z36" s="2">
        <f t="shared" ca="1" si="10"/>
        <v>16</v>
      </c>
      <c r="AA36" s="2">
        <f t="shared" ref="AA36:AA38" ca="1" si="206">MAX($BD36:$BN36)-LARGE($BD36:$BN36,O36)</f>
        <v>28</v>
      </c>
      <c r="AC36">
        <f t="shared" si="85"/>
        <v>31</v>
      </c>
      <c r="AD36">
        <f t="shared" ref="AD36:AD38" si="207">COUNTIF(AE36:AO36,"&gt;0")</f>
        <v>3</v>
      </c>
      <c r="AE36" s="2">
        <f t="shared" si="39"/>
        <v>1</v>
      </c>
      <c r="AF36" s="2">
        <f t="shared" si="39"/>
        <v>0</v>
      </c>
      <c r="AG36" s="2">
        <f t="shared" si="39"/>
        <v>0</v>
      </c>
      <c r="AH36" s="2">
        <f t="shared" si="39"/>
        <v>0</v>
      </c>
      <c r="AI36" s="2">
        <f t="shared" si="39"/>
        <v>0</v>
      </c>
      <c r="AJ36" s="2">
        <f t="shared" si="39"/>
        <v>0</v>
      </c>
      <c r="AK36" s="2">
        <f t="shared" si="39"/>
        <v>2</v>
      </c>
      <c r="AL36" s="2">
        <f t="shared" si="39"/>
        <v>3</v>
      </c>
      <c r="AM36" s="2">
        <f t="shared" si="39"/>
        <v>0</v>
      </c>
      <c r="AN36" s="2">
        <f t="shared" si="39"/>
        <v>0</v>
      </c>
      <c r="AO36" s="2">
        <f t="shared" si="39"/>
        <v>0</v>
      </c>
      <c r="BD36" s="2">
        <f t="shared" ca="1" si="15"/>
        <v>82</v>
      </c>
      <c r="BE36" s="2"/>
      <c r="BF36" s="2"/>
      <c r="BG36" s="2"/>
      <c r="BH36" s="2"/>
      <c r="BI36" s="2"/>
      <c r="BJ36" s="2">
        <f t="shared" ref="BJ36" ca="1" si="208">IF(INDIRECT(ADDRESS(ROW($BC36),COLUMN($T36)+AK36,4,1),TRUE)=0,"",INDIRECT(ADDRESS(ROW($BC36),COLUMN($T36)+AK36,4,1),TRUE))</f>
        <v>66</v>
      </c>
      <c r="BK36" s="2">
        <f t="shared" ref="BK36" ca="1" si="209">IF(INDIRECT(ADDRESS(ROW($BC36),COLUMN($T36)+AL36,4,1),TRUE)=0,"",INDIRECT(ADDRESS(ROW($BC36),COLUMN($T36)+AL36,4,1),TRUE))</f>
        <v>54</v>
      </c>
      <c r="BL36" s="2"/>
      <c r="BM36" s="2"/>
      <c r="BN36" s="2"/>
      <c r="BP36" s="28">
        <f t="shared" ref="BP36:BP38" ca="1" si="210">SUM(BD36:BN36)</f>
        <v>202</v>
      </c>
      <c r="BQ36" s="29">
        <f t="shared" ref="BQ36:BQ38" ca="1" si="211">BP36/AD36</f>
        <v>67.333333333333329</v>
      </c>
      <c r="BT36" s="2">
        <f t="shared" ref="BT36:BT38" ca="1" si="212">BD36+BT35</f>
        <v>2144</v>
      </c>
      <c r="BU36" s="2">
        <f t="shared" ref="BU36:BU38" ca="1" si="213">BE36+BU35</f>
        <v>1283</v>
      </c>
      <c r="BV36" s="2">
        <f t="shared" ref="BV36:BV38" ca="1" si="214">BF36+BV35</f>
        <v>1488</v>
      </c>
      <c r="BW36" s="2">
        <f t="shared" ref="BW36:BW38" ca="1" si="215">BG36+BW35</f>
        <v>1139</v>
      </c>
      <c r="BX36" s="2">
        <f t="shared" ref="BX36:BX38" ca="1" si="216">BH36+BX35</f>
        <v>133</v>
      </c>
      <c r="BY36" s="2">
        <f t="shared" ref="BY36:BY38" ca="1" si="217">BI36+BY35</f>
        <v>230</v>
      </c>
      <c r="BZ36" s="2">
        <f t="shared" ref="BZ36" ca="1" si="218">BJ36+BZ35</f>
        <v>66</v>
      </c>
      <c r="CA36" s="2">
        <f t="shared" ref="CA36" ca="1" si="219">BK36+CA35</f>
        <v>54</v>
      </c>
      <c r="CB36" s="2"/>
      <c r="CC36" s="2"/>
      <c r="CD36" s="2">
        <f t="shared" ref="CD36:CD38" ca="1" si="220">BN36+CD35</f>
        <v>59</v>
      </c>
      <c r="CG36" s="1">
        <f t="shared" ca="1" si="58"/>
        <v>30</v>
      </c>
      <c r="CH36" s="1">
        <f t="shared" ca="1" si="18"/>
        <v>73</v>
      </c>
      <c r="CI36" s="1" t="str">
        <f t="shared" ca="1" si="19"/>
        <v>Mateusz</v>
      </c>
      <c r="CJ36" s="13">
        <f t="shared" ca="1" si="20"/>
        <v>27</v>
      </c>
      <c r="CK36">
        <f t="shared" ca="1" si="21"/>
        <v>1</v>
      </c>
      <c r="CL36" s="55">
        <f t="shared" ca="1" si="22"/>
        <v>4</v>
      </c>
      <c r="CO36" t="s">
        <v>7</v>
      </c>
      <c r="CW36" s="93">
        <f t="shared" si="59"/>
        <v>31</v>
      </c>
      <c r="CX36" s="51">
        <f t="shared" ca="1" si="73"/>
        <v>499969</v>
      </c>
      <c r="CY36" s="51">
        <f ca="1">BG16</f>
        <v>50</v>
      </c>
      <c r="CZ36" s="52" t="str">
        <f>$BG$5</f>
        <v>Agnieszka</v>
      </c>
      <c r="DA36" s="77">
        <v>11</v>
      </c>
      <c r="DB36" s="77">
        <v>4</v>
      </c>
      <c r="DC36" s="51">
        <f t="shared" ca="1" si="25"/>
        <v>729916</v>
      </c>
      <c r="DO36" s="4">
        <f t="shared" si="26"/>
        <v>31</v>
      </c>
      <c r="DP36" s="6">
        <f ca="1">AVERAGE(BD$6:BD36)</f>
        <v>69.161290322580641</v>
      </c>
      <c r="DQ36" s="6">
        <f ca="1">AVERAGE(BE$6:BE36)</f>
        <v>67.526315789473685</v>
      </c>
      <c r="DR36" s="6">
        <f ca="1">AVERAGE(BF$6:BF36)</f>
        <v>62</v>
      </c>
      <c r="DS36" s="6">
        <f ca="1">AVERAGE(BG$6:BG36)</f>
        <v>63.277777777777779</v>
      </c>
      <c r="DT36" s="86">
        <f t="shared" ca="1" si="60"/>
        <v>70.441176470588232</v>
      </c>
      <c r="DU36" s="87">
        <f ca="1">AVERAGE($BD$6:BN36)</f>
        <v>64.666666666666671</v>
      </c>
      <c r="DX36" s="4">
        <f t="shared" si="27"/>
        <v>31</v>
      </c>
      <c r="DY36" s="1">
        <f>COUNTIF(AE$6:AE36,1)</f>
        <v>12</v>
      </c>
      <c r="DZ36" s="1">
        <f>COUNTIF(AF$6:AF36,1)</f>
        <v>7</v>
      </c>
      <c r="EA36" s="1">
        <f>COUNTIF(AG$6:AG36,1)</f>
        <v>9</v>
      </c>
      <c r="EB36" s="1">
        <f>COUNTIF(AH$6:AH36,1)</f>
        <v>3</v>
      </c>
      <c r="ED36" s="4">
        <f t="shared" si="28"/>
        <v>31</v>
      </c>
      <c r="EE36" s="1">
        <f>DY36+COUNTIF(AE$6:AE36,2)*0.01+COUNTIF(AE$6:AE36,3)*0.0001+COUNTIF(AE$6:AE36,4)*0.000001</f>
        <v>12.150004000000001</v>
      </c>
      <c r="EF36" s="1">
        <f>DZ36+COUNTIF(AF$6:AF36,2)*0.01+COUNTIF(AF$6:AF36,3)*0.0001+COUNTIF(AF$6:AF36,4)*0.000001</f>
        <v>7.0307020000000007</v>
      </c>
      <c r="EG36" s="1">
        <f>EA36+COUNTIF(AG$6:AG36,2)*0.01+COUNTIF(AG$6:AG36,3)*0.0001+COUNTIF(AG$6:AG36,4)*0.000001</f>
        <v>9.0804030000000004</v>
      </c>
      <c r="EH36" s="1">
        <f>EB36+COUNTIF(AH$6:AH36,2)*0.01+COUNTIF(AH$6:AH36,3)*0.0001+COUNTIF(AH$6:AH36,4)*0.000001</f>
        <v>3.0210029999999999</v>
      </c>
      <c r="EJ36" s="4">
        <f t="shared" si="29"/>
        <v>31</v>
      </c>
      <c r="EK36" s="2">
        <f>AVERAGE(FJ$6:FJ36)</f>
        <v>1.8709677419354838</v>
      </c>
      <c r="EL36" s="2">
        <f>AVERAGE(FK$6:FK36)</f>
        <v>2.2105263157894739</v>
      </c>
      <c r="EM36" s="2">
        <f>AVERAGE(FL$6:FL36)</f>
        <v>2.0416666666666665</v>
      </c>
      <c r="EN36" s="2">
        <f>AVERAGE(FM$6:FM36)</f>
        <v>2.7222222222222223</v>
      </c>
      <c r="EP36" s="4">
        <f t="shared" si="30"/>
        <v>31</v>
      </c>
      <c r="EQ36" s="1">
        <f t="shared" ref="EQ36:EQ38" si="221">IF(AE36=0,0,IF($AD36=2,3-AE36,IF($AD36=3,4-AE36,IF($AD36=4,5-AE36,"tekst"))))+IF(AE36=MIN($AE36:$AO36),1,0)+EQ35</f>
        <v>75</v>
      </c>
      <c r="ER36" s="1">
        <f t="shared" ref="ER36:ER38" si="222">IF(AF36=0,0,IF($AD36=2,3-AF36,IF($AD36=3,4-AF36,IF($AD36=4,5-AF36,"tekst"))))+IF(AF36=MIN($AE36:$AO36),1,0)+ER35</f>
        <v>59</v>
      </c>
      <c r="ES36" s="1">
        <f t="shared" ref="ES36:ES38" si="223">IF(AG36=0,0,IF($AD36=2,3-AG36,IF($AD36=3,4-AG36,IF($AD36=4,5-AG36,"tekst"))))+IF(AG36=MIN($AE36:$AO36),1,0)+ES35</f>
        <v>61</v>
      </c>
      <c r="ET36" s="1">
        <f t="shared" ref="ET36:ET38" si="224">IF(AH36=0,0,IF($AD36=2,3-AH36,IF($AD36=3,4-AH36,IF($AD36=4,5-AH36,"tekst"))))+IF(AH36=MIN($AE36:$AO36),1,0)+ET35</f>
        <v>47</v>
      </c>
      <c r="EV36">
        <f t="shared" si="201"/>
        <v>31</v>
      </c>
      <c r="EW36" s="1">
        <f t="shared" si="202"/>
        <v>0</v>
      </c>
      <c r="EX36" s="1">
        <f t="shared" si="203"/>
        <v>16</v>
      </c>
      <c r="EY36" s="1">
        <f t="shared" si="204"/>
        <v>14</v>
      </c>
      <c r="EZ36" s="1">
        <f t="shared" si="205"/>
        <v>28</v>
      </c>
      <c r="FB36" s="4">
        <f t="shared" si="33"/>
        <v>31</v>
      </c>
      <c r="FC36" s="1">
        <f t="shared" ref="FC36:FC38" si="225">DY36-$FG36</f>
        <v>0</v>
      </c>
      <c r="FD36" s="1">
        <f t="shared" ref="FD36:FD38" si="226">DZ36-$FG36</f>
        <v>-5</v>
      </c>
      <c r="FE36" s="1">
        <f t="shared" ref="FE36:FE38" si="227">EA36-$FG36</f>
        <v>-3</v>
      </c>
      <c r="FF36" s="1">
        <f t="shared" ref="FF36:FF38" si="228">EB36-$FG36</f>
        <v>-9</v>
      </c>
      <c r="FG36">
        <f t="shared" ref="FG36:FG38" si="229">MAX(DY36:EB36)</f>
        <v>12</v>
      </c>
      <c r="FI36" s="4">
        <f t="shared" ref="FI36:FI38" si="230">N36</f>
        <v>31</v>
      </c>
      <c r="FJ36" s="1">
        <f t="shared" ref="FJ36:FJ38" si="231">IF(AE36=0,"nie grał",AE36)</f>
        <v>1</v>
      </c>
      <c r="FK36" s="1" t="str">
        <f t="shared" ref="FK36:FK38" si="232">IF(AF36=0,"nie grał",AF36)</f>
        <v>nie grał</v>
      </c>
      <c r="FL36" s="1" t="str">
        <f t="shared" ref="FL36:FL38" si="233">IF(AG36=0,"nie grał",AG36)</f>
        <v>nie grał</v>
      </c>
      <c r="FM36" s="1" t="str">
        <f t="shared" ref="FM36:FM38" si="234">IF(AH36=0,"nie grał",AH36)</f>
        <v>nie grał</v>
      </c>
    </row>
    <row r="37" spans="2:169" x14ac:dyDescent="0.2">
      <c r="B37" s="8" t="s">
        <v>81</v>
      </c>
      <c r="C37" s="8" t="s">
        <v>32</v>
      </c>
      <c r="D37" s="8" t="s">
        <v>156</v>
      </c>
      <c r="E37" s="8" t="s">
        <v>82</v>
      </c>
      <c r="F37" s="88">
        <v>44319</v>
      </c>
      <c r="N37">
        <v>32</v>
      </c>
      <c r="O37">
        <v>4</v>
      </c>
      <c r="P37" s="62" t="s">
        <v>6</v>
      </c>
      <c r="Q37" s="63" t="s">
        <v>7</v>
      </c>
      <c r="R37" s="64" t="s">
        <v>9</v>
      </c>
      <c r="S37" s="61" t="s">
        <v>8</v>
      </c>
      <c r="U37" s="8">
        <v>82</v>
      </c>
      <c r="V37" s="8">
        <v>61</v>
      </c>
      <c r="W37" s="8">
        <v>59</v>
      </c>
      <c r="X37" s="8">
        <v>55</v>
      </c>
      <c r="Z37" s="2">
        <f t="shared" ca="1" si="10"/>
        <v>21</v>
      </c>
      <c r="AA37" s="2">
        <f t="shared" ca="1" si="206"/>
        <v>27</v>
      </c>
      <c r="AC37">
        <f t="shared" si="85"/>
        <v>32</v>
      </c>
      <c r="AD37">
        <f t="shared" si="207"/>
        <v>4</v>
      </c>
      <c r="AE37" s="2">
        <f t="shared" si="39"/>
        <v>1</v>
      </c>
      <c r="AF37" s="2">
        <f t="shared" si="39"/>
        <v>2</v>
      </c>
      <c r="AG37" s="2">
        <f t="shared" si="39"/>
        <v>4</v>
      </c>
      <c r="AH37" s="2">
        <f t="shared" si="39"/>
        <v>3</v>
      </c>
      <c r="AI37" s="2">
        <f t="shared" si="39"/>
        <v>0</v>
      </c>
      <c r="AJ37" s="2">
        <f t="shared" si="39"/>
        <v>0</v>
      </c>
      <c r="AK37" s="2">
        <f t="shared" si="39"/>
        <v>0</v>
      </c>
      <c r="AL37" s="2">
        <f t="shared" si="39"/>
        <v>0</v>
      </c>
      <c r="AM37" s="2">
        <f t="shared" si="39"/>
        <v>0</v>
      </c>
      <c r="AN37" s="2">
        <f t="shared" si="39"/>
        <v>0</v>
      </c>
      <c r="AO37" s="2">
        <f t="shared" si="39"/>
        <v>0</v>
      </c>
      <c r="BD37" s="2">
        <f t="shared" ca="1" si="15"/>
        <v>82</v>
      </c>
      <c r="BE37" s="2">
        <f t="shared" ca="1" si="15"/>
        <v>61</v>
      </c>
      <c r="BF37" s="2">
        <f t="shared" ca="1" si="15"/>
        <v>55</v>
      </c>
      <c r="BG37" s="2">
        <f t="shared" ca="1" si="15"/>
        <v>59</v>
      </c>
      <c r="BH37" s="2"/>
      <c r="BI37" s="2"/>
      <c r="BJ37" s="2"/>
      <c r="BK37" s="2"/>
      <c r="BL37" s="2"/>
      <c r="BM37" s="2"/>
      <c r="BN37" s="2"/>
      <c r="BP37" s="28">
        <f t="shared" ca="1" si="210"/>
        <v>257</v>
      </c>
      <c r="BQ37" s="29">
        <f t="shared" ca="1" si="211"/>
        <v>64.25</v>
      </c>
      <c r="BT37" s="2">
        <f t="shared" ca="1" si="212"/>
        <v>2226</v>
      </c>
      <c r="BU37" s="2">
        <f t="shared" ca="1" si="213"/>
        <v>1344</v>
      </c>
      <c r="BV37" s="2">
        <f t="shared" ca="1" si="214"/>
        <v>1543</v>
      </c>
      <c r="BW37" s="2">
        <f t="shared" ca="1" si="215"/>
        <v>1198</v>
      </c>
      <c r="BX37" s="2">
        <f t="shared" ca="1" si="216"/>
        <v>133</v>
      </c>
      <c r="BY37" s="2">
        <f t="shared" ca="1" si="217"/>
        <v>230</v>
      </c>
      <c r="BZ37" s="2">
        <f t="shared" ref="BZ37" ca="1" si="235">BJ37+BZ36</f>
        <v>66</v>
      </c>
      <c r="CA37" s="2">
        <f t="shared" ref="CA37" ca="1" si="236">BK37+CA36</f>
        <v>54</v>
      </c>
      <c r="CB37" s="2"/>
      <c r="CC37" s="2"/>
      <c r="CD37" s="2">
        <f t="shared" ca="1" si="220"/>
        <v>59</v>
      </c>
      <c r="CG37" s="1">
        <f t="shared" ca="1" si="58"/>
        <v>30</v>
      </c>
      <c r="CH37" s="1">
        <f t="shared" ca="1" si="18"/>
        <v>73</v>
      </c>
      <c r="CI37" s="1" t="str">
        <f t="shared" ca="1" si="19"/>
        <v>Mateusz</v>
      </c>
      <c r="CJ37" s="13">
        <f t="shared" ca="1" si="20"/>
        <v>28</v>
      </c>
      <c r="CK37">
        <f t="shared" ca="1" si="21"/>
        <v>2</v>
      </c>
      <c r="CL37" s="55">
        <f t="shared" ca="1" si="22"/>
        <v>4</v>
      </c>
      <c r="CO37" s="39" t="s">
        <v>128</v>
      </c>
      <c r="CP37" s="24">
        <f ca="1">MAX(BE6:BE35)</f>
        <v>105</v>
      </c>
      <c r="CQ37" t="s">
        <v>130</v>
      </c>
      <c r="CW37" s="93">
        <f t="shared" si="59"/>
        <v>32</v>
      </c>
      <c r="CX37" s="51">
        <f t="shared" ca="1" si="73"/>
        <v>629968</v>
      </c>
      <c r="CY37" s="52">
        <f ca="1">BD17</f>
        <v>63</v>
      </c>
      <c r="CZ37" s="51" t="s">
        <v>6</v>
      </c>
      <c r="DA37" s="78">
        <v>12</v>
      </c>
      <c r="DB37" s="78">
        <v>4</v>
      </c>
      <c r="DC37" s="51">
        <f t="shared" ca="1" si="25"/>
        <v>729912</v>
      </c>
      <c r="DO37" s="4">
        <f t="shared" si="26"/>
        <v>32</v>
      </c>
      <c r="DP37" s="6">
        <f ca="1">AVERAGE(BD$6:BD37)</f>
        <v>69.5625</v>
      </c>
      <c r="DQ37" s="6">
        <f ca="1">AVERAGE(BE$6:BE37)</f>
        <v>67.2</v>
      </c>
      <c r="DR37" s="6">
        <f ca="1">AVERAGE(BF$6:BF37)</f>
        <v>61.72</v>
      </c>
      <c r="DS37" s="6">
        <f ca="1">AVERAGE(BG$6:BG37)</f>
        <v>63.05263157894737</v>
      </c>
      <c r="DT37" s="86">
        <f t="shared" ca="1" si="60"/>
        <v>70.441176470588232</v>
      </c>
      <c r="DU37" s="87">
        <f ca="1">AVERAGE($BD$6:BN37)</f>
        <v>64.65094339622641</v>
      </c>
      <c r="DX37" s="4">
        <f t="shared" si="27"/>
        <v>32</v>
      </c>
      <c r="DY37" s="1">
        <f>COUNTIF(AE$6:AE37,1)</f>
        <v>13</v>
      </c>
      <c r="DZ37" s="1">
        <f>COUNTIF(AF$6:AF37,1)</f>
        <v>7</v>
      </c>
      <c r="EA37" s="1">
        <f>COUNTIF(AG$6:AG37,1)</f>
        <v>9</v>
      </c>
      <c r="EB37" s="1">
        <f>COUNTIF(AH$6:AH37,1)</f>
        <v>3</v>
      </c>
      <c r="ED37" s="4">
        <f t="shared" si="28"/>
        <v>32</v>
      </c>
      <c r="EE37" s="1">
        <f>DY37+COUNTIF(AE$6:AE37,2)*0.01+COUNTIF(AE$6:AE37,3)*0.0001+COUNTIF(AE$6:AE37,4)*0.000001</f>
        <v>13.150004000000001</v>
      </c>
      <c r="EF37" s="1">
        <f>DZ37+COUNTIF(AF$6:AF37,2)*0.01+COUNTIF(AF$6:AF37,3)*0.0001+COUNTIF(AF$6:AF37,4)*0.000001</f>
        <v>7.0407020000000005</v>
      </c>
      <c r="EG37" s="1">
        <f>EA37+COUNTIF(AG$6:AG37,2)*0.01+COUNTIF(AG$6:AG37,3)*0.0001+COUNTIF(AG$6:AG37,4)*0.000001</f>
        <v>9.0804040000000015</v>
      </c>
      <c r="EH37" s="1">
        <f>EB37+COUNTIF(AH$6:AH37,2)*0.01+COUNTIF(AH$6:AH37,3)*0.0001+COUNTIF(AH$6:AH37,4)*0.000001</f>
        <v>3.0211030000000001</v>
      </c>
      <c r="EJ37" s="4">
        <f t="shared" si="29"/>
        <v>32</v>
      </c>
      <c r="EK37" s="2">
        <f>AVERAGE(FJ$6:FJ37)</f>
        <v>1.84375</v>
      </c>
      <c r="EL37" s="2">
        <f>AVERAGE(FK$6:FK37)</f>
        <v>2.2000000000000002</v>
      </c>
      <c r="EM37" s="2">
        <f>AVERAGE(FL$6:FL37)</f>
        <v>2.12</v>
      </c>
      <c r="EN37" s="2">
        <f>AVERAGE(FM$6:FM37)</f>
        <v>2.736842105263158</v>
      </c>
      <c r="EP37" s="4">
        <f t="shared" si="30"/>
        <v>32</v>
      </c>
      <c r="EQ37" s="1">
        <f t="shared" si="221"/>
        <v>79</v>
      </c>
      <c r="ER37" s="1">
        <f t="shared" si="222"/>
        <v>62</v>
      </c>
      <c r="ES37" s="1">
        <f t="shared" si="223"/>
        <v>62</v>
      </c>
      <c r="ET37" s="1">
        <f t="shared" si="224"/>
        <v>49</v>
      </c>
      <c r="EV37">
        <f t="shared" si="201"/>
        <v>32</v>
      </c>
      <c r="EW37" s="1">
        <f t="shared" si="202"/>
        <v>0</v>
      </c>
      <c r="EX37" s="1">
        <f t="shared" si="203"/>
        <v>17</v>
      </c>
      <c r="EY37" s="1">
        <f t="shared" si="204"/>
        <v>17</v>
      </c>
      <c r="EZ37" s="1">
        <f t="shared" si="205"/>
        <v>30</v>
      </c>
      <c r="FB37" s="4">
        <f t="shared" si="33"/>
        <v>32</v>
      </c>
      <c r="FC37" s="1">
        <f t="shared" si="225"/>
        <v>0</v>
      </c>
      <c r="FD37" s="1">
        <f t="shared" si="226"/>
        <v>-6</v>
      </c>
      <c r="FE37" s="1">
        <f t="shared" si="227"/>
        <v>-4</v>
      </c>
      <c r="FF37" s="1">
        <f t="shared" si="228"/>
        <v>-10</v>
      </c>
      <c r="FG37">
        <f t="shared" si="229"/>
        <v>13</v>
      </c>
      <c r="FI37" s="4">
        <f t="shared" si="230"/>
        <v>32</v>
      </c>
      <c r="FJ37" s="1">
        <f t="shared" si="231"/>
        <v>1</v>
      </c>
      <c r="FK37" s="1">
        <f t="shared" si="232"/>
        <v>2</v>
      </c>
      <c r="FL37" s="1">
        <f t="shared" si="233"/>
        <v>4</v>
      </c>
      <c r="FM37" s="1">
        <f t="shared" si="234"/>
        <v>3</v>
      </c>
    </row>
    <row r="38" spans="2:169" x14ac:dyDescent="0.2">
      <c r="B38" s="8" t="s">
        <v>79</v>
      </c>
      <c r="C38" s="8" t="s">
        <v>81</v>
      </c>
      <c r="D38" s="8" t="s">
        <v>82</v>
      </c>
      <c r="E38" s="8" t="s">
        <v>84</v>
      </c>
      <c r="F38" s="88">
        <v>44506</v>
      </c>
      <c r="N38">
        <v>33</v>
      </c>
      <c r="O38">
        <v>4</v>
      </c>
      <c r="P38" s="62" t="s">
        <v>6</v>
      </c>
      <c r="Q38" s="61" t="s">
        <v>152</v>
      </c>
      <c r="R38" s="64" t="s">
        <v>8</v>
      </c>
      <c r="S38" s="63" t="s">
        <v>153</v>
      </c>
      <c r="U38" s="8">
        <v>79</v>
      </c>
      <c r="V38" s="8">
        <v>69</v>
      </c>
      <c r="W38" s="8">
        <v>55</v>
      </c>
      <c r="X38" s="8">
        <v>49</v>
      </c>
      <c r="Z38" s="2">
        <f t="shared" ca="1" si="10"/>
        <v>10</v>
      </c>
      <c r="AA38" s="2">
        <f t="shared" ca="1" si="206"/>
        <v>30</v>
      </c>
      <c r="AC38">
        <f t="shared" si="85"/>
        <v>33</v>
      </c>
      <c r="AD38">
        <f t="shared" si="207"/>
        <v>4</v>
      </c>
      <c r="AE38" s="2">
        <f t="shared" ref="AE38:AO39" si="237">IFERROR(MATCH(AE$4,$P38:$S38,),0)</f>
        <v>1</v>
      </c>
      <c r="AF38" s="2">
        <f t="shared" si="237"/>
        <v>0</v>
      </c>
      <c r="AG38" s="2">
        <f t="shared" si="237"/>
        <v>3</v>
      </c>
      <c r="AH38" s="2">
        <f t="shared" si="237"/>
        <v>0</v>
      </c>
      <c r="AI38" s="2">
        <f t="shared" si="237"/>
        <v>0</v>
      </c>
      <c r="AJ38" s="2">
        <f t="shared" si="237"/>
        <v>0</v>
      </c>
      <c r="AK38" s="2">
        <f t="shared" si="237"/>
        <v>0</v>
      </c>
      <c r="AL38" s="2">
        <f t="shared" si="237"/>
        <v>0</v>
      </c>
      <c r="AM38" s="2">
        <f t="shared" si="237"/>
        <v>2</v>
      </c>
      <c r="AN38" s="2">
        <f t="shared" si="237"/>
        <v>4</v>
      </c>
      <c r="AO38" s="2">
        <f t="shared" si="237"/>
        <v>0</v>
      </c>
      <c r="BD38" s="2">
        <f t="shared" ref="BD38" ca="1" si="238">IF(INDIRECT(ADDRESS(ROW($BC38),COLUMN($T38)+AE38,4,1),TRUE)=0,"",INDIRECT(ADDRESS(ROW($BC38),COLUMN($T38)+AE38,4,1),TRUE))</f>
        <v>79</v>
      </c>
      <c r="BE38" s="2"/>
      <c r="BF38" s="2">
        <f t="shared" ref="BF38" ca="1" si="239">IF(INDIRECT(ADDRESS(ROW($BC38),COLUMN($T38)+AG38,4,1),TRUE)=0,"",INDIRECT(ADDRESS(ROW($BC38),COLUMN($T38)+AG38,4,1),TRUE))</f>
        <v>55</v>
      </c>
      <c r="BG38" s="2"/>
      <c r="BH38" s="2"/>
      <c r="BI38" s="2"/>
      <c r="BJ38" s="2"/>
      <c r="BK38" s="2"/>
      <c r="BL38" s="2">
        <f t="shared" ref="BL38" ca="1" si="240">IF(INDIRECT(ADDRESS(ROW($BC38),COLUMN($T38)+AM38,4,1),TRUE)=0,"",INDIRECT(ADDRESS(ROW($BC38),COLUMN($T38)+AM38,4,1),TRUE))</f>
        <v>69</v>
      </c>
      <c r="BM38" s="2">
        <f t="shared" ref="BM38" ca="1" si="241">IF(INDIRECT(ADDRESS(ROW($BC38),COLUMN($T38)+AN38,4,1),TRUE)=0,"",INDIRECT(ADDRESS(ROW($BC38),COLUMN($T38)+AN38,4,1),TRUE))</f>
        <v>49</v>
      </c>
      <c r="BN38" s="2"/>
      <c r="BP38" s="28">
        <f t="shared" ca="1" si="210"/>
        <v>252</v>
      </c>
      <c r="BQ38" s="29">
        <f t="shared" ca="1" si="211"/>
        <v>63</v>
      </c>
      <c r="BT38" s="2">
        <f t="shared" ca="1" si="212"/>
        <v>2305</v>
      </c>
      <c r="BU38" s="2">
        <f t="shared" ca="1" si="213"/>
        <v>1344</v>
      </c>
      <c r="BV38" s="2">
        <f t="shared" ca="1" si="214"/>
        <v>1598</v>
      </c>
      <c r="BW38" s="2">
        <f t="shared" ca="1" si="215"/>
        <v>1198</v>
      </c>
      <c r="BX38" s="2">
        <f t="shared" ca="1" si="216"/>
        <v>133</v>
      </c>
      <c r="BY38" s="2">
        <f t="shared" ca="1" si="217"/>
        <v>230</v>
      </c>
      <c r="BZ38" s="2">
        <f t="shared" ref="BZ38" ca="1" si="242">BJ38+BZ37</f>
        <v>66</v>
      </c>
      <c r="CA38" s="2">
        <f t="shared" ref="CA38" ca="1" si="243">BK38+CA37</f>
        <v>54</v>
      </c>
      <c r="CB38" s="2">
        <f t="shared" ref="CB38" ca="1" si="244">BL38+CB37</f>
        <v>69</v>
      </c>
      <c r="CC38" s="2">
        <f t="shared" ref="CC38" ca="1" si="245">BM38+CC37</f>
        <v>49</v>
      </c>
      <c r="CD38" s="2">
        <f t="shared" ca="1" si="220"/>
        <v>59</v>
      </c>
      <c r="CG38" s="1">
        <f t="shared" ca="1" si="58"/>
        <v>33</v>
      </c>
      <c r="CH38" s="1">
        <f t="shared" ref="CH38:CH69" ca="1" si="246">VLOOKUP(DC38,CX:CZ,2,FALSE)</f>
        <v>72</v>
      </c>
      <c r="CI38" s="1" t="str">
        <f t="shared" ref="CI38:CI69" ca="1" si="247">VLOOKUP(DC38,CX:CZ,3,FALSE)</f>
        <v>Justyna</v>
      </c>
      <c r="CJ38" s="13">
        <f t="shared" ref="CJ38:CJ69" ca="1" si="248">VLOOKUP(DC38,CX:DA,4,FALSE)</f>
        <v>5</v>
      </c>
      <c r="CK38">
        <f t="shared" ref="CK38:CK69" ca="1" si="249">VLOOKUP(DC38,CX:DB,5,FALSE)</f>
        <v>1</v>
      </c>
      <c r="CL38" s="55">
        <f t="shared" ref="CL38:CL69" ca="1" si="250">IF(CJ38="&lt;- dzisiaj",VLOOKUP(MAX($CJ:$CJ)+1,$N:$O,2,FALSE),VLOOKUP(CJ38,$N:$O,2,FALSE))</f>
        <v>2</v>
      </c>
      <c r="CO38" s="39" t="s">
        <v>129</v>
      </c>
      <c r="CP38" s="24">
        <f ca="1">MIN(BE6:BE35)</f>
        <v>50</v>
      </c>
      <c r="CQ38" t="s">
        <v>130</v>
      </c>
      <c r="CW38" s="93">
        <f t="shared" si="59"/>
        <v>33</v>
      </c>
      <c r="CX38" s="51">
        <f t="shared" ca="1" si="73"/>
        <v>829967</v>
      </c>
      <c r="CY38" s="52">
        <f ca="1">BE17</f>
        <v>83</v>
      </c>
      <c r="CZ38" s="51" t="s">
        <v>7</v>
      </c>
      <c r="DA38" s="78">
        <v>12</v>
      </c>
      <c r="DB38" s="78">
        <v>1</v>
      </c>
      <c r="DC38" s="51">
        <f t="shared" ref="DC38:DC69" ca="1" si="251">LARGE(CX:CX,CW38)</f>
        <v>719989</v>
      </c>
      <c r="DO38" s="4">
        <f t="shared" si="26"/>
        <v>33</v>
      </c>
      <c r="DP38" s="6">
        <f ca="1">AVERAGE(BD$6:BD38)</f>
        <v>69.848484848484844</v>
      </c>
      <c r="DQ38" s="6">
        <f ca="1">AVERAGE(BE$6:BE38)</f>
        <v>67.2</v>
      </c>
      <c r="DR38" s="6">
        <f ca="1">AVERAGE(BF$6:BF38)</f>
        <v>61.46153846153846</v>
      </c>
      <c r="DS38" s="6">
        <f ca="1">AVERAGE(BG$6:BG38)</f>
        <v>63.05263157894737</v>
      </c>
      <c r="DT38" s="86">
        <f t="shared" ca="1" si="60"/>
        <v>70.441176470588232</v>
      </c>
      <c r="DU38" s="87">
        <f ca="1">AVERAGE($BD$6:BN38)</f>
        <v>64.590909090909093</v>
      </c>
      <c r="DX38" s="4">
        <f t="shared" si="27"/>
        <v>33</v>
      </c>
      <c r="DY38" s="1">
        <f>COUNTIF(AE$6:AE38,1)</f>
        <v>14</v>
      </c>
      <c r="DZ38" s="1">
        <f>COUNTIF(AF$6:AF38,1)</f>
        <v>7</v>
      </c>
      <c r="EA38" s="1">
        <f>COUNTIF(AG$6:AG38,1)</f>
        <v>9</v>
      </c>
      <c r="EB38" s="1">
        <f>COUNTIF(AH$6:AH38,1)</f>
        <v>3</v>
      </c>
      <c r="ED38" s="4">
        <f t="shared" si="28"/>
        <v>33</v>
      </c>
      <c r="EE38" s="1">
        <f>DY38+COUNTIF(AE$6:AE38,2)*0.01+COUNTIF(AE$6:AE38,3)*0.0001+COUNTIF(AE$6:AE38,4)*0.000001</f>
        <v>14.150004000000001</v>
      </c>
      <c r="EF38" s="1">
        <f>DZ38+COUNTIF(AF$6:AF38,2)*0.01+COUNTIF(AF$6:AF38,3)*0.0001+COUNTIF(AF$6:AF38,4)*0.000001</f>
        <v>7.0407020000000005</v>
      </c>
      <c r="EG38" s="1">
        <f>EA38+COUNTIF(AG$6:AG38,2)*0.01+COUNTIF(AG$6:AG38,3)*0.0001+COUNTIF(AG$6:AG38,4)*0.000001</f>
        <v>9.0805040000000012</v>
      </c>
      <c r="EH38" s="1">
        <f>EB38+COUNTIF(AH$6:AH38,2)*0.01+COUNTIF(AH$6:AH38,3)*0.0001+COUNTIF(AH$6:AH38,4)*0.000001</f>
        <v>3.0211030000000001</v>
      </c>
      <c r="EJ38" s="4">
        <f t="shared" si="29"/>
        <v>33</v>
      </c>
      <c r="EK38" s="2">
        <f>AVERAGE(FJ$6:FJ38)</f>
        <v>1.8181818181818181</v>
      </c>
      <c r="EL38" s="2">
        <f>AVERAGE(FK$6:FK38)</f>
        <v>2.2000000000000002</v>
      </c>
      <c r="EM38" s="2">
        <f>AVERAGE(FL$6:FL38)</f>
        <v>2.1538461538461537</v>
      </c>
      <c r="EN38" s="2">
        <f>AVERAGE(FM$6:FM38)</f>
        <v>2.736842105263158</v>
      </c>
      <c r="EP38" s="4">
        <f t="shared" si="30"/>
        <v>33</v>
      </c>
      <c r="EQ38" s="1">
        <f t="shared" si="221"/>
        <v>83</v>
      </c>
      <c r="ER38" s="1">
        <f t="shared" si="222"/>
        <v>63</v>
      </c>
      <c r="ES38" s="1">
        <f t="shared" si="223"/>
        <v>64</v>
      </c>
      <c r="ET38" s="1">
        <f t="shared" si="224"/>
        <v>50</v>
      </c>
      <c r="EV38">
        <f t="shared" si="201"/>
        <v>33</v>
      </c>
      <c r="EW38" s="1">
        <f t="shared" si="202"/>
        <v>0</v>
      </c>
      <c r="EX38" s="1">
        <f t="shared" si="203"/>
        <v>20</v>
      </c>
      <c r="EY38" s="1">
        <f t="shared" si="204"/>
        <v>19</v>
      </c>
      <c r="EZ38" s="1">
        <f t="shared" si="205"/>
        <v>33</v>
      </c>
      <c r="FB38" s="4">
        <f t="shared" si="33"/>
        <v>33</v>
      </c>
      <c r="FC38" s="1">
        <f t="shared" si="225"/>
        <v>0</v>
      </c>
      <c r="FD38" s="1">
        <f t="shared" si="226"/>
        <v>-7</v>
      </c>
      <c r="FE38" s="1">
        <f t="shared" si="227"/>
        <v>-5</v>
      </c>
      <c r="FF38" s="1">
        <f t="shared" si="228"/>
        <v>-11</v>
      </c>
      <c r="FG38">
        <f t="shared" si="229"/>
        <v>14</v>
      </c>
      <c r="FI38" s="4">
        <f t="shared" si="230"/>
        <v>33</v>
      </c>
      <c r="FJ38" s="1">
        <f t="shared" si="231"/>
        <v>1</v>
      </c>
      <c r="FK38" s="1" t="str">
        <f t="shared" si="232"/>
        <v>nie grał</v>
      </c>
      <c r="FL38" s="1">
        <f t="shared" si="233"/>
        <v>3</v>
      </c>
      <c r="FM38" s="1" t="str">
        <f t="shared" si="234"/>
        <v>nie grał</v>
      </c>
    </row>
    <row r="39" spans="2:169" x14ac:dyDescent="0.2">
      <c r="B39" s="8" t="s">
        <v>81</v>
      </c>
      <c r="C39" s="8" t="s">
        <v>79</v>
      </c>
      <c r="D39" s="8" t="s">
        <v>156</v>
      </c>
      <c r="E39" s="8" t="s">
        <v>82</v>
      </c>
      <c r="F39" s="88">
        <v>44558</v>
      </c>
      <c r="N39">
        <v>34</v>
      </c>
      <c r="O39">
        <v>4</v>
      </c>
      <c r="P39" s="62" t="s">
        <v>6</v>
      </c>
      <c r="Q39" s="61" t="s">
        <v>8</v>
      </c>
      <c r="R39" s="63" t="s">
        <v>7</v>
      </c>
      <c r="S39" s="64" t="s">
        <v>9</v>
      </c>
      <c r="U39" s="8">
        <v>90</v>
      </c>
      <c r="V39" s="8">
        <v>80</v>
      </c>
      <c r="W39" s="8">
        <v>69</v>
      </c>
      <c r="X39" s="8">
        <v>69</v>
      </c>
      <c r="Z39" s="2">
        <f t="shared" ca="1" si="10"/>
        <v>10</v>
      </c>
      <c r="AA39" s="2">
        <f t="shared" ref="AA39" ca="1" si="252">MAX($BD39:$BN39)-LARGE($BD39:$BN39,O39)</f>
        <v>21</v>
      </c>
      <c r="AC39">
        <f t="shared" si="85"/>
        <v>34</v>
      </c>
      <c r="AD39">
        <f t="shared" ref="AD39" si="253">COUNTIF(AE39:AO39,"&gt;0")</f>
        <v>4</v>
      </c>
      <c r="AE39" s="2">
        <f t="shared" si="237"/>
        <v>1</v>
      </c>
      <c r="AF39" s="2">
        <f t="shared" si="237"/>
        <v>3</v>
      </c>
      <c r="AG39" s="2">
        <f t="shared" si="237"/>
        <v>2</v>
      </c>
      <c r="AH39" s="102">
        <v>3</v>
      </c>
      <c r="AI39" s="2">
        <f t="shared" si="237"/>
        <v>0</v>
      </c>
      <c r="AJ39" s="2">
        <f t="shared" si="237"/>
        <v>0</v>
      </c>
      <c r="AK39" s="2">
        <f t="shared" si="237"/>
        <v>0</v>
      </c>
      <c r="AL39" s="2">
        <f t="shared" si="237"/>
        <v>0</v>
      </c>
      <c r="AM39" s="2">
        <f t="shared" si="237"/>
        <v>0</v>
      </c>
      <c r="AN39" s="2">
        <f t="shared" si="237"/>
        <v>0</v>
      </c>
      <c r="AO39" s="2">
        <f t="shared" si="237"/>
        <v>0</v>
      </c>
      <c r="BD39" s="2">
        <f t="shared" ref="BD39" ca="1" si="254">IF(INDIRECT(ADDRESS(ROW($BC39),COLUMN($T39)+AE39,4,1),TRUE)=0,"",INDIRECT(ADDRESS(ROW($BC39),COLUMN($T39)+AE39,4,1),TRUE))</f>
        <v>90</v>
      </c>
      <c r="BE39" s="2">
        <f t="shared" ca="1" si="15"/>
        <v>69</v>
      </c>
      <c r="BF39" s="2">
        <f t="shared" ref="BF39" ca="1" si="255">IF(INDIRECT(ADDRESS(ROW($BC39),COLUMN($T39)+AG39,4,1),TRUE)=0,"",INDIRECT(ADDRESS(ROW($BC39),COLUMN($T39)+AG39,4,1),TRUE))</f>
        <v>80</v>
      </c>
      <c r="BG39" s="2">
        <f t="shared" ca="1" si="15"/>
        <v>69</v>
      </c>
      <c r="BH39" s="2"/>
      <c r="BI39" s="2"/>
      <c r="BJ39" s="2"/>
      <c r="BK39" s="2"/>
      <c r="BL39" s="2"/>
      <c r="BM39" s="2"/>
      <c r="BN39" s="2"/>
      <c r="BP39" s="28">
        <f t="shared" ref="BP39" ca="1" si="256">SUM(BD39:BN39)</f>
        <v>308</v>
      </c>
      <c r="BQ39" s="29">
        <f t="shared" ref="BQ39" ca="1" si="257">BP39/AD39</f>
        <v>77</v>
      </c>
      <c r="BT39" s="2">
        <f t="shared" ref="BT39" ca="1" si="258">BD39+BT38</f>
        <v>2395</v>
      </c>
      <c r="BU39" s="2">
        <f t="shared" ref="BU39" ca="1" si="259">BE39+BU38</f>
        <v>1413</v>
      </c>
      <c r="BV39" s="2">
        <f t="shared" ref="BV39" ca="1" si="260">BF39+BV38</f>
        <v>1678</v>
      </c>
      <c r="BW39" s="2">
        <f t="shared" ref="BW39" ca="1" si="261">BG39+BW38</f>
        <v>1267</v>
      </c>
      <c r="BX39" s="2">
        <f t="shared" ref="BX39" ca="1" si="262">BH39+BX38</f>
        <v>133</v>
      </c>
      <c r="BY39" s="2">
        <f t="shared" ref="BY39" ca="1" si="263">BI39+BY38</f>
        <v>230</v>
      </c>
      <c r="BZ39" s="2">
        <f t="shared" ref="BZ39" ca="1" si="264">BJ39+BZ38</f>
        <v>66</v>
      </c>
      <c r="CA39" s="2">
        <f t="shared" ref="CA39" ca="1" si="265">BK39+CA38</f>
        <v>54</v>
      </c>
      <c r="CB39" s="2">
        <f t="shared" ref="CB39" ca="1" si="266">BL39+CB38</f>
        <v>69</v>
      </c>
      <c r="CC39" s="2">
        <f t="shared" ref="CC39" ca="1" si="267">BM39+CC38</f>
        <v>49</v>
      </c>
      <c r="CD39" s="2">
        <f t="shared" ref="CD39" ca="1" si="268">BN39+CD38</f>
        <v>59</v>
      </c>
      <c r="CG39" s="1">
        <f t="shared" ca="1" si="58"/>
        <v>33</v>
      </c>
      <c r="CH39" s="1">
        <f t="shared" ca="1" si="246"/>
        <v>72</v>
      </c>
      <c r="CI39" s="1" t="str">
        <f t="shared" ca="1" si="247"/>
        <v>Mateusz</v>
      </c>
      <c r="CJ39" s="13">
        <f t="shared" ca="1" si="248"/>
        <v>10</v>
      </c>
      <c r="CK39">
        <f t="shared" ca="1" si="249"/>
        <v>1</v>
      </c>
      <c r="CL39" s="55">
        <f t="shared" ca="1" si="250"/>
        <v>2</v>
      </c>
      <c r="CO39" s="45" t="s">
        <v>73</v>
      </c>
      <c r="CP39" s="46">
        <f ca="1">COUNTIF(BE6:BE39,"&gt;=80")</f>
        <v>5</v>
      </c>
      <c r="CQ39" s="10" t="s">
        <v>70</v>
      </c>
      <c r="CW39" s="93">
        <f t="shared" si="59"/>
        <v>34</v>
      </c>
      <c r="CX39" s="51">
        <f t="shared" ca="1" si="73"/>
        <v>759966</v>
      </c>
      <c r="CY39" s="52">
        <f ca="1">BF17</f>
        <v>76</v>
      </c>
      <c r="CZ39" s="51" t="s">
        <v>8</v>
      </c>
      <c r="DA39" s="78">
        <v>12</v>
      </c>
      <c r="DB39" s="78">
        <v>2</v>
      </c>
      <c r="DC39" s="51">
        <f t="shared" ca="1" si="251"/>
        <v>719988</v>
      </c>
      <c r="DO39" s="4">
        <f t="shared" ref="DO39" si="269">N39</f>
        <v>34</v>
      </c>
      <c r="DP39" s="6">
        <f ca="1">AVERAGE(BD$6:BD39)</f>
        <v>70.441176470588232</v>
      </c>
      <c r="DQ39" s="6">
        <f ca="1">AVERAGE(BE$6:BE39)</f>
        <v>67.285714285714292</v>
      </c>
      <c r="DR39" s="6">
        <f ca="1">AVERAGE(BF$6:BF39)</f>
        <v>62.148148148148145</v>
      </c>
      <c r="DS39" s="6">
        <f ca="1">AVERAGE(BG$6:BG39)</f>
        <v>63.35</v>
      </c>
      <c r="DT39" s="86">
        <f t="shared" ca="1" si="60"/>
        <v>70.441176470588232</v>
      </c>
      <c r="DU39" s="87">
        <f ca="1">AVERAGE($BD$6:BN39)</f>
        <v>65.026315789473685</v>
      </c>
      <c r="DX39" s="4">
        <f t="shared" ref="DX39" si="270">N39</f>
        <v>34</v>
      </c>
      <c r="DY39" s="1">
        <f>COUNTIF(AE$6:AE39,1)</f>
        <v>15</v>
      </c>
      <c r="DZ39" s="1">
        <f>COUNTIF(AF$6:AF39,1)</f>
        <v>7</v>
      </c>
      <c r="EA39" s="1">
        <f>COUNTIF(AG$6:AG39,1)</f>
        <v>9</v>
      </c>
      <c r="EB39" s="1">
        <f>COUNTIF(AH$6:AH39,1)</f>
        <v>3</v>
      </c>
      <c r="ED39" s="4">
        <f t="shared" ref="ED39" si="271">N39</f>
        <v>34</v>
      </c>
      <c r="EE39" s="1">
        <f>DY39+COUNTIF(AE$6:AE39,2)*0.01+COUNTIF(AE$6:AE39,3)*0.0001+COUNTIF(AE$6:AE39,4)*0.000001</f>
        <v>15.150004000000001</v>
      </c>
      <c r="EF39" s="1">
        <f>DZ39+COUNTIF(AF$6:AF39,2)*0.01+COUNTIF(AF$6:AF39,3)*0.0001+COUNTIF(AF$6:AF39,4)*0.000001</f>
        <v>7.0408020000000002</v>
      </c>
      <c r="EG39" s="1">
        <f>EA39+COUNTIF(AG$6:AG39,2)*0.01+COUNTIF(AG$6:AG39,3)*0.0001+COUNTIF(AG$6:AG39,4)*0.000001</f>
        <v>9.090504000000001</v>
      </c>
      <c r="EH39" s="1">
        <f>EB39+COUNTIF(AH$6:AH39,2)*0.01+COUNTIF(AH$6:AH39,3)*0.0001+COUNTIF(AH$6:AH39,4)*0.000001</f>
        <v>3.0212029999999999</v>
      </c>
      <c r="EJ39" s="4">
        <f t="shared" ref="EJ39" si="272">N39</f>
        <v>34</v>
      </c>
      <c r="EK39" s="2">
        <f>AVERAGE(FJ$6:FJ39)</f>
        <v>1.7941176470588236</v>
      </c>
      <c r="EL39" s="2">
        <f>AVERAGE(FK$6:FK39)</f>
        <v>2.2380952380952381</v>
      </c>
      <c r="EM39" s="2">
        <f>AVERAGE(FL$6:FL39)</f>
        <v>2.1481481481481484</v>
      </c>
      <c r="EN39" s="2">
        <f>AVERAGE(FM$6:FM39)</f>
        <v>2.75</v>
      </c>
      <c r="EP39" s="4">
        <f t="shared" ref="EP39" si="273">N39</f>
        <v>34</v>
      </c>
      <c r="EQ39" s="1">
        <f t="shared" ref="EQ39" si="274">IF(AE39=0,0,IF($AD39=2,3-AE39,IF($AD39=3,4-AE39,IF($AD39=4,5-AE39,"tekst"))))+IF(AE39=MIN($AE39:$AO39),1,0)+EQ38</f>
        <v>87</v>
      </c>
      <c r="ER39" s="1">
        <f t="shared" ref="ER39" si="275">IF(AF39=0,0,IF($AD39=2,3-AF39,IF($AD39=3,4-AF39,IF($AD39=4,5-AF39,"tekst"))))+IF(AF39=MIN($AE39:$AO39),1,0)+ER38</f>
        <v>65</v>
      </c>
      <c r="ES39" s="1">
        <f t="shared" ref="ES39" si="276">IF(AG39=0,0,IF($AD39=2,3-AG39,IF($AD39=3,4-AG39,IF($AD39=4,5-AG39,"tekst"))))+IF(AG39=MIN($AE39:$AO39),1,0)+ES38</f>
        <v>67</v>
      </c>
      <c r="ET39" s="1">
        <f t="shared" ref="ET39" si="277">IF(AH39=0,0,IF($AD39=2,3-AH39,IF($AD39=3,4-AH39,IF($AD39=4,5-AH39,"tekst"))))+IF(AH39=MIN($AE39:$AO39),1,0)+ET38</f>
        <v>52</v>
      </c>
      <c r="EV39">
        <f t="shared" ref="EV39" si="278">N39</f>
        <v>34</v>
      </c>
      <c r="EW39" s="1">
        <f t="shared" ref="EW39" si="279">MAX($EQ39:$ET39)-EQ39</f>
        <v>0</v>
      </c>
      <c r="EX39" s="1">
        <f t="shared" ref="EX39" si="280">MAX($EQ39:$ET39)-ER39</f>
        <v>22</v>
      </c>
      <c r="EY39" s="1">
        <f t="shared" ref="EY39" si="281">MAX($EQ39:$ET39)-ES39</f>
        <v>20</v>
      </c>
      <c r="EZ39" s="1">
        <f t="shared" ref="EZ39" si="282">MAX($EQ39:$ET39)-ET39</f>
        <v>35</v>
      </c>
      <c r="FB39" s="4">
        <f t="shared" ref="FB39" si="283">N39</f>
        <v>34</v>
      </c>
      <c r="FC39" s="1">
        <f t="shared" ref="FC39" si="284">DY39-$FG39</f>
        <v>0</v>
      </c>
      <c r="FD39" s="1">
        <f t="shared" ref="FD39" si="285">DZ39-$FG39</f>
        <v>-8</v>
      </c>
      <c r="FE39" s="1">
        <f t="shared" ref="FE39" si="286">EA39-$FG39</f>
        <v>-6</v>
      </c>
      <c r="FF39" s="1">
        <f t="shared" ref="FF39" si="287">EB39-$FG39</f>
        <v>-12</v>
      </c>
      <c r="FG39">
        <f t="shared" ref="FG39" si="288">MAX(DY39:EB39)</f>
        <v>15</v>
      </c>
      <c r="FI39" s="4">
        <f t="shared" ref="FI39" si="289">N39</f>
        <v>34</v>
      </c>
      <c r="FJ39" s="1">
        <f t="shared" ref="FJ39" si="290">IF(AE39=0,"nie grał",AE39)</f>
        <v>1</v>
      </c>
      <c r="FK39" s="1">
        <f t="shared" ref="FK39" si="291">IF(AF39=0,"nie grał",AF39)</f>
        <v>3</v>
      </c>
      <c r="FL39" s="1">
        <f t="shared" ref="FL39" si="292">IF(AG39=0,"nie grał",AG39)</f>
        <v>2</v>
      </c>
      <c r="FM39" s="1">
        <f t="shared" ref="FM39" si="293">IF(AH39=0,"nie grał",AH39)</f>
        <v>3</v>
      </c>
    </row>
    <row r="40" spans="2:169" x14ac:dyDescent="0.2">
      <c r="CG40" s="1">
        <f t="shared" ca="1" si="58"/>
        <v>33</v>
      </c>
      <c r="CH40" s="1">
        <f t="shared" ca="1" si="246"/>
        <v>72</v>
      </c>
      <c r="CI40" s="1" t="str">
        <f t="shared" ca="1" si="247"/>
        <v>Marcin</v>
      </c>
      <c r="CJ40" s="13">
        <f t="shared" ca="1" si="248"/>
        <v>21</v>
      </c>
      <c r="CK40">
        <f t="shared" ca="1" si="249"/>
        <v>1</v>
      </c>
      <c r="CL40" s="55">
        <f t="shared" ca="1" si="250"/>
        <v>4</v>
      </c>
      <c r="CO40" s="47" t="s">
        <v>72</v>
      </c>
      <c r="CP40" s="80">
        <f ca="1">COUNTIF(BE6:BE39,"&gt;=70")-CP39</f>
        <v>2</v>
      </c>
      <c r="CQ40" s="49" t="s">
        <v>70</v>
      </c>
      <c r="CW40" s="93">
        <f t="shared" si="59"/>
        <v>35</v>
      </c>
      <c r="CX40" s="51">
        <f t="shared" ca="1" si="73"/>
        <v>639965</v>
      </c>
      <c r="CY40" s="52">
        <f ca="1">BG17</f>
        <v>64</v>
      </c>
      <c r="CZ40" s="51" t="str">
        <f>BG5</f>
        <v>Agnieszka</v>
      </c>
      <c r="DA40" s="78">
        <v>12</v>
      </c>
      <c r="DB40" s="78">
        <v>3</v>
      </c>
      <c r="DC40" s="51">
        <f t="shared" ca="1" si="251"/>
        <v>719937</v>
      </c>
      <c r="ES40" s="94" t="s">
        <v>147</v>
      </c>
    </row>
    <row r="41" spans="2:169" x14ac:dyDescent="0.2">
      <c r="CG41" s="1">
        <f t="shared" ref="CG41:CG72" ca="1" si="294">IF(CH41=CH40,CG40,CW41)</f>
        <v>33</v>
      </c>
      <c r="CH41" s="1">
        <f t="shared" ca="1" si="246"/>
        <v>72</v>
      </c>
      <c r="CI41" s="1" t="str">
        <f t="shared" ca="1" si="247"/>
        <v>Justyna</v>
      </c>
      <c r="CJ41" s="13">
        <f t="shared" ca="1" si="248"/>
        <v>22</v>
      </c>
      <c r="CK41">
        <f t="shared" ca="1" si="249"/>
        <v>1</v>
      </c>
      <c r="CL41" s="55">
        <f t="shared" ca="1" si="250"/>
        <v>3</v>
      </c>
      <c r="CO41" s="47" t="s">
        <v>71</v>
      </c>
      <c r="CP41" s="80">
        <f ca="1">COUNTIF(BE6:BE39,"&gt;=60")-CP40-CP39</f>
        <v>8</v>
      </c>
      <c r="CQ41" s="49" t="s">
        <v>70</v>
      </c>
      <c r="CW41" s="93">
        <f t="shared" ref="CW41:CW71" si="295">1+CW40</f>
        <v>36</v>
      </c>
      <c r="CX41" s="51">
        <f ca="1">VALUE(CY41&amp;"0000")-CW41</f>
        <v>679964</v>
      </c>
      <c r="CY41" s="52">
        <f ca="1">BD18</f>
        <v>68</v>
      </c>
      <c r="CZ41" s="52" t="s">
        <v>6</v>
      </c>
      <c r="DA41" s="78">
        <v>13</v>
      </c>
      <c r="DB41" s="78">
        <v>2</v>
      </c>
      <c r="DC41" s="51">
        <f t="shared" ca="1" si="251"/>
        <v>719933</v>
      </c>
    </row>
    <row r="42" spans="2:169" x14ac:dyDescent="0.2">
      <c r="CG42" s="1">
        <f t="shared" ca="1" si="294"/>
        <v>37</v>
      </c>
      <c r="CH42" s="1">
        <f t="shared" ca="1" si="246"/>
        <v>71</v>
      </c>
      <c r="CI42" s="1" t="str">
        <f t="shared" ca="1" si="247"/>
        <v>Mateusz</v>
      </c>
      <c r="CJ42" s="13">
        <f t="shared" ca="1" si="248"/>
        <v>19</v>
      </c>
      <c r="CK42">
        <f t="shared" ca="1" si="249"/>
        <v>2</v>
      </c>
      <c r="CL42" s="55">
        <f t="shared" ca="1" si="250"/>
        <v>4</v>
      </c>
      <c r="CO42" s="48" t="s">
        <v>74</v>
      </c>
      <c r="CP42" s="82">
        <f ca="1">COUNTIF(BE6:BE39,"&gt;=0")-CP40-CP39-CP41</f>
        <v>6</v>
      </c>
      <c r="CQ42" s="50" t="s">
        <v>70</v>
      </c>
      <c r="CS42">
        <f ca="1">SUM(CP39:CP42)</f>
        <v>21</v>
      </c>
      <c r="CW42" s="93">
        <f t="shared" si="295"/>
        <v>37</v>
      </c>
      <c r="CX42" s="51">
        <f ca="1">VALUE(CY42&amp;"0000")-CW42</f>
        <v>519963</v>
      </c>
      <c r="CY42" s="52">
        <f ca="1">BE18</f>
        <v>52</v>
      </c>
      <c r="CZ42" s="51" t="s">
        <v>7</v>
      </c>
      <c r="DA42" s="78">
        <v>13</v>
      </c>
      <c r="DB42" s="78">
        <v>3</v>
      </c>
      <c r="DC42" s="51">
        <f t="shared" ca="1" si="251"/>
        <v>709946</v>
      </c>
    </row>
    <row r="43" spans="2:169" x14ac:dyDescent="0.2">
      <c r="CG43" s="1">
        <f t="shared" ca="1" si="294"/>
        <v>37</v>
      </c>
      <c r="CH43" s="1">
        <f t="shared" ca="1" si="246"/>
        <v>71</v>
      </c>
      <c r="CI43" s="1" t="str">
        <f t="shared" ca="1" si="247"/>
        <v>Marcin</v>
      </c>
      <c r="CJ43" s="13">
        <f t="shared" ca="1" si="248"/>
        <v>25</v>
      </c>
      <c r="CK43">
        <f t="shared" ca="1" si="249"/>
        <v>1</v>
      </c>
      <c r="CL43" s="55">
        <f t="shared" ca="1" si="250"/>
        <v>3</v>
      </c>
      <c r="CW43" s="93">
        <f t="shared" si="295"/>
        <v>38</v>
      </c>
      <c r="CX43" s="51">
        <f ca="1">VALUE(CY43&amp;"0000")-CW43</f>
        <v>749962</v>
      </c>
      <c r="CY43" s="52">
        <f ca="1">BF18</f>
        <v>75</v>
      </c>
      <c r="CZ43" s="51" t="s">
        <v>8</v>
      </c>
      <c r="DA43" s="78">
        <v>13</v>
      </c>
      <c r="DB43" s="78">
        <v>1</v>
      </c>
      <c r="DC43" s="51">
        <f t="shared" ca="1" si="251"/>
        <v>709922</v>
      </c>
    </row>
    <row r="44" spans="2:169" x14ac:dyDescent="0.2">
      <c r="CG44" s="1">
        <f t="shared" ca="1" si="294"/>
        <v>39</v>
      </c>
      <c r="CH44" s="1">
        <f t="shared" ca="1" si="246"/>
        <v>70</v>
      </c>
      <c r="CI44" s="1" t="str">
        <f t="shared" ca="1" si="247"/>
        <v>Mateusz</v>
      </c>
      <c r="CJ44" s="13">
        <f t="shared" ca="1" si="248"/>
        <v>22</v>
      </c>
      <c r="CK44">
        <f t="shared" ca="1" si="249"/>
        <v>2</v>
      </c>
      <c r="CL44" s="55">
        <f t="shared" ca="1" si="250"/>
        <v>3</v>
      </c>
      <c r="CO44" t="s">
        <v>8</v>
      </c>
      <c r="CW44" s="93">
        <f t="shared" si="295"/>
        <v>39</v>
      </c>
      <c r="CX44" s="51">
        <f ca="1">VALUE(CY44&amp;"0000")-CW44</f>
        <v>649961</v>
      </c>
      <c r="CY44" s="52">
        <f ca="1">BD19</f>
        <v>65</v>
      </c>
      <c r="CZ44" s="76" t="s">
        <v>9</v>
      </c>
      <c r="DA44" s="78">
        <v>14</v>
      </c>
      <c r="DB44" s="78">
        <v>1</v>
      </c>
      <c r="DC44" s="51">
        <f t="shared" ca="1" si="251"/>
        <v>699934</v>
      </c>
    </row>
    <row r="45" spans="2:169" x14ac:dyDescent="0.2">
      <c r="CG45" s="1">
        <f t="shared" ca="1" si="294"/>
        <v>39</v>
      </c>
      <c r="CH45" s="1">
        <f t="shared" ca="1" si="246"/>
        <v>70</v>
      </c>
      <c r="CI45" s="1" t="str">
        <f t="shared" ca="1" si="247"/>
        <v>Mateusz</v>
      </c>
      <c r="CJ45" s="13">
        <f t="shared" ca="1" si="248"/>
        <v>25</v>
      </c>
      <c r="CK45">
        <f t="shared" ca="1" si="249"/>
        <v>2</v>
      </c>
      <c r="CL45" s="55">
        <f t="shared" ca="1" si="250"/>
        <v>3</v>
      </c>
      <c r="CO45" s="39" t="s">
        <v>128</v>
      </c>
      <c r="CP45" s="24">
        <f ca="1">MAX(BF6:BF35)</f>
        <v>85</v>
      </c>
      <c r="CQ45" t="s">
        <v>130</v>
      </c>
      <c r="CW45" s="93">
        <f t="shared" si="295"/>
        <v>40</v>
      </c>
      <c r="CX45" s="51">
        <f t="shared" ref="CX45:CX81" ca="1" si="296">VALUE(CY45&amp;"0000")-CW45</f>
        <v>509960</v>
      </c>
      <c r="CY45" s="52">
        <f ca="1">BF19</f>
        <v>51</v>
      </c>
      <c r="CZ45" s="51" t="s">
        <v>8</v>
      </c>
      <c r="DA45" s="78">
        <v>14</v>
      </c>
      <c r="DB45" s="78">
        <v>3</v>
      </c>
      <c r="DC45" s="51">
        <f t="shared" ca="1" si="251"/>
        <v>699923</v>
      </c>
    </row>
    <row r="46" spans="2:169" x14ac:dyDescent="0.2">
      <c r="CG46" s="1">
        <f t="shared" ca="1" si="294"/>
        <v>41</v>
      </c>
      <c r="CH46" s="1">
        <f t="shared" ca="1" si="246"/>
        <v>69</v>
      </c>
      <c r="CI46" s="1" t="str">
        <f t="shared" ca="1" si="247"/>
        <v>Marcin</v>
      </c>
      <c r="CJ46" s="13">
        <f t="shared" ca="1" si="248"/>
        <v>11</v>
      </c>
      <c r="CK46">
        <f t="shared" ca="1" si="249"/>
        <v>2</v>
      </c>
      <c r="CL46" s="55">
        <f t="shared" ca="1" si="250"/>
        <v>4</v>
      </c>
      <c r="CO46" s="39" t="s">
        <v>129</v>
      </c>
      <c r="CP46" s="24">
        <f ca="1">MIN(BF6:BF35)</f>
        <v>35</v>
      </c>
      <c r="CQ46" t="s">
        <v>130</v>
      </c>
      <c r="CW46" s="93">
        <f t="shared" si="295"/>
        <v>41</v>
      </c>
      <c r="CX46" s="51">
        <f t="shared" ca="1" si="296"/>
        <v>649959</v>
      </c>
      <c r="CY46" s="52">
        <f ca="1">BG19</f>
        <v>65</v>
      </c>
      <c r="CZ46" s="76" t="s">
        <v>6</v>
      </c>
      <c r="DA46" s="78">
        <v>14</v>
      </c>
      <c r="DB46" s="78">
        <v>2</v>
      </c>
      <c r="DC46" s="51">
        <f t="shared" ca="1" si="251"/>
        <v>689972</v>
      </c>
    </row>
    <row r="47" spans="2:169" x14ac:dyDescent="0.2">
      <c r="CG47" s="1">
        <f t="shared" ca="1" si="294"/>
        <v>41</v>
      </c>
      <c r="CH47" s="1">
        <f t="shared" ca="1" si="246"/>
        <v>69</v>
      </c>
      <c r="CI47" s="1" t="str">
        <f t="shared" ca="1" si="247"/>
        <v>Mateusz</v>
      </c>
      <c r="CJ47" s="13">
        <f t="shared" ca="1" si="248"/>
        <v>21</v>
      </c>
      <c r="CK47">
        <f t="shared" ca="1" si="249"/>
        <v>2</v>
      </c>
      <c r="CL47" s="55">
        <f t="shared" ca="1" si="250"/>
        <v>4</v>
      </c>
      <c r="CO47" s="45" t="s">
        <v>73</v>
      </c>
      <c r="CP47" s="46">
        <f ca="1">COUNTIF(BF6:BF39,"&gt;=80")</f>
        <v>2</v>
      </c>
      <c r="CQ47" s="10" t="s">
        <v>70</v>
      </c>
      <c r="CW47" s="93">
        <f t="shared" si="295"/>
        <v>42</v>
      </c>
      <c r="CX47" s="51">
        <f t="shared" ca="1" si="296"/>
        <v>829958</v>
      </c>
      <c r="CY47" s="52">
        <f ca="1">BD20</f>
        <v>83</v>
      </c>
      <c r="CZ47" s="51" t="s">
        <v>6</v>
      </c>
      <c r="DA47" s="78">
        <v>15</v>
      </c>
      <c r="DB47" s="78">
        <v>1</v>
      </c>
      <c r="DC47" s="51">
        <f t="shared" ca="1" si="251"/>
        <v>689938</v>
      </c>
    </row>
    <row r="48" spans="2:169" x14ac:dyDescent="0.2">
      <c r="CG48" s="1">
        <f t="shared" ca="1" si="294"/>
        <v>41</v>
      </c>
      <c r="CH48" s="1">
        <f t="shared" ca="1" si="246"/>
        <v>69</v>
      </c>
      <c r="CI48" s="1" t="str">
        <f t="shared" ca="1" si="247"/>
        <v>Maciek T.</v>
      </c>
      <c r="CJ48" s="13">
        <f t="shared" ca="1" si="248"/>
        <v>33</v>
      </c>
      <c r="CK48">
        <f t="shared" ca="1" si="249"/>
        <v>2</v>
      </c>
      <c r="CL48" s="55">
        <f t="shared" ca="1" si="250"/>
        <v>4</v>
      </c>
      <c r="CO48" s="47" t="s">
        <v>72</v>
      </c>
      <c r="CP48" s="80">
        <f ca="1">COUNTIF(BF6:BF39,"&gt;=70")-CP47</f>
        <v>7</v>
      </c>
      <c r="CQ48" s="49" t="s">
        <v>70</v>
      </c>
      <c r="CW48" s="93">
        <f t="shared" si="295"/>
        <v>43</v>
      </c>
      <c r="CX48" s="51">
        <f t="shared" ca="1" si="296"/>
        <v>509957</v>
      </c>
      <c r="CY48" s="52">
        <f ca="1">BF20</f>
        <v>51</v>
      </c>
      <c r="CZ48" s="51" t="s">
        <v>8</v>
      </c>
      <c r="DA48" s="78">
        <v>15</v>
      </c>
      <c r="DB48" s="78">
        <v>3</v>
      </c>
      <c r="DC48" s="51">
        <f t="shared" ca="1" si="251"/>
        <v>689892</v>
      </c>
    </row>
    <row r="49" spans="1:107" x14ac:dyDescent="0.2">
      <c r="CG49" s="1">
        <f t="shared" ca="1" si="294"/>
        <v>41</v>
      </c>
      <c r="CH49" s="1">
        <f t="shared" ca="1" si="246"/>
        <v>69</v>
      </c>
      <c r="CI49" s="1" t="str">
        <f t="shared" ca="1" si="247"/>
        <v>Marcin</v>
      </c>
      <c r="CJ49" s="13">
        <f t="shared" ca="1" si="248"/>
        <v>34</v>
      </c>
      <c r="CK49">
        <f t="shared" ca="1" si="249"/>
        <v>3</v>
      </c>
      <c r="CL49" s="55">
        <f t="shared" ca="1" si="250"/>
        <v>4</v>
      </c>
      <c r="CO49" s="47" t="s">
        <v>71</v>
      </c>
      <c r="CP49" s="80">
        <f ca="1">COUNTIF(BF6:BF39,"&gt;=60")-CP48-CP47</f>
        <v>6</v>
      </c>
      <c r="CQ49" s="49" t="s">
        <v>70</v>
      </c>
      <c r="CW49" s="93">
        <f t="shared" si="295"/>
        <v>44</v>
      </c>
      <c r="CX49" s="51">
        <f t="shared" ca="1" si="296"/>
        <v>809956</v>
      </c>
      <c r="CY49" s="52">
        <f ca="1">BG20</f>
        <v>81</v>
      </c>
      <c r="CZ49" s="51" t="s">
        <v>9</v>
      </c>
      <c r="DA49" s="78">
        <v>15</v>
      </c>
      <c r="DB49" s="78">
        <v>2</v>
      </c>
      <c r="DC49" s="51">
        <f t="shared" ca="1" si="251"/>
        <v>689887</v>
      </c>
    </row>
    <row r="50" spans="1:107" x14ac:dyDescent="0.2">
      <c r="CG50" s="1">
        <f t="shared" ca="1" si="294"/>
        <v>41</v>
      </c>
      <c r="CH50" s="1">
        <f t="shared" ca="1" si="246"/>
        <v>69</v>
      </c>
      <c r="CI50" s="1" t="str">
        <f t="shared" ca="1" si="247"/>
        <v>Agnieszka</v>
      </c>
      <c r="CJ50" s="13">
        <f t="shared" ca="1" si="248"/>
        <v>34</v>
      </c>
      <c r="CK50">
        <f t="shared" ca="1" si="249"/>
        <v>3</v>
      </c>
      <c r="CL50" s="55">
        <f t="shared" ca="1" si="250"/>
        <v>4</v>
      </c>
      <c r="CO50" s="48" t="s">
        <v>74</v>
      </c>
      <c r="CP50" s="82">
        <f ca="1">COUNTIF(BF6:BF39,"&gt;=0")-CP48-CP47-CP49</f>
        <v>12</v>
      </c>
      <c r="CQ50" s="50" t="s">
        <v>70</v>
      </c>
      <c r="CS50">
        <f ca="1">SUM(CP47:CP50)</f>
        <v>27</v>
      </c>
      <c r="CW50" s="93">
        <f t="shared" si="295"/>
        <v>45</v>
      </c>
      <c r="CX50" s="51">
        <f t="shared" ca="1" si="296"/>
        <v>949955</v>
      </c>
      <c r="CY50" s="52">
        <f ca="1">BD21</f>
        <v>95</v>
      </c>
      <c r="CZ50" s="51" t="s">
        <v>6</v>
      </c>
      <c r="DA50" s="78">
        <v>16</v>
      </c>
      <c r="DB50" s="78">
        <v>1</v>
      </c>
      <c r="DC50" s="51">
        <f t="shared" ca="1" si="251"/>
        <v>689886</v>
      </c>
    </row>
    <row r="51" spans="1:107" x14ac:dyDescent="0.2">
      <c r="CG51" s="1">
        <f t="shared" ca="1" si="294"/>
        <v>46</v>
      </c>
      <c r="CH51" s="1">
        <f t="shared" ca="1" si="246"/>
        <v>68</v>
      </c>
      <c r="CI51" s="1" t="str">
        <f t="shared" ca="1" si="247"/>
        <v>Mateusz</v>
      </c>
      <c r="CJ51" s="13">
        <f t="shared" ca="1" si="248"/>
        <v>13</v>
      </c>
      <c r="CK51">
        <f t="shared" ca="1" si="249"/>
        <v>2</v>
      </c>
      <c r="CL51" s="55">
        <f t="shared" ca="1" si="250"/>
        <v>3</v>
      </c>
      <c r="CW51" s="93">
        <f t="shared" si="295"/>
        <v>46</v>
      </c>
      <c r="CX51" s="51">
        <f t="shared" ca="1" si="296"/>
        <v>589954</v>
      </c>
      <c r="CY51" s="52">
        <f ca="1">BN21</f>
        <v>59</v>
      </c>
      <c r="CZ51" s="51" t="s">
        <v>157</v>
      </c>
      <c r="DA51" s="78">
        <v>16</v>
      </c>
      <c r="DB51" s="78">
        <v>2</v>
      </c>
      <c r="DC51" s="51">
        <f t="shared" ca="1" si="251"/>
        <v>679964</v>
      </c>
    </row>
    <row r="52" spans="1:107" x14ac:dyDescent="0.2">
      <c r="CG52" s="1">
        <f t="shared" ca="1" si="294"/>
        <v>46</v>
      </c>
      <c r="CH52" s="1">
        <f t="shared" ca="1" si="246"/>
        <v>68</v>
      </c>
      <c r="CI52" s="1" t="str">
        <f t="shared" ca="1" si="247"/>
        <v>Justyna</v>
      </c>
      <c r="CJ52" s="13">
        <f t="shared" ca="1" si="248"/>
        <v>29</v>
      </c>
      <c r="CK52">
        <f t="shared" ca="1" si="249"/>
        <v>2</v>
      </c>
      <c r="CL52" s="55">
        <f t="shared" ca="1" si="250"/>
        <v>4</v>
      </c>
      <c r="CO52" t="s">
        <v>9</v>
      </c>
      <c r="CW52" s="93">
        <f t="shared" si="295"/>
        <v>47</v>
      </c>
      <c r="CX52" s="51">
        <f t="shared" ca="1" si="296"/>
        <v>789953</v>
      </c>
      <c r="CY52" s="52">
        <f ca="1">BD22</f>
        <v>79</v>
      </c>
      <c r="CZ52" s="51" t="s">
        <v>6</v>
      </c>
      <c r="DA52" s="78">
        <v>17</v>
      </c>
      <c r="DB52" s="78">
        <v>2</v>
      </c>
      <c r="DC52" s="51">
        <f t="shared" ca="1" si="251"/>
        <v>679906</v>
      </c>
    </row>
    <row r="53" spans="1:107" x14ac:dyDescent="0.2">
      <c r="CG53" s="1">
        <f t="shared" ca="1" si="294"/>
        <v>48</v>
      </c>
      <c r="CH53" s="1">
        <f t="shared" ca="1" si="246"/>
        <v>67</v>
      </c>
      <c r="CI53" s="1" t="str">
        <f t="shared" ca="1" si="247"/>
        <v>Mateusz</v>
      </c>
      <c r="CJ53" s="13">
        <f t="shared" ca="1" si="248"/>
        <v>3</v>
      </c>
      <c r="CK53">
        <f t="shared" ca="1" si="249"/>
        <v>1</v>
      </c>
      <c r="CL53" s="55">
        <f t="shared" ca="1" si="250"/>
        <v>2</v>
      </c>
      <c r="CO53" s="39" t="s">
        <v>128</v>
      </c>
      <c r="CP53" s="24">
        <f ca="1">MAX(BG6:BG35)</f>
        <v>87</v>
      </c>
      <c r="CQ53" t="s">
        <v>130</v>
      </c>
      <c r="CW53" s="93">
        <f t="shared" si="295"/>
        <v>48</v>
      </c>
      <c r="CX53" s="51">
        <f t="shared" ca="1" si="296"/>
        <v>799952</v>
      </c>
      <c r="CY53" s="52">
        <f ca="1">BE22</f>
        <v>80</v>
      </c>
      <c r="CZ53" s="51" t="s">
        <v>7</v>
      </c>
      <c r="DA53" s="78">
        <v>17</v>
      </c>
      <c r="DB53" s="78">
        <v>1</v>
      </c>
      <c r="DC53" s="51">
        <f t="shared" ca="1" si="251"/>
        <v>669997</v>
      </c>
    </row>
    <row r="54" spans="1:107" x14ac:dyDescent="0.2">
      <c r="Y54" s="96"/>
      <c r="CG54" s="1">
        <f t="shared" ca="1" si="294"/>
        <v>48</v>
      </c>
      <c r="CH54" s="1">
        <f t="shared" ca="1" si="246"/>
        <v>67</v>
      </c>
      <c r="CI54" s="1" t="str">
        <f t="shared" ca="1" si="247"/>
        <v>Justyna</v>
      </c>
      <c r="CJ54" s="13">
        <f t="shared" ca="1" si="248"/>
        <v>4</v>
      </c>
      <c r="CK54">
        <f t="shared" ca="1" si="249"/>
        <v>1</v>
      </c>
      <c r="CL54" s="55">
        <f t="shared" ca="1" si="250"/>
        <v>4</v>
      </c>
      <c r="CO54" s="39" t="s">
        <v>129</v>
      </c>
      <c r="CP54" s="24">
        <f ca="1">MIN(BG6:BG35)</f>
        <v>39</v>
      </c>
      <c r="CQ54" t="s">
        <v>130</v>
      </c>
      <c r="CW54" s="93">
        <f t="shared" si="295"/>
        <v>49</v>
      </c>
      <c r="CX54" s="51">
        <f t="shared" ca="1" si="296"/>
        <v>599951</v>
      </c>
      <c r="CY54" s="52">
        <f ca="1">BG22</f>
        <v>60</v>
      </c>
      <c r="CZ54" s="51" t="s">
        <v>9</v>
      </c>
      <c r="DA54" s="78">
        <v>17</v>
      </c>
      <c r="DB54" s="78">
        <v>3</v>
      </c>
      <c r="DC54" s="51">
        <f t="shared" ca="1" si="251"/>
        <v>669983</v>
      </c>
    </row>
    <row r="55" spans="1:107" x14ac:dyDescent="0.2">
      <c r="BD55" t="s">
        <v>6</v>
      </c>
      <c r="BE55" t="s">
        <v>7</v>
      </c>
      <c r="BF55" t="s">
        <v>8</v>
      </c>
      <c r="BG55" t="s">
        <v>9</v>
      </c>
      <c r="BH55" t="s">
        <v>94</v>
      </c>
      <c r="BI55" t="s">
        <v>125</v>
      </c>
      <c r="BJ55" t="s">
        <v>148</v>
      </c>
      <c r="BK55" t="s">
        <v>149</v>
      </c>
      <c r="BL55" t="s">
        <v>152</v>
      </c>
      <c r="BM55" t="s">
        <v>153</v>
      </c>
      <c r="BN55" t="s">
        <v>157</v>
      </c>
      <c r="CG55" s="1">
        <f t="shared" ca="1" si="294"/>
        <v>48</v>
      </c>
      <c r="CH55" s="1">
        <f t="shared" ca="1" si="246"/>
        <v>67</v>
      </c>
      <c r="CI55" s="1" t="str">
        <f t="shared" ca="1" si="247"/>
        <v>Agnieszka</v>
      </c>
      <c r="CJ55" s="13">
        <f t="shared" ca="1" si="248"/>
        <v>23</v>
      </c>
      <c r="CK55">
        <f t="shared" ca="1" si="249"/>
        <v>2</v>
      </c>
      <c r="CL55" s="55">
        <f t="shared" ca="1" si="250"/>
        <v>4</v>
      </c>
      <c r="CO55" s="45" t="s">
        <v>73</v>
      </c>
      <c r="CP55" s="46">
        <f ca="1">COUNTIF(BG6:BG39,"&gt;=80")</f>
        <v>3</v>
      </c>
      <c r="CQ55" s="10" t="s">
        <v>70</v>
      </c>
      <c r="CW55" s="93">
        <f t="shared" si="295"/>
        <v>50</v>
      </c>
      <c r="CX55" s="51">
        <f t="shared" ca="1" si="296"/>
        <v>409950</v>
      </c>
      <c r="CY55" s="52">
        <f ca="1">BD23</f>
        <v>41</v>
      </c>
      <c r="CZ55" s="51" t="s">
        <v>6</v>
      </c>
      <c r="DA55" s="78">
        <v>18</v>
      </c>
      <c r="DB55" s="78">
        <v>4</v>
      </c>
      <c r="DC55" s="51">
        <f t="shared" ca="1" si="251"/>
        <v>669928</v>
      </c>
    </row>
    <row r="56" spans="1:107" x14ac:dyDescent="0.2">
      <c r="BD56" s="2">
        <f ca="1">BD6</f>
        <v>62</v>
      </c>
      <c r="BE56" s="2">
        <f ca="1">BE6</f>
        <v>60</v>
      </c>
      <c r="BF56" s="2">
        <f ca="1">BF6</f>
        <v>41</v>
      </c>
      <c r="BG56" s="2"/>
      <c r="BH56" s="2"/>
      <c r="BI56" s="2"/>
      <c r="BJ56" s="2"/>
      <c r="BK56" s="2"/>
      <c r="BL56" s="2"/>
      <c r="BM56" s="2"/>
      <c r="BN56" s="2"/>
      <c r="CG56" s="1">
        <f t="shared" ca="1" si="294"/>
        <v>48</v>
      </c>
      <c r="CH56" s="1">
        <f t="shared" ca="1" si="246"/>
        <v>67</v>
      </c>
      <c r="CI56" s="1" t="str">
        <f t="shared" ca="1" si="247"/>
        <v>Justyna</v>
      </c>
      <c r="CJ56" s="13">
        <f t="shared" ca="1" si="248"/>
        <v>27</v>
      </c>
      <c r="CK56">
        <f t="shared" ca="1" si="249"/>
        <v>2</v>
      </c>
      <c r="CL56" s="55">
        <f t="shared" ca="1" si="250"/>
        <v>4</v>
      </c>
      <c r="CO56" s="47" t="s">
        <v>72</v>
      </c>
      <c r="CP56" s="80">
        <f ca="1">COUNTIF(BG6:BG39,"&gt;=70")-CP55</f>
        <v>1</v>
      </c>
      <c r="CQ56" s="49" t="s">
        <v>70</v>
      </c>
      <c r="CW56" s="93">
        <f t="shared" si="295"/>
        <v>51</v>
      </c>
      <c r="CX56" s="51">
        <f t="shared" ca="1" si="296"/>
        <v>1049949</v>
      </c>
      <c r="CY56" s="52">
        <f ca="1">BE23</f>
        <v>105</v>
      </c>
      <c r="CZ56" s="51" t="s">
        <v>7</v>
      </c>
      <c r="DA56" s="78">
        <v>18</v>
      </c>
      <c r="DB56" s="78">
        <v>1</v>
      </c>
      <c r="DC56" s="51">
        <f t="shared" ca="1" si="251"/>
        <v>669915</v>
      </c>
    </row>
    <row r="57" spans="1:107" x14ac:dyDescent="0.2">
      <c r="BD57" s="2">
        <f t="shared" ref="BD57:BD89" ca="1" si="297">BD7</f>
        <v>55</v>
      </c>
      <c r="BE57" s="23">
        <f ca="1">BE56-4/3</f>
        <v>58.666666666666664</v>
      </c>
      <c r="BF57" s="2">
        <f t="shared" ref="BF57:BF70" ca="1" si="298">BF7</f>
        <v>58</v>
      </c>
      <c r="BG57" s="2"/>
      <c r="BH57" s="2"/>
      <c r="BI57" s="2"/>
      <c r="BJ57" s="2"/>
      <c r="BK57" s="2"/>
      <c r="BL57" s="2"/>
      <c r="BM57" s="2"/>
      <c r="BN57" s="2"/>
      <c r="CG57" s="1">
        <f t="shared" ca="1" si="294"/>
        <v>48</v>
      </c>
      <c r="CH57" s="1">
        <f t="shared" ca="1" si="246"/>
        <v>67</v>
      </c>
      <c r="CI57" s="1" t="str">
        <f t="shared" ca="1" si="247"/>
        <v>Mateusz</v>
      </c>
      <c r="CJ57" s="13">
        <f t="shared" ca="1" si="248"/>
        <v>30</v>
      </c>
      <c r="CK57">
        <f t="shared" ca="1" si="249"/>
        <v>2</v>
      </c>
      <c r="CL57" s="55">
        <f t="shared" ca="1" si="250"/>
        <v>4</v>
      </c>
      <c r="CO57" s="47" t="s">
        <v>71</v>
      </c>
      <c r="CP57" s="80">
        <f ca="1">COUNTIF(BG6:BG39,"&gt;=60")-CP56-CP55</f>
        <v>9</v>
      </c>
      <c r="CQ57" s="49" t="s">
        <v>70</v>
      </c>
      <c r="CW57" s="93">
        <f t="shared" si="295"/>
        <v>52</v>
      </c>
      <c r="CX57" s="51">
        <f t="shared" ca="1" si="296"/>
        <v>609948</v>
      </c>
      <c r="CY57" s="52">
        <f ca="1">BF23</f>
        <v>61</v>
      </c>
      <c r="CZ57" s="51" t="s">
        <v>8</v>
      </c>
      <c r="DA57" s="78">
        <v>18</v>
      </c>
      <c r="DB57" s="78">
        <v>2</v>
      </c>
      <c r="DC57" s="51">
        <f t="shared" ca="1" si="251"/>
        <v>669904</v>
      </c>
    </row>
    <row r="58" spans="1:107" x14ac:dyDescent="0.2">
      <c r="AC58" s="103" t="s">
        <v>11</v>
      </c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BD58" s="2">
        <f t="shared" ca="1" si="297"/>
        <v>67</v>
      </c>
      <c r="BE58" s="23">
        <f ca="1">BE57-4/3</f>
        <v>57.333333333333329</v>
      </c>
      <c r="BF58" s="2">
        <f t="shared" ca="1" si="298"/>
        <v>49</v>
      </c>
      <c r="BG58" s="2"/>
      <c r="BH58" s="2"/>
      <c r="BI58" s="2"/>
      <c r="BJ58" s="2"/>
      <c r="BK58" s="2"/>
      <c r="BL58" s="2"/>
      <c r="BM58" s="2"/>
      <c r="BN58" s="2"/>
      <c r="CG58" s="1">
        <f t="shared" ca="1" si="294"/>
        <v>53</v>
      </c>
      <c r="CH58" s="1">
        <f t="shared" ca="1" si="246"/>
        <v>66</v>
      </c>
      <c r="CI58" s="1" t="str">
        <f t="shared" ca="1" si="247"/>
        <v>Justyna</v>
      </c>
      <c r="CJ58" s="13">
        <f t="shared" ca="1" si="248"/>
        <v>6</v>
      </c>
      <c r="CK58">
        <f t="shared" ca="1" si="249"/>
        <v>2</v>
      </c>
      <c r="CL58" s="55">
        <f t="shared" ca="1" si="250"/>
        <v>3</v>
      </c>
      <c r="CO58" s="48" t="s">
        <v>74</v>
      </c>
      <c r="CP58" s="82">
        <f ca="1">COUNTIF(BG6:BG39,"&gt;=0")-CP56-CP55-CP57</f>
        <v>7</v>
      </c>
      <c r="CQ58" s="50" t="s">
        <v>70</v>
      </c>
      <c r="CS58">
        <f ca="1">SUM(CP55:CP58)</f>
        <v>20</v>
      </c>
      <c r="CW58" s="93">
        <f t="shared" si="295"/>
        <v>53</v>
      </c>
      <c r="CX58" s="51">
        <f t="shared" ca="1" si="296"/>
        <v>599947</v>
      </c>
      <c r="CY58" s="52">
        <f ca="1">BH23</f>
        <v>60</v>
      </c>
      <c r="CZ58" s="51" t="s">
        <v>94</v>
      </c>
      <c r="DA58" s="78">
        <v>18</v>
      </c>
      <c r="DB58" s="78">
        <v>3</v>
      </c>
      <c r="DC58" s="51">
        <f t="shared" ca="1" si="251"/>
        <v>659982</v>
      </c>
    </row>
    <row r="59" spans="1:107" x14ac:dyDescent="0.2">
      <c r="AD59" t="s">
        <v>10</v>
      </c>
      <c r="AE59" t="str">
        <f t="shared" ref="AE59:AJ59" si="299">AE4</f>
        <v>Mateusz</v>
      </c>
      <c r="AF59" t="str">
        <f t="shared" si="299"/>
        <v>Marcin</v>
      </c>
      <c r="AG59" t="str">
        <f t="shared" si="299"/>
        <v>Justyna</v>
      </c>
      <c r="AH59" t="str">
        <f t="shared" si="299"/>
        <v>Agnieszka</v>
      </c>
      <c r="AI59" t="str">
        <f t="shared" si="299"/>
        <v>Dominika</v>
      </c>
      <c r="AJ59" t="str">
        <f t="shared" si="299"/>
        <v>Magda</v>
      </c>
      <c r="AK59" t="s">
        <v>148</v>
      </c>
      <c r="AL59" t="s">
        <v>149</v>
      </c>
      <c r="AM59" t="s">
        <v>152</v>
      </c>
      <c r="AN59" t="s">
        <v>153</v>
      </c>
      <c r="AO59" t="str">
        <f>AO4</f>
        <v>Damian</v>
      </c>
      <c r="BD59" s="2">
        <f t="shared" ca="1" si="297"/>
        <v>57</v>
      </c>
      <c r="BE59" s="2">
        <f ca="1">BE9</f>
        <v>56</v>
      </c>
      <c r="BF59" s="2">
        <f t="shared" ca="1" si="298"/>
        <v>67</v>
      </c>
      <c r="BG59" s="2">
        <f ca="1">BG9</f>
        <v>49</v>
      </c>
      <c r="BH59" s="2"/>
      <c r="BI59" s="2"/>
      <c r="BJ59" s="2"/>
      <c r="BK59" s="2"/>
      <c r="BL59" s="2"/>
      <c r="BM59" s="2"/>
      <c r="BN59" s="2"/>
      <c r="CG59" s="1">
        <f t="shared" ca="1" si="294"/>
        <v>53</v>
      </c>
      <c r="CH59" s="1">
        <f t="shared" ca="1" si="246"/>
        <v>66</v>
      </c>
      <c r="CI59" s="1" t="str">
        <f t="shared" ca="1" si="247"/>
        <v>Justyna</v>
      </c>
      <c r="CJ59" s="13">
        <f t="shared" ca="1" si="248"/>
        <v>9</v>
      </c>
      <c r="CK59">
        <f t="shared" ca="1" si="249"/>
        <v>2</v>
      </c>
      <c r="CL59" s="55">
        <f t="shared" ca="1" si="250"/>
        <v>2</v>
      </c>
      <c r="CW59" s="93">
        <f t="shared" si="295"/>
        <v>54</v>
      </c>
      <c r="CX59" s="51">
        <f t="shared" ca="1" si="296"/>
        <v>709946</v>
      </c>
      <c r="CY59" s="52">
        <f ca="1">BD24</f>
        <v>71</v>
      </c>
      <c r="CZ59" s="51" t="s">
        <v>6</v>
      </c>
      <c r="DA59" s="78">
        <v>19</v>
      </c>
      <c r="DB59" s="78">
        <v>2</v>
      </c>
      <c r="DC59" s="51">
        <f t="shared" ca="1" si="251"/>
        <v>659980</v>
      </c>
    </row>
    <row r="60" spans="1:107" x14ac:dyDescent="0.2">
      <c r="A60" s="25" t="s">
        <v>85</v>
      </c>
      <c r="B60" t="s">
        <v>2</v>
      </c>
      <c r="C60" t="s">
        <v>3</v>
      </c>
      <c r="D60" t="s">
        <v>4</v>
      </c>
      <c r="E60" t="s">
        <v>5</v>
      </c>
      <c r="H60" s="3" t="s">
        <v>86</v>
      </c>
      <c r="AC60" t="s">
        <v>0</v>
      </c>
      <c r="AD60" t="s">
        <v>12</v>
      </c>
      <c r="AE60">
        <f>AE5</f>
        <v>34</v>
      </c>
      <c r="AF60">
        <f>AF5</f>
        <v>21</v>
      </c>
      <c r="AG60">
        <f>AG5</f>
        <v>27</v>
      </c>
      <c r="AH60">
        <f>AH5</f>
        <v>20</v>
      </c>
      <c r="AI60">
        <f>AI5</f>
        <v>3</v>
      </c>
      <c r="AO60">
        <f>AO5</f>
        <v>1</v>
      </c>
      <c r="BD60" s="2">
        <f t="shared" ca="1" si="297"/>
        <v>55</v>
      </c>
      <c r="BE60" s="23">
        <f ca="1">BE59-2.5</f>
        <v>53.5</v>
      </c>
      <c r="BF60" s="2">
        <f t="shared" ca="1" si="298"/>
        <v>72</v>
      </c>
      <c r="BG60" s="23">
        <v>50</v>
      </c>
      <c r="BH60" s="2"/>
      <c r="BI60" s="2"/>
      <c r="BJ60" s="2"/>
      <c r="BK60" s="2"/>
      <c r="BL60" s="2"/>
      <c r="BM60" s="2"/>
      <c r="BN60" s="9"/>
      <c r="CG60" s="1">
        <f t="shared" ca="1" si="294"/>
        <v>53</v>
      </c>
      <c r="CH60" s="1">
        <f t="shared" ca="1" si="246"/>
        <v>66</v>
      </c>
      <c r="CI60" s="1" t="str">
        <f t="shared" ca="1" si="247"/>
        <v>Agnieszka</v>
      </c>
      <c r="CJ60" s="13">
        <f t="shared" ca="1" si="248"/>
        <v>22</v>
      </c>
      <c r="CK60">
        <f t="shared" ca="1" si="249"/>
        <v>3</v>
      </c>
      <c r="CL60" s="55">
        <f t="shared" ca="1" si="250"/>
        <v>3</v>
      </c>
      <c r="CW60" s="93">
        <f t="shared" si="295"/>
        <v>55</v>
      </c>
      <c r="CX60" s="51">
        <f t="shared" ca="1" si="296"/>
        <v>789945</v>
      </c>
      <c r="CY60" s="52">
        <f ca="1">BF24</f>
        <v>79</v>
      </c>
      <c r="CZ60" s="51" t="s">
        <v>8</v>
      </c>
      <c r="DA60" s="78">
        <v>19</v>
      </c>
      <c r="DB60" s="78">
        <v>1</v>
      </c>
      <c r="DC60" s="51">
        <f t="shared" ca="1" si="251"/>
        <v>659932</v>
      </c>
    </row>
    <row r="61" spans="1:107" x14ac:dyDescent="0.2">
      <c r="A61" s="57">
        <f t="shared" ref="A61:A68" si="300">SUM(B61:E61)</f>
        <v>15</v>
      </c>
      <c r="B61" s="1">
        <f t="shared" ref="B61:E68" si="301">COUNTIF(B$6:B$39,$G61)</f>
        <v>3</v>
      </c>
      <c r="C61" s="1">
        <f t="shared" si="301"/>
        <v>4</v>
      </c>
      <c r="D61" s="1">
        <f t="shared" si="301"/>
        <v>2</v>
      </c>
      <c r="E61" s="1">
        <f t="shared" si="301"/>
        <v>6</v>
      </c>
      <c r="F61" s="3"/>
      <c r="G61" t="s">
        <v>84</v>
      </c>
      <c r="H61" s="53">
        <f t="shared" ref="H61:H68" si="302">B61/A61</f>
        <v>0.2</v>
      </c>
      <c r="I61" s="3"/>
      <c r="J61" s="3"/>
      <c r="K61" s="3"/>
      <c r="AC61">
        <f t="shared" ref="AC61:AD80" si="303">AC6</f>
        <v>1</v>
      </c>
      <c r="AD61">
        <f t="shared" si="303"/>
        <v>3</v>
      </c>
      <c r="AE61" s="1">
        <f>IF(AE6=0,$P$6+$P$6,AE6)</f>
        <v>1</v>
      </c>
      <c r="AF61" s="1">
        <f>IF(AF6=0,$P$6+$P$6,AF6)</f>
        <v>2</v>
      </c>
      <c r="AG61" s="1">
        <f>IF(AG6=0,$P$6+$P$6,AG6)</f>
        <v>3</v>
      </c>
      <c r="AH61" s="1"/>
      <c r="AI61" s="1"/>
      <c r="AJ61" s="1"/>
      <c r="AK61" s="1"/>
      <c r="AL61" s="1"/>
      <c r="AM61" s="1"/>
      <c r="AN61" s="1"/>
      <c r="AO61" s="1"/>
      <c r="BD61" s="2">
        <f t="shared" ca="1" si="297"/>
        <v>76</v>
      </c>
      <c r="BE61" s="2">
        <f ca="1">BE11</f>
        <v>51</v>
      </c>
      <c r="BF61" s="2">
        <f t="shared" ca="1" si="298"/>
        <v>66</v>
      </c>
      <c r="BG61" s="23">
        <v>51</v>
      </c>
      <c r="BH61" s="2"/>
      <c r="BI61" s="2"/>
      <c r="BJ61" s="2"/>
      <c r="BK61" s="2"/>
      <c r="BL61" s="2"/>
      <c r="BM61" s="2"/>
      <c r="BN61" s="9"/>
      <c r="CG61" s="1">
        <f t="shared" ca="1" si="294"/>
        <v>53</v>
      </c>
      <c r="CH61" s="1">
        <f t="shared" ca="1" si="246"/>
        <v>66</v>
      </c>
      <c r="CI61" s="1" t="str">
        <f t="shared" ca="1" si="247"/>
        <v>Agnieszka</v>
      </c>
      <c r="CJ61" s="13">
        <f t="shared" ca="1" si="248"/>
        <v>29</v>
      </c>
      <c r="CK61">
        <f t="shared" ca="1" si="249"/>
        <v>3</v>
      </c>
      <c r="CL61" s="55">
        <f t="shared" ca="1" si="250"/>
        <v>4</v>
      </c>
      <c r="CW61" s="93">
        <f t="shared" si="295"/>
        <v>56</v>
      </c>
      <c r="CX61" s="51">
        <f t="shared" ca="1" si="296"/>
        <v>529944</v>
      </c>
      <c r="CY61" s="52">
        <f ca="1">BG24</f>
        <v>53</v>
      </c>
      <c r="CZ61" s="51" t="s">
        <v>9</v>
      </c>
      <c r="DA61" s="78">
        <v>19</v>
      </c>
      <c r="DB61" s="78">
        <v>3</v>
      </c>
      <c r="DC61" s="51">
        <f t="shared" ca="1" si="251"/>
        <v>659905</v>
      </c>
    </row>
    <row r="62" spans="1:107" x14ac:dyDescent="0.2">
      <c r="A62" s="57">
        <f t="shared" si="300"/>
        <v>19</v>
      </c>
      <c r="B62" s="1">
        <f t="shared" si="301"/>
        <v>8</v>
      </c>
      <c r="C62" s="1">
        <f t="shared" si="301"/>
        <v>7</v>
      </c>
      <c r="D62" s="1">
        <f>COUNTIF(D$6:D$39,$G62)+1</f>
        <v>2</v>
      </c>
      <c r="E62" s="1">
        <f>COUNTIF(E$6:E$39,$G62)-1</f>
        <v>2</v>
      </c>
      <c r="F62" s="3"/>
      <c r="G62" t="s">
        <v>82</v>
      </c>
      <c r="H62" s="53">
        <f t="shared" si="302"/>
        <v>0.42105263157894735</v>
      </c>
      <c r="I62" s="3"/>
      <c r="J62" s="3"/>
      <c r="K62" s="3"/>
      <c r="AC62">
        <f t="shared" si="303"/>
        <v>2</v>
      </c>
      <c r="AD62">
        <f t="shared" si="303"/>
        <v>2</v>
      </c>
      <c r="AE62" s="1">
        <f t="shared" ref="AE62:AE94" si="304">IF(AE7=0,$P$6+$P$6,AE7)</f>
        <v>2</v>
      </c>
      <c r="AF62" s="1">
        <v>2.335</v>
      </c>
      <c r="AG62" s="1">
        <f t="shared" ref="AG62:AG75" si="305">IF(AG7=0,$P$6+$P$6,AG7)</f>
        <v>1</v>
      </c>
      <c r="AH62" s="1"/>
      <c r="AI62" s="1"/>
      <c r="AJ62" s="1"/>
      <c r="AK62" s="1"/>
      <c r="AL62" s="1"/>
      <c r="AM62" s="1"/>
      <c r="AN62" s="1"/>
      <c r="AO62" s="1"/>
      <c r="BD62" s="2">
        <f t="shared" ca="1" si="297"/>
        <v>39</v>
      </c>
      <c r="BE62" s="2">
        <f ca="1">BE12</f>
        <v>64</v>
      </c>
      <c r="BF62" s="2">
        <f t="shared" ca="1" si="298"/>
        <v>74</v>
      </c>
      <c r="BG62" s="2">
        <f ca="1">BG12</f>
        <v>52</v>
      </c>
      <c r="BH62" s="2"/>
      <c r="BI62" s="2"/>
      <c r="BJ62" s="2"/>
      <c r="BK62" s="2"/>
      <c r="BL62" s="2"/>
      <c r="BM62" s="2"/>
      <c r="BN62" s="9"/>
      <c r="CG62" s="1">
        <f t="shared" ca="1" si="294"/>
        <v>53</v>
      </c>
      <c r="CH62" s="1">
        <f t="shared" ca="1" si="246"/>
        <v>66</v>
      </c>
      <c r="CI62" s="1" t="str">
        <f t="shared" ca="1" si="247"/>
        <v>Agnieszka P.</v>
      </c>
      <c r="CJ62" s="13">
        <f t="shared" ca="1" si="248"/>
        <v>31</v>
      </c>
      <c r="CK62">
        <f t="shared" ca="1" si="249"/>
        <v>2</v>
      </c>
      <c r="CL62" s="55">
        <f t="shared" ca="1" si="250"/>
        <v>3</v>
      </c>
      <c r="CW62" s="93">
        <f t="shared" si="295"/>
        <v>57</v>
      </c>
      <c r="CX62" s="51">
        <f t="shared" ca="1" si="296"/>
        <v>369943</v>
      </c>
      <c r="CY62" s="52">
        <f ca="1">BH24</f>
        <v>37</v>
      </c>
      <c r="CZ62" s="51" t="s">
        <v>94</v>
      </c>
      <c r="DA62" s="78">
        <v>19</v>
      </c>
      <c r="DB62" s="78">
        <v>4</v>
      </c>
      <c r="DC62" s="51">
        <f t="shared" ca="1" si="251"/>
        <v>659899</v>
      </c>
    </row>
    <row r="63" spans="1:107" x14ac:dyDescent="0.2">
      <c r="A63" s="57">
        <f t="shared" si="300"/>
        <v>20</v>
      </c>
      <c r="B63" s="1">
        <f t="shared" si="301"/>
        <v>9</v>
      </c>
      <c r="C63" s="1">
        <f t="shared" si="301"/>
        <v>7</v>
      </c>
      <c r="D63" s="1">
        <f t="shared" si="301"/>
        <v>2</v>
      </c>
      <c r="E63" s="1">
        <f t="shared" si="301"/>
        <v>2</v>
      </c>
      <c r="F63" s="3"/>
      <c r="G63" t="s">
        <v>81</v>
      </c>
      <c r="H63" s="53">
        <f t="shared" si="302"/>
        <v>0.45</v>
      </c>
      <c r="I63" s="3"/>
      <c r="J63" s="3"/>
      <c r="K63" s="3"/>
      <c r="AC63">
        <f t="shared" si="303"/>
        <v>3</v>
      </c>
      <c r="AD63">
        <f t="shared" si="303"/>
        <v>2</v>
      </c>
      <c r="AE63" s="1">
        <f t="shared" si="304"/>
        <v>1</v>
      </c>
      <c r="AF63" s="1">
        <v>2.6666666000000001</v>
      </c>
      <c r="AG63" s="1">
        <f t="shared" si="305"/>
        <v>2</v>
      </c>
      <c r="AH63" s="1"/>
      <c r="AI63" s="1"/>
      <c r="AJ63" s="1"/>
      <c r="AK63" s="1"/>
      <c r="AL63" s="1"/>
      <c r="AM63" s="1"/>
      <c r="AN63" s="1"/>
      <c r="AO63" s="1"/>
      <c r="BD63" s="2">
        <f t="shared" ca="1" si="297"/>
        <v>74</v>
      </c>
      <c r="BE63" s="2">
        <f ca="1">BE13</f>
        <v>56</v>
      </c>
      <c r="BF63" s="2">
        <f t="shared" ca="1" si="298"/>
        <v>85</v>
      </c>
      <c r="BG63" s="23">
        <f ca="1">BG62-2/4</f>
        <v>51.5</v>
      </c>
      <c r="BH63" s="2"/>
      <c r="BI63" s="2"/>
      <c r="BJ63" s="2"/>
      <c r="BK63" s="2"/>
      <c r="BL63" s="2"/>
      <c r="BM63" s="2"/>
      <c r="BN63" s="9"/>
      <c r="CG63" s="1">
        <f t="shared" ca="1" si="294"/>
        <v>58</v>
      </c>
      <c r="CH63" s="1">
        <f t="shared" ca="1" si="246"/>
        <v>65</v>
      </c>
      <c r="CI63" s="1" t="str">
        <f t="shared" ca="1" si="247"/>
        <v>Agnieszka</v>
      </c>
      <c r="CJ63" s="13">
        <f t="shared" ca="1" si="248"/>
        <v>14</v>
      </c>
      <c r="CK63">
        <f t="shared" ca="1" si="249"/>
        <v>1</v>
      </c>
      <c r="CL63" s="55">
        <f t="shared" ca="1" si="250"/>
        <v>3</v>
      </c>
      <c r="CW63" s="93">
        <f t="shared" si="295"/>
        <v>58</v>
      </c>
      <c r="CX63" s="51">
        <f t="shared" ca="1" si="296"/>
        <v>619942</v>
      </c>
      <c r="CY63" s="52">
        <f ca="1">BD25</f>
        <v>62</v>
      </c>
      <c r="CZ63" s="51" t="s">
        <v>6</v>
      </c>
      <c r="DA63" s="78">
        <v>20</v>
      </c>
      <c r="DB63" s="78">
        <v>2</v>
      </c>
      <c r="DC63" s="51">
        <f t="shared" ca="1" si="251"/>
        <v>649961</v>
      </c>
    </row>
    <row r="64" spans="1:107" x14ac:dyDescent="0.2">
      <c r="A64" s="57">
        <f t="shared" si="300"/>
        <v>14</v>
      </c>
      <c r="B64" s="1">
        <f t="shared" si="301"/>
        <v>5</v>
      </c>
      <c r="C64" s="1">
        <f t="shared" si="301"/>
        <v>3</v>
      </c>
      <c r="D64" s="1">
        <f t="shared" si="301"/>
        <v>4</v>
      </c>
      <c r="E64" s="1">
        <f t="shared" si="301"/>
        <v>2</v>
      </c>
      <c r="F64" s="3"/>
      <c r="G64" t="s">
        <v>79</v>
      </c>
      <c r="H64" s="53">
        <f t="shared" si="302"/>
        <v>0.35714285714285715</v>
      </c>
      <c r="I64" s="3"/>
      <c r="J64" s="3"/>
      <c r="K64" s="3"/>
      <c r="AC64">
        <f t="shared" si="303"/>
        <v>4</v>
      </c>
      <c r="AD64">
        <f t="shared" si="303"/>
        <v>4</v>
      </c>
      <c r="AE64" s="1">
        <f t="shared" si="304"/>
        <v>2</v>
      </c>
      <c r="AF64" s="1">
        <f>IF(AF9=0,$P$6+$P$6,AF9)</f>
        <v>3</v>
      </c>
      <c r="AG64" s="1">
        <f t="shared" si="305"/>
        <v>1</v>
      </c>
      <c r="AH64" s="1">
        <f>IF(AH9=0,$P$6+$P$6,AH9)</f>
        <v>4</v>
      </c>
      <c r="AI64" s="1"/>
      <c r="AJ64" s="1"/>
      <c r="AK64" s="1"/>
      <c r="AL64" s="1"/>
      <c r="AM64" s="1"/>
      <c r="AN64" s="1"/>
      <c r="AO64" s="1"/>
      <c r="BD64" s="2">
        <f t="shared" ca="1" si="297"/>
        <v>73</v>
      </c>
      <c r="BE64" s="23">
        <f ca="1">BE63+13/3</f>
        <v>60.333333333333336</v>
      </c>
      <c r="BF64" s="2">
        <f t="shared" ca="1" si="298"/>
        <v>66</v>
      </c>
      <c r="BG64" s="23">
        <f ca="1">BG63-2/4</f>
        <v>51</v>
      </c>
      <c r="BH64" s="2"/>
      <c r="BI64" s="2"/>
      <c r="BJ64" s="2"/>
      <c r="BK64" s="2"/>
      <c r="BL64" s="2"/>
      <c r="BM64" s="2"/>
      <c r="BN64" s="9"/>
      <c r="CG64" s="1">
        <f t="shared" ca="1" si="294"/>
        <v>58</v>
      </c>
      <c r="CH64" s="1">
        <f t="shared" ca="1" si="246"/>
        <v>65</v>
      </c>
      <c r="CI64" s="1" t="str">
        <f t="shared" ca="1" si="247"/>
        <v>Mateusz</v>
      </c>
      <c r="CJ64" s="13">
        <f t="shared" ca="1" si="248"/>
        <v>14</v>
      </c>
      <c r="CK64">
        <f t="shared" ca="1" si="249"/>
        <v>2</v>
      </c>
      <c r="CL64" s="55">
        <f t="shared" ca="1" si="250"/>
        <v>3</v>
      </c>
      <c r="CW64" s="93">
        <f t="shared" si="295"/>
        <v>59</v>
      </c>
      <c r="CX64" s="51">
        <f t="shared" ca="1" si="296"/>
        <v>599941</v>
      </c>
      <c r="CY64" s="52">
        <f ca="1">BE25</f>
        <v>60</v>
      </c>
      <c r="CZ64" s="51" t="s">
        <v>7</v>
      </c>
      <c r="DA64" s="78">
        <v>20</v>
      </c>
      <c r="DB64" s="78">
        <v>4</v>
      </c>
      <c r="DC64" s="51">
        <f t="shared" ca="1" si="251"/>
        <v>649959</v>
      </c>
    </row>
    <row r="65" spans="1:107" x14ac:dyDescent="0.2">
      <c r="A65" s="57">
        <f t="shared" si="300"/>
        <v>17</v>
      </c>
      <c r="B65" s="1">
        <f t="shared" si="301"/>
        <v>3</v>
      </c>
      <c r="C65" s="1">
        <f t="shared" si="301"/>
        <v>6</v>
      </c>
      <c r="D65" s="1">
        <f t="shared" si="301"/>
        <v>7</v>
      </c>
      <c r="E65" s="1">
        <f t="shared" si="301"/>
        <v>1</v>
      </c>
      <c r="F65" s="3"/>
      <c r="G65" t="s">
        <v>83</v>
      </c>
      <c r="H65" s="53">
        <f t="shared" si="302"/>
        <v>0.17647058823529413</v>
      </c>
      <c r="I65" s="3"/>
      <c r="J65" s="3"/>
      <c r="K65" s="3"/>
      <c r="AC65">
        <f t="shared" si="303"/>
        <v>5</v>
      </c>
      <c r="AD65">
        <f t="shared" si="303"/>
        <v>2</v>
      </c>
      <c r="AE65" s="1">
        <f t="shared" si="304"/>
        <v>2</v>
      </c>
      <c r="AF65" s="1">
        <v>3</v>
      </c>
      <c r="AG65" s="1">
        <f t="shared" si="305"/>
        <v>1</v>
      </c>
      <c r="AH65" s="1">
        <v>3.6666599999999998</v>
      </c>
      <c r="AI65" s="1"/>
      <c r="AJ65" s="1"/>
      <c r="AK65" s="1"/>
      <c r="AL65" s="1"/>
      <c r="AM65" s="1"/>
      <c r="AN65" s="1"/>
      <c r="AO65" s="1"/>
      <c r="BD65" s="2">
        <f t="shared" ca="1" si="297"/>
        <v>72</v>
      </c>
      <c r="BE65" s="23">
        <f ca="1">BE64+13/3</f>
        <v>64.666666666666671</v>
      </c>
      <c r="BF65" s="2">
        <f t="shared" ca="1" si="298"/>
        <v>50</v>
      </c>
      <c r="BG65" s="23">
        <f ca="1">BG64-2/4</f>
        <v>50.5</v>
      </c>
      <c r="BH65" s="2"/>
      <c r="BI65" s="2"/>
      <c r="BJ65" s="2"/>
      <c r="BK65" s="2"/>
      <c r="BL65" s="2"/>
      <c r="BM65" s="2"/>
      <c r="BN65" s="9"/>
      <c r="CG65" s="1">
        <f t="shared" ca="1" si="294"/>
        <v>58</v>
      </c>
      <c r="CH65" s="1">
        <f t="shared" ca="1" si="246"/>
        <v>65</v>
      </c>
      <c r="CI65" s="1" t="str">
        <f t="shared" ca="1" si="247"/>
        <v>Agnieszka</v>
      </c>
      <c r="CJ65" s="13">
        <f t="shared" ca="1" si="248"/>
        <v>21</v>
      </c>
      <c r="CK65">
        <f t="shared" ca="1" si="249"/>
        <v>3</v>
      </c>
      <c r="CL65" s="55">
        <f t="shared" ca="1" si="250"/>
        <v>4</v>
      </c>
      <c r="CW65" s="93">
        <f t="shared" si="295"/>
        <v>60</v>
      </c>
      <c r="CX65" s="51">
        <f t="shared" ca="1" si="296"/>
        <v>759940</v>
      </c>
      <c r="CY65" s="52">
        <f ca="1">BF25</f>
        <v>76</v>
      </c>
      <c r="CZ65" s="51" t="s">
        <v>8</v>
      </c>
      <c r="DA65" s="78">
        <v>20</v>
      </c>
      <c r="DB65" s="78">
        <v>1</v>
      </c>
      <c r="DC65" s="51">
        <f t="shared" ca="1" si="251"/>
        <v>649935</v>
      </c>
    </row>
    <row r="66" spans="1:107" x14ac:dyDescent="0.2">
      <c r="A66" s="57">
        <f t="shared" si="300"/>
        <v>14</v>
      </c>
      <c r="B66" s="1">
        <f t="shared" si="301"/>
        <v>3</v>
      </c>
      <c r="C66" s="1">
        <f t="shared" si="301"/>
        <v>3</v>
      </c>
      <c r="D66" s="1">
        <f t="shared" si="301"/>
        <v>6</v>
      </c>
      <c r="E66" s="1">
        <f t="shared" si="301"/>
        <v>2</v>
      </c>
      <c r="F66" s="3"/>
      <c r="G66" t="s">
        <v>156</v>
      </c>
      <c r="H66" s="53">
        <f t="shared" si="302"/>
        <v>0.21428571428571427</v>
      </c>
      <c r="I66" s="3"/>
      <c r="J66" s="3"/>
      <c r="K66" s="3"/>
      <c r="AC66">
        <f t="shared" si="303"/>
        <v>6</v>
      </c>
      <c r="AD66">
        <f t="shared" si="303"/>
        <v>3</v>
      </c>
      <c r="AE66" s="1">
        <f t="shared" si="304"/>
        <v>1</v>
      </c>
      <c r="AF66" s="1">
        <f>IF(AF11=0,$P$6+$P$6,AF11)</f>
        <v>3</v>
      </c>
      <c r="AG66" s="1">
        <f t="shared" si="305"/>
        <v>2</v>
      </c>
      <c r="AH66" s="1">
        <v>3.3332999999999999</v>
      </c>
      <c r="AI66" s="1"/>
      <c r="AJ66" s="1"/>
      <c r="AK66" s="1"/>
      <c r="AL66" s="1"/>
      <c r="AM66" s="1"/>
      <c r="AN66" s="1"/>
      <c r="AO66" s="1"/>
      <c r="BD66" s="2">
        <f t="shared" ca="1" si="297"/>
        <v>74</v>
      </c>
      <c r="BE66" s="2">
        <f ca="1">BE16</f>
        <v>69</v>
      </c>
      <c r="BF66" s="2">
        <f t="shared" ca="1" si="298"/>
        <v>55</v>
      </c>
      <c r="BG66" s="2">
        <f ca="1">BG16</f>
        <v>50</v>
      </c>
      <c r="BH66" s="2"/>
      <c r="BI66" s="2"/>
      <c r="BJ66" s="2"/>
      <c r="BK66" s="2"/>
      <c r="BL66" s="2"/>
      <c r="BM66" s="2"/>
      <c r="BN66" s="2"/>
      <c r="CG66" s="1">
        <f t="shared" ca="1" si="294"/>
        <v>61</v>
      </c>
      <c r="CH66" s="1">
        <f t="shared" ca="1" si="246"/>
        <v>64</v>
      </c>
      <c r="CI66" s="1" t="str">
        <f t="shared" ca="1" si="247"/>
        <v>Marcin</v>
      </c>
      <c r="CJ66" s="13">
        <f t="shared" ca="1" si="248"/>
        <v>7</v>
      </c>
      <c r="CK66">
        <f t="shared" ca="1" si="249"/>
        <v>2</v>
      </c>
      <c r="CL66" s="55">
        <f t="shared" ca="1" si="250"/>
        <v>4</v>
      </c>
      <c r="CW66" s="93">
        <f t="shared" si="295"/>
        <v>61</v>
      </c>
      <c r="CX66" s="51">
        <f t="shared" ca="1" si="296"/>
        <v>609939</v>
      </c>
      <c r="CY66" s="52">
        <f ca="1">BG25</f>
        <v>61</v>
      </c>
      <c r="CZ66" s="51" t="s">
        <v>9</v>
      </c>
      <c r="DA66" s="78">
        <v>20</v>
      </c>
      <c r="DB66" s="78">
        <v>3</v>
      </c>
      <c r="DC66" s="51">
        <f t="shared" ca="1" si="251"/>
        <v>639974</v>
      </c>
    </row>
    <row r="67" spans="1:107" x14ac:dyDescent="0.2">
      <c r="A67" s="57">
        <f t="shared" si="300"/>
        <v>11</v>
      </c>
      <c r="B67" s="1">
        <f t="shared" si="301"/>
        <v>3</v>
      </c>
      <c r="C67" s="1">
        <f t="shared" si="301"/>
        <v>4</v>
      </c>
      <c r="D67" s="1">
        <f t="shared" si="301"/>
        <v>4</v>
      </c>
      <c r="E67" s="1">
        <f t="shared" si="301"/>
        <v>0</v>
      </c>
      <c r="F67" s="3"/>
      <c r="G67" t="s">
        <v>32</v>
      </c>
      <c r="H67" s="53">
        <f t="shared" si="302"/>
        <v>0.27272727272727271</v>
      </c>
      <c r="I67" s="3"/>
      <c r="J67" s="3"/>
      <c r="K67" s="3"/>
      <c r="AC67">
        <f t="shared" si="303"/>
        <v>7</v>
      </c>
      <c r="AD67">
        <f t="shared" si="303"/>
        <v>4</v>
      </c>
      <c r="AE67" s="1">
        <f t="shared" si="304"/>
        <v>4</v>
      </c>
      <c r="AF67" s="1">
        <f>IF(AF12=0,$P$6+$P$6,AF12)</f>
        <v>2</v>
      </c>
      <c r="AG67" s="1">
        <f t="shared" si="305"/>
        <v>1</v>
      </c>
      <c r="AH67" s="1">
        <f>IF(AH12=0,$P$6+$P$6,AH12)</f>
        <v>3</v>
      </c>
      <c r="AI67" s="1"/>
      <c r="AJ67" s="1"/>
      <c r="AK67" s="1"/>
      <c r="AL67" s="1"/>
      <c r="AM67" s="1"/>
      <c r="AN67" s="1"/>
      <c r="AO67" s="1"/>
      <c r="BD67" s="2">
        <f t="shared" ca="1" si="297"/>
        <v>63</v>
      </c>
      <c r="BE67" s="2">
        <f ca="1">BE17</f>
        <v>83</v>
      </c>
      <c r="BF67" s="2">
        <f t="shared" ca="1" si="298"/>
        <v>76</v>
      </c>
      <c r="BG67" s="2">
        <f ca="1">BG17</f>
        <v>64</v>
      </c>
      <c r="BH67" s="2"/>
      <c r="BI67" s="2"/>
      <c r="BJ67" s="2"/>
      <c r="BK67" s="2"/>
      <c r="BL67" s="2"/>
      <c r="BM67" s="2"/>
      <c r="BN67" s="2"/>
      <c r="CG67" s="1">
        <f t="shared" ca="1" si="294"/>
        <v>61</v>
      </c>
      <c r="CH67" s="1">
        <f t="shared" ca="1" si="246"/>
        <v>64</v>
      </c>
      <c r="CI67" s="1" t="str">
        <f t="shared" ca="1" si="247"/>
        <v>Agnieszka</v>
      </c>
      <c r="CJ67" s="13">
        <f t="shared" ca="1" si="248"/>
        <v>12</v>
      </c>
      <c r="CK67">
        <f t="shared" ca="1" si="249"/>
        <v>3</v>
      </c>
      <c r="CL67" s="55">
        <f t="shared" ca="1" si="250"/>
        <v>4</v>
      </c>
      <c r="CW67" s="93">
        <f t="shared" si="295"/>
        <v>62</v>
      </c>
      <c r="CX67" s="51">
        <f t="shared" ca="1" si="296"/>
        <v>689938</v>
      </c>
      <c r="CY67" s="51">
        <f ca="1">BD26</f>
        <v>69</v>
      </c>
      <c r="CZ67" s="51" t="s">
        <v>6</v>
      </c>
      <c r="DA67" s="78">
        <v>21</v>
      </c>
      <c r="DB67" s="78">
        <v>2</v>
      </c>
      <c r="DC67" s="51">
        <f t="shared" ca="1" si="251"/>
        <v>639965</v>
      </c>
    </row>
    <row r="68" spans="1:107" x14ac:dyDescent="0.2">
      <c r="A68" s="57">
        <f t="shared" si="300"/>
        <v>4</v>
      </c>
      <c r="B68" s="1">
        <f t="shared" si="301"/>
        <v>0</v>
      </c>
      <c r="C68" s="1">
        <f t="shared" si="301"/>
        <v>0</v>
      </c>
      <c r="D68" s="1">
        <f t="shared" si="301"/>
        <v>2</v>
      </c>
      <c r="E68" s="1">
        <f t="shared" si="301"/>
        <v>2</v>
      </c>
      <c r="F68" s="3"/>
      <c r="G68" t="s">
        <v>80</v>
      </c>
      <c r="H68" s="53">
        <f t="shared" si="302"/>
        <v>0</v>
      </c>
      <c r="I68" s="3"/>
      <c r="J68" s="3"/>
      <c r="K68" s="3"/>
      <c r="AC68">
        <f t="shared" si="303"/>
        <v>8</v>
      </c>
      <c r="AD68">
        <f t="shared" si="303"/>
        <v>3</v>
      </c>
      <c r="AE68" s="1">
        <f t="shared" si="304"/>
        <v>2</v>
      </c>
      <c r="AF68" s="1">
        <f>IF(AF13=0,$P$6+$P$6,AF13)</f>
        <v>3</v>
      </c>
      <c r="AG68" s="1">
        <f t="shared" si="305"/>
        <v>1</v>
      </c>
      <c r="AH68" s="1">
        <v>3.25</v>
      </c>
      <c r="AI68" s="1"/>
      <c r="AJ68" s="1"/>
      <c r="AK68" s="1"/>
      <c r="AL68" s="1"/>
      <c r="AM68" s="1"/>
      <c r="AN68" s="1"/>
      <c r="AO68" s="1"/>
      <c r="BD68" s="2">
        <f t="shared" ca="1" si="297"/>
        <v>68</v>
      </c>
      <c r="BE68" s="2">
        <f ca="1">BE18</f>
        <v>52</v>
      </c>
      <c r="BF68" s="2">
        <f t="shared" ca="1" si="298"/>
        <v>75</v>
      </c>
      <c r="BG68" s="1">
        <v>64.5</v>
      </c>
      <c r="BH68" s="2"/>
      <c r="BI68" s="2"/>
      <c r="BJ68" s="2"/>
      <c r="BK68" s="2"/>
      <c r="BL68" s="2"/>
      <c r="BM68" s="2"/>
      <c r="BN68" s="1"/>
      <c r="CG68" s="1">
        <f t="shared" ca="1" si="294"/>
        <v>61</v>
      </c>
      <c r="CH68" s="1">
        <f t="shared" ca="1" si="246"/>
        <v>64</v>
      </c>
      <c r="CI68" s="1" t="str">
        <f t="shared" ca="1" si="247"/>
        <v>Magda</v>
      </c>
      <c r="CJ68" s="13">
        <f t="shared" ca="1" si="248"/>
        <v>24</v>
      </c>
      <c r="CK68">
        <f t="shared" ca="1" si="249"/>
        <v>2</v>
      </c>
      <c r="CL68" s="55">
        <f t="shared" ca="1" si="250"/>
        <v>4</v>
      </c>
      <c r="CW68" s="93">
        <f t="shared" si="295"/>
        <v>63</v>
      </c>
      <c r="CX68" s="51">
        <f t="shared" ca="1" si="296"/>
        <v>719937</v>
      </c>
      <c r="CY68" s="51">
        <f ca="1">BE26</f>
        <v>72</v>
      </c>
      <c r="CZ68" s="51" t="s">
        <v>7</v>
      </c>
      <c r="DA68" s="78">
        <v>21</v>
      </c>
      <c r="DB68" s="78">
        <v>1</v>
      </c>
      <c r="DC68" s="51">
        <f t="shared" ca="1" si="251"/>
        <v>639924</v>
      </c>
    </row>
    <row r="69" spans="1:107" x14ac:dyDescent="0.2">
      <c r="L69" s="3"/>
      <c r="M69" s="3"/>
      <c r="AC69">
        <f t="shared" si="303"/>
        <v>9</v>
      </c>
      <c r="AD69">
        <f t="shared" si="303"/>
        <v>2</v>
      </c>
      <c r="AE69" s="1">
        <f t="shared" si="304"/>
        <v>1</v>
      </c>
      <c r="AF69" s="1">
        <v>2.6666666000000001</v>
      </c>
      <c r="AG69" s="1">
        <f t="shared" si="305"/>
        <v>2</v>
      </c>
      <c r="AH69" s="1">
        <v>3.5</v>
      </c>
      <c r="AI69" s="1"/>
      <c r="AJ69" s="1"/>
      <c r="AK69" s="1"/>
      <c r="AL69" s="1"/>
      <c r="AM69" s="1"/>
      <c r="AN69" s="1"/>
      <c r="AO69" s="1"/>
      <c r="BD69" s="2">
        <f t="shared" ca="1" si="297"/>
        <v>65</v>
      </c>
      <c r="BE69" s="23">
        <f ca="1">BE68+28/4</f>
        <v>59</v>
      </c>
      <c r="BF69" s="2">
        <f t="shared" ca="1" si="298"/>
        <v>51</v>
      </c>
      <c r="BG69" s="2">
        <f ca="1">BG19</f>
        <v>65</v>
      </c>
      <c r="BH69" s="2"/>
      <c r="BI69" s="2"/>
      <c r="BJ69" s="2"/>
      <c r="BK69" s="2"/>
      <c r="BL69" s="2"/>
      <c r="BM69" s="2"/>
      <c r="BN69" s="2"/>
      <c r="CG69" s="1">
        <f t="shared" ca="1" si="294"/>
        <v>61</v>
      </c>
      <c r="CH69" s="1">
        <f t="shared" ca="1" si="246"/>
        <v>64</v>
      </c>
      <c r="CI69" s="1" t="str">
        <f t="shared" ca="1" si="247"/>
        <v>Marcin</v>
      </c>
      <c r="CJ69" s="13">
        <f t="shared" ca="1" si="248"/>
        <v>29</v>
      </c>
      <c r="CK69">
        <f t="shared" ca="1" si="249"/>
        <v>4</v>
      </c>
      <c r="CL69" s="55">
        <f t="shared" ca="1" si="250"/>
        <v>4</v>
      </c>
      <c r="CW69" s="93">
        <f t="shared" si="295"/>
        <v>64</v>
      </c>
      <c r="CX69" s="51">
        <f t="shared" ca="1" si="296"/>
        <v>489936</v>
      </c>
      <c r="CY69" s="51">
        <f ca="1">BF26</f>
        <v>49</v>
      </c>
      <c r="CZ69" s="51" t="s">
        <v>8</v>
      </c>
      <c r="DA69" s="78">
        <v>21</v>
      </c>
      <c r="DB69" s="78">
        <v>4</v>
      </c>
      <c r="DC69" s="51">
        <f t="shared" ca="1" si="251"/>
        <v>639907</v>
      </c>
    </row>
    <row r="70" spans="1:107" x14ac:dyDescent="0.2">
      <c r="A70" s="25" t="s">
        <v>85</v>
      </c>
      <c r="B70" t="s">
        <v>6</v>
      </c>
      <c r="C70" t="s">
        <v>7</v>
      </c>
      <c r="D70" t="s">
        <v>8</v>
      </c>
      <c r="E70" t="s">
        <v>9</v>
      </c>
      <c r="F70" t="s">
        <v>94</v>
      </c>
      <c r="G70" t="s">
        <v>125</v>
      </c>
      <c r="H70" t="s">
        <v>148</v>
      </c>
      <c r="I70" t="s">
        <v>149</v>
      </c>
      <c r="J70" t="s">
        <v>152</v>
      </c>
      <c r="K70" t="s">
        <v>153</v>
      </c>
      <c r="L70" t="s">
        <v>157</v>
      </c>
      <c r="P70" t="s">
        <v>6</v>
      </c>
      <c r="Q70" t="s">
        <v>7</v>
      </c>
      <c r="R70" t="s">
        <v>8</v>
      </c>
      <c r="S70" t="s">
        <v>9</v>
      </c>
      <c r="AC70">
        <f t="shared" si="303"/>
        <v>10</v>
      </c>
      <c r="AD70">
        <f t="shared" si="303"/>
        <v>2</v>
      </c>
      <c r="AE70" s="1">
        <f t="shared" si="304"/>
        <v>1</v>
      </c>
      <c r="AF70" s="1">
        <v>2.3333333000000001</v>
      </c>
      <c r="AG70" s="1">
        <f t="shared" si="305"/>
        <v>2</v>
      </c>
      <c r="AH70" s="1">
        <v>3.7530000000000001</v>
      </c>
      <c r="AI70" s="1"/>
      <c r="AJ70" s="1"/>
      <c r="AK70" s="1"/>
      <c r="AL70" s="1"/>
      <c r="AM70" s="1"/>
      <c r="AN70" s="1"/>
      <c r="AO70" s="1"/>
      <c r="BD70" s="2">
        <f t="shared" ca="1" si="297"/>
        <v>83</v>
      </c>
      <c r="BE70" s="23">
        <f ca="1">BE69+28/4</f>
        <v>66</v>
      </c>
      <c r="BF70" s="2">
        <f t="shared" ca="1" si="298"/>
        <v>51</v>
      </c>
      <c r="BG70" s="2">
        <f ca="1">BG20</f>
        <v>81</v>
      </c>
      <c r="BH70" s="2"/>
      <c r="BI70" s="2"/>
      <c r="BJ70" s="2"/>
      <c r="BK70" s="2"/>
      <c r="BL70" s="2"/>
      <c r="BM70" s="2"/>
      <c r="BN70" s="2"/>
      <c r="CG70" s="1">
        <f t="shared" ca="1" si="294"/>
        <v>65</v>
      </c>
      <c r="CH70" s="1">
        <f t="shared" ref="CH70:CH101" ca="1" si="306">VLOOKUP(DC70,CX:CZ,2,FALSE)</f>
        <v>63</v>
      </c>
      <c r="CI70" s="1" t="str">
        <f t="shared" ref="CI70:CI101" ca="1" si="307">VLOOKUP(DC70,CX:CZ,3,FALSE)</f>
        <v>Mateusz</v>
      </c>
      <c r="CJ70" s="13">
        <f t="shared" ref="CJ70:CJ101" ca="1" si="308">VLOOKUP(DC70,CX:DA,4,FALSE)</f>
        <v>12</v>
      </c>
      <c r="CK70">
        <f t="shared" ref="CK70:CK101" ca="1" si="309">VLOOKUP(DC70,CX:DB,5,FALSE)</f>
        <v>4</v>
      </c>
      <c r="CL70" s="55">
        <f t="shared" ref="CL70:CL101" ca="1" si="310">IF(CJ70="&lt;- dzisiaj",VLOOKUP(MAX($CJ:$CJ)+1,$N:$O,2,FALSE),VLOOKUP(CJ70,$N:$O,2,FALSE))</f>
        <v>4</v>
      </c>
      <c r="CW70" s="93">
        <f t="shared" si="295"/>
        <v>65</v>
      </c>
      <c r="CX70" s="51">
        <f t="shared" ca="1" si="296"/>
        <v>649935</v>
      </c>
      <c r="CY70" s="51">
        <f ca="1">BG26</f>
        <v>65</v>
      </c>
      <c r="CZ70" s="51" t="s">
        <v>9</v>
      </c>
      <c r="DA70" s="78">
        <v>21</v>
      </c>
      <c r="DB70" s="78">
        <v>3</v>
      </c>
      <c r="DC70" s="51">
        <f t="shared" ref="DC70:DC101" ca="1" si="311">LARGE(CX:CX,CW70)</f>
        <v>629968</v>
      </c>
    </row>
    <row r="71" spans="1:107" x14ac:dyDescent="0.2">
      <c r="A71" s="57">
        <f t="shared" ref="A71:A78" si="312">SUM(B71:E71)</f>
        <v>14</v>
      </c>
      <c r="B71" s="1">
        <f>COUNTIF(B$83:B$116,$M71)</f>
        <v>7</v>
      </c>
      <c r="C71" s="1">
        <f>COUNTIF(C$83:C$116,$M71)</f>
        <v>2</v>
      </c>
      <c r="D71" s="1">
        <f>COUNTIF(D$83:D$116,$M71)</f>
        <v>2</v>
      </c>
      <c r="E71" s="1">
        <f>COUNTIF(E$83:E$116,$M71)</f>
        <v>3</v>
      </c>
      <c r="F71" s="1">
        <f t="shared" ref="F71:L71" si="313">COUNTIF(F$83:F$116,$M71)</f>
        <v>0</v>
      </c>
      <c r="G71" s="1">
        <f t="shared" si="313"/>
        <v>0</v>
      </c>
      <c r="H71" s="1">
        <f t="shared" si="313"/>
        <v>0</v>
      </c>
      <c r="I71" s="1">
        <f t="shared" si="313"/>
        <v>0</v>
      </c>
      <c r="J71" s="1">
        <f t="shared" si="313"/>
        <v>0</v>
      </c>
      <c r="K71" s="1">
        <f t="shared" si="313"/>
        <v>1</v>
      </c>
      <c r="L71" s="1">
        <f t="shared" si="313"/>
        <v>0</v>
      </c>
      <c r="M71" s="79" t="s">
        <v>84</v>
      </c>
      <c r="P71" s="58">
        <f t="shared" ref="P71:S78" si="314">COUNTIF(B$83:B$115,$M71)/AR$5</f>
        <v>0.20588235294117646</v>
      </c>
      <c r="Q71" s="58">
        <f t="shared" si="314"/>
        <v>9.5238095238095233E-2</v>
      </c>
      <c r="R71" s="58">
        <f t="shared" si="314"/>
        <v>7.407407407407407E-2</v>
      </c>
      <c r="S71" s="58">
        <f t="shared" si="314"/>
        <v>0.15</v>
      </c>
      <c r="U71" t="s">
        <v>84</v>
      </c>
      <c r="AC71">
        <f t="shared" si="303"/>
        <v>11</v>
      </c>
      <c r="AD71">
        <f t="shared" si="303"/>
        <v>4</v>
      </c>
      <c r="AE71" s="1">
        <f t="shared" si="304"/>
        <v>1</v>
      </c>
      <c r="AF71" s="1">
        <f>IF(AF16=0,$P$6+$P$6,AF16)</f>
        <v>2</v>
      </c>
      <c r="AG71" s="1">
        <f t="shared" si="305"/>
        <v>3</v>
      </c>
      <c r="AH71" s="1">
        <f>IF(AH16=0,$P$6+$P$6,AH16)</f>
        <v>4</v>
      </c>
      <c r="AI71" s="1"/>
      <c r="AJ71" s="1"/>
      <c r="AK71" s="1"/>
      <c r="AL71" s="1"/>
      <c r="AM71" s="1"/>
      <c r="AN71" s="1"/>
      <c r="AO71" s="1"/>
      <c r="BD71" s="2">
        <f t="shared" ca="1" si="297"/>
        <v>95</v>
      </c>
      <c r="BE71" s="23">
        <f ca="1">BE70+28/4</f>
        <v>73</v>
      </c>
      <c r="BF71" s="23">
        <f ca="1">BF70+11/3</f>
        <v>54.666666666666664</v>
      </c>
      <c r="BG71" s="23">
        <f ca="1">BG70-21/2</f>
        <v>70.5</v>
      </c>
      <c r="BH71" s="2"/>
      <c r="BI71" s="2"/>
      <c r="BJ71" s="2"/>
      <c r="BK71" s="2"/>
      <c r="BL71" s="2"/>
      <c r="BM71" s="2"/>
      <c r="BN71" s="2">
        <f ca="1">BN21</f>
        <v>59</v>
      </c>
      <c r="CG71" s="1">
        <f t="shared" ca="1" si="294"/>
        <v>66</v>
      </c>
      <c r="CH71" s="1">
        <f t="shared" ca="1" si="306"/>
        <v>62</v>
      </c>
      <c r="CI71" s="1" t="str">
        <f t="shared" ca="1" si="307"/>
        <v>Mateusz</v>
      </c>
      <c r="CJ71" s="13">
        <f t="shared" ca="1" si="308"/>
        <v>1</v>
      </c>
      <c r="CK71">
        <f t="shared" ca="1" si="309"/>
        <v>1</v>
      </c>
      <c r="CL71" s="55">
        <f t="shared" ca="1" si="310"/>
        <v>3</v>
      </c>
      <c r="CW71" s="93">
        <f t="shared" si="295"/>
        <v>66</v>
      </c>
      <c r="CX71" s="51">
        <f t="shared" ca="1" si="296"/>
        <v>699934</v>
      </c>
      <c r="CY71" s="51">
        <f ca="1">BD27</f>
        <v>70</v>
      </c>
      <c r="CZ71" s="51" t="s">
        <v>6</v>
      </c>
      <c r="DA71" s="78">
        <v>22</v>
      </c>
      <c r="DB71" s="78">
        <v>2</v>
      </c>
      <c r="DC71" s="51">
        <f t="shared" ca="1" si="311"/>
        <v>619999</v>
      </c>
    </row>
    <row r="72" spans="1:107" x14ac:dyDescent="0.2">
      <c r="A72" s="57">
        <f t="shared" si="312"/>
        <v>18</v>
      </c>
      <c r="B72" s="1">
        <f t="shared" ref="B72:L78" si="315">COUNTIF(B$83:B$116,$M72)</f>
        <v>2</v>
      </c>
      <c r="C72" s="1">
        <f t="shared" si="315"/>
        <v>3</v>
      </c>
      <c r="D72" s="1">
        <f t="shared" si="315"/>
        <v>11</v>
      </c>
      <c r="E72" s="1">
        <f t="shared" si="315"/>
        <v>2</v>
      </c>
      <c r="F72" s="1">
        <f t="shared" si="315"/>
        <v>0</v>
      </c>
      <c r="G72" s="1">
        <f t="shared" si="315"/>
        <v>0</v>
      </c>
      <c r="H72" s="1">
        <f t="shared" si="315"/>
        <v>0</v>
      </c>
      <c r="I72" s="1">
        <f t="shared" si="315"/>
        <v>0</v>
      </c>
      <c r="J72" s="1">
        <f t="shared" si="315"/>
        <v>0</v>
      </c>
      <c r="K72" s="1">
        <f t="shared" si="315"/>
        <v>0</v>
      </c>
      <c r="L72" s="1">
        <f t="shared" si="315"/>
        <v>1</v>
      </c>
      <c r="M72" t="s">
        <v>82</v>
      </c>
      <c r="P72" s="58">
        <f t="shared" si="314"/>
        <v>5.8823529411764705E-2</v>
      </c>
      <c r="Q72" s="58">
        <f t="shared" si="314"/>
        <v>0.14285714285714285</v>
      </c>
      <c r="R72" s="58">
        <f t="shared" si="314"/>
        <v>0.40740740740740738</v>
      </c>
      <c r="S72" s="58">
        <f t="shared" si="314"/>
        <v>0.05</v>
      </c>
      <c r="U72" t="s">
        <v>82</v>
      </c>
      <c r="AC72">
        <f t="shared" si="303"/>
        <v>12</v>
      </c>
      <c r="AD72">
        <f t="shared" si="303"/>
        <v>4</v>
      </c>
      <c r="AE72" s="1">
        <f t="shared" si="304"/>
        <v>4</v>
      </c>
      <c r="AF72" s="1">
        <f>IF(AF17=0,$P$6+$P$6,AF17)</f>
        <v>1</v>
      </c>
      <c r="AG72" s="1">
        <f t="shared" si="305"/>
        <v>2</v>
      </c>
      <c r="AH72" s="1">
        <f>IF(AH17=0,$P$6+$P$6,AH17)</f>
        <v>3</v>
      </c>
      <c r="AI72" s="1"/>
      <c r="AJ72" s="1"/>
      <c r="AK72" s="1"/>
      <c r="AL72" s="1"/>
      <c r="AM72" s="1"/>
      <c r="AN72" s="1"/>
      <c r="AO72" s="1"/>
      <c r="BD72" s="2">
        <f t="shared" ca="1" si="297"/>
        <v>79</v>
      </c>
      <c r="BE72" s="2">
        <f ca="1">BE22</f>
        <v>80</v>
      </c>
      <c r="BF72" s="23">
        <f ca="1">BF71+11/3</f>
        <v>58.333333333333329</v>
      </c>
      <c r="BG72" s="2">
        <f ca="1">BG22</f>
        <v>60</v>
      </c>
      <c r="BH72" s="2"/>
      <c r="BI72" s="2"/>
      <c r="BJ72" s="2"/>
      <c r="BK72" s="2"/>
      <c r="BL72" s="2"/>
      <c r="BM72" s="2"/>
      <c r="BN72" s="2"/>
      <c r="CG72" s="1">
        <f t="shared" ca="1" si="294"/>
        <v>66</v>
      </c>
      <c r="CH72" s="1">
        <f t="shared" ca="1" si="306"/>
        <v>62</v>
      </c>
      <c r="CI72" s="1" t="str">
        <f t="shared" ca="1" si="307"/>
        <v>Mateusz</v>
      </c>
      <c r="CJ72" s="13">
        <f t="shared" ca="1" si="308"/>
        <v>20</v>
      </c>
      <c r="CK72">
        <f t="shared" ca="1" si="309"/>
        <v>2</v>
      </c>
      <c r="CL72" s="55">
        <f t="shared" ca="1" si="310"/>
        <v>4</v>
      </c>
      <c r="CW72" s="93">
        <f t="shared" ref="CW72:CW119" si="316">1+CW71</f>
        <v>67</v>
      </c>
      <c r="CX72" s="51">
        <f t="shared" ca="1" si="296"/>
        <v>719933</v>
      </c>
      <c r="CY72" s="51">
        <f ca="1">BF27</f>
        <v>72</v>
      </c>
      <c r="CZ72" s="51" t="s">
        <v>8</v>
      </c>
      <c r="DA72" s="78">
        <v>22</v>
      </c>
      <c r="DB72" s="78">
        <v>1</v>
      </c>
      <c r="DC72" s="51">
        <f t="shared" ca="1" si="311"/>
        <v>619942</v>
      </c>
    </row>
    <row r="73" spans="1:107" x14ac:dyDescent="0.2">
      <c r="A73" s="57">
        <f t="shared" si="312"/>
        <v>18</v>
      </c>
      <c r="B73" s="1">
        <f t="shared" si="315"/>
        <v>11</v>
      </c>
      <c r="C73" s="1">
        <f t="shared" si="315"/>
        <v>2</v>
      </c>
      <c r="D73" s="1">
        <f t="shared" si="315"/>
        <v>4</v>
      </c>
      <c r="E73" s="1">
        <f t="shared" si="315"/>
        <v>1</v>
      </c>
      <c r="F73" s="1">
        <f t="shared" si="315"/>
        <v>0</v>
      </c>
      <c r="G73" s="1">
        <f t="shared" si="315"/>
        <v>1</v>
      </c>
      <c r="H73" s="1">
        <f t="shared" si="315"/>
        <v>0</v>
      </c>
      <c r="I73" s="1">
        <f t="shared" si="315"/>
        <v>0</v>
      </c>
      <c r="J73" s="1">
        <f t="shared" si="315"/>
        <v>1</v>
      </c>
      <c r="K73" s="1">
        <f t="shared" si="315"/>
        <v>0</v>
      </c>
      <c r="L73" s="1">
        <f t="shared" si="315"/>
        <v>0</v>
      </c>
      <c r="M73" t="s">
        <v>81</v>
      </c>
      <c r="P73" s="58">
        <f t="shared" si="314"/>
        <v>0.29411764705882354</v>
      </c>
      <c r="Q73" s="58">
        <f t="shared" si="314"/>
        <v>9.5238095238095233E-2</v>
      </c>
      <c r="R73" s="58">
        <f t="shared" si="314"/>
        <v>0.14814814814814814</v>
      </c>
      <c r="S73" s="58">
        <f t="shared" si="314"/>
        <v>0.05</v>
      </c>
      <c r="U73" t="s">
        <v>81</v>
      </c>
      <c r="AC73">
        <f t="shared" si="303"/>
        <v>13</v>
      </c>
      <c r="AD73">
        <f t="shared" si="303"/>
        <v>3</v>
      </c>
      <c r="AE73" s="1">
        <f t="shared" si="304"/>
        <v>2</v>
      </c>
      <c r="AF73" s="1">
        <f>IF(AF18=0,$P$6+$P$6,AF18)</f>
        <v>3</v>
      </c>
      <c r="AG73" s="1">
        <f t="shared" si="305"/>
        <v>1</v>
      </c>
      <c r="AH73" s="1">
        <v>2</v>
      </c>
      <c r="AI73" s="1"/>
      <c r="AJ73" s="1"/>
      <c r="AK73" s="1"/>
      <c r="AL73" s="1"/>
      <c r="AM73" s="1"/>
      <c r="AN73" s="1"/>
      <c r="AO73" s="1"/>
      <c r="BD73" s="2">
        <f t="shared" ca="1" si="297"/>
        <v>41</v>
      </c>
      <c r="BE73" s="2">
        <f ca="1">BE23</f>
        <v>105</v>
      </c>
      <c r="BF73" s="2">
        <f t="shared" ref="BF73:BF78" ca="1" si="317">BF23</f>
        <v>61</v>
      </c>
      <c r="BG73" s="23">
        <f ca="1">BG72-7/2</f>
        <v>56.5</v>
      </c>
      <c r="BH73" s="2">
        <f ca="1">BH23</f>
        <v>60</v>
      </c>
      <c r="BI73" s="2"/>
      <c r="BJ73" s="2"/>
      <c r="BK73" s="2"/>
      <c r="BL73" s="2"/>
      <c r="BM73" s="2"/>
      <c r="BN73" s="2"/>
      <c r="CG73" s="1">
        <f t="shared" ref="CG73:CG104" ca="1" si="318">IF(CH73=CH72,CG72,CW73)</f>
        <v>66</v>
      </c>
      <c r="CH73" s="1">
        <f t="shared" ca="1" si="306"/>
        <v>62</v>
      </c>
      <c r="CI73" s="1" t="str">
        <f t="shared" ca="1" si="307"/>
        <v>Marcin</v>
      </c>
      <c r="CJ73" s="13">
        <f t="shared" ca="1" si="308"/>
        <v>24</v>
      </c>
      <c r="CK73">
        <f t="shared" ca="1" si="309"/>
        <v>3</v>
      </c>
      <c r="CL73" s="55">
        <f t="shared" ca="1" si="310"/>
        <v>4</v>
      </c>
      <c r="CW73" s="93">
        <f t="shared" si="316"/>
        <v>68</v>
      </c>
      <c r="CX73" s="51">
        <f t="shared" ca="1" si="296"/>
        <v>659932</v>
      </c>
      <c r="CY73" s="51">
        <f ca="1">BG27</f>
        <v>66</v>
      </c>
      <c r="CZ73" s="51" t="s">
        <v>9</v>
      </c>
      <c r="DA73" s="78">
        <v>22</v>
      </c>
      <c r="DB73" s="78">
        <v>3</v>
      </c>
      <c r="DC73" s="51">
        <f t="shared" ca="1" si="311"/>
        <v>619926</v>
      </c>
    </row>
    <row r="74" spans="1:107" x14ac:dyDescent="0.2">
      <c r="A74" s="57">
        <f t="shared" si="312"/>
        <v>12</v>
      </c>
      <c r="B74" s="1">
        <f t="shared" si="315"/>
        <v>2</v>
      </c>
      <c r="C74" s="1">
        <f t="shared" si="315"/>
        <v>4</v>
      </c>
      <c r="D74" s="1">
        <f t="shared" si="315"/>
        <v>3</v>
      </c>
      <c r="E74" s="1">
        <f t="shared" si="315"/>
        <v>3</v>
      </c>
      <c r="F74" s="1">
        <f t="shared" si="315"/>
        <v>0</v>
      </c>
      <c r="G74" s="1">
        <f t="shared" si="315"/>
        <v>2</v>
      </c>
      <c r="H74" s="1">
        <f t="shared" si="315"/>
        <v>0</v>
      </c>
      <c r="I74" s="1">
        <f t="shared" si="315"/>
        <v>0</v>
      </c>
      <c r="J74" s="1">
        <f t="shared" si="315"/>
        <v>0</v>
      </c>
      <c r="K74" s="1">
        <f t="shared" si="315"/>
        <v>0</v>
      </c>
      <c r="L74" s="1">
        <f t="shared" si="315"/>
        <v>0</v>
      </c>
      <c r="M74" t="s">
        <v>79</v>
      </c>
      <c r="P74" s="58">
        <f t="shared" si="314"/>
        <v>5.8823529411764705E-2</v>
      </c>
      <c r="Q74" s="58">
        <f t="shared" si="314"/>
        <v>0.19047619047619047</v>
      </c>
      <c r="R74" s="58">
        <f t="shared" si="314"/>
        <v>7.407407407407407E-2</v>
      </c>
      <c r="S74" s="58">
        <f t="shared" si="314"/>
        <v>0.15</v>
      </c>
      <c r="U74" t="s">
        <v>79</v>
      </c>
      <c r="AC74">
        <f t="shared" si="303"/>
        <v>14</v>
      </c>
      <c r="AD74">
        <f t="shared" si="303"/>
        <v>3</v>
      </c>
      <c r="AE74" s="1">
        <f t="shared" si="304"/>
        <v>2</v>
      </c>
      <c r="AF74" s="68">
        <f>AF73-2/4</f>
        <v>2.5</v>
      </c>
      <c r="AG74" s="1">
        <f t="shared" si="305"/>
        <v>3</v>
      </c>
      <c r="AH74" s="1">
        <f>IF(AH19=0,$P$6+$P$6,AH19)</f>
        <v>1</v>
      </c>
      <c r="AI74" s="1"/>
      <c r="AJ74" s="1"/>
      <c r="AK74" s="1"/>
      <c r="AL74" s="1"/>
      <c r="AM74" s="1"/>
      <c r="AN74" s="1"/>
      <c r="AO74" s="1"/>
      <c r="BD74" s="2">
        <f t="shared" ca="1" si="297"/>
        <v>71</v>
      </c>
      <c r="BE74" s="23">
        <f ca="1">BE73-45/2</f>
        <v>82.5</v>
      </c>
      <c r="BF74" s="2">
        <f t="shared" ca="1" si="317"/>
        <v>79</v>
      </c>
      <c r="BG74" s="2">
        <f t="shared" ref="BG74:BG79" ca="1" si="319">BG24</f>
        <v>53</v>
      </c>
      <c r="BH74" s="2">
        <f ca="1">BH24</f>
        <v>37</v>
      </c>
      <c r="BI74" s="2"/>
      <c r="BJ74" s="2"/>
      <c r="BK74" s="2"/>
      <c r="BL74" s="2"/>
      <c r="BM74" s="2"/>
      <c r="BN74" s="2"/>
      <c r="CG74" s="1">
        <f t="shared" ca="1" si="318"/>
        <v>69</v>
      </c>
      <c r="CH74" s="1">
        <f t="shared" ca="1" si="306"/>
        <v>61</v>
      </c>
      <c r="CI74" s="1" t="str">
        <f t="shared" ca="1" si="307"/>
        <v>Justyna</v>
      </c>
      <c r="CJ74" s="13">
        <f t="shared" ca="1" si="308"/>
        <v>18</v>
      </c>
      <c r="CK74">
        <f t="shared" ca="1" si="309"/>
        <v>2</v>
      </c>
      <c r="CL74" s="55">
        <f t="shared" ca="1" si="310"/>
        <v>4</v>
      </c>
      <c r="CW74" s="93">
        <f t="shared" si="316"/>
        <v>69</v>
      </c>
      <c r="CX74" s="51">
        <f t="shared" ca="1" si="296"/>
        <v>859931</v>
      </c>
      <c r="CY74" s="51">
        <f ca="1">BD28</f>
        <v>86</v>
      </c>
      <c r="CZ74" s="51" t="s">
        <v>6</v>
      </c>
      <c r="DA74" s="78">
        <v>23</v>
      </c>
      <c r="DB74" s="78">
        <v>1</v>
      </c>
      <c r="DC74" s="51">
        <f t="shared" ca="1" si="311"/>
        <v>609948</v>
      </c>
    </row>
    <row r="75" spans="1:107" x14ac:dyDescent="0.2">
      <c r="A75" s="57">
        <f t="shared" si="312"/>
        <v>15</v>
      </c>
      <c r="B75" s="1">
        <f t="shared" si="315"/>
        <v>6</v>
      </c>
      <c r="C75" s="1">
        <f t="shared" si="315"/>
        <v>3</v>
      </c>
      <c r="D75" s="1">
        <f t="shared" si="315"/>
        <v>1</v>
      </c>
      <c r="E75" s="1">
        <f t="shared" si="315"/>
        <v>5</v>
      </c>
      <c r="F75" s="1">
        <f t="shared" si="315"/>
        <v>0</v>
      </c>
      <c r="G75" s="1">
        <f t="shared" si="315"/>
        <v>1</v>
      </c>
      <c r="H75" s="1">
        <f t="shared" si="315"/>
        <v>0</v>
      </c>
      <c r="I75" s="1">
        <f t="shared" si="315"/>
        <v>1</v>
      </c>
      <c r="J75" s="1">
        <f t="shared" si="315"/>
        <v>0</v>
      </c>
      <c r="K75" s="1">
        <f t="shared" si="315"/>
        <v>0</v>
      </c>
      <c r="L75" s="1">
        <f t="shared" si="315"/>
        <v>0</v>
      </c>
      <c r="M75" t="s">
        <v>83</v>
      </c>
      <c r="P75" s="58">
        <f t="shared" si="314"/>
        <v>0.17647058823529413</v>
      </c>
      <c r="Q75" s="58">
        <f t="shared" si="314"/>
        <v>0.14285714285714285</v>
      </c>
      <c r="R75" s="58">
        <f t="shared" si="314"/>
        <v>3.7037037037037035E-2</v>
      </c>
      <c r="S75" s="58">
        <f t="shared" si="314"/>
        <v>0.25</v>
      </c>
      <c r="U75" t="s">
        <v>83</v>
      </c>
      <c r="AC75">
        <f t="shared" si="303"/>
        <v>15</v>
      </c>
      <c r="AD75">
        <f t="shared" si="303"/>
        <v>3</v>
      </c>
      <c r="AE75" s="1">
        <f t="shared" si="304"/>
        <v>1</v>
      </c>
      <c r="AF75" s="68">
        <f>AF74-2/4</f>
        <v>2</v>
      </c>
      <c r="AG75" s="1">
        <f t="shared" si="305"/>
        <v>3</v>
      </c>
      <c r="AH75" s="1">
        <f>IF(AH20=0,$P$6+$P$6,AH20)</f>
        <v>2</v>
      </c>
      <c r="AI75" s="1"/>
      <c r="AJ75" s="1"/>
      <c r="AK75" s="1"/>
      <c r="AL75" s="1"/>
      <c r="AM75" s="1"/>
      <c r="AN75" s="1"/>
      <c r="AO75" s="1"/>
      <c r="BD75" s="2">
        <f t="shared" ca="1" si="297"/>
        <v>62</v>
      </c>
      <c r="BE75" s="2">
        <f ca="1">BE25</f>
        <v>60</v>
      </c>
      <c r="BF75" s="2">
        <f t="shared" ca="1" si="317"/>
        <v>76</v>
      </c>
      <c r="BG75" s="2">
        <f t="shared" ca="1" si="319"/>
        <v>61</v>
      </c>
      <c r="BH75" s="23">
        <f ca="1">BH74-1/11</f>
        <v>36.909090909090907</v>
      </c>
      <c r="BI75" s="2"/>
      <c r="BJ75" s="2"/>
      <c r="BK75" s="2"/>
      <c r="BL75" s="2"/>
      <c r="BM75" s="2"/>
      <c r="BN75" s="2"/>
      <c r="CG75" s="1">
        <f t="shared" ca="1" si="318"/>
        <v>69</v>
      </c>
      <c r="CH75" s="1">
        <f t="shared" ca="1" si="306"/>
        <v>61</v>
      </c>
      <c r="CI75" s="1" t="str">
        <f t="shared" ca="1" si="307"/>
        <v>Agnieszka</v>
      </c>
      <c r="CJ75" s="13">
        <f t="shared" ca="1" si="308"/>
        <v>20</v>
      </c>
      <c r="CK75">
        <f t="shared" ca="1" si="309"/>
        <v>3</v>
      </c>
      <c r="CL75" s="55">
        <f t="shared" ca="1" si="310"/>
        <v>4</v>
      </c>
      <c r="CW75" s="93">
        <f t="shared" si="316"/>
        <v>70</v>
      </c>
      <c r="CX75" s="51">
        <f t="shared" ca="1" si="296"/>
        <v>499930</v>
      </c>
      <c r="CY75" s="51">
        <f ca="1">BE28</f>
        <v>50</v>
      </c>
      <c r="CZ75" s="51" t="s">
        <v>7</v>
      </c>
      <c r="DA75" s="78">
        <v>23</v>
      </c>
      <c r="DB75" s="78">
        <v>3</v>
      </c>
      <c r="DC75" s="51">
        <f t="shared" ca="1" si="311"/>
        <v>609939</v>
      </c>
    </row>
    <row r="76" spans="1:107" x14ac:dyDescent="0.2">
      <c r="A76" s="57">
        <f t="shared" si="312"/>
        <v>11</v>
      </c>
      <c r="B76" s="1">
        <f t="shared" si="315"/>
        <v>2</v>
      </c>
      <c r="C76" s="1">
        <f t="shared" si="315"/>
        <v>3</v>
      </c>
      <c r="D76" s="1">
        <f t="shared" si="315"/>
        <v>2</v>
      </c>
      <c r="E76" s="1">
        <f t="shared" si="315"/>
        <v>4</v>
      </c>
      <c r="F76" s="1">
        <f t="shared" si="315"/>
        <v>3</v>
      </c>
      <c r="G76" s="1">
        <f t="shared" si="315"/>
        <v>0</v>
      </c>
      <c r="H76" s="1">
        <f t="shared" si="315"/>
        <v>0</v>
      </c>
      <c r="I76" s="1">
        <f t="shared" si="315"/>
        <v>0</v>
      </c>
      <c r="J76" s="1">
        <f t="shared" si="315"/>
        <v>0</v>
      </c>
      <c r="K76" s="1">
        <f t="shared" si="315"/>
        <v>0</v>
      </c>
      <c r="L76" s="1">
        <f t="shared" si="315"/>
        <v>0</v>
      </c>
      <c r="M76" t="s">
        <v>156</v>
      </c>
      <c r="P76" s="58">
        <f t="shared" si="314"/>
        <v>5.8823529411764705E-2</v>
      </c>
      <c r="Q76" s="58">
        <f t="shared" si="314"/>
        <v>9.5238095238095233E-2</v>
      </c>
      <c r="R76" s="58">
        <f t="shared" si="314"/>
        <v>7.407407407407407E-2</v>
      </c>
      <c r="S76" s="58">
        <f t="shared" si="314"/>
        <v>0.2</v>
      </c>
      <c r="U76" t="s">
        <v>156</v>
      </c>
      <c r="AC76">
        <f t="shared" si="303"/>
        <v>16</v>
      </c>
      <c r="AD76">
        <f t="shared" si="303"/>
        <v>2</v>
      </c>
      <c r="AE76" s="1">
        <f t="shared" si="304"/>
        <v>1</v>
      </c>
      <c r="AF76" s="68">
        <f>AF75-2/4</f>
        <v>1.5</v>
      </c>
      <c r="AG76" s="68">
        <f>AG75-1/3</f>
        <v>2.6666666666666665</v>
      </c>
      <c r="AH76" s="68">
        <f>AH75+2/4</f>
        <v>2.5</v>
      </c>
      <c r="AI76" s="1"/>
      <c r="AJ76" s="1"/>
      <c r="AK76" s="1"/>
      <c r="AL76" s="1"/>
      <c r="AM76" s="1"/>
      <c r="AN76" s="1"/>
      <c r="AO76" s="1">
        <f>IF(AO21=0,$P$6+$P$6,AO21)</f>
        <v>2</v>
      </c>
      <c r="BD76" s="2">
        <f t="shared" ca="1" si="297"/>
        <v>69</v>
      </c>
      <c r="BE76" s="2">
        <f ca="1">BE26</f>
        <v>72</v>
      </c>
      <c r="BF76" s="2">
        <f t="shared" ca="1" si="317"/>
        <v>49</v>
      </c>
      <c r="BG76" s="2">
        <f t="shared" ca="1" si="319"/>
        <v>65</v>
      </c>
      <c r="BH76" s="23">
        <f t="shared" ref="BH76:BH84" ca="1" si="320">BH75-1/11</f>
        <v>36.818181818181813</v>
      </c>
      <c r="BI76" s="2"/>
      <c r="BJ76" s="2"/>
      <c r="BK76" s="2"/>
      <c r="BL76" s="2"/>
      <c r="BM76" s="2"/>
      <c r="BN76" s="2"/>
      <c r="CG76" s="1">
        <f t="shared" ca="1" si="318"/>
        <v>69</v>
      </c>
      <c r="CH76" s="1">
        <f t="shared" ca="1" si="306"/>
        <v>61</v>
      </c>
      <c r="CI76" s="1" t="str">
        <f t="shared" ca="1" si="307"/>
        <v>Marcin</v>
      </c>
      <c r="CJ76" s="13">
        <f t="shared" ca="1" si="308"/>
        <v>32</v>
      </c>
      <c r="CK76">
        <f t="shared" ca="1" si="309"/>
        <v>2</v>
      </c>
      <c r="CL76" s="55">
        <f t="shared" ca="1" si="310"/>
        <v>4</v>
      </c>
      <c r="CW76" s="93">
        <f t="shared" si="316"/>
        <v>71</v>
      </c>
      <c r="CX76" s="51">
        <f t="shared" ca="1" si="296"/>
        <v>349929</v>
      </c>
      <c r="CY76" s="51">
        <f ca="1">BF28</f>
        <v>35</v>
      </c>
      <c r="CZ76" s="51" t="s">
        <v>8</v>
      </c>
      <c r="DA76" s="78">
        <v>23</v>
      </c>
      <c r="DB76" s="78">
        <v>4</v>
      </c>
      <c r="DC76" s="51">
        <f t="shared" ca="1" si="311"/>
        <v>609896</v>
      </c>
    </row>
    <row r="77" spans="1:107" x14ac:dyDescent="0.2">
      <c r="A77" s="57">
        <f t="shared" si="312"/>
        <v>10</v>
      </c>
      <c r="B77" s="1">
        <f t="shared" si="315"/>
        <v>4</v>
      </c>
      <c r="C77" s="1">
        <f t="shared" si="315"/>
        <v>4</v>
      </c>
      <c r="D77" s="1">
        <f t="shared" si="315"/>
        <v>1</v>
      </c>
      <c r="E77" s="1">
        <f t="shared" si="315"/>
        <v>1</v>
      </c>
      <c r="F77" s="1">
        <f t="shared" si="315"/>
        <v>0</v>
      </c>
      <c r="G77" s="1">
        <f t="shared" si="315"/>
        <v>0</v>
      </c>
      <c r="H77" s="1">
        <f t="shared" si="315"/>
        <v>1</v>
      </c>
      <c r="I77" s="1">
        <f t="shared" si="315"/>
        <v>0</v>
      </c>
      <c r="J77" s="1">
        <f t="shared" si="315"/>
        <v>0</v>
      </c>
      <c r="K77" s="1">
        <f t="shared" si="315"/>
        <v>0</v>
      </c>
      <c r="L77" s="1">
        <f t="shared" si="315"/>
        <v>0</v>
      </c>
      <c r="M77" t="s">
        <v>32</v>
      </c>
      <c r="P77" s="58">
        <f t="shared" si="314"/>
        <v>0.11764705882352941</v>
      </c>
      <c r="Q77" s="58">
        <f t="shared" si="314"/>
        <v>0.19047619047619047</v>
      </c>
      <c r="R77" s="58">
        <f t="shared" si="314"/>
        <v>3.7037037037037035E-2</v>
      </c>
      <c r="S77" s="58">
        <f t="shared" si="314"/>
        <v>0.05</v>
      </c>
      <c r="U77" t="s">
        <v>32</v>
      </c>
      <c r="AC77">
        <f t="shared" si="303"/>
        <v>17</v>
      </c>
      <c r="AD77">
        <f t="shared" si="303"/>
        <v>3</v>
      </c>
      <c r="AE77" s="1">
        <f t="shared" si="304"/>
        <v>2</v>
      </c>
      <c r="AF77" s="1">
        <f>IF(AF22=0,$P$6+$P$6,AF22)</f>
        <v>1</v>
      </c>
      <c r="AG77" s="68">
        <f>AG76-1/3</f>
        <v>2.333333333333333</v>
      </c>
      <c r="AH77" s="1">
        <f>IF(AH22=0,$P$6+$P$6,AH22)</f>
        <v>3</v>
      </c>
      <c r="AI77" s="1"/>
      <c r="AJ77" s="1"/>
      <c r="AK77" s="1"/>
      <c r="AL77" s="1"/>
      <c r="AM77" s="1"/>
      <c r="AN77" s="1"/>
      <c r="AO77" s="1"/>
      <c r="BD77" s="2">
        <f t="shared" ca="1" si="297"/>
        <v>70</v>
      </c>
      <c r="BE77" s="23">
        <f ca="1">BE76-22/2</f>
        <v>61</v>
      </c>
      <c r="BF77" s="2">
        <f t="shared" ca="1" si="317"/>
        <v>72</v>
      </c>
      <c r="BG77" s="2">
        <f t="shared" ca="1" si="319"/>
        <v>66</v>
      </c>
      <c r="BH77" s="23">
        <f t="shared" ca="1" si="320"/>
        <v>36.72727272727272</v>
      </c>
      <c r="BI77" s="2"/>
      <c r="BJ77" s="2"/>
      <c r="BK77" s="2"/>
      <c r="BL77" s="2"/>
      <c r="BM77" s="2"/>
      <c r="BN77" s="2"/>
      <c r="CG77" s="1">
        <f t="shared" ca="1" si="318"/>
        <v>72</v>
      </c>
      <c r="CH77" s="1">
        <f t="shared" ca="1" si="306"/>
        <v>60</v>
      </c>
      <c r="CI77" s="1" t="str">
        <f t="shared" ca="1" si="307"/>
        <v>Marcin</v>
      </c>
      <c r="CJ77" s="13">
        <f t="shared" ca="1" si="308"/>
        <v>1</v>
      </c>
      <c r="CK77">
        <f t="shared" ca="1" si="309"/>
        <v>2</v>
      </c>
      <c r="CL77" s="55">
        <f t="shared" ca="1" si="310"/>
        <v>3</v>
      </c>
      <c r="CW77" s="93">
        <f t="shared" si="316"/>
        <v>72</v>
      </c>
      <c r="CX77" s="51">
        <f t="shared" ca="1" si="296"/>
        <v>669928</v>
      </c>
      <c r="CY77" s="51">
        <f ca="1">BG28</f>
        <v>67</v>
      </c>
      <c r="CZ77" s="51" t="s">
        <v>9</v>
      </c>
      <c r="DA77" s="78">
        <v>23</v>
      </c>
      <c r="DB77" s="78">
        <v>2</v>
      </c>
      <c r="DC77" s="51">
        <f t="shared" ca="1" si="311"/>
        <v>599977</v>
      </c>
    </row>
    <row r="78" spans="1:107" x14ac:dyDescent="0.2">
      <c r="A78" s="57">
        <f t="shared" si="312"/>
        <v>4</v>
      </c>
      <c r="B78" s="1">
        <f t="shared" si="315"/>
        <v>0</v>
      </c>
      <c r="C78" s="1">
        <f t="shared" si="315"/>
        <v>0</v>
      </c>
      <c r="D78" s="1">
        <f t="shared" si="315"/>
        <v>3</v>
      </c>
      <c r="E78" s="1">
        <f t="shared" si="315"/>
        <v>1</v>
      </c>
      <c r="F78" s="1">
        <f t="shared" si="315"/>
        <v>0</v>
      </c>
      <c r="G78" s="1">
        <f t="shared" si="315"/>
        <v>0</v>
      </c>
      <c r="H78" s="1">
        <f t="shared" si="315"/>
        <v>0</v>
      </c>
      <c r="I78" s="1">
        <f t="shared" si="315"/>
        <v>0</v>
      </c>
      <c r="J78" s="1">
        <f t="shared" si="315"/>
        <v>0</v>
      </c>
      <c r="K78" s="1">
        <f t="shared" si="315"/>
        <v>0</v>
      </c>
      <c r="L78" s="1">
        <f t="shared" si="315"/>
        <v>0</v>
      </c>
      <c r="M78" t="s">
        <v>80</v>
      </c>
      <c r="P78" s="58">
        <f t="shared" si="314"/>
        <v>0</v>
      </c>
      <c r="Q78" s="58">
        <f t="shared" si="314"/>
        <v>0</v>
      </c>
      <c r="R78" s="58">
        <f t="shared" si="314"/>
        <v>0.1111111111111111</v>
      </c>
      <c r="S78" s="58">
        <f t="shared" si="314"/>
        <v>0.05</v>
      </c>
      <c r="U78" t="s">
        <v>80</v>
      </c>
      <c r="AC78">
        <f t="shared" si="303"/>
        <v>18</v>
      </c>
      <c r="AD78">
        <f t="shared" si="303"/>
        <v>4</v>
      </c>
      <c r="AE78" s="1">
        <f t="shared" si="304"/>
        <v>4</v>
      </c>
      <c r="AF78" s="1">
        <f>IF(AF23=0,$P$6+$P$6,AF23)</f>
        <v>1</v>
      </c>
      <c r="AG78" s="1">
        <f t="shared" ref="AG78:AG83" si="321">IF(AG23=0,$P$6+$P$6,AG23)</f>
        <v>2</v>
      </c>
      <c r="AH78" s="68">
        <v>3</v>
      </c>
      <c r="AI78" s="1">
        <f>IF(AI23=0,$P$6+$P$6,AI23)</f>
        <v>3</v>
      </c>
      <c r="AJ78" s="1"/>
      <c r="AK78" s="1"/>
      <c r="AL78" s="1"/>
      <c r="AM78" s="1"/>
      <c r="AN78" s="1"/>
      <c r="AO78" s="1"/>
      <c r="BD78" s="2">
        <f t="shared" ca="1" si="297"/>
        <v>86</v>
      </c>
      <c r="BE78" s="2">
        <f ca="1">BE28</f>
        <v>50</v>
      </c>
      <c r="BF78" s="2">
        <f t="shared" ca="1" si="317"/>
        <v>35</v>
      </c>
      <c r="BG78" s="2">
        <f t="shared" ca="1" si="319"/>
        <v>67</v>
      </c>
      <c r="BH78" s="23">
        <f t="shared" ca="1" si="320"/>
        <v>36.636363636363626</v>
      </c>
      <c r="BI78" s="2"/>
      <c r="BJ78" s="2"/>
      <c r="BK78" s="2"/>
      <c r="BL78" s="2"/>
      <c r="BM78" s="2"/>
      <c r="BN78" s="2"/>
      <c r="CG78" s="1">
        <f t="shared" ca="1" si="318"/>
        <v>72</v>
      </c>
      <c r="CH78" s="1">
        <f t="shared" ca="1" si="306"/>
        <v>60</v>
      </c>
      <c r="CI78" s="1" t="str">
        <f t="shared" ca="1" si="307"/>
        <v>Agnieszka</v>
      </c>
      <c r="CJ78" s="13">
        <f t="shared" ca="1" si="308"/>
        <v>17</v>
      </c>
      <c r="CK78">
        <f t="shared" ca="1" si="309"/>
        <v>3</v>
      </c>
      <c r="CL78" s="55">
        <f t="shared" ca="1" si="310"/>
        <v>3</v>
      </c>
      <c r="CW78" s="93">
        <f t="shared" si="316"/>
        <v>73</v>
      </c>
      <c r="CX78" s="51">
        <f t="shared" ca="1" si="296"/>
        <v>579927</v>
      </c>
      <c r="CY78" s="51">
        <f ca="1">BD29</f>
        <v>58</v>
      </c>
      <c r="CZ78" s="51" t="s">
        <v>6</v>
      </c>
      <c r="DA78" s="78">
        <v>24</v>
      </c>
      <c r="DB78" s="78">
        <v>4</v>
      </c>
      <c r="DC78" s="51">
        <f t="shared" ca="1" si="311"/>
        <v>599951</v>
      </c>
    </row>
    <row r="79" spans="1:107" x14ac:dyDescent="0.2">
      <c r="B79" s="59">
        <f t="shared" ref="B79:L79" si="322">8-COUNTIF(B71:B78,0)</f>
        <v>7</v>
      </c>
      <c r="C79" s="59">
        <f t="shared" si="322"/>
        <v>7</v>
      </c>
      <c r="D79" s="59">
        <f t="shared" si="322"/>
        <v>8</v>
      </c>
      <c r="E79" s="59">
        <f t="shared" si="322"/>
        <v>8</v>
      </c>
      <c r="F79" s="59">
        <f t="shared" si="322"/>
        <v>1</v>
      </c>
      <c r="G79" s="59">
        <f t="shared" ref="G79" si="323">8-COUNTIF(G71:G78,0)</f>
        <v>3</v>
      </c>
      <c r="H79" s="59"/>
      <c r="I79" s="59"/>
      <c r="J79" s="59"/>
      <c r="K79" s="59"/>
      <c r="L79" s="59">
        <f t="shared" si="322"/>
        <v>1</v>
      </c>
      <c r="M79" t="s">
        <v>87</v>
      </c>
      <c r="P79" s="67">
        <f>SUM(P71:P78)</f>
        <v>0.97058823529411775</v>
      </c>
      <c r="Q79" s="67">
        <f>SUM(Q71:Q78)</f>
        <v>0.95238095238095222</v>
      </c>
      <c r="R79" s="67">
        <f>SUM(R71:R78)</f>
        <v>0.96296296296296302</v>
      </c>
      <c r="S79" s="67">
        <f>SUM(S71:S78)</f>
        <v>0.95000000000000018</v>
      </c>
      <c r="T79" s="25" t="s">
        <v>85</v>
      </c>
      <c r="AC79">
        <f t="shared" si="303"/>
        <v>19</v>
      </c>
      <c r="AD79">
        <f t="shared" si="303"/>
        <v>4</v>
      </c>
      <c r="AE79" s="1">
        <f t="shared" si="304"/>
        <v>2</v>
      </c>
      <c r="AF79" s="68">
        <f>AF78+3/2</f>
        <v>2.5</v>
      </c>
      <c r="AG79" s="1">
        <f t="shared" si="321"/>
        <v>1</v>
      </c>
      <c r="AH79" s="1">
        <f t="shared" ref="AH79:AH84" si="324">IF(AH24=0,$P$6+$P$6,AH24)</f>
        <v>3</v>
      </c>
      <c r="AI79" s="1">
        <f>IF(AI24=0,$P$6+$P$6,AI24)</f>
        <v>4</v>
      </c>
      <c r="AJ79" s="1"/>
      <c r="AK79" s="1"/>
      <c r="AL79" s="1"/>
      <c r="AM79" s="1"/>
      <c r="AN79" s="1"/>
      <c r="AO79" s="1"/>
      <c r="BD79" s="2">
        <f t="shared" ca="1" si="297"/>
        <v>58</v>
      </c>
      <c r="BE79" s="2">
        <f ca="1">BE29</f>
        <v>62</v>
      </c>
      <c r="BF79" s="23">
        <f ca="1">BF78+8.25</f>
        <v>43.25</v>
      </c>
      <c r="BG79" s="2">
        <f t="shared" ca="1" si="319"/>
        <v>76</v>
      </c>
      <c r="BH79" s="23">
        <f t="shared" ca="1" si="320"/>
        <v>36.545454545454533</v>
      </c>
      <c r="BI79" s="2">
        <f ca="1">BI29</f>
        <v>64</v>
      </c>
      <c r="BJ79" s="2"/>
      <c r="BK79" s="2"/>
      <c r="BL79" s="2"/>
      <c r="BM79" s="2"/>
      <c r="BN79" s="2"/>
      <c r="CG79" s="1">
        <f t="shared" ca="1" si="318"/>
        <v>72</v>
      </c>
      <c r="CH79" s="1">
        <f t="shared" ca="1" si="306"/>
        <v>60</v>
      </c>
      <c r="CI79" s="1" t="str">
        <f t="shared" ca="1" si="307"/>
        <v>Dominika</v>
      </c>
      <c r="CJ79" s="13">
        <f t="shared" ca="1" si="308"/>
        <v>18</v>
      </c>
      <c r="CK79">
        <f t="shared" ca="1" si="309"/>
        <v>3</v>
      </c>
      <c r="CL79" s="55">
        <f t="shared" ca="1" si="310"/>
        <v>4</v>
      </c>
      <c r="CW79" s="93">
        <f t="shared" si="316"/>
        <v>74</v>
      </c>
      <c r="CX79" s="51">
        <f t="shared" ca="1" si="296"/>
        <v>619926</v>
      </c>
      <c r="CY79" s="51">
        <f ca="1">BE29</f>
        <v>62</v>
      </c>
      <c r="CZ79" s="51" t="s">
        <v>7</v>
      </c>
      <c r="DA79" s="78">
        <v>24</v>
      </c>
      <c r="DB79" s="78">
        <v>3</v>
      </c>
      <c r="DC79" s="51">
        <f t="shared" ca="1" si="311"/>
        <v>599947</v>
      </c>
    </row>
    <row r="80" spans="1:107" x14ac:dyDescent="0.2">
      <c r="B80" s="59">
        <f t="shared" ref="B80:L80" si="325">SUM(B71:B78)</f>
        <v>34</v>
      </c>
      <c r="C80" s="59">
        <f t="shared" si="325"/>
        <v>21</v>
      </c>
      <c r="D80" s="59">
        <f t="shared" si="325"/>
        <v>27</v>
      </c>
      <c r="E80" s="59">
        <f t="shared" si="325"/>
        <v>20</v>
      </c>
      <c r="F80" s="59">
        <f t="shared" si="325"/>
        <v>3</v>
      </c>
      <c r="G80" s="59">
        <f t="shared" ref="G80" si="326">SUM(G71:G78)</f>
        <v>4</v>
      </c>
      <c r="H80" s="59"/>
      <c r="I80" s="59"/>
      <c r="J80" s="59"/>
      <c r="K80" s="59"/>
      <c r="L80" s="59">
        <f t="shared" si="325"/>
        <v>1</v>
      </c>
      <c r="M80" s="60" t="s">
        <v>88</v>
      </c>
      <c r="AC80">
        <f t="shared" si="303"/>
        <v>20</v>
      </c>
      <c r="AD80">
        <f t="shared" si="303"/>
        <v>4</v>
      </c>
      <c r="AE80" s="1">
        <f t="shared" si="304"/>
        <v>2</v>
      </c>
      <c r="AF80" s="1">
        <f>IF(AF25=0,$P$6+$P$6,AF25)</f>
        <v>4</v>
      </c>
      <c r="AG80" s="1">
        <f t="shared" si="321"/>
        <v>1</v>
      </c>
      <c r="AH80" s="1">
        <f t="shared" si="324"/>
        <v>3</v>
      </c>
      <c r="AI80" s="68">
        <v>4</v>
      </c>
      <c r="AJ80" s="1"/>
      <c r="AK80" s="1"/>
      <c r="AL80" s="1"/>
      <c r="AM80" s="1"/>
      <c r="AN80" s="1"/>
      <c r="AO80" s="1"/>
      <c r="BD80" s="2">
        <f t="shared" ca="1" si="297"/>
        <v>70</v>
      </c>
      <c r="BE80" s="2">
        <f ca="1">BE30</f>
        <v>71</v>
      </c>
      <c r="BF80" s="23">
        <f t="shared" ref="BF80:BF81" ca="1" si="327">BF79+8.25</f>
        <v>51.5</v>
      </c>
      <c r="BG80" s="23">
        <f ca="1">BG79+4.5</f>
        <v>80.5</v>
      </c>
      <c r="BH80" s="23">
        <f t="shared" ca="1" si="320"/>
        <v>36.454545454545439</v>
      </c>
      <c r="BI80" s="2">
        <f ca="1">BI30</f>
        <v>58</v>
      </c>
      <c r="BJ80" s="2"/>
      <c r="BK80" s="2"/>
      <c r="BL80" s="2"/>
      <c r="BM80" s="2"/>
      <c r="BN80" s="2"/>
      <c r="CG80" s="1">
        <f t="shared" ca="1" si="318"/>
        <v>72</v>
      </c>
      <c r="CH80" s="1">
        <f t="shared" ca="1" si="306"/>
        <v>60</v>
      </c>
      <c r="CI80" s="1" t="str">
        <f t="shared" ca="1" si="307"/>
        <v>Marcin</v>
      </c>
      <c r="CJ80" s="13">
        <f t="shared" ca="1" si="308"/>
        <v>20</v>
      </c>
      <c r="CK80">
        <f t="shared" ca="1" si="309"/>
        <v>4</v>
      </c>
      <c r="CL80" s="55">
        <f t="shared" ca="1" si="310"/>
        <v>4</v>
      </c>
      <c r="CW80" s="93">
        <f t="shared" si="316"/>
        <v>75</v>
      </c>
      <c r="CX80" s="51">
        <f t="shared" ca="1" si="296"/>
        <v>759925</v>
      </c>
      <c r="CY80" s="51">
        <f ca="1">BG29</f>
        <v>76</v>
      </c>
      <c r="CZ80" s="51" t="s">
        <v>9</v>
      </c>
      <c r="DA80" s="78">
        <v>24</v>
      </c>
      <c r="DB80" s="78">
        <v>1</v>
      </c>
      <c r="DC80" s="51">
        <f t="shared" ca="1" si="311"/>
        <v>599941</v>
      </c>
    </row>
    <row r="81" spans="1:107" x14ac:dyDescent="0.2">
      <c r="AC81">
        <f t="shared" ref="AC81:AD94" si="328">AC26</f>
        <v>21</v>
      </c>
      <c r="AD81">
        <f t="shared" si="328"/>
        <v>4</v>
      </c>
      <c r="AE81" s="1">
        <f t="shared" si="304"/>
        <v>2</v>
      </c>
      <c r="AF81" s="1">
        <f>IF(AF26=0,$P$6+$P$6,AF26)</f>
        <v>1</v>
      </c>
      <c r="AG81" s="1">
        <f t="shared" si="321"/>
        <v>4</v>
      </c>
      <c r="AH81" s="1">
        <f t="shared" si="324"/>
        <v>3</v>
      </c>
      <c r="AI81" s="68">
        <v>4</v>
      </c>
      <c r="AJ81" s="1"/>
      <c r="AK81" s="1"/>
      <c r="AL81" s="1"/>
      <c r="AM81" s="1"/>
      <c r="AN81" s="1"/>
      <c r="AO81" s="1"/>
      <c r="BD81" s="2">
        <f t="shared" ca="1" si="297"/>
        <v>85</v>
      </c>
      <c r="BE81" s="2">
        <f ca="1">BE31</f>
        <v>89</v>
      </c>
      <c r="BF81" s="23">
        <f t="shared" ca="1" si="327"/>
        <v>59.75</v>
      </c>
      <c r="BG81" s="2">
        <f ca="1">BG31</f>
        <v>85</v>
      </c>
      <c r="BH81" s="23">
        <f t="shared" ca="1" si="320"/>
        <v>36.363636363636346</v>
      </c>
      <c r="BI81" s="2">
        <f ca="1">BI31</f>
        <v>49</v>
      </c>
      <c r="BJ81" s="2"/>
      <c r="BK81" s="2"/>
      <c r="BL81" s="2"/>
      <c r="BM81" s="2"/>
      <c r="BN81" s="2"/>
      <c r="CG81" s="1">
        <f t="shared" ca="1" si="318"/>
        <v>76</v>
      </c>
      <c r="CH81" s="1">
        <f t="shared" ca="1" si="306"/>
        <v>59</v>
      </c>
      <c r="CI81" s="1" t="str">
        <f t="shared" ca="1" si="307"/>
        <v>Damian</v>
      </c>
      <c r="CJ81" s="13">
        <f t="shared" ca="1" si="308"/>
        <v>16</v>
      </c>
      <c r="CK81">
        <f t="shared" ca="1" si="309"/>
        <v>2</v>
      </c>
      <c r="CL81" s="55">
        <f t="shared" ca="1" si="310"/>
        <v>2</v>
      </c>
      <c r="CW81" s="93">
        <f t="shared" si="316"/>
        <v>76</v>
      </c>
      <c r="CX81" s="51">
        <f t="shared" ca="1" si="296"/>
        <v>639924</v>
      </c>
      <c r="CY81" s="51">
        <f ca="1">BI29</f>
        <v>64</v>
      </c>
      <c r="CZ81" s="51" t="s">
        <v>125</v>
      </c>
      <c r="DA81" s="78">
        <v>24</v>
      </c>
      <c r="DB81" s="78">
        <v>2</v>
      </c>
      <c r="DC81" s="51">
        <f t="shared" ca="1" si="311"/>
        <v>589954</v>
      </c>
    </row>
    <row r="82" spans="1:107" x14ac:dyDescent="0.2">
      <c r="B82" t="s">
        <v>6</v>
      </c>
      <c r="C82" t="s">
        <v>7</v>
      </c>
      <c r="D82" t="s">
        <v>8</v>
      </c>
      <c r="E82" t="s">
        <v>9</v>
      </c>
      <c r="F82" t="s">
        <v>94</v>
      </c>
      <c r="G82" t="s">
        <v>125</v>
      </c>
      <c r="H82" t="s">
        <v>148</v>
      </c>
      <c r="I82" t="s">
        <v>149</v>
      </c>
      <c r="J82" t="s">
        <v>152</v>
      </c>
      <c r="K82" t="s">
        <v>153</v>
      </c>
      <c r="L82" t="s">
        <v>157</v>
      </c>
      <c r="AC82">
        <f t="shared" si="328"/>
        <v>22</v>
      </c>
      <c r="AD82">
        <f t="shared" si="328"/>
        <v>3</v>
      </c>
      <c r="AE82" s="1">
        <f t="shared" si="304"/>
        <v>2</v>
      </c>
      <c r="AF82" s="68">
        <v>2</v>
      </c>
      <c r="AG82" s="1">
        <f t="shared" si="321"/>
        <v>1</v>
      </c>
      <c r="AH82" s="1">
        <f t="shared" si="324"/>
        <v>3</v>
      </c>
      <c r="AI82" s="68">
        <v>4</v>
      </c>
      <c r="AJ82" s="1"/>
      <c r="AK82" s="1"/>
      <c r="AL82" s="1"/>
      <c r="AM82" s="1"/>
      <c r="AN82" s="1"/>
      <c r="AO82" s="1"/>
      <c r="BD82" s="2">
        <f t="shared" ca="1" si="297"/>
        <v>73</v>
      </c>
      <c r="BE82" s="23">
        <v>85.5</v>
      </c>
      <c r="BF82" s="2">
        <f ca="1">BF32</f>
        <v>67</v>
      </c>
      <c r="BG82" s="2">
        <f ca="1">BG32</f>
        <v>39</v>
      </c>
      <c r="BH82" s="23">
        <f t="shared" ca="1" si="320"/>
        <v>36.272727272727252</v>
      </c>
      <c r="BI82" s="2">
        <f ca="1">BI32</f>
        <v>59</v>
      </c>
      <c r="BJ82" s="2"/>
      <c r="BK82" s="2"/>
      <c r="BL82" s="2"/>
      <c r="BM82" s="2"/>
      <c r="BN82" s="2"/>
      <c r="CG82" s="1">
        <f t="shared" ca="1" si="318"/>
        <v>76</v>
      </c>
      <c r="CH82" s="1">
        <f t="shared" ca="1" si="306"/>
        <v>59</v>
      </c>
      <c r="CI82" s="1" t="str">
        <f t="shared" ca="1" si="307"/>
        <v>Magda</v>
      </c>
      <c r="CJ82" s="13">
        <f t="shared" ca="1" si="308"/>
        <v>27</v>
      </c>
      <c r="CK82">
        <f t="shared" ca="1" si="309"/>
        <v>3</v>
      </c>
      <c r="CL82" s="55">
        <f t="shared" ca="1" si="310"/>
        <v>4</v>
      </c>
      <c r="CW82" s="93">
        <f t="shared" si="316"/>
        <v>77</v>
      </c>
      <c r="CX82" s="51">
        <f t="shared" ref="CX82:CX88" ca="1" si="329">VALUE(CY82&amp;"0000")-CW82</f>
        <v>699923</v>
      </c>
      <c r="CY82" s="52">
        <f ca="1">BD30</f>
        <v>70</v>
      </c>
      <c r="CZ82" s="51" t="s">
        <v>6</v>
      </c>
      <c r="DA82" s="78">
        <v>25</v>
      </c>
      <c r="DB82" s="78">
        <v>2</v>
      </c>
      <c r="DC82" s="51">
        <f t="shared" ca="1" si="311"/>
        <v>589914</v>
      </c>
    </row>
    <row r="83" spans="1:107" x14ac:dyDescent="0.2">
      <c r="A83">
        <v>1</v>
      </c>
      <c r="B83" s="65" t="str">
        <f t="shared" ref="B83:B115" si="330">IF(AE6=1,$B6,IF(AE6=2,$C6,IF(AE6=3,$D6,IF(AE6=4,$E6,""))))</f>
        <v>biała kość</v>
      </c>
      <c r="C83" s="1" t="str">
        <f t="shared" ref="C83:C115" si="331">IF(AF6=1,$B6,IF(AF6=2,$C6,IF(AF6=3,$D6,IF(AF6=4,$E6,""))))</f>
        <v>dobiera</v>
      </c>
      <c r="D83" s="1" t="str">
        <f t="shared" ref="D83:D115" si="332">IF(AG6=1,$B6,IF(AG6=2,$C6,IF(AG6=3,$D6,IF(AG6=4,$E6,""))))</f>
        <v>nie płaci</v>
      </c>
      <c r="E83" s="1" t="str">
        <f t="shared" ref="E83:E115" si="333">IF(AH6=1,$B6,IF(AH6=2,$C6,IF(AH6=3,$D6,IF(AH6=4,$E6,""))))</f>
        <v/>
      </c>
      <c r="F83" s="1" t="str">
        <f t="shared" ref="F83:F115" si="334">IF(AI6=1,$B6,IF(AI6=2,$C6,IF(AI6=3,$D6,IF(AI6=4,$E6,""))))</f>
        <v/>
      </c>
      <c r="G83" s="1"/>
      <c r="H83" s="1"/>
      <c r="I83" s="1"/>
      <c r="J83" s="1"/>
      <c r="K83" s="1"/>
      <c r="L83" s="1" t="str">
        <f t="shared" ref="L83:L115" si="335">IF(AO6=1,$B6,IF(AO6=2,$C6,IF(AO6=3,$D6,IF(AO6=4,$E6,""))))</f>
        <v/>
      </c>
      <c r="AC83">
        <f t="shared" si="328"/>
        <v>23</v>
      </c>
      <c r="AD83">
        <f t="shared" si="328"/>
        <v>4</v>
      </c>
      <c r="AE83" s="1">
        <f t="shared" si="304"/>
        <v>1</v>
      </c>
      <c r="AF83" s="1">
        <f>IF(AF28=0,$P$6+$P$6,AF28)</f>
        <v>3</v>
      </c>
      <c r="AG83" s="1">
        <f t="shared" si="321"/>
        <v>4</v>
      </c>
      <c r="AH83" s="1">
        <f t="shared" si="324"/>
        <v>2</v>
      </c>
      <c r="AI83" s="68">
        <v>4</v>
      </c>
      <c r="AJ83" s="1"/>
      <c r="AK83" s="1"/>
      <c r="AL83" s="1"/>
      <c r="AM83" s="1"/>
      <c r="AN83" s="1"/>
      <c r="AO83" s="1"/>
      <c r="BD83" s="2">
        <f t="shared" ca="1" si="297"/>
        <v>73</v>
      </c>
      <c r="BE83" s="2">
        <f ca="1">BE33</f>
        <v>82</v>
      </c>
      <c r="BF83" s="2">
        <f ca="1">BF33</f>
        <v>45</v>
      </c>
      <c r="BG83" s="2">
        <f ca="1">BG33</f>
        <v>53</v>
      </c>
      <c r="BH83" s="23">
        <f t="shared" ca="1" si="320"/>
        <v>36.181818181818159</v>
      </c>
      <c r="BI83" s="2"/>
      <c r="BJ83" s="2"/>
      <c r="BK83" s="2"/>
      <c r="BL83" s="2"/>
      <c r="BM83" s="2"/>
      <c r="BN83" s="2"/>
      <c r="CG83" s="1">
        <f t="shared" ca="1" si="318"/>
        <v>76</v>
      </c>
      <c r="CH83" s="1">
        <f t="shared" ca="1" si="306"/>
        <v>59</v>
      </c>
      <c r="CI83" s="1" t="str">
        <f t="shared" ca="1" si="307"/>
        <v>Agnieszka</v>
      </c>
      <c r="CJ83" s="13">
        <f t="shared" ca="1" si="308"/>
        <v>32</v>
      </c>
      <c r="CK83">
        <f t="shared" ca="1" si="309"/>
        <v>3</v>
      </c>
      <c r="CL83" s="55">
        <f t="shared" ca="1" si="310"/>
        <v>4</v>
      </c>
      <c r="CW83" s="93">
        <f t="shared" si="316"/>
        <v>78</v>
      </c>
      <c r="CX83" s="51">
        <f t="shared" ca="1" si="329"/>
        <v>709922</v>
      </c>
      <c r="CY83" s="52">
        <f ca="1">BE30</f>
        <v>71</v>
      </c>
      <c r="CZ83" s="51" t="s">
        <v>7</v>
      </c>
      <c r="DA83" s="78">
        <v>25</v>
      </c>
      <c r="DB83" s="78">
        <v>1</v>
      </c>
      <c r="DC83" s="51">
        <f t="shared" ca="1" si="311"/>
        <v>589895</v>
      </c>
    </row>
    <row r="84" spans="1:107" x14ac:dyDescent="0.2">
      <c r="A84">
        <v>2</v>
      </c>
      <c r="B84" s="1" t="str">
        <f t="shared" si="330"/>
        <v>bazar</v>
      </c>
      <c r="C84" s="1" t="str">
        <f t="shared" si="331"/>
        <v/>
      </c>
      <c r="D84" s="65" t="str">
        <f t="shared" si="332"/>
        <v>biała kość</v>
      </c>
      <c r="E84" s="1" t="str">
        <f t="shared" si="333"/>
        <v/>
      </c>
      <c r="F84" s="1" t="str">
        <f t="shared" si="334"/>
        <v/>
      </c>
      <c r="G84" s="1"/>
      <c r="H84" s="1"/>
      <c r="I84" s="1"/>
      <c r="J84" s="1"/>
      <c r="K84" s="1"/>
      <c r="L84" s="1" t="str">
        <f t="shared" si="335"/>
        <v/>
      </c>
      <c r="AC84">
        <f t="shared" si="328"/>
        <v>24</v>
      </c>
      <c r="AD84">
        <f t="shared" si="328"/>
        <v>4</v>
      </c>
      <c r="AE84" s="1">
        <f t="shared" si="304"/>
        <v>4</v>
      </c>
      <c r="AF84" s="1">
        <f>IF(AF29=0,$P$6+$P$6,AF29)</f>
        <v>3</v>
      </c>
      <c r="AG84" s="68">
        <v>3.5</v>
      </c>
      <c r="AH84" s="1">
        <f t="shared" si="324"/>
        <v>1</v>
      </c>
      <c r="AI84" s="68">
        <v>4</v>
      </c>
      <c r="AJ84" s="1">
        <f>IF(AJ29=0,$P$6+$P$6,AJ29)</f>
        <v>2</v>
      </c>
      <c r="AK84" s="1"/>
      <c r="AL84" s="1"/>
      <c r="AM84" s="1"/>
      <c r="AN84" s="1"/>
      <c r="AO84" s="1"/>
      <c r="BD84" s="2">
        <f t="shared" ca="1" si="297"/>
        <v>80</v>
      </c>
      <c r="BE84" s="2">
        <f ca="1">BE34</f>
        <v>64</v>
      </c>
      <c r="BF84" s="2">
        <f ca="1">BF34</f>
        <v>68</v>
      </c>
      <c r="BG84" s="2">
        <f ca="1">BG34</f>
        <v>66</v>
      </c>
      <c r="BH84" s="23">
        <f t="shared" ca="1" si="320"/>
        <v>36.090909090909065</v>
      </c>
      <c r="BI84" s="2"/>
      <c r="BJ84" s="2"/>
      <c r="BK84" s="2"/>
      <c r="BL84" s="2"/>
      <c r="BM84" s="2"/>
      <c r="BN84" s="2"/>
      <c r="CG84" s="1">
        <f t="shared" ca="1" si="318"/>
        <v>79</v>
      </c>
      <c r="CH84" s="1">
        <f t="shared" ca="1" si="306"/>
        <v>58</v>
      </c>
      <c r="CI84" s="1" t="str">
        <f t="shared" ca="1" si="307"/>
        <v>Justyna</v>
      </c>
      <c r="CJ84" s="13">
        <f t="shared" ca="1" si="308"/>
        <v>2</v>
      </c>
      <c r="CK84">
        <f t="shared" ca="1" si="309"/>
        <v>1</v>
      </c>
      <c r="CL84" s="55">
        <f t="shared" ca="1" si="310"/>
        <v>2</v>
      </c>
      <c r="CW84" s="93">
        <f t="shared" si="316"/>
        <v>79</v>
      </c>
      <c r="CX84" s="51">
        <f t="shared" ca="1" si="329"/>
        <v>579921</v>
      </c>
      <c r="CY84" s="52">
        <f ca="1">BI30</f>
        <v>58</v>
      </c>
      <c r="CZ84" s="51" t="s">
        <v>125</v>
      </c>
      <c r="DA84" s="78">
        <v>25</v>
      </c>
      <c r="DB84" s="78">
        <v>3</v>
      </c>
      <c r="DC84" s="51">
        <f t="shared" ca="1" si="311"/>
        <v>579985</v>
      </c>
    </row>
    <row r="85" spans="1:107" x14ac:dyDescent="0.2">
      <c r="A85">
        <v>3</v>
      </c>
      <c r="B85" s="65" t="str">
        <f t="shared" si="330"/>
        <v>oazy</v>
      </c>
      <c r="C85" s="1" t="str">
        <f t="shared" si="331"/>
        <v/>
      </c>
      <c r="D85" s="1" t="str">
        <f t="shared" si="332"/>
        <v>domki</v>
      </c>
      <c r="E85" s="1" t="str">
        <f t="shared" si="333"/>
        <v/>
      </c>
      <c r="F85" s="1" t="str">
        <f t="shared" si="334"/>
        <v/>
      </c>
      <c r="G85" s="1"/>
      <c r="H85" s="1"/>
      <c r="I85" s="1"/>
      <c r="J85" s="1"/>
      <c r="K85" s="1"/>
      <c r="L85" s="1" t="str">
        <f t="shared" si="335"/>
        <v/>
      </c>
      <c r="AC85">
        <f t="shared" si="328"/>
        <v>25</v>
      </c>
      <c r="AD85">
        <f t="shared" si="328"/>
        <v>3</v>
      </c>
      <c r="AE85" s="1">
        <f t="shared" si="304"/>
        <v>2</v>
      </c>
      <c r="AF85" s="1">
        <f>IF(AF30=0,$P$6+$P$6,AF30)</f>
        <v>1</v>
      </c>
      <c r="AG85" s="68">
        <v>3</v>
      </c>
      <c r="AH85" s="68">
        <v>2</v>
      </c>
      <c r="AI85" s="68">
        <v>4</v>
      </c>
      <c r="AJ85" s="1">
        <f>IF(AJ30=0,$P$6+$P$6,AJ30)</f>
        <v>3</v>
      </c>
      <c r="AK85" s="1"/>
      <c r="AL85" s="1"/>
      <c r="AM85" s="1"/>
      <c r="AN85" s="1"/>
      <c r="AO85" s="1"/>
      <c r="BD85" s="2">
        <f t="shared" ca="1" si="297"/>
        <v>67</v>
      </c>
      <c r="BE85" s="2">
        <f ca="1">BE35</f>
        <v>57</v>
      </c>
      <c r="BF85" s="23">
        <f ca="1">BF84-($BF$84-$BF$87)/3</f>
        <v>63.666666666666664</v>
      </c>
      <c r="BG85" s="2">
        <f ca="1">BG35</f>
        <v>87</v>
      </c>
      <c r="BH85" s="2">
        <f ca="1">BH35</f>
        <v>36</v>
      </c>
      <c r="BI85" s="2"/>
      <c r="BJ85" s="2"/>
      <c r="BK85" s="2"/>
      <c r="BL85" s="2"/>
      <c r="BM85" s="2"/>
      <c r="BN85" s="2"/>
      <c r="CG85" s="1">
        <f t="shared" ca="1" si="318"/>
        <v>79</v>
      </c>
      <c r="CH85" s="1">
        <f t="shared" ca="1" si="306"/>
        <v>58</v>
      </c>
      <c r="CI85" s="1" t="str">
        <f t="shared" ca="1" si="307"/>
        <v>Mateusz</v>
      </c>
      <c r="CJ85" s="13">
        <f t="shared" ca="1" si="308"/>
        <v>24</v>
      </c>
      <c r="CK85">
        <f t="shared" ca="1" si="309"/>
        <v>4</v>
      </c>
      <c r="CL85" s="55">
        <f t="shared" ca="1" si="310"/>
        <v>4</v>
      </c>
      <c r="CW85" s="93">
        <f t="shared" si="316"/>
        <v>80</v>
      </c>
      <c r="CX85" s="51">
        <f t="shared" ca="1" si="329"/>
        <v>849920</v>
      </c>
      <c r="CY85" s="52">
        <f ca="1">BD31</f>
        <v>85</v>
      </c>
      <c r="CZ85" s="51" t="s">
        <v>6</v>
      </c>
      <c r="DA85" s="78">
        <v>26</v>
      </c>
      <c r="DB85" s="78">
        <v>2</v>
      </c>
      <c r="DC85" s="51">
        <f t="shared" ca="1" si="311"/>
        <v>579927</v>
      </c>
    </row>
    <row r="86" spans="1:107" x14ac:dyDescent="0.2">
      <c r="A86">
        <v>4</v>
      </c>
      <c r="B86" s="1" t="str">
        <f t="shared" si="330"/>
        <v>oazy</v>
      </c>
      <c r="C86" s="1" t="str">
        <f t="shared" si="331"/>
        <v>nie płaci</v>
      </c>
      <c r="D86" s="65" t="str">
        <f t="shared" si="332"/>
        <v>dobiera</v>
      </c>
      <c r="E86" s="1" t="str">
        <f t="shared" si="333"/>
        <v>dwa piony</v>
      </c>
      <c r="F86" s="1" t="str">
        <f t="shared" si="334"/>
        <v/>
      </c>
      <c r="G86" s="1"/>
      <c r="H86" s="1"/>
      <c r="I86" s="1"/>
      <c r="J86" s="1"/>
      <c r="K86" s="1"/>
      <c r="L86" s="1" t="str">
        <f t="shared" si="335"/>
        <v/>
      </c>
      <c r="AC86">
        <f t="shared" si="328"/>
        <v>26</v>
      </c>
      <c r="AD86">
        <f t="shared" si="328"/>
        <v>4</v>
      </c>
      <c r="AE86" s="1">
        <f t="shared" si="304"/>
        <v>2</v>
      </c>
      <c r="AF86" s="1">
        <f>IF(AF31=0,$P$6+$P$6,AF31)</f>
        <v>1</v>
      </c>
      <c r="AG86" s="68">
        <v>2.5</v>
      </c>
      <c r="AH86" s="1">
        <f>IF(AH31=0,$P$6+$P$6,AH31)</f>
        <v>3</v>
      </c>
      <c r="AI86" s="68">
        <v>4</v>
      </c>
      <c r="AJ86" s="1">
        <f>IF(AJ31=0,$P$6+$P$6,AJ31)</f>
        <v>4</v>
      </c>
      <c r="AK86" s="1"/>
      <c r="AL86" s="1"/>
      <c r="AM86" s="1"/>
      <c r="AN86" s="1"/>
      <c r="AO86" s="1"/>
      <c r="BD86" s="2">
        <f t="shared" ca="1" si="297"/>
        <v>82</v>
      </c>
      <c r="BE86" s="23">
        <f ca="1">(BE87-BE85)/2+BE85</f>
        <v>59</v>
      </c>
      <c r="BF86" s="23">
        <f ca="1">BF85-($BF$84-$BF$87)/3</f>
        <v>59.333333333333329</v>
      </c>
      <c r="BG86" s="23">
        <f ca="1">BG85-(BG85-BG87)/2</f>
        <v>73</v>
      </c>
      <c r="BH86" s="2"/>
      <c r="BI86" s="2"/>
      <c r="BJ86" s="2">
        <f ca="1">BJ36</f>
        <v>66</v>
      </c>
      <c r="BK86" s="2">
        <f ca="1">BK36</f>
        <v>54</v>
      </c>
      <c r="BL86" s="2"/>
      <c r="BM86" s="2"/>
      <c r="BN86" s="2"/>
      <c r="CG86" s="1">
        <f t="shared" ca="1" si="318"/>
        <v>79</v>
      </c>
      <c r="CH86" s="1">
        <f t="shared" ca="1" si="306"/>
        <v>58</v>
      </c>
      <c r="CI86" s="1" t="str">
        <f t="shared" ca="1" si="307"/>
        <v>Magda</v>
      </c>
      <c r="CJ86" s="13">
        <f t="shared" ca="1" si="308"/>
        <v>25</v>
      </c>
      <c r="CK86">
        <f t="shared" ca="1" si="309"/>
        <v>3</v>
      </c>
      <c r="CL86" s="55">
        <f t="shared" ca="1" si="310"/>
        <v>3</v>
      </c>
      <c r="CW86" s="93">
        <f t="shared" si="316"/>
        <v>81</v>
      </c>
      <c r="CX86" s="51">
        <f t="shared" ca="1" si="329"/>
        <v>889919</v>
      </c>
      <c r="CY86" s="52">
        <f ca="1">BE31</f>
        <v>89</v>
      </c>
      <c r="CZ86" s="51" t="s">
        <v>7</v>
      </c>
      <c r="DA86" s="78">
        <v>26</v>
      </c>
      <c r="DB86" s="78">
        <v>1</v>
      </c>
      <c r="DC86" s="51">
        <f t="shared" ca="1" si="311"/>
        <v>579921</v>
      </c>
    </row>
    <row r="87" spans="1:107" x14ac:dyDescent="0.2">
      <c r="A87">
        <v>5</v>
      </c>
      <c r="B87" s="1" t="str">
        <f t="shared" si="330"/>
        <v>domki</v>
      </c>
      <c r="C87" s="1" t="str">
        <f t="shared" si="331"/>
        <v/>
      </c>
      <c r="D87" s="65" t="str">
        <f t="shared" si="332"/>
        <v>bazar</v>
      </c>
      <c r="E87" s="1" t="str">
        <f t="shared" si="333"/>
        <v/>
      </c>
      <c r="F87" s="1" t="str">
        <f t="shared" si="334"/>
        <v/>
      </c>
      <c r="G87" s="1"/>
      <c r="H87" s="1"/>
      <c r="I87" s="1"/>
      <c r="J87" s="1"/>
      <c r="K87" s="1"/>
      <c r="L87" s="1" t="str">
        <f t="shared" si="335"/>
        <v/>
      </c>
      <c r="AC87">
        <f t="shared" si="328"/>
        <v>27</v>
      </c>
      <c r="AD87">
        <f t="shared" si="328"/>
        <v>4</v>
      </c>
      <c r="AE87" s="1">
        <f t="shared" si="304"/>
        <v>1</v>
      </c>
      <c r="AF87" s="68">
        <v>1</v>
      </c>
      <c r="AG87" s="1">
        <f>IF(AG32=0,$P$6+$P$6,AG32)</f>
        <v>2</v>
      </c>
      <c r="AH87" s="1">
        <f>IF(AH32=0,$P$6+$P$6,AH32)</f>
        <v>4</v>
      </c>
      <c r="AI87" s="68">
        <v>4</v>
      </c>
      <c r="AJ87" s="1">
        <f>IF(AJ32=0,$P$6+$P$6,AJ32)</f>
        <v>3</v>
      </c>
      <c r="AK87" s="1"/>
      <c r="AL87" s="1"/>
      <c r="AM87" s="1"/>
      <c r="AN87" s="1"/>
      <c r="AO87" s="1"/>
      <c r="BD87" s="2">
        <f t="shared" ca="1" si="297"/>
        <v>82</v>
      </c>
      <c r="BE87" s="2">
        <f ca="1">BE37</f>
        <v>61</v>
      </c>
      <c r="BF87" s="2">
        <f ca="1">BF37</f>
        <v>55</v>
      </c>
      <c r="BG87" s="2">
        <f ca="1">BG37</f>
        <v>59</v>
      </c>
      <c r="BH87" s="2"/>
      <c r="BI87" s="2"/>
      <c r="BJ87" s="2"/>
      <c r="BK87" s="2"/>
      <c r="BL87" s="2"/>
      <c r="BM87" s="2"/>
      <c r="BN87" s="2"/>
      <c r="CG87" s="1">
        <f t="shared" ca="1" si="318"/>
        <v>82</v>
      </c>
      <c r="CH87" s="1">
        <f t="shared" ca="1" si="306"/>
        <v>57</v>
      </c>
      <c r="CI87" s="1" t="str">
        <f t="shared" ca="1" si="307"/>
        <v>Mateusz</v>
      </c>
      <c r="CJ87" s="13">
        <f t="shared" ca="1" si="308"/>
        <v>4</v>
      </c>
      <c r="CK87">
        <f t="shared" ca="1" si="309"/>
        <v>2</v>
      </c>
      <c r="CL87" s="55">
        <f t="shared" ca="1" si="310"/>
        <v>4</v>
      </c>
      <c r="CW87" s="93">
        <f t="shared" si="316"/>
        <v>82</v>
      </c>
      <c r="CX87" s="51">
        <f t="shared" ca="1" si="329"/>
        <v>849918</v>
      </c>
      <c r="CY87" s="52">
        <f ca="1">BG31</f>
        <v>85</v>
      </c>
      <c r="CZ87" s="51" t="s">
        <v>9</v>
      </c>
      <c r="DA87" s="78">
        <v>26</v>
      </c>
      <c r="DB87" s="78">
        <v>3</v>
      </c>
      <c r="DC87" s="51">
        <f t="shared" ca="1" si="311"/>
        <v>569996</v>
      </c>
    </row>
    <row r="88" spans="1:107" x14ac:dyDescent="0.2">
      <c r="A88">
        <v>6</v>
      </c>
      <c r="B88" s="65" t="str">
        <f t="shared" si="330"/>
        <v>dobiera</v>
      </c>
      <c r="C88" s="1" t="str">
        <f t="shared" si="331"/>
        <v>domki</v>
      </c>
      <c r="D88" s="1" t="str">
        <f t="shared" si="332"/>
        <v>oazy</v>
      </c>
      <c r="E88" s="1" t="str">
        <f t="shared" si="333"/>
        <v/>
      </c>
      <c r="F88" s="1" t="str">
        <f t="shared" si="334"/>
        <v/>
      </c>
      <c r="G88" s="1"/>
      <c r="H88" s="1"/>
      <c r="I88" s="1"/>
      <c r="J88" s="1"/>
      <c r="K88" s="1"/>
      <c r="L88" s="1" t="str">
        <f t="shared" si="335"/>
        <v/>
      </c>
      <c r="AC88">
        <f t="shared" si="328"/>
        <v>28</v>
      </c>
      <c r="AD88">
        <f t="shared" si="328"/>
        <v>4</v>
      </c>
      <c r="AE88" s="1">
        <f t="shared" si="304"/>
        <v>2</v>
      </c>
      <c r="AF88" s="1">
        <f>IF(AF33=0,$P$6+$P$6,AF33)</f>
        <v>1</v>
      </c>
      <c r="AG88" s="1">
        <f>IF(AG33=0,$P$6+$P$6,AG33)</f>
        <v>4</v>
      </c>
      <c r="AH88" s="1">
        <f>IF(AH33=0,$P$6+$P$6,AH33)</f>
        <v>3</v>
      </c>
      <c r="AI88" s="68">
        <v>4</v>
      </c>
      <c r="AJ88" s="1"/>
      <c r="AK88" s="1"/>
      <c r="AL88" s="1"/>
      <c r="AM88" s="1"/>
      <c r="AN88" s="1"/>
      <c r="AO88" s="1"/>
      <c r="BD88" s="2">
        <f t="shared" ca="1" si="297"/>
        <v>79</v>
      </c>
      <c r="BE88" s="23">
        <v>65</v>
      </c>
      <c r="BF88" s="2">
        <f ca="1">BF38</f>
        <v>55</v>
      </c>
      <c r="BG88" s="23">
        <v>64</v>
      </c>
      <c r="BH88" s="2"/>
      <c r="BI88" s="2"/>
      <c r="BJ88" s="2"/>
      <c r="BK88" s="2"/>
      <c r="BL88" s="2">
        <f ca="1">BL38</f>
        <v>69</v>
      </c>
      <c r="BM88" s="2">
        <f ca="1">BM38</f>
        <v>49</v>
      </c>
      <c r="BN88" s="2"/>
      <c r="CG88" s="1">
        <f t="shared" ca="1" si="318"/>
        <v>82</v>
      </c>
      <c r="CH88" s="1">
        <f t="shared" ca="1" si="306"/>
        <v>57</v>
      </c>
      <c r="CI88" s="1" t="str">
        <f t="shared" ca="1" si="307"/>
        <v>Marcin</v>
      </c>
      <c r="CJ88" s="13">
        <f t="shared" ca="1" si="308"/>
        <v>30</v>
      </c>
      <c r="CK88">
        <f t="shared" ca="1" si="309"/>
        <v>3</v>
      </c>
      <c r="CL88" s="55">
        <f t="shared" ca="1" si="310"/>
        <v>4</v>
      </c>
      <c r="CW88" s="93">
        <f t="shared" si="316"/>
        <v>83</v>
      </c>
      <c r="CX88" s="51">
        <f t="shared" ca="1" si="329"/>
        <v>489917</v>
      </c>
      <c r="CY88" s="52">
        <f ca="1">BI31</f>
        <v>49</v>
      </c>
      <c r="CZ88" s="51" t="s">
        <v>125</v>
      </c>
      <c r="DA88" s="78">
        <v>26</v>
      </c>
      <c r="DB88" s="78">
        <v>4</v>
      </c>
      <c r="DC88" s="51">
        <f t="shared" ca="1" si="311"/>
        <v>569903</v>
      </c>
    </row>
    <row r="89" spans="1:107" x14ac:dyDescent="0.2">
      <c r="A89">
        <v>7</v>
      </c>
      <c r="B89" s="1" t="str">
        <f t="shared" si="330"/>
        <v>dobiera</v>
      </c>
      <c r="C89" s="1" t="str">
        <f t="shared" si="331"/>
        <v>oazy</v>
      </c>
      <c r="D89" s="65" t="str">
        <f t="shared" si="332"/>
        <v>nie płaci</v>
      </c>
      <c r="E89" s="1" t="str">
        <f t="shared" si="333"/>
        <v>domki</v>
      </c>
      <c r="F89" s="1" t="str">
        <f t="shared" si="334"/>
        <v/>
      </c>
      <c r="G89" s="1"/>
      <c r="H89" s="1"/>
      <c r="I89" s="1"/>
      <c r="J89" s="1"/>
      <c r="K89" s="1"/>
      <c r="L89" s="1" t="str">
        <f t="shared" si="335"/>
        <v/>
      </c>
      <c r="AC89">
        <f t="shared" si="328"/>
        <v>29</v>
      </c>
      <c r="AD89">
        <f t="shared" si="328"/>
        <v>4</v>
      </c>
      <c r="AE89" s="1">
        <f t="shared" si="304"/>
        <v>1</v>
      </c>
      <c r="AF89" s="1">
        <f>IF(AF34=0,$P$6+$P$6,AF34)</f>
        <v>4</v>
      </c>
      <c r="AG89" s="1">
        <f>IF(AG34=0,$P$6+$P$6,AG34)</f>
        <v>2</v>
      </c>
      <c r="AH89" s="1">
        <f>IF(AH34=0,$P$6+$P$6,AH34)</f>
        <v>3</v>
      </c>
      <c r="AI89" s="68">
        <v>4</v>
      </c>
      <c r="AJ89" s="1"/>
      <c r="AK89" s="1"/>
      <c r="AL89" s="1"/>
      <c r="AM89" s="1"/>
      <c r="AN89" s="1"/>
      <c r="AO89" s="1"/>
      <c r="BD89" s="2">
        <f t="shared" ca="1" si="297"/>
        <v>90</v>
      </c>
      <c r="BE89" s="2">
        <f ca="1">BE39</f>
        <v>69</v>
      </c>
      <c r="BF89" s="2">
        <f ca="1">BF39</f>
        <v>80</v>
      </c>
      <c r="BG89" s="2">
        <f ca="1">BG39</f>
        <v>69</v>
      </c>
      <c r="BH89" s="2"/>
      <c r="BI89" s="2"/>
      <c r="BJ89" s="2"/>
      <c r="BK89" s="2"/>
      <c r="BL89" s="2"/>
      <c r="BM89" s="2"/>
      <c r="BN89" s="2"/>
      <c r="CG89" s="1">
        <f t="shared" ca="1" si="318"/>
        <v>84</v>
      </c>
      <c r="CH89" s="1">
        <f t="shared" ca="1" si="306"/>
        <v>56</v>
      </c>
      <c r="CI89" s="1" t="str">
        <f t="shared" ca="1" si="307"/>
        <v>Marcin</v>
      </c>
      <c r="CJ89" s="13">
        <f t="shared" ca="1" si="308"/>
        <v>4</v>
      </c>
      <c r="CK89">
        <f t="shared" ca="1" si="309"/>
        <v>3</v>
      </c>
      <c r="CL89" s="55">
        <f t="shared" ca="1" si="310"/>
        <v>4</v>
      </c>
      <c r="CW89" s="93">
        <f t="shared" si="316"/>
        <v>84</v>
      </c>
      <c r="CX89" s="51">
        <f t="shared" ref="CX89:CX92" ca="1" si="336">VALUE(CY89&amp;"0000")-CW89</f>
        <v>729916</v>
      </c>
      <c r="CY89" s="52">
        <f ca="1">BD32</f>
        <v>73</v>
      </c>
      <c r="CZ89" s="51" t="s">
        <v>6</v>
      </c>
      <c r="DA89" s="78">
        <v>27</v>
      </c>
      <c r="DB89" s="78">
        <v>1</v>
      </c>
      <c r="DC89" s="51">
        <f t="shared" ca="1" si="311"/>
        <v>559976</v>
      </c>
    </row>
    <row r="90" spans="1:107" x14ac:dyDescent="0.2">
      <c r="A90">
        <v>8</v>
      </c>
      <c r="B90" s="1" t="str">
        <f t="shared" si="330"/>
        <v>nie płaci</v>
      </c>
      <c r="C90" s="1" t="str">
        <f t="shared" si="331"/>
        <v>oazy</v>
      </c>
      <c r="D90" s="65" t="str">
        <f t="shared" si="332"/>
        <v>biała kość</v>
      </c>
      <c r="E90" s="1" t="str">
        <f t="shared" si="333"/>
        <v/>
      </c>
      <c r="F90" s="1" t="str">
        <f t="shared" si="334"/>
        <v/>
      </c>
      <c r="G90" s="1"/>
      <c r="H90" s="1"/>
      <c r="I90" s="1"/>
      <c r="J90" s="1"/>
      <c r="K90" s="1"/>
      <c r="L90" s="1" t="str">
        <f t="shared" si="335"/>
        <v/>
      </c>
      <c r="AC90">
        <f t="shared" si="328"/>
        <v>30</v>
      </c>
      <c r="AD90">
        <f t="shared" si="328"/>
        <v>4</v>
      </c>
      <c r="AE90" s="1">
        <f t="shared" si="304"/>
        <v>2</v>
      </c>
      <c r="AF90" s="1">
        <f>IF(AF35=0,$P$6+$P$6,AF35)</f>
        <v>3</v>
      </c>
      <c r="AG90" s="68">
        <f>2/3+AG89</f>
        <v>2.6666666666666665</v>
      </c>
      <c r="AH90" s="1">
        <f>IF(AH35=0,$P$6+$P$6,AH35)</f>
        <v>1</v>
      </c>
      <c r="AI90" s="1">
        <f>IF(AI35=0,$P$6+$P$6,AI35)</f>
        <v>4</v>
      </c>
      <c r="AJ90" s="1"/>
      <c r="AK90" s="1"/>
      <c r="AL90" s="1"/>
      <c r="AM90" s="1"/>
      <c r="AN90" s="1"/>
      <c r="AO90" s="1"/>
      <c r="CG90" s="1">
        <f t="shared" ca="1" si="318"/>
        <v>84</v>
      </c>
      <c r="CH90" s="1">
        <f t="shared" ca="1" si="306"/>
        <v>56</v>
      </c>
      <c r="CI90" s="1" t="str">
        <f t="shared" ca="1" si="307"/>
        <v>Marcin</v>
      </c>
      <c r="CJ90" s="13">
        <f t="shared" ca="1" si="308"/>
        <v>8</v>
      </c>
      <c r="CK90">
        <f t="shared" ca="1" si="309"/>
        <v>3</v>
      </c>
      <c r="CL90" s="55">
        <f t="shared" ca="1" si="310"/>
        <v>3</v>
      </c>
      <c r="CW90" s="93">
        <f t="shared" si="316"/>
        <v>85</v>
      </c>
      <c r="CX90" s="51">
        <f t="shared" ca="1" si="336"/>
        <v>669915</v>
      </c>
      <c r="CY90" s="52">
        <f ca="1">BF32</f>
        <v>67</v>
      </c>
      <c r="CZ90" s="51" t="s">
        <v>8</v>
      </c>
      <c r="DA90" s="78">
        <v>27</v>
      </c>
      <c r="DB90" s="78">
        <v>2</v>
      </c>
      <c r="DC90" s="51">
        <f t="shared" ca="1" si="311"/>
        <v>559973</v>
      </c>
    </row>
    <row r="91" spans="1:107" x14ac:dyDescent="0.2">
      <c r="A91">
        <v>9</v>
      </c>
      <c r="B91" s="65" t="str">
        <f t="shared" si="330"/>
        <v>oazy</v>
      </c>
      <c r="C91" s="1" t="str">
        <f t="shared" si="331"/>
        <v/>
      </c>
      <c r="D91" s="1" t="str">
        <f t="shared" si="332"/>
        <v>biała kość</v>
      </c>
      <c r="E91" s="1" t="str">
        <f t="shared" si="333"/>
        <v/>
      </c>
      <c r="F91" s="1" t="str">
        <f t="shared" si="334"/>
        <v/>
      </c>
      <c r="G91" s="1"/>
      <c r="H91" s="1"/>
      <c r="I91" s="1"/>
      <c r="J91" s="1"/>
      <c r="K91" s="1"/>
      <c r="L91" s="1" t="str">
        <f t="shared" si="335"/>
        <v/>
      </c>
      <c r="AC91">
        <f t="shared" si="328"/>
        <v>31</v>
      </c>
      <c r="AD91">
        <f t="shared" si="328"/>
        <v>3</v>
      </c>
      <c r="AE91" s="1">
        <f t="shared" si="304"/>
        <v>1</v>
      </c>
      <c r="AF91" s="68">
        <v>2.5</v>
      </c>
      <c r="AG91" s="68">
        <f>2/3+AG90</f>
        <v>3.333333333333333</v>
      </c>
      <c r="AH91" s="68">
        <v>2</v>
      </c>
      <c r="AI91" s="1"/>
      <c r="AJ91" s="1"/>
      <c r="AK91" s="1">
        <v>2</v>
      </c>
      <c r="AL91" s="1">
        <f>IF(AL36=0,$P$6+$P$6,AL36)</f>
        <v>3</v>
      </c>
      <c r="AM91" s="1"/>
      <c r="AN91" s="1"/>
      <c r="AO91" s="1"/>
      <c r="CG91" s="1">
        <f t="shared" ca="1" si="318"/>
        <v>86</v>
      </c>
      <c r="CH91" s="1">
        <f t="shared" ca="1" si="306"/>
        <v>55</v>
      </c>
      <c r="CI91" s="1" t="str">
        <f t="shared" ca="1" si="307"/>
        <v>Mateusz</v>
      </c>
      <c r="CJ91" s="13">
        <f t="shared" ca="1" si="308"/>
        <v>2</v>
      </c>
      <c r="CK91">
        <f t="shared" ca="1" si="309"/>
        <v>2</v>
      </c>
      <c r="CL91" s="55">
        <f t="shared" ca="1" si="310"/>
        <v>2</v>
      </c>
      <c r="CW91" s="93">
        <f t="shared" si="316"/>
        <v>86</v>
      </c>
      <c r="CX91" s="51">
        <f t="shared" ca="1" si="336"/>
        <v>589914</v>
      </c>
      <c r="CY91" s="52">
        <f ca="1">BI32</f>
        <v>59</v>
      </c>
      <c r="CZ91" s="51" t="s">
        <v>125</v>
      </c>
      <c r="DA91" s="78">
        <v>27</v>
      </c>
      <c r="DB91" s="78">
        <v>3</v>
      </c>
      <c r="DC91" s="51">
        <f t="shared" ca="1" si="311"/>
        <v>549998</v>
      </c>
    </row>
    <row r="92" spans="1:107" x14ac:dyDescent="0.2">
      <c r="A92">
        <v>10</v>
      </c>
      <c r="B92" s="65" t="str">
        <f t="shared" si="330"/>
        <v>nie płaci</v>
      </c>
      <c r="C92" s="1" t="str">
        <f t="shared" si="331"/>
        <v/>
      </c>
      <c r="D92" s="1" t="str">
        <f t="shared" si="332"/>
        <v>pekin</v>
      </c>
      <c r="E92" s="1" t="str">
        <f t="shared" si="333"/>
        <v/>
      </c>
      <c r="F92" s="1" t="str">
        <f t="shared" si="334"/>
        <v/>
      </c>
      <c r="G92" s="1"/>
      <c r="H92" s="1"/>
      <c r="I92" s="1"/>
      <c r="J92" s="1"/>
      <c r="K92" s="1"/>
      <c r="L92" s="1" t="str">
        <f t="shared" si="335"/>
        <v/>
      </c>
      <c r="AC92">
        <f t="shared" si="328"/>
        <v>32</v>
      </c>
      <c r="AD92">
        <f t="shared" si="328"/>
        <v>4</v>
      </c>
      <c r="AE92" s="1">
        <f t="shared" si="304"/>
        <v>1</v>
      </c>
      <c r="AF92" s="1">
        <f>IF(AF37=0,$P$6+$P$6,AF37)</f>
        <v>2</v>
      </c>
      <c r="AG92" s="1">
        <f>IF(AG37=0,$P$6+$P$6,AG37)</f>
        <v>4</v>
      </c>
      <c r="AH92" s="1">
        <f>IF(AH37=0,$P$6+$P$6,AH37)</f>
        <v>3</v>
      </c>
      <c r="AI92" s="1"/>
      <c r="AJ92" s="1"/>
      <c r="AK92" s="1"/>
      <c r="AL92" s="1"/>
      <c r="AM92" s="1"/>
      <c r="AN92" s="1"/>
      <c r="AO92" s="1"/>
      <c r="CG92" s="1">
        <f t="shared" ca="1" si="318"/>
        <v>86</v>
      </c>
      <c r="CH92" s="1">
        <f t="shared" ca="1" si="306"/>
        <v>55</v>
      </c>
      <c r="CI92" s="1" t="str">
        <f t="shared" ca="1" si="307"/>
        <v>Mateusz</v>
      </c>
      <c r="CJ92" s="13">
        <f t="shared" ca="1" si="308"/>
        <v>5</v>
      </c>
      <c r="CK92">
        <f t="shared" ca="1" si="309"/>
        <v>2</v>
      </c>
      <c r="CL92" s="55">
        <f t="shared" ca="1" si="310"/>
        <v>2</v>
      </c>
      <c r="CW92" s="93">
        <f t="shared" si="316"/>
        <v>87</v>
      </c>
      <c r="CX92" s="51">
        <f t="shared" ca="1" si="336"/>
        <v>389913</v>
      </c>
      <c r="CY92" s="52">
        <f ca="1">BG32</f>
        <v>39</v>
      </c>
      <c r="CZ92" s="51" t="s">
        <v>9</v>
      </c>
      <c r="DA92" s="78">
        <v>27</v>
      </c>
      <c r="DB92" s="78">
        <v>4</v>
      </c>
      <c r="DC92" s="51">
        <f t="shared" ca="1" si="311"/>
        <v>549995</v>
      </c>
    </row>
    <row r="93" spans="1:107" x14ac:dyDescent="0.2">
      <c r="A93">
        <v>11</v>
      </c>
      <c r="B93" s="65" t="str">
        <f t="shared" si="330"/>
        <v>nie płaci</v>
      </c>
      <c r="C93" s="1" t="str">
        <f t="shared" si="331"/>
        <v>biała kość</v>
      </c>
      <c r="D93" s="1" t="str">
        <f t="shared" si="332"/>
        <v>dwa piony</v>
      </c>
      <c r="E93" s="1" t="str">
        <f t="shared" si="333"/>
        <v>bazar</v>
      </c>
      <c r="F93" s="1" t="str">
        <f t="shared" si="334"/>
        <v/>
      </c>
      <c r="G93" s="1"/>
      <c r="H93" s="1"/>
      <c r="I93" s="1"/>
      <c r="J93" s="1"/>
      <c r="K93" s="1"/>
      <c r="L93" s="1" t="str">
        <f t="shared" si="335"/>
        <v/>
      </c>
      <c r="AC93">
        <f t="shared" si="328"/>
        <v>33</v>
      </c>
      <c r="AD93">
        <f t="shared" si="328"/>
        <v>4</v>
      </c>
      <c r="AE93" s="1">
        <f t="shared" si="304"/>
        <v>1</v>
      </c>
      <c r="AF93" s="68">
        <v>2.5</v>
      </c>
      <c r="AG93" s="1">
        <f>IF(AG38=0,$P$6+$P$6,AG38)</f>
        <v>3</v>
      </c>
      <c r="AH93" s="68">
        <v>3</v>
      </c>
      <c r="AI93" s="1"/>
      <c r="AJ93" s="1"/>
      <c r="AK93" s="1"/>
      <c r="AL93" s="1"/>
      <c r="AM93" s="1">
        <f>IF(AM38=0,$P$6+$P$6,AM38)</f>
        <v>2</v>
      </c>
      <c r="AN93" s="1">
        <f>IF(AN38=0,$P$6+$P$6,AN38)</f>
        <v>4</v>
      </c>
      <c r="AO93" s="1"/>
      <c r="CG93" s="1">
        <f t="shared" ca="1" si="318"/>
        <v>86</v>
      </c>
      <c r="CH93" s="1">
        <f t="shared" ca="1" si="306"/>
        <v>55</v>
      </c>
      <c r="CI93" s="1" t="str">
        <f t="shared" ca="1" si="307"/>
        <v>Justyna</v>
      </c>
      <c r="CJ93" s="13">
        <f t="shared" ca="1" si="308"/>
        <v>11</v>
      </c>
      <c r="CK93">
        <f t="shared" ca="1" si="309"/>
        <v>3</v>
      </c>
      <c r="CL93" s="55">
        <f t="shared" ca="1" si="310"/>
        <v>4</v>
      </c>
      <c r="CW93" s="93">
        <f t="shared" si="316"/>
        <v>88</v>
      </c>
      <c r="CX93" s="51">
        <f t="shared" ref="CX93:CX96" ca="1" si="337">VALUE(CY93&amp;"0000")-CW93</f>
        <v>729912</v>
      </c>
      <c r="CY93" s="52">
        <f ca="1">BD33</f>
        <v>73</v>
      </c>
      <c r="CZ93" s="51" t="s">
        <v>6</v>
      </c>
      <c r="DA93" s="78">
        <v>28</v>
      </c>
      <c r="DB93" s="78">
        <v>2</v>
      </c>
      <c r="DC93" s="51">
        <f t="shared" ca="1" si="311"/>
        <v>549978</v>
      </c>
    </row>
    <row r="94" spans="1:107" x14ac:dyDescent="0.2">
      <c r="A94">
        <v>12</v>
      </c>
      <c r="B94" s="1" t="str">
        <f t="shared" si="330"/>
        <v>nie płaci</v>
      </c>
      <c r="C94" s="65" t="str">
        <f t="shared" si="331"/>
        <v>bazar</v>
      </c>
      <c r="D94" s="1" t="str">
        <f t="shared" si="332"/>
        <v>biała kość</v>
      </c>
      <c r="E94" s="1" t="str">
        <f t="shared" si="333"/>
        <v>oazy</v>
      </c>
      <c r="F94" s="1" t="str">
        <f t="shared" si="334"/>
        <v/>
      </c>
      <c r="G94" s="1"/>
      <c r="H94" s="1"/>
      <c r="I94" s="1"/>
      <c r="J94" s="1"/>
      <c r="K94" s="1"/>
      <c r="L94" s="1" t="str">
        <f t="shared" si="335"/>
        <v/>
      </c>
      <c r="AC94">
        <f t="shared" si="328"/>
        <v>34</v>
      </c>
      <c r="AD94">
        <f t="shared" si="328"/>
        <v>4</v>
      </c>
      <c r="AE94" s="1">
        <f t="shared" si="304"/>
        <v>1</v>
      </c>
      <c r="AF94" s="1">
        <f>IF(AF39=0,$P$6+$P$6,AF39)</f>
        <v>3</v>
      </c>
      <c r="AG94" s="1">
        <f>IF(AG39=0,$P$6+$P$6,AG39)</f>
        <v>2</v>
      </c>
      <c r="AH94" s="1">
        <f>IF(AH39=0,$P$6+$P$6,AH39)</f>
        <v>3</v>
      </c>
      <c r="AI94" s="1"/>
      <c r="AJ94" s="1"/>
      <c r="AK94" s="1"/>
      <c r="AL94" s="1"/>
      <c r="AM94" s="1"/>
      <c r="AN94" s="1"/>
      <c r="AO94" s="1"/>
      <c r="CG94" s="1">
        <f t="shared" ca="1" si="318"/>
        <v>86</v>
      </c>
      <c r="CH94" s="1">
        <f t="shared" ca="1" si="306"/>
        <v>55</v>
      </c>
      <c r="CI94" s="1" t="str">
        <f t="shared" ca="1" si="307"/>
        <v>Justyna</v>
      </c>
      <c r="CJ94" s="13">
        <f t="shared" ca="1" si="308"/>
        <v>32</v>
      </c>
      <c r="CK94">
        <f t="shared" ca="1" si="309"/>
        <v>4</v>
      </c>
      <c r="CL94" s="55">
        <f t="shared" ca="1" si="310"/>
        <v>4</v>
      </c>
      <c r="CW94" s="93">
        <f t="shared" si="316"/>
        <v>89</v>
      </c>
      <c r="CX94" s="51">
        <f t="shared" ca="1" si="337"/>
        <v>449911</v>
      </c>
      <c r="CY94" s="52">
        <f ca="1">BF33</f>
        <v>45</v>
      </c>
      <c r="CZ94" s="51" t="s">
        <v>8</v>
      </c>
      <c r="DA94" s="78">
        <v>28</v>
      </c>
      <c r="DB94" s="78">
        <v>4</v>
      </c>
      <c r="DC94" s="51">
        <f t="shared" ca="1" si="311"/>
        <v>549894</v>
      </c>
    </row>
    <row r="95" spans="1:107" x14ac:dyDescent="0.2">
      <c r="A95">
        <v>13</v>
      </c>
      <c r="B95" s="1" t="str">
        <f t="shared" si="330"/>
        <v>nie płaci</v>
      </c>
      <c r="C95" s="1" t="str">
        <f t="shared" si="331"/>
        <v>pekin</v>
      </c>
      <c r="D95" s="65" t="str">
        <f t="shared" si="332"/>
        <v>biała kość</v>
      </c>
      <c r="E95" s="1" t="str">
        <f t="shared" si="333"/>
        <v/>
      </c>
      <c r="F95" s="1" t="str">
        <f t="shared" si="334"/>
        <v/>
      </c>
      <c r="G95" s="1"/>
      <c r="H95" s="1"/>
      <c r="I95" s="1"/>
      <c r="J95" s="1"/>
      <c r="K95" s="1"/>
      <c r="L95" s="1" t="str">
        <f t="shared" si="335"/>
        <v/>
      </c>
      <c r="CG95" s="1">
        <f t="shared" ca="1" si="318"/>
        <v>86</v>
      </c>
      <c r="CH95" s="1">
        <f t="shared" ca="1" si="306"/>
        <v>55</v>
      </c>
      <c r="CI95" s="1" t="str">
        <f t="shared" ca="1" si="307"/>
        <v>Justyna</v>
      </c>
      <c r="CJ95" s="13">
        <f t="shared" ca="1" si="308"/>
        <v>33</v>
      </c>
      <c r="CK95">
        <f t="shared" ca="1" si="309"/>
        <v>3</v>
      </c>
      <c r="CL95" s="55">
        <f t="shared" ca="1" si="310"/>
        <v>4</v>
      </c>
      <c r="CW95" s="93">
        <f t="shared" si="316"/>
        <v>90</v>
      </c>
      <c r="CX95" s="51">
        <f t="shared" ca="1" si="337"/>
        <v>819910</v>
      </c>
      <c r="CY95" s="52">
        <f ca="1">BE33</f>
        <v>82</v>
      </c>
      <c r="CZ95" s="93" t="s">
        <v>7</v>
      </c>
      <c r="DA95" s="78">
        <v>28</v>
      </c>
      <c r="DB95" s="78">
        <v>1</v>
      </c>
      <c r="DC95" s="51">
        <f t="shared" ca="1" si="311"/>
        <v>549891</v>
      </c>
    </row>
    <row r="96" spans="1:107" x14ac:dyDescent="0.2">
      <c r="A96">
        <v>14</v>
      </c>
      <c r="B96" s="1" t="str">
        <f t="shared" si="330"/>
        <v>nie płaci</v>
      </c>
      <c r="C96" s="1" t="str">
        <f t="shared" si="331"/>
        <v/>
      </c>
      <c r="D96" s="1" t="str">
        <f t="shared" si="332"/>
        <v>dwa piony</v>
      </c>
      <c r="E96" s="65" t="str">
        <f t="shared" si="333"/>
        <v>domki</v>
      </c>
      <c r="F96" s="65" t="str">
        <f t="shared" si="334"/>
        <v/>
      </c>
      <c r="G96" s="65"/>
      <c r="H96" s="65"/>
      <c r="I96" s="65"/>
      <c r="J96" s="65"/>
      <c r="K96" s="65"/>
      <c r="L96" s="65" t="str">
        <f t="shared" si="335"/>
        <v/>
      </c>
      <c r="CG96" s="1">
        <f t="shared" ca="1" si="318"/>
        <v>91</v>
      </c>
      <c r="CH96" s="1">
        <f t="shared" ca="1" si="306"/>
        <v>54</v>
      </c>
      <c r="CI96" s="1" t="str">
        <f t="shared" ca="1" si="307"/>
        <v>Michał</v>
      </c>
      <c r="CJ96" s="13">
        <f t="shared" ca="1" si="308"/>
        <v>31</v>
      </c>
      <c r="CK96">
        <f t="shared" ca="1" si="309"/>
        <v>3</v>
      </c>
      <c r="CL96" s="55">
        <f t="shared" ca="1" si="310"/>
        <v>3</v>
      </c>
      <c r="CW96" s="93">
        <f t="shared" si="316"/>
        <v>91</v>
      </c>
      <c r="CX96" s="51">
        <f t="shared" ca="1" si="337"/>
        <v>529909</v>
      </c>
      <c r="CY96" s="52">
        <f ca="1">BG33</f>
        <v>53</v>
      </c>
      <c r="CZ96" s="51" t="s">
        <v>9</v>
      </c>
      <c r="DA96" s="78">
        <v>28</v>
      </c>
      <c r="DB96" s="78">
        <v>3</v>
      </c>
      <c r="DC96" s="51">
        <f t="shared" ca="1" si="311"/>
        <v>539898</v>
      </c>
    </row>
    <row r="97" spans="1:107" x14ac:dyDescent="0.2">
      <c r="A97">
        <v>15</v>
      </c>
      <c r="B97" s="65" t="str">
        <f t="shared" si="330"/>
        <v>pekin</v>
      </c>
      <c r="C97" s="1" t="str">
        <f t="shared" si="331"/>
        <v/>
      </c>
      <c r="D97" s="1" t="str">
        <f t="shared" si="332"/>
        <v>bazar</v>
      </c>
      <c r="E97" s="1" t="str">
        <f t="shared" si="333"/>
        <v>domki</v>
      </c>
      <c r="F97" s="1" t="str">
        <f t="shared" si="334"/>
        <v/>
      </c>
      <c r="G97" s="1"/>
      <c r="H97" s="1"/>
      <c r="I97" s="1"/>
      <c r="J97" s="1"/>
      <c r="K97" s="1"/>
      <c r="L97" s="1" t="str">
        <f t="shared" si="335"/>
        <v/>
      </c>
      <c r="CG97" s="1">
        <f t="shared" ca="1" si="318"/>
        <v>92</v>
      </c>
      <c r="CH97" s="1">
        <f t="shared" ca="1" si="306"/>
        <v>53</v>
      </c>
      <c r="CI97" s="1" t="str">
        <f t="shared" ca="1" si="307"/>
        <v>Agnieszka</v>
      </c>
      <c r="CJ97" s="13">
        <f t="shared" ca="1" si="308"/>
        <v>19</v>
      </c>
      <c r="CK97">
        <f t="shared" ca="1" si="309"/>
        <v>3</v>
      </c>
      <c r="CL97" s="55">
        <f t="shared" ca="1" si="310"/>
        <v>4</v>
      </c>
      <c r="CW97" s="93">
        <f t="shared" si="316"/>
        <v>92</v>
      </c>
      <c r="CX97" s="51">
        <f t="shared" ref="CX97:CX119" ca="1" si="338">VALUE(CY97&amp;"0000")-CW97</f>
        <v>799908</v>
      </c>
      <c r="CY97" s="52">
        <f ca="1">BD34</f>
        <v>80</v>
      </c>
      <c r="CZ97" s="51" t="s">
        <v>6</v>
      </c>
      <c r="DA97" s="78">
        <v>29</v>
      </c>
      <c r="DB97" s="78">
        <v>1</v>
      </c>
      <c r="DC97" s="51">
        <f t="shared" ca="1" si="311"/>
        <v>529944</v>
      </c>
    </row>
    <row r="98" spans="1:107" x14ac:dyDescent="0.2">
      <c r="A98">
        <v>16</v>
      </c>
      <c r="B98" s="65" t="str">
        <f t="shared" si="330"/>
        <v>dobiera</v>
      </c>
      <c r="C98" s="1" t="str">
        <f t="shared" si="331"/>
        <v/>
      </c>
      <c r="D98" s="1" t="str">
        <f t="shared" si="332"/>
        <v/>
      </c>
      <c r="E98" s="1" t="str">
        <f t="shared" si="333"/>
        <v/>
      </c>
      <c r="F98" s="1" t="str">
        <f t="shared" si="334"/>
        <v/>
      </c>
      <c r="G98" s="1"/>
      <c r="H98" s="1"/>
      <c r="I98" s="1"/>
      <c r="J98" s="1"/>
      <c r="K98" s="1"/>
      <c r="L98" s="1" t="str">
        <f t="shared" si="335"/>
        <v>biała kość</v>
      </c>
      <c r="CG98" s="1">
        <f t="shared" ca="1" si="318"/>
        <v>92</v>
      </c>
      <c r="CH98" s="1">
        <f t="shared" ca="1" si="306"/>
        <v>53</v>
      </c>
      <c r="CI98" s="1" t="str">
        <f t="shared" ca="1" si="307"/>
        <v>Agnieszka</v>
      </c>
      <c r="CJ98" s="13">
        <f t="shared" ca="1" si="308"/>
        <v>28</v>
      </c>
      <c r="CK98">
        <f t="shared" ca="1" si="309"/>
        <v>3</v>
      </c>
      <c r="CL98" s="55">
        <f t="shared" ca="1" si="310"/>
        <v>4</v>
      </c>
      <c r="CW98" s="93">
        <f t="shared" si="316"/>
        <v>93</v>
      </c>
      <c r="CX98" s="51">
        <f t="shared" ca="1" si="338"/>
        <v>639907</v>
      </c>
      <c r="CY98" s="52">
        <f ca="1">BE34</f>
        <v>64</v>
      </c>
      <c r="CZ98" s="93" t="s">
        <v>7</v>
      </c>
      <c r="DA98" s="78">
        <v>29</v>
      </c>
      <c r="DB98" s="78">
        <v>4</v>
      </c>
      <c r="DC98" s="51">
        <f t="shared" ca="1" si="311"/>
        <v>529909</v>
      </c>
    </row>
    <row r="99" spans="1:107" x14ac:dyDescent="0.2">
      <c r="A99">
        <v>17</v>
      </c>
      <c r="B99" s="69" t="str">
        <f t="shared" si="330"/>
        <v>dobiera</v>
      </c>
      <c r="C99" s="65" t="str">
        <f t="shared" si="331"/>
        <v>biała kość</v>
      </c>
      <c r="D99" s="1" t="str">
        <f t="shared" si="332"/>
        <v/>
      </c>
      <c r="E99" s="1" t="str">
        <f t="shared" si="333"/>
        <v>oazy</v>
      </c>
      <c r="F99" s="1" t="str">
        <f t="shared" si="334"/>
        <v/>
      </c>
      <c r="G99" s="1"/>
      <c r="H99" s="1"/>
      <c r="I99" s="1"/>
      <c r="J99" s="1"/>
      <c r="K99" s="1"/>
      <c r="L99" s="1" t="str">
        <f t="shared" si="335"/>
        <v/>
      </c>
      <c r="CG99" s="1">
        <f t="shared" ca="1" si="318"/>
        <v>94</v>
      </c>
      <c r="CH99" s="1">
        <f t="shared" ca="1" si="306"/>
        <v>52</v>
      </c>
      <c r="CI99" s="1" t="str">
        <f t="shared" ca="1" si="307"/>
        <v>Agnieszka</v>
      </c>
      <c r="CJ99" s="13">
        <f t="shared" ca="1" si="308"/>
        <v>7</v>
      </c>
      <c r="CK99">
        <f t="shared" ca="1" si="309"/>
        <v>3</v>
      </c>
      <c r="CL99" s="55">
        <f t="shared" ca="1" si="310"/>
        <v>4</v>
      </c>
      <c r="CW99" s="93">
        <f t="shared" si="316"/>
        <v>94</v>
      </c>
      <c r="CX99" s="51">
        <f t="shared" ca="1" si="338"/>
        <v>679906</v>
      </c>
      <c r="CY99" s="52">
        <f ca="1">BF34</f>
        <v>68</v>
      </c>
      <c r="CZ99" s="93" t="s">
        <v>8</v>
      </c>
      <c r="DA99" s="78">
        <v>29</v>
      </c>
      <c r="DB99" s="78">
        <v>2</v>
      </c>
      <c r="DC99" s="51">
        <f t="shared" ca="1" si="311"/>
        <v>519970</v>
      </c>
    </row>
    <row r="100" spans="1:107" x14ac:dyDescent="0.2">
      <c r="A100">
        <v>18</v>
      </c>
      <c r="B100" s="69" t="str">
        <f t="shared" si="330"/>
        <v>dobiera</v>
      </c>
      <c r="C100" s="65" t="str">
        <f t="shared" si="331"/>
        <v>bazar</v>
      </c>
      <c r="D100" s="1" t="str">
        <f t="shared" si="332"/>
        <v>biała kość</v>
      </c>
      <c r="E100" s="1" t="str">
        <f t="shared" si="333"/>
        <v/>
      </c>
      <c r="F100" s="1" t="str">
        <f t="shared" si="334"/>
        <v>domki</v>
      </c>
      <c r="G100" s="1"/>
      <c r="H100" s="1"/>
      <c r="I100" s="1"/>
      <c r="J100" s="1"/>
      <c r="K100" s="1"/>
      <c r="L100" s="1" t="str">
        <f t="shared" si="335"/>
        <v/>
      </c>
      <c r="CG100" s="1">
        <f t="shared" ca="1" si="318"/>
        <v>94</v>
      </c>
      <c r="CH100" s="1">
        <f t="shared" ca="1" si="306"/>
        <v>52</v>
      </c>
      <c r="CI100" s="1" t="str">
        <f t="shared" ca="1" si="307"/>
        <v>Marcin</v>
      </c>
      <c r="CJ100" s="13">
        <f t="shared" ca="1" si="308"/>
        <v>13</v>
      </c>
      <c r="CK100">
        <f t="shared" ca="1" si="309"/>
        <v>3</v>
      </c>
      <c r="CL100" s="55">
        <f t="shared" ca="1" si="310"/>
        <v>3</v>
      </c>
      <c r="CW100" s="93">
        <f t="shared" si="316"/>
        <v>95</v>
      </c>
      <c r="CX100" s="51">
        <f t="shared" ca="1" si="338"/>
        <v>659905</v>
      </c>
      <c r="CY100" s="52">
        <f ca="1">BG34</f>
        <v>66</v>
      </c>
      <c r="CZ100" s="51" t="s">
        <v>9</v>
      </c>
      <c r="DA100" s="78">
        <v>29</v>
      </c>
      <c r="DB100" s="78">
        <v>3</v>
      </c>
      <c r="DC100" s="51">
        <f t="shared" ca="1" si="311"/>
        <v>519963</v>
      </c>
    </row>
    <row r="101" spans="1:107" x14ac:dyDescent="0.2">
      <c r="A101">
        <v>19</v>
      </c>
      <c r="B101" s="69" t="str">
        <f t="shared" si="330"/>
        <v>nie płaci</v>
      </c>
      <c r="C101" s="1" t="str">
        <f t="shared" si="331"/>
        <v/>
      </c>
      <c r="D101" s="65" t="str">
        <f t="shared" si="332"/>
        <v>biała kość</v>
      </c>
      <c r="E101" s="1" t="str">
        <f t="shared" si="333"/>
        <v>oazy</v>
      </c>
      <c r="F101" s="1" t="str">
        <f t="shared" si="334"/>
        <v>domki</v>
      </c>
      <c r="G101" s="1"/>
      <c r="H101" s="1"/>
      <c r="I101" s="1"/>
      <c r="J101" s="1"/>
      <c r="K101" s="1"/>
      <c r="L101" s="1" t="str">
        <f t="shared" si="335"/>
        <v/>
      </c>
      <c r="CG101" s="1">
        <f t="shared" ca="1" si="318"/>
        <v>96</v>
      </c>
      <c r="CH101" s="1">
        <f t="shared" ca="1" si="306"/>
        <v>51</v>
      </c>
      <c r="CI101" s="1" t="str">
        <f t="shared" ca="1" si="307"/>
        <v>Marcin</v>
      </c>
      <c r="CJ101" s="13">
        <f t="shared" ca="1" si="308"/>
        <v>6</v>
      </c>
      <c r="CK101">
        <f t="shared" ca="1" si="309"/>
        <v>3</v>
      </c>
      <c r="CL101" s="55">
        <f t="shared" ca="1" si="310"/>
        <v>3</v>
      </c>
      <c r="CW101" s="93">
        <f t="shared" si="316"/>
        <v>96</v>
      </c>
      <c r="CX101" s="51">
        <f t="shared" ca="1" si="338"/>
        <v>669904</v>
      </c>
      <c r="CY101" s="52">
        <f ca="1">BD35</f>
        <v>67</v>
      </c>
      <c r="CZ101" s="51" t="s">
        <v>6</v>
      </c>
      <c r="DA101" s="78">
        <v>30</v>
      </c>
      <c r="DB101" s="78">
        <v>2</v>
      </c>
      <c r="DC101" s="51">
        <f t="shared" ca="1" si="311"/>
        <v>509975</v>
      </c>
    </row>
    <row r="102" spans="1:107" x14ac:dyDescent="0.2">
      <c r="A102">
        <v>20</v>
      </c>
      <c r="B102" s="69" t="str">
        <f t="shared" si="330"/>
        <v>oazy</v>
      </c>
      <c r="C102" s="1" t="str">
        <f t="shared" si="331"/>
        <v>bazar</v>
      </c>
      <c r="D102" s="65" t="str">
        <f t="shared" si="332"/>
        <v>nie płaci</v>
      </c>
      <c r="E102" s="1" t="str">
        <f t="shared" si="333"/>
        <v>pekin</v>
      </c>
      <c r="F102" s="1" t="str">
        <f t="shared" si="334"/>
        <v/>
      </c>
      <c r="G102" s="1"/>
      <c r="H102" s="1"/>
      <c r="I102" s="1"/>
      <c r="J102" s="1"/>
      <c r="K102" s="1"/>
      <c r="L102" s="1" t="str">
        <f t="shared" si="335"/>
        <v/>
      </c>
      <c r="CG102" s="1">
        <f t="shared" ca="1" si="318"/>
        <v>96</v>
      </c>
      <c r="CH102" s="1">
        <f t="shared" ref="CH102:CH115" ca="1" si="339">VLOOKUP(DC102,CX:CZ,2,FALSE)</f>
        <v>51</v>
      </c>
      <c r="CI102" s="1" t="str">
        <f t="shared" ref="CI102:CI115" ca="1" si="340">VLOOKUP(DC102,CX:CZ,3,FALSE)</f>
        <v>Justyna</v>
      </c>
      <c r="CJ102" s="13">
        <f t="shared" ref="CJ102:CJ115" ca="1" si="341">VLOOKUP(DC102,CX:DA,4,FALSE)</f>
        <v>14</v>
      </c>
      <c r="CK102">
        <f t="shared" ref="CK102:CK115" ca="1" si="342">VLOOKUP(DC102,CX:DB,5,FALSE)</f>
        <v>3</v>
      </c>
      <c r="CL102" s="55">
        <f t="shared" ref="CL102:CL115" ca="1" si="343">IF(CJ102="&lt;- dzisiaj",VLOOKUP(MAX($CJ:$CJ)+1,$N:$O,2,FALSE),VLOOKUP(CJ102,$N:$O,2,FALSE))</f>
        <v>3</v>
      </c>
      <c r="CW102" s="93">
        <f t="shared" si="316"/>
        <v>97</v>
      </c>
      <c r="CX102" s="51">
        <f t="shared" ca="1" si="338"/>
        <v>569903</v>
      </c>
      <c r="CY102" s="52">
        <f ca="1">BE35</f>
        <v>57</v>
      </c>
      <c r="CZ102" s="93" t="s">
        <v>7</v>
      </c>
      <c r="DA102" s="78">
        <v>30</v>
      </c>
      <c r="DB102" s="78">
        <v>3</v>
      </c>
      <c r="DC102" s="51">
        <f t="shared" ref="DC102:DC115" ca="1" si="344">LARGE(CX:CX,CW102)</f>
        <v>509960</v>
      </c>
    </row>
    <row r="103" spans="1:107" x14ac:dyDescent="0.2">
      <c r="A103">
        <v>21</v>
      </c>
      <c r="B103" s="69" t="str">
        <f t="shared" si="330"/>
        <v>dobiera</v>
      </c>
      <c r="C103" s="65" t="str">
        <f t="shared" si="331"/>
        <v>oazy</v>
      </c>
      <c r="D103" s="69" t="str">
        <f t="shared" si="332"/>
        <v>biała kość</v>
      </c>
      <c r="E103" s="1" t="str">
        <f t="shared" si="333"/>
        <v>bazar</v>
      </c>
      <c r="F103" s="1" t="str">
        <f t="shared" si="334"/>
        <v/>
      </c>
      <c r="G103" s="1"/>
      <c r="H103" s="1"/>
      <c r="I103" s="1"/>
      <c r="J103" s="1"/>
      <c r="K103" s="1"/>
      <c r="L103" s="1" t="str">
        <f t="shared" si="335"/>
        <v/>
      </c>
      <c r="CG103" s="1">
        <f t="shared" ca="1" si="318"/>
        <v>96</v>
      </c>
      <c r="CH103" s="1">
        <f t="shared" ca="1" si="339"/>
        <v>51</v>
      </c>
      <c r="CI103" s="1" t="str">
        <f t="shared" ca="1" si="340"/>
        <v>Justyna</v>
      </c>
      <c r="CJ103" s="13">
        <f t="shared" ca="1" si="341"/>
        <v>15</v>
      </c>
      <c r="CK103">
        <f t="shared" ca="1" si="342"/>
        <v>3</v>
      </c>
      <c r="CL103" s="55">
        <f t="shared" ca="1" si="343"/>
        <v>3</v>
      </c>
      <c r="CW103" s="93">
        <f t="shared" si="316"/>
        <v>98</v>
      </c>
      <c r="CX103" s="51">
        <f t="shared" ca="1" si="338"/>
        <v>869902</v>
      </c>
      <c r="CY103" s="52">
        <f ca="1">BG35</f>
        <v>87</v>
      </c>
      <c r="CZ103" s="51" t="s">
        <v>9</v>
      </c>
      <c r="DA103" s="78">
        <v>30</v>
      </c>
      <c r="DB103" s="78">
        <v>1</v>
      </c>
      <c r="DC103" s="51">
        <f t="shared" ca="1" si="344"/>
        <v>509957</v>
      </c>
    </row>
    <row r="104" spans="1:107" x14ac:dyDescent="0.2">
      <c r="A104">
        <v>22</v>
      </c>
      <c r="B104" s="69" t="str">
        <f t="shared" si="330"/>
        <v>oazy</v>
      </c>
      <c r="C104" s="69" t="str">
        <f t="shared" si="331"/>
        <v/>
      </c>
      <c r="D104" s="65" t="str">
        <f t="shared" si="332"/>
        <v>domki</v>
      </c>
      <c r="E104" s="1" t="str">
        <f t="shared" si="333"/>
        <v>dobiera</v>
      </c>
      <c r="F104" s="1" t="str">
        <f t="shared" si="334"/>
        <v/>
      </c>
      <c r="G104" s="1"/>
      <c r="H104" s="1"/>
      <c r="I104" s="1"/>
      <c r="J104" s="1"/>
      <c r="K104" s="1"/>
      <c r="L104" s="1" t="str">
        <f t="shared" si="335"/>
        <v/>
      </c>
      <c r="CG104" s="1">
        <f t="shared" ca="1" si="318"/>
        <v>99</v>
      </c>
      <c r="CH104" s="1">
        <f t="shared" ca="1" si="339"/>
        <v>50</v>
      </c>
      <c r="CI104" s="1" t="str">
        <f t="shared" ca="1" si="340"/>
        <v>Justyna</v>
      </c>
      <c r="CJ104" s="13">
        <f t="shared" ca="1" si="341"/>
        <v>10</v>
      </c>
      <c r="CK104">
        <f t="shared" ca="1" si="342"/>
        <v>2</v>
      </c>
      <c r="CL104" s="55">
        <f t="shared" ca="1" si="343"/>
        <v>2</v>
      </c>
      <c r="CW104" s="93">
        <f t="shared" si="316"/>
        <v>99</v>
      </c>
      <c r="CX104" s="51">
        <f t="shared" ca="1" si="338"/>
        <v>359901</v>
      </c>
      <c r="CY104" s="52">
        <f ca="1">BH35</f>
        <v>36</v>
      </c>
      <c r="CZ104" s="51" t="s">
        <v>94</v>
      </c>
      <c r="DA104" s="78">
        <v>30</v>
      </c>
      <c r="DB104" s="78">
        <v>4</v>
      </c>
      <c r="DC104" s="51">
        <f t="shared" ca="1" si="344"/>
        <v>499979</v>
      </c>
    </row>
    <row r="105" spans="1:107" x14ac:dyDescent="0.2">
      <c r="A105">
        <v>23</v>
      </c>
      <c r="B105" s="65" t="str">
        <f t="shared" si="330"/>
        <v>pekin</v>
      </c>
      <c r="C105" s="69" t="str">
        <f t="shared" si="331"/>
        <v>domki</v>
      </c>
      <c r="D105" s="69" t="str">
        <f t="shared" si="332"/>
        <v>dobiera</v>
      </c>
      <c r="E105" s="1" t="str">
        <f t="shared" si="333"/>
        <v>oazy</v>
      </c>
      <c r="F105" s="1" t="str">
        <f t="shared" si="334"/>
        <v/>
      </c>
      <c r="G105" s="1"/>
      <c r="H105" s="1"/>
      <c r="I105" s="1"/>
      <c r="J105" s="1"/>
      <c r="K105" s="1"/>
      <c r="L105" s="1" t="str">
        <f t="shared" si="335"/>
        <v/>
      </c>
      <c r="CG105" s="1">
        <f t="shared" ref="CG105:CG115" ca="1" si="345">IF(CH105=CH104,CG104,CW105)</f>
        <v>99</v>
      </c>
      <c r="CH105" s="1">
        <f t="shared" ca="1" si="339"/>
        <v>50</v>
      </c>
      <c r="CI105" s="1" t="str">
        <f t="shared" ca="1" si="340"/>
        <v>Agnieszka</v>
      </c>
      <c r="CJ105" s="13">
        <f t="shared" ca="1" si="341"/>
        <v>11</v>
      </c>
      <c r="CK105">
        <f t="shared" ca="1" si="342"/>
        <v>4</v>
      </c>
      <c r="CL105" s="55">
        <f t="shared" ca="1" si="343"/>
        <v>4</v>
      </c>
      <c r="CW105" s="93">
        <f t="shared" si="316"/>
        <v>100</v>
      </c>
      <c r="CX105" s="51">
        <f t="shared" ca="1" si="338"/>
        <v>819900</v>
      </c>
      <c r="CY105" s="52">
        <f ca="1">BD36</f>
        <v>82</v>
      </c>
      <c r="CZ105" s="51" t="s">
        <v>6</v>
      </c>
      <c r="DA105" s="78">
        <v>31</v>
      </c>
      <c r="DB105" s="78">
        <v>1</v>
      </c>
      <c r="DC105" s="51">
        <f t="shared" ca="1" si="344"/>
        <v>499969</v>
      </c>
    </row>
    <row r="106" spans="1:107" x14ac:dyDescent="0.2">
      <c r="A106">
        <v>24</v>
      </c>
      <c r="B106" s="89" t="str">
        <f t="shared" si="330"/>
        <v>oazy</v>
      </c>
      <c r="C106" s="69" t="str">
        <f t="shared" si="331"/>
        <v>pekin</v>
      </c>
      <c r="D106" s="69" t="str">
        <f t="shared" si="332"/>
        <v/>
      </c>
      <c r="E106" s="65" t="str">
        <f t="shared" si="333"/>
        <v>biała kość</v>
      </c>
      <c r="F106" s="1" t="str">
        <f t="shared" si="334"/>
        <v/>
      </c>
      <c r="G106" s="1" t="str">
        <f t="shared" ref="G106:G115" si="346">IF(AJ29=1,$B29,IF(AJ29=2,$C29,IF(AJ29=3,$D29,IF(AJ29=4,$E29,""))))</f>
        <v>bazar</v>
      </c>
      <c r="H106" s="1"/>
      <c r="I106" s="1"/>
      <c r="J106" s="1"/>
      <c r="K106" s="1"/>
      <c r="L106" s="1" t="str">
        <f t="shared" si="335"/>
        <v/>
      </c>
      <c r="CG106" s="1">
        <f t="shared" ca="1" si="345"/>
        <v>99</v>
      </c>
      <c r="CH106" s="1">
        <f t="shared" ca="1" si="339"/>
        <v>50</v>
      </c>
      <c r="CI106" s="1" t="str">
        <f t="shared" ca="1" si="340"/>
        <v>Marcin</v>
      </c>
      <c r="CJ106" s="13">
        <f t="shared" ca="1" si="341"/>
        <v>23</v>
      </c>
      <c r="CK106">
        <f t="shared" ca="1" si="342"/>
        <v>3</v>
      </c>
      <c r="CL106" s="55">
        <f t="shared" ca="1" si="343"/>
        <v>4</v>
      </c>
      <c r="CW106" s="93">
        <f t="shared" si="316"/>
        <v>101</v>
      </c>
      <c r="CX106" s="51">
        <f t="shared" ca="1" si="338"/>
        <v>659899</v>
      </c>
      <c r="CY106" s="52">
        <f ca="1">BJ36</f>
        <v>66</v>
      </c>
      <c r="CZ106" s="93" t="s">
        <v>148</v>
      </c>
      <c r="DA106" s="78">
        <v>31</v>
      </c>
      <c r="DB106" s="78">
        <v>2</v>
      </c>
      <c r="DC106" s="51">
        <f t="shared" ca="1" si="344"/>
        <v>499930</v>
      </c>
    </row>
    <row r="107" spans="1:107" x14ac:dyDescent="0.2">
      <c r="A107">
        <v>25</v>
      </c>
      <c r="B107" s="89" t="str">
        <f t="shared" si="330"/>
        <v>pekin</v>
      </c>
      <c r="C107" s="65" t="str">
        <f t="shared" si="331"/>
        <v>nie płaci</v>
      </c>
      <c r="D107" s="69" t="str">
        <f t="shared" si="332"/>
        <v/>
      </c>
      <c r="E107" s="89" t="str">
        <f t="shared" si="333"/>
        <v/>
      </c>
      <c r="F107" s="1" t="str">
        <f t="shared" si="334"/>
        <v/>
      </c>
      <c r="G107" s="1" t="str">
        <f t="shared" si="346"/>
        <v>bazar</v>
      </c>
      <c r="H107" s="1"/>
      <c r="I107" s="1"/>
      <c r="J107" s="1"/>
      <c r="K107" s="1"/>
      <c r="L107" s="1" t="str">
        <f t="shared" si="335"/>
        <v/>
      </c>
      <c r="CG107" s="1">
        <f t="shared" ca="1" si="345"/>
        <v>102</v>
      </c>
      <c r="CH107" s="1">
        <f t="shared" ca="1" si="339"/>
        <v>49</v>
      </c>
      <c r="CI107" s="1" t="str">
        <f t="shared" ca="1" si="340"/>
        <v>Justyna</v>
      </c>
      <c r="CJ107" s="13">
        <f t="shared" ca="1" si="341"/>
        <v>3</v>
      </c>
      <c r="CK107">
        <f t="shared" ca="1" si="342"/>
        <v>2</v>
      </c>
      <c r="CL107" s="55">
        <f t="shared" ca="1" si="343"/>
        <v>2</v>
      </c>
      <c r="CW107" s="93">
        <f t="shared" si="316"/>
        <v>102</v>
      </c>
      <c r="CX107" s="51">
        <f t="shared" ca="1" si="338"/>
        <v>539898</v>
      </c>
      <c r="CY107" s="52">
        <f ca="1">BK36</f>
        <v>54</v>
      </c>
      <c r="CZ107" s="93" t="s">
        <v>149</v>
      </c>
      <c r="DA107" s="78">
        <v>31</v>
      </c>
      <c r="DB107" s="78">
        <v>3</v>
      </c>
      <c r="DC107" s="51">
        <f t="shared" ca="1" si="344"/>
        <v>489984</v>
      </c>
    </row>
    <row r="108" spans="1:107" x14ac:dyDescent="0.2">
      <c r="A108">
        <v>26</v>
      </c>
      <c r="B108" s="89" t="str">
        <f t="shared" si="330"/>
        <v>biała kość</v>
      </c>
      <c r="C108" s="65" t="str">
        <f t="shared" si="331"/>
        <v>bazar</v>
      </c>
      <c r="D108" s="69" t="str">
        <f t="shared" si="332"/>
        <v/>
      </c>
      <c r="E108" s="89" t="str">
        <f t="shared" si="333"/>
        <v>dobiera</v>
      </c>
      <c r="F108" s="1" t="str">
        <f t="shared" si="334"/>
        <v/>
      </c>
      <c r="G108" s="1" t="str">
        <f t="shared" si="346"/>
        <v>nie płaci</v>
      </c>
      <c r="H108" s="1"/>
      <c r="I108" s="1"/>
      <c r="J108" s="1"/>
      <c r="K108" s="1"/>
      <c r="L108" s="1" t="str">
        <f t="shared" si="335"/>
        <v/>
      </c>
      <c r="CG108" s="1">
        <f t="shared" ca="1" si="345"/>
        <v>102</v>
      </c>
      <c r="CH108" s="1">
        <f t="shared" ca="1" si="339"/>
        <v>49</v>
      </c>
      <c r="CI108" s="1" t="str">
        <f t="shared" ca="1" si="340"/>
        <v>Agnieszka</v>
      </c>
      <c r="CJ108" s="13">
        <f t="shared" ca="1" si="341"/>
        <v>4</v>
      </c>
      <c r="CK108">
        <f t="shared" ca="1" si="342"/>
        <v>4</v>
      </c>
      <c r="CL108" s="55">
        <f t="shared" ca="1" si="343"/>
        <v>4</v>
      </c>
      <c r="CW108" s="93">
        <f t="shared" si="316"/>
        <v>103</v>
      </c>
      <c r="CX108" s="51">
        <f t="shared" ca="1" si="338"/>
        <v>819897</v>
      </c>
      <c r="CY108" s="52">
        <f ca="1">BD37</f>
        <v>82</v>
      </c>
      <c r="CZ108" s="51" t="s">
        <v>6</v>
      </c>
      <c r="DA108" s="78">
        <v>32</v>
      </c>
      <c r="DB108" s="78">
        <v>1</v>
      </c>
      <c r="DC108" s="51">
        <f t="shared" ca="1" si="344"/>
        <v>489971</v>
      </c>
    </row>
    <row r="109" spans="1:107" x14ac:dyDescent="0.2">
      <c r="A109">
        <v>27</v>
      </c>
      <c r="B109" s="65" t="str">
        <f t="shared" si="330"/>
        <v>pekin</v>
      </c>
      <c r="C109" s="89" t="str">
        <f t="shared" si="331"/>
        <v/>
      </c>
      <c r="D109" s="69" t="str">
        <f t="shared" si="332"/>
        <v>nie płaci</v>
      </c>
      <c r="E109" s="89" t="str">
        <f t="shared" si="333"/>
        <v>dobiera</v>
      </c>
      <c r="F109" s="1" t="str">
        <f t="shared" si="334"/>
        <v/>
      </c>
      <c r="G109" s="1" t="str">
        <f t="shared" si="346"/>
        <v>oazy</v>
      </c>
      <c r="H109" s="1"/>
      <c r="I109" s="1"/>
      <c r="J109" s="1"/>
      <c r="K109" s="1"/>
      <c r="L109" s="1" t="str">
        <f t="shared" si="335"/>
        <v/>
      </c>
      <c r="CG109" s="1">
        <f t="shared" ca="1" si="345"/>
        <v>102</v>
      </c>
      <c r="CH109" s="1">
        <f t="shared" ca="1" si="339"/>
        <v>49</v>
      </c>
      <c r="CI109" s="1" t="str">
        <f t="shared" ca="1" si="340"/>
        <v>Justyna</v>
      </c>
      <c r="CJ109" s="13">
        <f t="shared" ca="1" si="341"/>
        <v>21</v>
      </c>
      <c r="CK109">
        <f t="shared" ca="1" si="342"/>
        <v>4</v>
      </c>
      <c r="CL109" s="55">
        <f t="shared" ca="1" si="343"/>
        <v>4</v>
      </c>
      <c r="CW109" s="93">
        <f t="shared" si="316"/>
        <v>104</v>
      </c>
      <c r="CX109" s="51">
        <f t="shared" ca="1" si="338"/>
        <v>609896</v>
      </c>
      <c r="CY109" s="52">
        <f ca="1">BE37</f>
        <v>61</v>
      </c>
      <c r="CZ109" s="93" t="s">
        <v>7</v>
      </c>
      <c r="DA109" s="78">
        <v>32</v>
      </c>
      <c r="DB109" s="78">
        <v>2</v>
      </c>
      <c r="DC109" s="51">
        <f t="shared" ca="1" si="344"/>
        <v>489936</v>
      </c>
    </row>
    <row r="110" spans="1:107" x14ac:dyDescent="0.2">
      <c r="A110">
        <v>28</v>
      </c>
      <c r="B110" s="89" t="str">
        <f t="shared" si="330"/>
        <v>nie płaci</v>
      </c>
      <c r="C110" s="65" t="str">
        <f t="shared" si="331"/>
        <v>biała kość</v>
      </c>
      <c r="D110" s="69" t="str">
        <f t="shared" si="332"/>
        <v>dwa piony</v>
      </c>
      <c r="E110" s="89" t="str">
        <f t="shared" si="333"/>
        <v>oazy</v>
      </c>
      <c r="F110" s="1" t="str">
        <f t="shared" si="334"/>
        <v/>
      </c>
      <c r="G110" s="1" t="str">
        <f t="shared" si="346"/>
        <v/>
      </c>
      <c r="H110" s="1"/>
      <c r="I110" s="1"/>
      <c r="J110" s="1"/>
      <c r="K110" s="1"/>
      <c r="L110" s="1" t="str">
        <f t="shared" si="335"/>
        <v/>
      </c>
      <c r="CG110" s="1">
        <f t="shared" ca="1" si="345"/>
        <v>102</v>
      </c>
      <c r="CH110" s="1">
        <f t="shared" ca="1" si="339"/>
        <v>49</v>
      </c>
      <c r="CI110" s="1" t="str">
        <f t="shared" ca="1" si="340"/>
        <v>Magda</v>
      </c>
      <c r="CJ110" s="13">
        <f t="shared" ca="1" si="341"/>
        <v>26</v>
      </c>
      <c r="CK110">
        <f t="shared" ca="1" si="342"/>
        <v>4</v>
      </c>
      <c r="CL110" s="55">
        <f t="shared" ca="1" si="343"/>
        <v>4</v>
      </c>
      <c r="CW110" s="93">
        <f t="shared" si="316"/>
        <v>105</v>
      </c>
      <c r="CX110" s="51">
        <f t="shared" ca="1" si="338"/>
        <v>589895</v>
      </c>
      <c r="CY110" s="52">
        <f ca="1">BG37</f>
        <v>59</v>
      </c>
      <c r="CZ110" s="51" t="s">
        <v>9</v>
      </c>
      <c r="DA110" s="78">
        <v>32</v>
      </c>
      <c r="DB110" s="78">
        <v>3</v>
      </c>
      <c r="DC110" s="51">
        <f t="shared" ca="1" si="344"/>
        <v>489917</v>
      </c>
    </row>
    <row r="111" spans="1:107" x14ac:dyDescent="0.2">
      <c r="A111">
        <v>29</v>
      </c>
      <c r="B111" s="65" t="str">
        <f t="shared" si="330"/>
        <v>nie płaci</v>
      </c>
      <c r="C111" s="89" t="str">
        <f t="shared" si="331"/>
        <v>dobiera</v>
      </c>
      <c r="D111" s="69" t="str">
        <f t="shared" si="332"/>
        <v>biała kość</v>
      </c>
      <c r="E111" s="89" t="str">
        <f t="shared" si="333"/>
        <v>bazar</v>
      </c>
      <c r="F111" s="1" t="str">
        <f t="shared" si="334"/>
        <v/>
      </c>
      <c r="G111" s="1" t="str">
        <f t="shared" si="346"/>
        <v/>
      </c>
      <c r="H111" s="1"/>
      <c r="I111" s="1"/>
      <c r="J111" s="1"/>
      <c r="K111" s="1"/>
      <c r="L111" s="1" t="str">
        <f t="shared" si="335"/>
        <v/>
      </c>
      <c r="CG111" s="1">
        <f t="shared" ca="1" si="345"/>
        <v>102</v>
      </c>
      <c r="CH111" s="1">
        <f t="shared" ca="1" si="339"/>
        <v>49</v>
      </c>
      <c r="CI111" s="1" t="str">
        <f t="shared" ca="1" si="340"/>
        <v>Ela</v>
      </c>
      <c r="CJ111" s="13">
        <f t="shared" ca="1" si="341"/>
        <v>33</v>
      </c>
      <c r="CK111">
        <f t="shared" ca="1" si="342"/>
        <v>4</v>
      </c>
      <c r="CL111" s="55">
        <f t="shared" ca="1" si="343"/>
        <v>4</v>
      </c>
      <c r="CW111" s="93">
        <f t="shared" si="316"/>
        <v>106</v>
      </c>
      <c r="CX111" s="51">
        <f t="shared" ca="1" si="338"/>
        <v>549894</v>
      </c>
      <c r="CY111" s="52">
        <f ca="1">BF37</f>
        <v>55</v>
      </c>
      <c r="CZ111" s="51" t="s">
        <v>8</v>
      </c>
      <c r="DA111" s="78">
        <v>32</v>
      </c>
      <c r="DB111" s="78">
        <v>4</v>
      </c>
      <c r="DC111" s="51">
        <f t="shared" ca="1" si="344"/>
        <v>489890</v>
      </c>
    </row>
    <row r="112" spans="1:107" x14ac:dyDescent="0.2">
      <c r="A112">
        <v>30</v>
      </c>
      <c r="B112" s="89" t="str">
        <f t="shared" si="330"/>
        <v>dobiera</v>
      </c>
      <c r="C112" s="89" t="str">
        <f t="shared" si="331"/>
        <v>pekin</v>
      </c>
      <c r="D112" s="69" t="str">
        <f t="shared" si="332"/>
        <v/>
      </c>
      <c r="E112" s="65" t="str">
        <f t="shared" si="333"/>
        <v>nie płaci</v>
      </c>
      <c r="F112" s="1" t="str">
        <f t="shared" si="334"/>
        <v>domki</v>
      </c>
      <c r="G112" s="1" t="str">
        <f t="shared" si="346"/>
        <v/>
      </c>
      <c r="H112" s="1"/>
      <c r="I112" s="1"/>
      <c r="J112" s="1"/>
      <c r="K112" s="1"/>
      <c r="L112" s="1" t="str">
        <f t="shared" si="335"/>
        <v/>
      </c>
      <c r="CG112" s="1">
        <f t="shared" ca="1" si="345"/>
        <v>107</v>
      </c>
      <c r="CH112" s="1">
        <f t="shared" ca="1" si="339"/>
        <v>45</v>
      </c>
      <c r="CI112" s="1" t="str">
        <f t="shared" ca="1" si="340"/>
        <v>Justyna</v>
      </c>
      <c r="CJ112" s="13">
        <f t="shared" ca="1" si="341"/>
        <v>28</v>
      </c>
      <c r="CK112">
        <f t="shared" ca="1" si="342"/>
        <v>4</v>
      </c>
      <c r="CL112" s="55">
        <f t="shared" ca="1" si="343"/>
        <v>4</v>
      </c>
      <c r="CW112" s="93">
        <f t="shared" si="316"/>
        <v>107</v>
      </c>
      <c r="CX112" s="51">
        <f t="shared" ca="1" si="338"/>
        <v>789893</v>
      </c>
      <c r="CY112" s="52">
        <f ca="1">BD38</f>
        <v>79</v>
      </c>
      <c r="CZ112" s="51" t="s">
        <v>6</v>
      </c>
      <c r="DA112" s="78">
        <v>33</v>
      </c>
      <c r="DB112" s="78">
        <v>1</v>
      </c>
      <c r="DC112" s="51">
        <f t="shared" ca="1" si="344"/>
        <v>449911</v>
      </c>
    </row>
    <row r="113" spans="1:107" x14ac:dyDescent="0.2">
      <c r="A113">
        <v>31</v>
      </c>
      <c r="B113" s="65" t="str">
        <f t="shared" si="330"/>
        <v>domki</v>
      </c>
      <c r="C113" s="89" t="str">
        <f t="shared" si="331"/>
        <v/>
      </c>
      <c r="D113" s="89" t="str">
        <f t="shared" si="332"/>
        <v/>
      </c>
      <c r="E113" s="89" t="str">
        <f t="shared" si="333"/>
        <v/>
      </c>
      <c r="F113" s="89" t="str">
        <f t="shared" si="334"/>
        <v/>
      </c>
      <c r="G113" s="89" t="str">
        <f t="shared" si="346"/>
        <v/>
      </c>
      <c r="H113" s="89" t="str">
        <f t="shared" ref="H113:K115" si="347">IF(AK36=1,$B36,IF(AK36=2,$C36,IF(AK36=3,$D36,IF(AK36=4,$E36,""))))</f>
        <v>pekin</v>
      </c>
      <c r="I113" s="89" t="str">
        <f t="shared" si="347"/>
        <v>oazy</v>
      </c>
      <c r="J113" s="89" t="str">
        <f t="shared" si="347"/>
        <v/>
      </c>
      <c r="K113" s="89" t="str">
        <f t="shared" si="347"/>
        <v/>
      </c>
      <c r="L113" s="89" t="str">
        <f t="shared" si="335"/>
        <v/>
      </c>
      <c r="CG113" s="1">
        <f t="shared" ca="1" si="345"/>
        <v>108</v>
      </c>
      <c r="CH113" s="1">
        <f t="shared" ca="1" si="339"/>
        <v>41</v>
      </c>
      <c r="CI113" s="1" t="str">
        <f t="shared" ca="1" si="340"/>
        <v>Justyna</v>
      </c>
      <c r="CJ113" s="13">
        <f t="shared" ca="1" si="341"/>
        <v>1</v>
      </c>
      <c r="CK113">
        <f t="shared" ca="1" si="342"/>
        <v>3</v>
      </c>
      <c r="CL113" s="55">
        <f t="shared" ca="1" si="343"/>
        <v>3</v>
      </c>
      <c r="CW113" s="93">
        <f t="shared" si="316"/>
        <v>108</v>
      </c>
      <c r="CX113" s="51">
        <f t="shared" ca="1" si="338"/>
        <v>689892</v>
      </c>
      <c r="CY113" s="52">
        <f ca="1">BL38</f>
        <v>69</v>
      </c>
      <c r="CZ113" s="93" t="s">
        <v>152</v>
      </c>
      <c r="DA113" s="78">
        <v>33</v>
      </c>
      <c r="DB113" s="78">
        <v>2</v>
      </c>
      <c r="DC113" s="51">
        <f t="shared" ca="1" si="344"/>
        <v>409986</v>
      </c>
    </row>
    <row r="114" spans="1:107" x14ac:dyDescent="0.2">
      <c r="A114">
        <v>32</v>
      </c>
      <c r="B114" s="65" t="str">
        <f t="shared" si="330"/>
        <v>nie płaci</v>
      </c>
      <c r="C114" s="89" t="str">
        <f t="shared" si="331"/>
        <v>pekin</v>
      </c>
      <c r="D114" s="89" t="str">
        <f t="shared" si="332"/>
        <v>biała kość</v>
      </c>
      <c r="E114" s="89" t="str">
        <f t="shared" si="333"/>
        <v>domki</v>
      </c>
      <c r="F114" s="89" t="str">
        <f t="shared" si="334"/>
        <v/>
      </c>
      <c r="G114" s="89" t="str">
        <f t="shared" si="346"/>
        <v/>
      </c>
      <c r="H114" s="89" t="str">
        <f t="shared" si="347"/>
        <v/>
      </c>
      <c r="I114" s="89" t="str">
        <f t="shared" si="347"/>
        <v/>
      </c>
      <c r="J114" s="89" t="str">
        <f t="shared" si="347"/>
        <v/>
      </c>
      <c r="K114" s="89" t="str">
        <f t="shared" si="347"/>
        <v/>
      </c>
      <c r="L114" s="89" t="str">
        <f t="shared" si="335"/>
        <v/>
      </c>
      <c r="CG114" s="1">
        <f t="shared" ca="1" si="345"/>
        <v>108</v>
      </c>
      <c r="CH114" s="1">
        <f t="shared" ca="1" si="339"/>
        <v>41</v>
      </c>
      <c r="CI114" s="1" t="str">
        <f t="shared" ca="1" si="340"/>
        <v>Mateusz</v>
      </c>
      <c r="CJ114" s="13">
        <f t="shared" ca="1" si="341"/>
        <v>18</v>
      </c>
      <c r="CK114">
        <f t="shared" ca="1" si="342"/>
        <v>4</v>
      </c>
      <c r="CL114" s="55">
        <f t="shared" ca="1" si="343"/>
        <v>4</v>
      </c>
      <c r="CW114" s="93">
        <f t="shared" si="316"/>
        <v>109</v>
      </c>
      <c r="CX114" s="51">
        <f t="shared" ca="1" si="338"/>
        <v>549891</v>
      </c>
      <c r="CY114" s="52">
        <f ca="1">BF38</f>
        <v>55</v>
      </c>
      <c r="CZ114" s="51" t="s">
        <v>8</v>
      </c>
      <c r="DA114" s="78">
        <v>33</v>
      </c>
      <c r="DB114" s="78">
        <v>3</v>
      </c>
      <c r="DC114" s="51">
        <f t="shared" ca="1" si="344"/>
        <v>409950</v>
      </c>
    </row>
    <row r="115" spans="1:107" x14ac:dyDescent="0.2">
      <c r="A115">
        <v>33</v>
      </c>
      <c r="B115" s="65" t="str">
        <f t="shared" si="330"/>
        <v>bazar</v>
      </c>
      <c r="C115" s="89" t="str">
        <f t="shared" si="331"/>
        <v/>
      </c>
      <c r="D115" s="89" t="str">
        <f t="shared" si="332"/>
        <v>biała kość</v>
      </c>
      <c r="E115" s="89" t="str">
        <f t="shared" si="333"/>
        <v/>
      </c>
      <c r="F115" s="89" t="str">
        <f t="shared" si="334"/>
        <v/>
      </c>
      <c r="G115" s="89" t="str">
        <f t="shared" si="346"/>
        <v/>
      </c>
      <c r="H115" s="89" t="str">
        <f t="shared" si="347"/>
        <v/>
      </c>
      <c r="I115" s="89" t="str">
        <f t="shared" si="347"/>
        <v/>
      </c>
      <c r="J115" s="89" t="str">
        <f t="shared" si="347"/>
        <v>nie płaci</v>
      </c>
      <c r="K115" s="89" t="str">
        <f t="shared" si="347"/>
        <v>dobiera</v>
      </c>
      <c r="L115" s="89" t="str">
        <f t="shared" si="335"/>
        <v/>
      </c>
      <c r="CG115" s="1">
        <f t="shared" ca="1" si="345"/>
        <v>110</v>
      </c>
      <c r="CH115" s="1">
        <f t="shared" ca="1" si="339"/>
        <v>39</v>
      </c>
      <c r="CI115" s="1" t="str">
        <f t="shared" ca="1" si="340"/>
        <v>Mateusz</v>
      </c>
      <c r="CJ115" s="13">
        <f t="shared" ca="1" si="341"/>
        <v>7</v>
      </c>
      <c r="CK115">
        <f t="shared" ca="1" si="342"/>
        <v>4</v>
      </c>
      <c r="CL115" s="55">
        <f t="shared" ca="1" si="343"/>
        <v>4</v>
      </c>
      <c r="CW115" s="93">
        <f t="shared" si="316"/>
        <v>110</v>
      </c>
      <c r="CX115" s="51">
        <f t="shared" ca="1" si="338"/>
        <v>489890</v>
      </c>
      <c r="CY115" s="52">
        <f ca="1">BM38</f>
        <v>49</v>
      </c>
      <c r="CZ115" s="93" t="s">
        <v>153</v>
      </c>
      <c r="DA115" s="78">
        <v>33</v>
      </c>
      <c r="DB115" s="78">
        <v>4</v>
      </c>
      <c r="DC115" s="51">
        <f t="shared" ca="1" si="344"/>
        <v>389993</v>
      </c>
    </row>
    <row r="116" spans="1:107" x14ac:dyDescent="0.2">
      <c r="A116">
        <v>34</v>
      </c>
      <c r="B116" s="65" t="str">
        <f t="shared" ref="B116" si="348">IF(AE39=1,$B39,IF(AE39=2,$C39,IF(AE39=3,$D39,IF(AE39=4,$E39,""))))</f>
        <v>nie płaci</v>
      </c>
      <c r="C116" s="89" t="str">
        <f t="shared" ref="C116" si="349">IF(AF39=1,$B39,IF(AF39=2,$C39,IF(AF39=3,$D39,IF(AF39=4,$E39,""))))</f>
        <v>domki</v>
      </c>
      <c r="D116" s="89" t="str">
        <f t="shared" ref="D116" si="350">IF(AG39=1,$B39,IF(AG39=2,$C39,IF(AG39=3,$D39,IF(AG39=4,$E39,""))))</f>
        <v>bazar</v>
      </c>
      <c r="E116" s="101" t="str">
        <f>E39</f>
        <v>biała kość</v>
      </c>
      <c r="F116" s="89" t="str">
        <f t="shared" ref="F116" si="351">IF(AI39=1,$B39,IF(AI39=2,$C39,IF(AI39=3,$D39,IF(AI39=4,$E39,""))))</f>
        <v/>
      </c>
      <c r="G116" s="89" t="str">
        <f t="shared" ref="G116" si="352">IF(AJ39=1,$B39,IF(AJ39=2,$C39,IF(AJ39=3,$D39,IF(AJ39=4,$E39,""))))</f>
        <v/>
      </c>
      <c r="H116" s="89" t="str">
        <f t="shared" ref="H116" si="353">IF(AK39=1,$B39,IF(AK39=2,$C39,IF(AK39=3,$D39,IF(AK39=4,$E39,""))))</f>
        <v/>
      </c>
      <c r="I116" s="89" t="str">
        <f t="shared" ref="I116" si="354">IF(AL39=1,$B39,IF(AL39=2,$C39,IF(AL39=3,$D39,IF(AL39=4,$E39,""))))</f>
        <v/>
      </c>
      <c r="J116" s="89" t="str">
        <f t="shared" ref="J116" si="355">IF(AM39=1,$B39,IF(AM39=2,$C39,IF(AM39=3,$D39,IF(AM39=4,$E39,""))))</f>
        <v/>
      </c>
      <c r="K116" s="89" t="str">
        <f t="shared" ref="K116" si="356">IF(AN39=1,$B39,IF(AN39=2,$C39,IF(AN39=3,$D39,IF(AN39=4,$E39,""))))</f>
        <v/>
      </c>
      <c r="L116" s="89" t="str">
        <f t="shared" ref="L116" si="357">IF(AO39=1,$B39,IF(AO39=2,$C39,IF(AO39=3,$D39,IF(AO39=4,$E39,""))))</f>
        <v/>
      </c>
      <c r="CG116" s="1">
        <f t="shared" ref="CG116:CG119" ca="1" si="358">IF(CH116=CH115,CG115,CW116)</f>
        <v>110</v>
      </c>
      <c r="CH116" s="1">
        <f t="shared" ref="CH116:CH119" ca="1" si="359">VLOOKUP(DC116,CX:CZ,2,FALSE)</f>
        <v>39</v>
      </c>
      <c r="CI116" s="1" t="str">
        <f t="shared" ref="CI116:CI119" ca="1" si="360">VLOOKUP(DC116,CX:CZ,3,FALSE)</f>
        <v>Agnieszka</v>
      </c>
      <c r="CJ116" s="13">
        <f t="shared" ref="CJ116:CJ119" ca="1" si="361">VLOOKUP(DC116,CX:DA,4,FALSE)</f>
        <v>27</v>
      </c>
      <c r="CK116">
        <f t="shared" ref="CK116:CK119" ca="1" si="362">VLOOKUP(DC116,CX:DB,5,FALSE)</f>
        <v>4</v>
      </c>
      <c r="CL116" s="55">
        <f t="shared" ref="CL116:CL119" ca="1" si="363">IF(CJ116="&lt;- dzisiaj",VLOOKUP(MAX($CJ:$CJ)+1,$N:$O,2,FALSE),VLOOKUP(CJ116,$N:$O,2,FALSE))</f>
        <v>4</v>
      </c>
      <c r="CW116" s="93">
        <f t="shared" si="316"/>
        <v>111</v>
      </c>
      <c r="CX116" s="51">
        <f t="shared" ca="1" si="338"/>
        <v>899889</v>
      </c>
      <c r="CY116" s="52">
        <f ca="1">BD39</f>
        <v>90</v>
      </c>
      <c r="CZ116" s="51" t="s">
        <v>6</v>
      </c>
      <c r="DA116" s="78">
        <v>34</v>
      </c>
      <c r="DB116" s="78">
        <v>1</v>
      </c>
      <c r="DC116" s="51">
        <f t="shared" ref="DC116:DC119" ca="1" si="364">LARGE(CX:CX,CW116)</f>
        <v>389913</v>
      </c>
    </row>
    <row r="117" spans="1:107" x14ac:dyDescent="0.2">
      <c r="CG117" s="1">
        <f t="shared" ca="1" si="358"/>
        <v>112</v>
      </c>
      <c r="CH117" s="1">
        <f t="shared" ca="1" si="359"/>
        <v>37</v>
      </c>
      <c r="CI117" s="1" t="str">
        <f t="shared" ca="1" si="360"/>
        <v>Dominika</v>
      </c>
      <c r="CJ117" s="13">
        <f t="shared" ca="1" si="361"/>
        <v>19</v>
      </c>
      <c r="CK117">
        <f t="shared" ca="1" si="362"/>
        <v>4</v>
      </c>
      <c r="CL117" s="55">
        <f t="shared" ca="1" si="363"/>
        <v>4</v>
      </c>
      <c r="CW117" s="93">
        <f t="shared" si="316"/>
        <v>112</v>
      </c>
      <c r="CX117" s="51">
        <f t="shared" ca="1" si="338"/>
        <v>799888</v>
      </c>
      <c r="CY117" s="52">
        <f ca="1">BF39</f>
        <v>80</v>
      </c>
      <c r="CZ117" s="51" t="s">
        <v>8</v>
      </c>
      <c r="DA117" s="78">
        <v>34</v>
      </c>
      <c r="DB117" s="78">
        <v>2</v>
      </c>
      <c r="DC117" s="51">
        <f t="shared" ca="1" si="364"/>
        <v>369943</v>
      </c>
    </row>
    <row r="118" spans="1:107" x14ac:dyDescent="0.2">
      <c r="CG118" s="1">
        <f t="shared" ca="1" si="358"/>
        <v>113</v>
      </c>
      <c r="CH118" s="1">
        <f t="shared" ca="1" si="359"/>
        <v>36</v>
      </c>
      <c r="CI118" s="1" t="str">
        <f t="shared" ca="1" si="360"/>
        <v>Dominika</v>
      </c>
      <c r="CJ118" s="13">
        <f t="shared" ca="1" si="361"/>
        <v>30</v>
      </c>
      <c r="CK118">
        <f t="shared" ca="1" si="362"/>
        <v>4</v>
      </c>
      <c r="CL118" s="55">
        <f t="shared" ca="1" si="363"/>
        <v>4</v>
      </c>
      <c r="CW118" s="93">
        <f t="shared" si="316"/>
        <v>113</v>
      </c>
      <c r="CX118" s="51">
        <f t="shared" ca="1" si="338"/>
        <v>689887</v>
      </c>
      <c r="CY118" s="52">
        <f ca="1">BE39</f>
        <v>69</v>
      </c>
      <c r="CZ118" s="93" t="s">
        <v>7</v>
      </c>
      <c r="DA118" s="78">
        <v>34</v>
      </c>
      <c r="DB118" s="78">
        <v>3</v>
      </c>
      <c r="DC118" s="51">
        <f t="shared" ca="1" si="364"/>
        <v>359901</v>
      </c>
    </row>
    <row r="119" spans="1:107" x14ac:dyDescent="0.2">
      <c r="CG119" s="1">
        <f t="shared" ca="1" si="358"/>
        <v>114</v>
      </c>
      <c r="CH119" s="1">
        <f t="shared" ca="1" si="359"/>
        <v>35</v>
      </c>
      <c r="CI119" s="1" t="str">
        <f t="shared" ca="1" si="360"/>
        <v>Justyna</v>
      </c>
      <c r="CJ119" s="13">
        <f t="shared" ca="1" si="361"/>
        <v>23</v>
      </c>
      <c r="CK119">
        <f t="shared" ca="1" si="362"/>
        <v>4</v>
      </c>
      <c r="CL119" s="55">
        <f t="shared" ca="1" si="363"/>
        <v>4</v>
      </c>
      <c r="CW119" s="93">
        <f t="shared" si="316"/>
        <v>114</v>
      </c>
      <c r="CX119" s="51">
        <f t="shared" ca="1" si="338"/>
        <v>689886</v>
      </c>
      <c r="CY119" s="52">
        <f ca="1">BG39</f>
        <v>69</v>
      </c>
      <c r="CZ119" s="51" t="s">
        <v>9</v>
      </c>
      <c r="DA119" s="78">
        <v>34</v>
      </c>
      <c r="DB119" s="78">
        <v>3</v>
      </c>
      <c r="DC119" s="51">
        <f t="shared" ca="1" si="364"/>
        <v>349929</v>
      </c>
    </row>
    <row r="188" spans="54:72" x14ac:dyDescent="0.2">
      <c r="BT188" s="24"/>
    </row>
    <row r="192" spans="54:72" x14ac:dyDescent="0.2">
      <c r="BB192">
        <f t="shared" ref="BB192:BB219" si="365">AD6</f>
        <v>3</v>
      </c>
      <c r="BD192" s="24">
        <f>U6</f>
        <v>62</v>
      </c>
      <c r="BE192" s="24">
        <f>V6</f>
        <v>60</v>
      </c>
      <c r="BF192" s="24">
        <f>W6</f>
        <v>41</v>
      </c>
      <c r="BG192" s="24"/>
      <c r="BH192" s="24"/>
      <c r="BI192" s="24"/>
      <c r="BJ192" s="24">
        <f t="shared" ref="BJ192:BJ224" si="366">BE192+1</f>
        <v>61</v>
      </c>
      <c r="BK192" s="24"/>
      <c r="BL192" s="24"/>
      <c r="BM192" s="24"/>
    </row>
    <row r="193" spans="54:69" x14ac:dyDescent="0.2">
      <c r="BB193">
        <f t="shared" si="365"/>
        <v>2</v>
      </c>
      <c r="BD193" s="24">
        <f t="shared" ref="BD193:BD219" si="367">U7</f>
        <v>58</v>
      </c>
      <c r="BE193" s="24">
        <f t="shared" ref="BE193:BE219" si="368">V7</f>
        <v>55</v>
      </c>
      <c r="BF193" s="54">
        <f>BF192+5</f>
        <v>46</v>
      </c>
      <c r="BG193" s="24"/>
      <c r="BH193" s="24"/>
      <c r="BI193" s="24"/>
      <c r="BJ193" s="24">
        <f t="shared" si="366"/>
        <v>56</v>
      </c>
      <c r="BK193" s="24"/>
      <c r="BL193" s="24"/>
      <c r="BM193" s="24"/>
      <c r="BP193" s="24"/>
    </row>
    <row r="194" spans="54:69" x14ac:dyDescent="0.2">
      <c r="BB194">
        <f t="shared" si="365"/>
        <v>2</v>
      </c>
      <c r="BD194" s="24">
        <f t="shared" si="367"/>
        <v>67</v>
      </c>
      <c r="BE194" s="24">
        <f t="shared" si="368"/>
        <v>49</v>
      </c>
      <c r="BF194" s="54">
        <f>BF193+5</f>
        <v>51</v>
      </c>
      <c r="BG194" s="24"/>
      <c r="BH194" s="24"/>
      <c r="BI194" s="24"/>
      <c r="BJ194" s="24">
        <f t="shared" si="366"/>
        <v>50</v>
      </c>
      <c r="BK194" s="24"/>
      <c r="BL194" s="24"/>
      <c r="BM194" s="24"/>
      <c r="BP194" s="24"/>
    </row>
    <row r="195" spans="54:69" x14ac:dyDescent="0.2">
      <c r="BB195">
        <f t="shared" si="365"/>
        <v>4</v>
      </c>
      <c r="BD195" s="24">
        <f t="shared" si="367"/>
        <v>67</v>
      </c>
      <c r="BE195" s="24">
        <f t="shared" si="368"/>
        <v>57</v>
      </c>
      <c r="BF195" s="24">
        <f>W9</f>
        <v>56</v>
      </c>
      <c r="BG195" s="24">
        <f>X9</f>
        <v>49</v>
      </c>
      <c r="BH195" s="24"/>
      <c r="BI195" s="24"/>
      <c r="BJ195" s="24">
        <f t="shared" si="366"/>
        <v>58</v>
      </c>
      <c r="BK195" s="24"/>
      <c r="BL195" s="24"/>
      <c r="BM195" s="24"/>
      <c r="BP195" s="24"/>
    </row>
    <row r="196" spans="54:69" x14ac:dyDescent="0.2">
      <c r="BB196">
        <f t="shared" si="365"/>
        <v>2</v>
      </c>
      <c r="BD196" s="24">
        <f t="shared" si="367"/>
        <v>72</v>
      </c>
      <c r="BE196" s="24">
        <f t="shared" si="368"/>
        <v>55</v>
      </c>
      <c r="BF196" s="54">
        <f>BF195-2.5</f>
        <v>53.5</v>
      </c>
      <c r="BG196" s="54">
        <f>BG195-10/3</f>
        <v>45.666666666666664</v>
      </c>
      <c r="BH196" s="54"/>
      <c r="BI196" s="54"/>
      <c r="BJ196" s="24">
        <f t="shared" si="366"/>
        <v>56</v>
      </c>
      <c r="BK196" s="54"/>
      <c r="BL196" s="54"/>
      <c r="BM196" s="54"/>
      <c r="BQ196" s="24"/>
    </row>
    <row r="197" spans="54:69" x14ac:dyDescent="0.2">
      <c r="BB197">
        <f t="shared" si="365"/>
        <v>3</v>
      </c>
      <c r="BD197" s="24">
        <f t="shared" si="367"/>
        <v>76</v>
      </c>
      <c r="BE197" s="24">
        <f t="shared" si="368"/>
        <v>66</v>
      </c>
      <c r="BF197" s="24">
        <f>W11</f>
        <v>51</v>
      </c>
      <c r="BG197" s="54">
        <f>BG196-10/3</f>
        <v>42.333333333333329</v>
      </c>
      <c r="BH197" s="54"/>
      <c r="BI197" s="54"/>
      <c r="BJ197" s="24">
        <f t="shared" si="366"/>
        <v>67</v>
      </c>
      <c r="BK197" s="54"/>
      <c r="BL197" s="54"/>
      <c r="BM197" s="54"/>
      <c r="BQ197" s="24"/>
    </row>
    <row r="198" spans="54:69" x14ac:dyDescent="0.2">
      <c r="BB198">
        <f t="shared" si="365"/>
        <v>4</v>
      </c>
      <c r="BD198" s="24">
        <f t="shared" si="367"/>
        <v>74</v>
      </c>
      <c r="BE198" s="24">
        <f t="shared" si="368"/>
        <v>64</v>
      </c>
      <c r="BF198" s="24">
        <f>W12</f>
        <v>52</v>
      </c>
      <c r="BG198" s="24">
        <f>X12</f>
        <v>39</v>
      </c>
      <c r="BH198" s="24"/>
      <c r="BI198" s="24"/>
      <c r="BJ198" s="24">
        <f t="shared" si="366"/>
        <v>65</v>
      </c>
      <c r="BK198" s="24"/>
      <c r="BL198" s="24"/>
      <c r="BM198" s="24"/>
    </row>
    <row r="199" spans="54:69" x14ac:dyDescent="0.2">
      <c r="BB199">
        <f t="shared" si="365"/>
        <v>3</v>
      </c>
      <c r="BD199" s="24">
        <f t="shared" si="367"/>
        <v>85</v>
      </c>
      <c r="BE199" s="24">
        <f t="shared" si="368"/>
        <v>74</v>
      </c>
      <c r="BF199" s="24">
        <f>W13</f>
        <v>56</v>
      </c>
      <c r="BG199" s="54">
        <f>BG198+11/4</f>
        <v>41.75</v>
      </c>
      <c r="BH199" s="54"/>
      <c r="BI199" s="54"/>
      <c r="BJ199" s="24">
        <f t="shared" si="366"/>
        <v>75</v>
      </c>
      <c r="BK199" s="54"/>
      <c r="BL199" s="54"/>
      <c r="BM199" s="54"/>
    </row>
    <row r="200" spans="54:69" x14ac:dyDescent="0.2">
      <c r="BB200">
        <f t="shared" si="365"/>
        <v>2</v>
      </c>
      <c r="BD200" s="24">
        <f t="shared" si="367"/>
        <v>73</v>
      </c>
      <c r="BE200" s="24">
        <f t="shared" si="368"/>
        <v>66</v>
      </c>
      <c r="BF200" s="54">
        <f>BF199-1/3</f>
        <v>55.666666666666664</v>
      </c>
      <c r="BG200" s="54">
        <f>BG199+11/4</f>
        <v>44.5</v>
      </c>
      <c r="BH200" s="54"/>
      <c r="BI200" s="54"/>
      <c r="BJ200" s="24">
        <f t="shared" si="366"/>
        <v>67</v>
      </c>
      <c r="BK200" s="54"/>
      <c r="BL200" s="54"/>
      <c r="BM200" s="54"/>
    </row>
    <row r="201" spans="54:69" x14ac:dyDescent="0.2">
      <c r="BB201">
        <f t="shared" si="365"/>
        <v>2</v>
      </c>
      <c r="BD201" s="24">
        <f t="shared" si="367"/>
        <v>72</v>
      </c>
      <c r="BE201" s="24">
        <f t="shared" si="368"/>
        <v>50</v>
      </c>
      <c r="BF201" s="54">
        <f>BF200-1/3</f>
        <v>55.333333333333329</v>
      </c>
      <c r="BG201" s="54">
        <f>BG200+11/4</f>
        <v>47.25</v>
      </c>
      <c r="BH201" s="54"/>
      <c r="BI201" s="54"/>
      <c r="BJ201" s="24">
        <f t="shared" si="366"/>
        <v>51</v>
      </c>
      <c r="BK201" s="54"/>
      <c r="BL201" s="54"/>
      <c r="BM201" s="54"/>
    </row>
    <row r="202" spans="54:69" x14ac:dyDescent="0.2">
      <c r="BB202">
        <f t="shared" si="365"/>
        <v>4</v>
      </c>
      <c r="BD202" s="24">
        <f t="shared" si="367"/>
        <v>74</v>
      </c>
      <c r="BE202" s="24">
        <f t="shared" si="368"/>
        <v>69</v>
      </c>
      <c r="BF202" s="24">
        <f>W16</f>
        <v>55</v>
      </c>
      <c r="BG202" s="24">
        <f>X16</f>
        <v>50</v>
      </c>
      <c r="BH202" s="24"/>
      <c r="BI202" s="24"/>
      <c r="BJ202" s="24">
        <f t="shared" si="366"/>
        <v>70</v>
      </c>
      <c r="BK202" s="24"/>
      <c r="BL202" s="24"/>
      <c r="BM202" s="24"/>
      <c r="BO202" s="24"/>
    </row>
    <row r="203" spans="54:69" x14ac:dyDescent="0.2">
      <c r="BB203">
        <f t="shared" si="365"/>
        <v>4</v>
      </c>
      <c r="BD203" s="24">
        <f t="shared" si="367"/>
        <v>83</v>
      </c>
      <c r="BE203" s="24">
        <f t="shared" si="368"/>
        <v>76</v>
      </c>
      <c r="BF203" s="24">
        <f>W17</f>
        <v>64</v>
      </c>
      <c r="BG203" s="24">
        <f>X17</f>
        <v>63</v>
      </c>
      <c r="BH203" s="24"/>
      <c r="BI203" s="24"/>
      <c r="BJ203" s="24">
        <f t="shared" si="366"/>
        <v>77</v>
      </c>
      <c r="BK203" s="24"/>
      <c r="BL203" s="24"/>
      <c r="BM203" s="24"/>
    </row>
    <row r="204" spans="54:69" x14ac:dyDescent="0.2">
      <c r="BB204">
        <f t="shared" si="365"/>
        <v>3</v>
      </c>
      <c r="BD204" s="24">
        <f t="shared" si="367"/>
        <v>75</v>
      </c>
      <c r="BE204" s="24">
        <f t="shared" si="368"/>
        <v>68</v>
      </c>
      <c r="BF204" s="24">
        <f>W18</f>
        <v>52</v>
      </c>
      <c r="BG204" s="54">
        <f>BG203-(22)/6</f>
        <v>59.333333333333336</v>
      </c>
      <c r="BH204" s="24"/>
      <c r="BI204" s="24"/>
      <c r="BJ204" s="24">
        <f t="shared" si="366"/>
        <v>69</v>
      </c>
      <c r="BK204" s="24"/>
      <c r="BL204" s="24"/>
      <c r="BM204" s="24"/>
    </row>
    <row r="205" spans="54:69" x14ac:dyDescent="0.2">
      <c r="BB205">
        <f t="shared" si="365"/>
        <v>3</v>
      </c>
      <c r="BD205" s="24">
        <f t="shared" si="367"/>
        <v>65</v>
      </c>
      <c r="BE205" s="24">
        <f t="shared" si="368"/>
        <v>65</v>
      </c>
      <c r="BF205" s="24">
        <f>W19</f>
        <v>51</v>
      </c>
      <c r="BG205" s="54">
        <f>BG204-(22)/6</f>
        <v>55.666666666666671</v>
      </c>
      <c r="BH205" s="24"/>
      <c r="BI205" s="24"/>
      <c r="BJ205" s="24">
        <f t="shared" si="366"/>
        <v>66</v>
      </c>
      <c r="BK205" s="24"/>
      <c r="BL205" s="24"/>
      <c r="BM205" s="24"/>
    </row>
    <row r="206" spans="54:69" x14ac:dyDescent="0.2">
      <c r="BB206">
        <f t="shared" si="365"/>
        <v>3</v>
      </c>
      <c r="BD206" s="24">
        <f t="shared" si="367"/>
        <v>83</v>
      </c>
      <c r="BE206" s="24">
        <f t="shared" si="368"/>
        <v>81</v>
      </c>
      <c r="BF206" s="24">
        <f>W20</f>
        <v>51</v>
      </c>
      <c r="BG206" s="54">
        <f>BG205-(22)/6</f>
        <v>52.000000000000007</v>
      </c>
      <c r="BH206" s="24"/>
      <c r="BI206" s="24"/>
      <c r="BJ206" s="24">
        <f t="shared" si="366"/>
        <v>82</v>
      </c>
      <c r="BK206" s="24"/>
      <c r="BL206" s="24"/>
      <c r="BM206" s="24"/>
    </row>
    <row r="207" spans="54:69" x14ac:dyDescent="0.2">
      <c r="BB207">
        <f t="shared" si="365"/>
        <v>2</v>
      </c>
      <c r="BD207" s="24">
        <f t="shared" si="367"/>
        <v>95</v>
      </c>
      <c r="BE207" s="24">
        <f t="shared" si="368"/>
        <v>59</v>
      </c>
      <c r="BF207" s="54">
        <f>BF206+9/2</f>
        <v>55.5</v>
      </c>
      <c r="BG207" s="54">
        <f>BG206-(22)/6</f>
        <v>48.333333333333343</v>
      </c>
      <c r="BH207" s="24"/>
      <c r="BI207" s="24"/>
      <c r="BJ207" s="24">
        <f t="shared" si="366"/>
        <v>60</v>
      </c>
      <c r="BK207" s="24"/>
      <c r="BL207" s="24"/>
      <c r="BM207" s="24"/>
    </row>
    <row r="208" spans="54:69" x14ac:dyDescent="0.2">
      <c r="BB208">
        <f t="shared" si="365"/>
        <v>3</v>
      </c>
      <c r="BD208" s="24">
        <f t="shared" si="367"/>
        <v>80</v>
      </c>
      <c r="BE208" s="24">
        <f t="shared" si="368"/>
        <v>79</v>
      </c>
      <c r="BF208" s="24">
        <f t="shared" ref="BF208:BF219" si="369">W22</f>
        <v>60</v>
      </c>
      <c r="BG208" s="54">
        <f>BG207-(22)/6</f>
        <v>44.666666666666679</v>
      </c>
      <c r="BH208" s="24"/>
      <c r="BI208" s="24"/>
      <c r="BJ208" s="24">
        <f t="shared" si="366"/>
        <v>80</v>
      </c>
      <c r="BK208" s="24"/>
      <c r="BL208" s="24"/>
      <c r="BM208" s="24"/>
    </row>
    <row r="209" spans="54:65" x14ac:dyDescent="0.2">
      <c r="BB209">
        <f t="shared" si="365"/>
        <v>4</v>
      </c>
      <c r="BD209" s="24">
        <f t="shared" si="367"/>
        <v>105</v>
      </c>
      <c r="BE209" s="24">
        <f t="shared" si="368"/>
        <v>61</v>
      </c>
      <c r="BF209" s="24">
        <f t="shared" si="369"/>
        <v>60</v>
      </c>
      <c r="BG209" s="24">
        <f>X23</f>
        <v>41</v>
      </c>
      <c r="BH209" s="24"/>
      <c r="BI209" s="24"/>
      <c r="BJ209" s="24">
        <f t="shared" si="366"/>
        <v>62</v>
      </c>
      <c r="BK209" s="24"/>
      <c r="BL209" s="24"/>
      <c r="BM209" s="24"/>
    </row>
    <row r="210" spans="54:65" x14ac:dyDescent="0.2">
      <c r="BB210">
        <f t="shared" si="365"/>
        <v>4</v>
      </c>
      <c r="BD210" s="24">
        <f t="shared" si="367"/>
        <v>79</v>
      </c>
      <c r="BE210" s="24">
        <f t="shared" si="368"/>
        <v>71</v>
      </c>
      <c r="BF210" s="24">
        <f t="shared" si="369"/>
        <v>53</v>
      </c>
      <c r="BG210" s="24">
        <f>X24</f>
        <v>37</v>
      </c>
      <c r="BH210" s="24"/>
      <c r="BI210" s="24"/>
      <c r="BJ210" s="24">
        <f t="shared" si="366"/>
        <v>72</v>
      </c>
      <c r="BK210" s="24"/>
      <c r="BL210" s="24"/>
      <c r="BM210" s="24"/>
    </row>
    <row r="211" spans="54:65" x14ac:dyDescent="0.2">
      <c r="BB211">
        <f t="shared" si="365"/>
        <v>4</v>
      </c>
      <c r="BD211" s="24">
        <f t="shared" si="367"/>
        <v>76</v>
      </c>
      <c r="BE211" s="24">
        <f t="shared" si="368"/>
        <v>62</v>
      </c>
      <c r="BF211" s="24">
        <f t="shared" si="369"/>
        <v>61</v>
      </c>
      <c r="BG211" s="24">
        <f>X25</f>
        <v>60</v>
      </c>
      <c r="BH211" s="24"/>
      <c r="BI211" s="24"/>
      <c r="BJ211" s="24">
        <f t="shared" si="366"/>
        <v>63</v>
      </c>
      <c r="BK211" s="24"/>
      <c r="BL211" s="24"/>
      <c r="BM211" s="24"/>
    </row>
    <row r="212" spans="54:65" x14ac:dyDescent="0.2">
      <c r="BB212">
        <f t="shared" si="365"/>
        <v>4</v>
      </c>
      <c r="BD212" s="24">
        <f t="shared" si="367"/>
        <v>72</v>
      </c>
      <c r="BE212" s="24">
        <f t="shared" si="368"/>
        <v>69</v>
      </c>
      <c r="BF212" s="24">
        <f t="shared" si="369"/>
        <v>65</v>
      </c>
      <c r="BG212" s="24">
        <f>X26</f>
        <v>49</v>
      </c>
      <c r="BH212" s="24"/>
      <c r="BI212" s="24"/>
      <c r="BJ212" s="24">
        <f t="shared" si="366"/>
        <v>70</v>
      </c>
      <c r="BK212" s="24"/>
      <c r="BL212" s="24"/>
      <c r="BM212" s="24"/>
    </row>
    <row r="213" spans="54:65" x14ac:dyDescent="0.2">
      <c r="BB213">
        <f t="shared" si="365"/>
        <v>3</v>
      </c>
      <c r="BD213" s="24">
        <f t="shared" si="367"/>
        <v>72</v>
      </c>
      <c r="BE213" s="24">
        <f t="shared" si="368"/>
        <v>70</v>
      </c>
      <c r="BF213" s="24">
        <f t="shared" si="369"/>
        <v>66</v>
      </c>
      <c r="BG213" s="83">
        <f>BG212-14/2</f>
        <v>42</v>
      </c>
      <c r="BH213" s="24"/>
      <c r="BI213" s="24"/>
      <c r="BJ213" s="24">
        <f t="shared" si="366"/>
        <v>71</v>
      </c>
      <c r="BK213" s="24"/>
      <c r="BL213" s="24"/>
      <c r="BM213" s="24"/>
    </row>
    <row r="214" spans="54:65" x14ac:dyDescent="0.2">
      <c r="BB214">
        <f t="shared" si="365"/>
        <v>4</v>
      </c>
      <c r="BD214" s="24">
        <f t="shared" si="367"/>
        <v>86</v>
      </c>
      <c r="BE214" s="24">
        <f t="shared" si="368"/>
        <v>67</v>
      </c>
      <c r="BF214" s="24">
        <f t="shared" si="369"/>
        <v>50</v>
      </c>
      <c r="BG214" s="24">
        <f>X28</f>
        <v>35</v>
      </c>
      <c r="BH214" s="24"/>
      <c r="BI214" s="24"/>
      <c r="BJ214" s="24">
        <f t="shared" si="366"/>
        <v>68</v>
      </c>
      <c r="BK214" s="24"/>
      <c r="BL214" s="24"/>
      <c r="BM214" s="24"/>
    </row>
    <row r="215" spans="54:65" x14ac:dyDescent="0.2">
      <c r="BB215">
        <f t="shared" si="365"/>
        <v>4</v>
      </c>
      <c r="BD215" s="24">
        <f t="shared" si="367"/>
        <v>76</v>
      </c>
      <c r="BE215" s="24">
        <f t="shared" si="368"/>
        <v>64</v>
      </c>
      <c r="BF215" s="24">
        <f t="shared" si="369"/>
        <v>62</v>
      </c>
      <c r="BG215" s="24">
        <f>X29</f>
        <v>58</v>
      </c>
      <c r="BH215" s="24"/>
      <c r="BI215" s="24"/>
      <c r="BJ215" s="24">
        <f t="shared" si="366"/>
        <v>65</v>
      </c>
      <c r="BK215" s="24"/>
      <c r="BL215" s="24"/>
      <c r="BM215" s="24"/>
    </row>
    <row r="216" spans="54:65" x14ac:dyDescent="0.2">
      <c r="BB216">
        <f t="shared" si="365"/>
        <v>3</v>
      </c>
      <c r="BD216" s="24">
        <f t="shared" si="367"/>
        <v>71</v>
      </c>
      <c r="BE216" s="24">
        <f t="shared" si="368"/>
        <v>70</v>
      </c>
      <c r="BF216" s="24">
        <f t="shared" si="369"/>
        <v>58</v>
      </c>
      <c r="BG216" s="83">
        <f>BG215-4.5</f>
        <v>53.5</v>
      </c>
      <c r="BH216" s="24"/>
      <c r="BI216" s="24"/>
      <c r="BJ216" s="24">
        <f t="shared" si="366"/>
        <v>71</v>
      </c>
      <c r="BK216" s="24"/>
      <c r="BL216" s="24"/>
      <c r="BM216" s="24"/>
    </row>
    <row r="217" spans="54:65" x14ac:dyDescent="0.2">
      <c r="BB217">
        <f t="shared" si="365"/>
        <v>4</v>
      </c>
      <c r="BD217" s="24">
        <f t="shared" si="367"/>
        <v>89</v>
      </c>
      <c r="BE217" s="24">
        <f t="shared" si="368"/>
        <v>85</v>
      </c>
      <c r="BF217" s="24">
        <f t="shared" si="369"/>
        <v>85</v>
      </c>
      <c r="BG217" s="24">
        <f>X31</f>
        <v>49</v>
      </c>
      <c r="BJ217" s="24">
        <f t="shared" si="366"/>
        <v>86</v>
      </c>
    </row>
    <row r="218" spans="54:65" x14ac:dyDescent="0.2">
      <c r="BB218">
        <f t="shared" si="365"/>
        <v>4</v>
      </c>
      <c r="BD218" s="24">
        <f t="shared" si="367"/>
        <v>73</v>
      </c>
      <c r="BE218" s="24">
        <f t="shared" si="368"/>
        <v>67</v>
      </c>
      <c r="BF218" s="24">
        <f t="shared" si="369"/>
        <v>59</v>
      </c>
      <c r="BG218" s="24">
        <f>X32</f>
        <v>39</v>
      </c>
      <c r="BJ218" s="24">
        <f t="shared" si="366"/>
        <v>68</v>
      </c>
    </row>
    <row r="219" spans="54:65" x14ac:dyDescent="0.2">
      <c r="BB219">
        <f t="shared" si="365"/>
        <v>4</v>
      </c>
      <c r="BD219" s="24">
        <f t="shared" si="367"/>
        <v>82</v>
      </c>
      <c r="BE219" s="24">
        <f t="shared" si="368"/>
        <v>73</v>
      </c>
      <c r="BF219" s="24">
        <f t="shared" si="369"/>
        <v>53</v>
      </c>
      <c r="BG219" s="24">
        <f>X33</f>
        <v>45</v>
      </c>
      <c r="BJ219" s="24">
        <f t="shared" si="366"/>
        <v>74</v>
      </c>
    </row>
    <row r="220" spans="54:65" x14ac:dyDescent="0.2">
      <c r="BB220">
        <f t="shared" ref="BB220:BB222" si="370">AD34</f>
        <v>4</v>
      </c>
      <c r="BD220" s="24">
        <f t="shared" ref="BD220" si="371">U34</f>
        <v>80</v>
      </c>
      <c r="BE220" s="24">
        <f t="shared" ref="BE220:BE222" si="372">V34</f>
        <v>68</v>
      </c>
      <c r="BF220" s="24">
        <f t="shared" ref="BF220:BF222" si="373">W34</f>
        <v>66</v>
      </c>
      <c r="BG220" s="24">
        <f>X34</f>
        <v>64</v>
      </c>
      <c r="BJ220" s="24">
        <f t="shared" si="366"/>
        <v>69</v>
      </c>
      <c r="BL220" s="24"/>
    </row>
    <row r="221" spans="54:65" x14ac:dyDescent="0.2">
      <c r="BB221">
        <f t="shared" si="370"/>
        <v>4</v>
      </c>
      <c r="BD221" s="24">
        <f>U35</f>
        <v>87</v>
      </c>
      <c r="BE221" s="24">
        <f t="shared" si="372"/>
        <v>67</v>
      </c>
      <c r="BF221" s="24">
        <f t="shared" si="373"/>
        <v>57</v>
      </c>
      <c r="BG221" s="24">
        <f>X35</f>
        <v>36</v>
      </c>
      <c r="BJ221" s="24">
        <f t="shared" si="366"/>
        <v>68</v>
      </c>
      <c r="BL221" s="24"/>
    </row>
    <row r="222" spans="54:65" x14ac:dyDescent="0.2">
      <c r="BB222">
        <f t="shared" si="370"/>
        <v>3</v>
      </c>
      <c r="BD222" s="24">
        <f t="shared" ref="BD222:BD223" si="374">U36</f>
        <v>82</v>
      </c>
      <c r="BE222" s="24">
        <f t="shared" si="372"/>
        <v>66</v>
      </c>
      <c r="BF222" s="24">
        <f t="shared" si="373"/>
        <v>54</v>
      </c>
      <c r="BG222" s="83">
        <f>BG221+(BG223-BG221)/2</f>
        <v>45.5</v>
      </c>
      <c r="BJ222" s="24">
        <f t="shared" si="366"/>
        <v>67</v>
      </c>
      <c r="BL222" s="24"/>
    </row>
    <row r="223" spans="54:65" x14ac:dyDescent="0.2">
      <c r="BB223">
        <f t="shared" ref="BB223:BB224" si="375">AD37</f>
        <v>4</v>
      </c>
      <c r="BD223" s="24">
        <f t="shared" si="374"/>
        <v>82</v>
      </c>
      <c r="BE223" s="24">
        <f t="shared" ref="BE223:BE224" si="376">V37</f>
        <v>61</v>
      </c>
      <c r="BF223" s="24">
        <f t="shared" ref="BF223:BF224" si="377">W37</f>
        <v>59</v>
      </c>
      <c r="BG223" s="24">
        <f>X37</f>
        <v>55</v>
      </c>
      <c r="BJ223" s="24">
        <f t="shared" si="366"/>
        <v>62</v>
      </c>
    </row>
    <row r="224" spans="54:65" x14ac:dyDescent="0.2">
      <c r="BB224">
        <f t="shared" si="375"/>
        <v>4</v>
      </c>
      <c r="BD224" s="24">
        <f>U38</f>
        <v>79</v>
      </c>
      <c r="BE224" s="24">
        <f t="shared" si="376"/>
        <v>69</v>
      </c>
      <c r="BF224" s="24">
        <f t="shared" si="377"/>
        <v>55</v>
      </c>
      <c r="BG224" s="24">
        <f>X38</f>
        <v>49</v>
      </c>
      <c r="BJ224" s="24">
        <f t="shared" si="366"/>
        <v>70</v>
      </c>
    </row>
    <row r="225" spans="54:62" x14ac:dyDescent="0.2">
      <c r="BB225">
        <f t="shared" ref="BB225" si="378">AD39</f>
        <v>4</v>
      </c>
      <c r="BD225" s="24">
        <f>U39</f>
        <v>90</v>
      </c>
      <c r="BE225" s="24">
        <f t="shared" ref="BE225" si="379">V39</f>
        <v>80</v>
      </c>
      <c r="BF225" s="24">
        <f t="shared" ref="BF225" si="380">W39</f>
        <v>69</v>
      </c>
      <c r="BG225" s="24">
        <f>X39</f>
        <v>69</v>
      </c>
      <c r="BJ225" s="24">
        <f t="shared" ref="BJ225" si="381">BE225+1</f>
        <v>81</v>
      </c>
    </row>
  </sheetData>
  <mergeCells count="8">
    <mergeCell ref="AC58:AO58"/>
    <mergeCell ref="AQ4:AQ5"/>
    <mergeCell ref="AR3:BB3"/>
    <mergeCell ref="U4:X4"/>
    <mergeCell ref="BT4:CD4"/>
    <mergeCell ref="BD3:BN3"/>
    <mergeCell ref="Z4:AA4"/>
    <mergeCell ref="AC3:AO3"/>
  </mergeCells>
  <phoneticPr fontId="2" type="noConversion"/>
  <conditionalFormatting sqref="CG6:CI119">
    <cfRule type="expression" dxfId="159" priority="262" stopIfTrue="1">
      <formula>IF($CG6=1,1,0)</formula>
    </cfRule>
    <cfRule type="expression" dxfId="158" priority="263" stopIfTrue="1">
      <formula>IF($CG6=2,1,0)</formula>
    </cfRule>
    <cfRule type="expression" dxfId="157" priority="264" stopIfTrue="1">
      <formula>IF($CG6=3,1,0)</formula>
    </cfRule>
  </conditionalFormatting>
  <conditionalFormatting sqref="CL6:CL119">
    <cfRule type="cellIs" dxfId="156" priority="267" stopIfTrue="1" operator="equal">
      <formula>CK6</formula>
    </cfRule>
  </conditionalFormatting>
  <conditionalFormatting sqref="BP6:BQ39">
    <cfRule type="expression" dxfId="155" priority="268" stopIfTrue="1">
      <formula>IF(BP6=MAX($BD$6:$BG$13),1,0)</formula>
    </cfRule>
    <cfRule type="expression" dxfId="154" priority="269" stopIfTrue="1">
      <formula>IF(BP6=MAX(BP$6:BP$65554),1,0)</formula>
    </cfRule>
  </conditionalFormatting>
  <conditionalFormatting sqref="CK127:CK1048576 CK1:CK119">
    <cfRule type="cellIs" dxfId="153" priority="271" stopIfTrue="1" operator="equal">
      <formula>1</formula>
    </cfRule>
    <cfRule type="cellIs" dxfId="152" priority="272" stopIfTrue="1" operator="equal">
      <formula>2</formula>
    </cfRule>
    <cfRule type="cellIs" dxfId="151" priority="273" stopIfTrue="1" operator="equal">
      <formula>3</formula>
    </cfRule>
  </conditionalFormatting>
  <conditionalFormatting sqref="P6:S25 B6:E25">
    <cfRule type="cellIs" dxfId="150" priority="274" stopIfTrue="1" operator="equal">
      <formula>""</formula>
    </cfRule>
  </conditionalFormatting>
  <conditionalFormatting sqref="U6:X26">
    <cfRule type="expression" dxfId="149" priority="275" stopIfTrue="1">
      <formula>IF(U6=MAX($U$6:$X$25),1,0)</formula>
    </cfRule>
  </conditionalFormatting>
  <conditionalFormatting sqref="S26">
    <cfRule type="cellIs" dxfId="148" priority="261" stopIfTrue="1" operator="equal">
      <formula>""</formula>
    </cfRule>
  </conditionalFormatting>
  <conditionalFormatting sqref="Q26:R26">
    <cfRule type="cellIs" dxfId="147" priority="260" stopIfTrue="1" operator="equal">
      <formula>""</formula>
    </cfRule>
  </conditionalFormatting>
  <conditionalFormatting sqref="P26">
    <cfRule type="cellIs" dxfId="146" priority="259" stopIfTrue="1" operator="equal">
      <formula>""</formula>
    </cfRule>
  </conditionalFormatting>
  <conditionalFormatting sqref="B26">
    <cfRule type="cellIs" dxfId="145" priority="254" stopIfTrue="1" operator="equal">
      <formula>""</formula>
    </cfRule>
  </conditionalFormatting>
  <conditionalFormatting sqref="E26">
    <cfRule type="cellIs" dxfId="144" priority="253" stopIfTrue="1" operator="equal">
      <formula>""</formula>
    </cfRule>
  </conditionalFormatting>
  <conditionalFormatting sqref="C26">
    <cfRule type="cellIs" dxfId="143" priority="252" stopIfTrue="1" operator="equal">
      <formula>""</formula>
    </cfRule>
  </conditionalFormatting>
  <conditionalFormatting sqref="D26">
    <cfRule type="cellIs" dxfId="142" priority="251" stopIfTrue="1" operator="equal">
      <formula>""</formula>
    </cfRule>
  </conditionalFormatting>
  <conditionalFormatting sqref="R27">
    <cfRule type="cellIs" dxfId="141" priority="234" stopIfTrue="1" operator="equal">
      <formula>""</formula>
    </cfRule>
  </conditionalFormatting>
  <conditionalFormatting sqref="S27">
    <cfRule type="cellIs" dxfId="140" priority="233" stopIfTrue="1" operator="equal">
      <formula>""</formula>
    </cfRule>
  </conditionalFormatting>
  <conditionalFormatting sqref="U27:X27">
    <cfRule type="expression" dxfId="139" priority="232" stopIfTrue="1">
      <formula>IF(U27=MAX($U$6:$X$25),1,0)</formula>
    </cfRule>
  </conditionalFormatting>
  <conditionalFormatting sqref="B27">
    <cfRule type="cellIs" dxfId="138" priority="227" stopIfTrue="1" operator="equal">
      <formula>""</formula>
    </cfRule>
  </conditionalFormatting>
  <conditionalFormatting sqref="D27">
    <cfRule type="cellIs" dxfId="137" priority="226" stopIfTrue="1" operator="equal">
      <formula>""</formula>
    </cfRule>
  </conditionalFormatting>
  <conditionalFormatting sqref="C27">
    <cfRule type="cellIs" dxfId="136" priority="225" stopIfTrue="1" operator="equal">
      <formula>""</formula>
    </cfRule>
  </conditionalFormatting>
  <conditionalFormatting sqref="E27">
    <cfRule type="cellIs" dxfId="135" priority="224" stopIfTrue="1" operator="equal">
      <formula>""</formula>
    </cfRule>
  </conditionalFormatting>
  <conditionalFormatting sqref="Q27">
    <cfRule type="cellIs" dxfId="134" priority="223" stopIfTrue="1" operator="equal">
      <formula>""</formula>
    </cfRule>
  </conditionalFormatting>
  <conditionalFormatting sqref="P27">
    <cfRule type="cellIs" dxfId="133" priority="222" stopIfTrue="1" operator="equal">
      <formula>""</formula>
    </cfRule>
  </conditionalFormatting>
  <conditionalFormatting sqref="BD4:BN4">
    <cfRule type="expression" dxfId="132" priority="220" stopIfTrue="1">
      <formula>IF(BD4&lt;BD1,1,0)</formula>
    </cfRule>
    <cfRule type="expression" dxfId="131" priority="221" stopIfTrue="1">
      <formula>IF(BD4&gt;BD2,1,0)</formula>
    </cfRule>
  </conditionalFormatting>
  <conditionalFormatting sqref="U28:X28">
    <cfRule type="expression" dxfId="130" priority="219" stopIfTrue="1">
      <formula>IF(U28=MAX($U$6:$X$25),1,0)</formula>
    </cfRule>
  </conditionalFormatting>
  <conditionalFormatting sqref="DP6:DS39">
    <cfRule type="expression" dxfId="129" priority="210">
      <formula>IF(DP6=MAX(DP:DP),1,0)</formula>
    </cfRule>
    <cfRule type="expression" dxfId="128" priority="212" stopIfTrue="1">
      <formula>IF(DP6=MAX($DP:$DS),1,0)</formula>
    </cfRule>
    <cfRule type="expression" dxfId="127" priority="213" stopIfTrue="1">
      <formula>IF(DP6=MAX($DP6:$DS6),1,0)</formula>
    </cfRule>
    <cfRule type="expression" dxfId="126" priority="214" stopIfTrue="1">
      <formula>IF(DP6=MAX(DP:DP),1,0)</formula>
    </cfRule>
  </conditionalFormatting>
  <conditionalFormatting sqref="DS9:DS30">
    <cfRule type="expression" dxfId="125" priority="211" stopIfTrue="1">
      <formula>IF(DS9=MAX($DP9:$DS9),1,0)</formula>
    </cfRule>
  </conditionalFormatting>
  <conditionalFormatting sqref="EE6:EH28">
    <cfRule type="expression" dxfId="124" priority="207">
      <formula>IF(EE6=MAX($EE6:$EH6),1,0)</formula>
    </cfRule>
    <cfRule type="expression" dxfId="123" priority="209">
      <formula>IF(EE6=LARGE($EE6:$EH6,3),1,0)</formula>
    </cfRule>
  </conditionalFormatting>
  <conditionalFormatting sqref="EE6:EH28">
    <cfRule type="expression" dxfId="122" priority="208">
      <formula>IF(EE6=LARGE($EE6:$EH6,2),1,0)</formula>
    </cfRule>
  </conditionalFormatting>
  <conditionalFormatting sqref="FA6:FA28 EK6:EO6 EO7:EO28 EK7:EN39">
    <cfRule type="expression" dxfId="121" priority="204">
      <formula>IF(EK6=MIN($EK6:$EN6),1,0)</formula>
    </cfRule>
    <cfRule type="expression" dxfId="120" priority="206">
      <formula>IF(EK6=SMALL($EK6:$EN6,3),1,0)</formula>
    </cfRule>
  </conditionalFormatting>
  <conditionalFormatting sqref="FA6:FA28 EK6:EO6 EO7:EO28 EK7:EN39">
    <cfRule type="expression" dxfId="119" priority="205">
      <formula>IF(EK6=SMALL($EK6:$EN6,2),1,0)</formula>
    </cfRule>
  </conditionalFormatting>
  <conditionalFormatting sqref="EU6:EU28">
    <cfRule type="expression" dxfId="118" priority="201">
      <formula>IF(EU6=MIN($EK6:$EN6),1,0)</formula>
    </cfRule>
    <cfRule type="expression" dxfId="117" priority="203">
      <formula>IF(EU6=SMALL($EK6:$EN6,3),1,0)</formula>
    </cfRule>
  </conditionalFormatting>
  <conditionalFormatting sqref="EU6:EU28">
    <cfRule type="expression" dxfId="116" priority="202">
      <formula>IF(EU6=SMALL($EK6:$EN6,2),1,0)</formula>
    </cfRule>
  </conditionalFormatting>
  <conditionalFormatting sqref="EQ6:ET28">
    <cfRule type="expression" dxfId="115" priority="198">
      <formula>IF(EQ6=MAX($EQ6:$ET6),1,0)</formula>
    </cfRule>
    <cfRule type="expression" dxfId="114" priority="200">
      <formula>IF(EQ6=LARGE($EQ6:$ET6,3),1,0)</formula>
    </cfRule>
  </conditionalFormatting>
  <conditionalFormatting sqref="EQ6:ET28">
    <cfRule type="expression" dxfId="113" priority="199">
      <formula>IF(EQ6=LARGE($EQ6:$ET6,2),1,0)</formula>
    </cfRule>
  </conditionalFormatting>
  <conditionalFormatting sqref="EW9:EZ28 EW6:EY8">
    <cfRule type="expression" dxfId="112" priority="195">
      <formula>IF(EW6=MIN($EW6:$EZ6),1,0)</formula>
    </cfRule>
    <cfRule type="expression" dxfId="111" priority="197">
      <formula>IF(EW6=SMALL($EW6:$EZ6,3),1,0)</formula>
    </cfRule>
  </conditionalFormatting>
  <conditionalFormatting sqref="EW9:EZ28 EW6:EY8">
    <cfRule type="expression" dxfId="110" priority="196">
      <formula>IF(EW6=SMALL($EW6:$EZ6,2),1,0)</formula>
    </cfRule>
  </conditionalFormatting>
  <conditionalFormatting sqref="P29">
    <cfRule type="cellIs" dxfId="109" priority="194" stopIfTrue="1" operator="equal">
      <formula>""</formula>
    </cfRule>
  </conditionalFormatting>
  <conditionalFormatting sqref="U29:X29">
    <cfRule type="expression" dxfId="108" priority="193" stopIfTrue="1">
      <formula>IF(U29=MAX($U$6:$X$25),1,0)</formula>
    </cfRule>
  </conditionalFormatting>
  <conditionalFormatting sqref="DP29:DR29 DR30">
    <cfRule type="expression" dxfId="107" priority="187" stopIfTrue="1">
      <formula>IF(DP29=MAX($DP29:$DS29),1,0)</formula>
    </cfRule>
  </conditionalFormatting>
  <conditionalFormatting sqref="EE29:EH29">
    <cfRule type="expression" dxfId="106" priority="181">
      <formula>IF(EE29=MAX($EE29:$EH29),1,0)</formula>
    </cfRule>
    <cfRule type="expression" dxfId="105" priority="183">
      <formula>IF(EE29=LARGE($EE29:$EH29,3),1,0)</formula>
    </cfRule>
  </conditionalFormatting>
  <conditionalFormatting sqref="EE29:EH29">
    <cfRule type="expression" dxfId="104" priority="182">
      <formula>IF(EE29=LARGE($EE29:$EH29,2),1,0)</formula>
    </cfRule>
  </conditionalFormatting>
  <conditionalFormatting sqref="EQ29:ET29">
    <cfRule type="expression" dxfId="103" priority="175">
      <formula>IF(EQ29=MAX($EQ29:$ET29),1,0)</formula>
    </cfRule>
    <cfRule type="expression" dxfId="102" priority="177">
      <formula>IF(EQ29=LARGE($EQ29:$ET29,3),1,0)</formula>
    </cfRule>
  </conditionalFormatting>
  <conditionalFormatting sqref="EQ29:ET29">
    <cfRule type="expression" dxfId="101" priority="176">
      <formula>IF(EQ29=LARGE($EQ29:$ET29,2),1,0)</formula>
    </cfRule>
  </conditionalFormatting>
  <conditionalFormatting sqref="EW29:EZ29">
    <cfRule type="expression" dxfId="100" priority="172">
      <formula>IF(EW29=MIN($EW29:$EZ29),1,0)</formula>
    </cfRule>
    <cfRule type="expression" dxfId="99" priority="174">
      <formula>IF(EW29=SMALL($EW29:$EZ29,3),1,0)</formula>
    </cfRule>
  </conditionalFormatting>
  <conditionalFormatting sqref="EW29:EZ29">
    <cfRule type="expression" dxfId="98" priority="173">
      <formula>IF(EW29=SMALL($EW29:$EZ29,2),1,0)</formula>
    </cfRule>
  </conditionalFormatting>
  <conditionalFormatting sqref="B29">
    <cfRule type="cellIs" dxfId="97" priority="171" stopIfTrue="1" operator="equal">
      <formula>""</formula>
    </cfRule>
  </conditionalFormatting>
  <conditionalFormatting sqref="C29">
    <cfRule type="cellIs" dxfId="96" priority="170" stopIfTrue="1" operator="equal">
      <formula>""</formula>
    </cfRule>
  </conditionalFormatting>
  <conditionalFormatting sqref="S30">
    <cfRule type="cellIs" dxfId="95" priority="168" stopIfTrue="1" operator="equal">
      <formula>""</formula>
    </cfRule>
  </conditionalFormatting>
  <conditionalFormatting sqref="U30:X30">
    <cfRule type="expression" dxfId="94" priority="167" stopIfTrue="1">
      <formula>IF(U30=MAX($U$6:$X$25),1,0)</formula>
    </cfRule>
  </conditionalFormatting>
  <conditionalFormatting sqref="DP30">
    <cfRule type="expression" dxfId="93" priority="161" stopIfTrue="1">
      <formula>IF(DP30=MAX($DP30:$DS30),1,0)</formula>
    </cfRule>
  </conditionalFormatting>
  <conditionalFormatting sqref="EE30:EH30">
    <cfRule type="expression" dxfId="92" priority="157">
      <formula>IF(EE30=MAX($EE30:$EH30),1,0)</formula>
    </cfRule>
    <cfRule type="expression" dxfId="91" priority="159">
      <formula>IF(EE30=LARGE($EE30:$EH30,3),1,0)</formula>
    </cfRule>
  </conditionalFormatting>
  <conditionalFormatting sqref="EE30:EH30">
    <cfRule type="expression" dxfId="90" priority="158">
      <formula>IF(EE30=LARGE($EE30:$EH30,2),1,0)</formula>
    </cfRule>
  </conditionalFormatting>
  <conditionalFormatting sqref="EQ30:ET30">
    <cfRule type="expression" dxfId="89" priority="151">
      <formula>IF(EQ30=MAX($EQ30:$ET30),1,0)</formula>
    </cfRule>
    <cfRule type="expression" dxfId="88" priority="153">
      <formula>IF(EQ30=LARGE($EQ30:$ET30,3),1,0)</formula>
    </cfRule>
  </conditionalFormatting>
  <conditionalFormatting sqref="EQ30:ET30">
    <cfRule type="expression" dxfId="87" priority="152">
      <formula>IF(EQ30=LARGE($EQ30:$ET30,2),1,0)</formula>
    </cfRule>
  </conditionalFormatting>
  <conditionalFormatting sqref="EW30:EZ30">
    <cfRule type="expression" dxfId="86" priority="148">
      <formula>IF(EW30=MIN($EW30:$EZ30),1,0)</formula>
    </cfRule>
    <cfRule type="expression" dxfId="85" priority="150">
      <formula>IF(EW30=SMALL($EW30:$EZ30,3),1,0)</formula>
    </cfRule>
  </conditionalFormatting>
  <conditionalFormatting sqref="EW30:EZ30">
    <cfRule type="expression" dxfId="84" priority="149">
      <formula>IF(EW30=SMALL($EW30:$EZ30,2),1,0)</formula>
    </cfRule>
  </conditionalFormatting>
  <conditionalFormatting sqref="DQ30">
    <cfRule type="expression" dxfId="83" priority="144" stopIfTrue="1">
      <formula>IF(DQ30=MAX($DP30:$DS30),1,0)</formula>
    </cfRule>
  </conditionalFormatting>
  <conditionalFormatting sqref="D30">
    <cfRule type="cellIs" dxfId="82" priority="143" stopIfTrue="1" operator="equal">
      <formula>""</formula>
    </cfRule>
  </conditionalFormatting>
  <conditionalFormatting sqref="B30">
    <cfRule type="cellIs" dxfId="81" priority="142" stopIfTrue="1" operator="equal">
      <formula>""</formula>
    </cfRule>
  </conditionalFormatting>
  <conditionalFormatting sqref="E30">
    <cfRule type="cellIs" dxfId="80" priority="141" stopIfTrue="1" operator="equal">
      <formula>""</formula>
    </cfRule>
  </conditionalFormatting>
  <conditionalFormatting sqref="R31">
    <cfRule type="cellIs" dxfId="79" priority="139" stopIfTrue="1" operator="equal">
      <formula>""</formula>
    </cfRule>
  </conditionalFormatting>
  <conditionalFormatting sqref="U31:X31">
    <cfRule type="expression" dxfId="78" priority="138" stopIfTrue="1">
      <formula>IF(U31=MAX($U$6:$X$25),1,0)</formula>
    </cfRule>
  </conditionalFormatting>
  <conditionalFormatting sqref="B31">
    <cfRule type="cellIs" dxfId="77" priority="133" stopIfTrue="1" operator="equal">
      <formula>""</formula>
    </cfRule>
  </conditionalFormatting>
  <conditionalFormatting sqref="C31">
    <cfRule type="cellIs" dxfId="76" priority="132" stopIfTrue="1" operator="equal">
      <formula>""</formula>
    </cfRule>
  </conditionalFormatting>
  <conditionalFormatting sqref="D31">
    <cfRule type="cellIs" dxfId="75" priority="131" stopIfTrue="1" operator="equal">
      <formula>""</formula>
    </cfRule>
  </conditionalFormatting>
  <conditionalFormatting sqref="E31">
    <cfRule type="cellIs" dxfId="74" priority="130" stopIfTrue="1" operator="equal">
      <formula>""</formula>
    </cfRule>
  </conditionalFormatting>
  <conditionalFormatting sqref="DS31:DS32">
    <cfRule type="expression" dxfId="73" priority="128" stopIfTrue="1">
      <formula>IF(DS31=MAX($DP31:$DS31),1,0)</formula>
    </cfRule>
  </conditionalFormatting>
  <conditionalFormatting sqref="DS31:DS32">
    <cfRule type="expression" dxfId="72" priority="126" stopIfTrue="1">
      <formula>IF(DS31=MAX($DP31:$DS31),1,0)</formula>
    </cfRule>
  </conditionalFormatting>
  <conditionalFormatting sqref="DQ31:DQ32">
    <cfRule type="expression" dxfId="71" priority="117" stopIfTrue="1">
      <formula>IF(DQ31=MAX($DP31:$DS31),1,0)</formula>
    </cfRule>
  </conditionalFormatting>
  <conditionalFormatting sqref="EE31:EH32">
    <cfRule type="expression" dxfId="70" priority="114">
      <formula>IF(EE31=MAX($EE31:$EH31),1,0)</formula>
    </cfRule>
    <cfRule type="expression" dxfId="69" priority="116">
      <formula>IF(EE31=LARGE($EE31:$EH31,3),1,0)</formula>
    </cfRule>
  </conditionalFormatting>
  <conditionalFormatting sqref="EE31:EH32">
    <cfRule type="expression" dxfId="68" priority="115">
      <formula>IF(EE31=LARGE($EE31:$EH31,2),1,0)</formula>
    </cfRule>
  </conditionalFormatting>
  <conditionalFormatting sqref="EQ31:ET32">
    <cfRule type="expression" dxfId="67" priority="108">
      <formula>IF(EQ31=MAX($EQ31:$ET31),1,0)</formula>
    </cfRule>
    <cfRule type="expression" dxfId="66" priority="110">
      <formula>IF(EQ31=LARGE($EQ31:$ET31,3),1,0)</formula>
    </cfRule>
  </conditionalFormatting>
  <conditionalFormatting sqref="EQ31:ET32">
    <cfRule type="expression" dxfId="65" priority="109">
      <formula>IF(EQ31=LARGE($EQ31:$ET31,2),1,0)</formula>
    </cfRule>
  </conditionalFormatting>
  <conditionalFormatting sqref="EW31:EZ32">
    <cfRule type="expression" dxfId="64" priority="105">
      <formula>IF(EW31=MIN($EW31:$EZ31),1,0)</formula>
    </cfRule>
    <cfRule type="expression" dxfId="63" priority="107">
      <formula>IF(EW31=SMALL($EW31:$EZ31,3),1,0)</formula>
    </cfRule>
  </conditionalFormatting>
  <conditionalFormatting sqref="EW31:EZ32">
    <cfRule type="expression" dxfId="62" priority="106">
      <formula>IF(EW31=SMALL($EW31:$EZ31,2),1,0)</formula>
    </cfRule>
  </conditionalFormatting>
  <conditionalFormatting sqref="CG6:CI119">
    <cfRule type="expression" dxfId="61" priority="104">
      <formula>IF($CI6=$CM$1,1,0)</formula>
    </cfRule>
  </conditionalFormatting>
  <conditionalFormatting sqref="S32">
    <cfRule type="cellIs" dxfId="60" priority="103" stopIfTrue="1" operator="equal">
      <formula>""</formula>
    </cfRule>
  </conditionalFormatting>
  <conditionalFormatting sqref="Q32">
    <cfRule type="cellIs" dxfId="59" priority="102" stopIfTrue="1" operator="equal">
      <formula>""</formula>
    </cfRule>
  </conditionalFormatting>
  <conditionalFormatting sqref="U32:X32">
    <cfRule type="expression" dxfId="58" priority="101" stopIfTrue="1">
      <formula>IF(U32=MAX($U$6:$X$25),1,0)</formula>
    </cfRule>
  </conditionalFormatting>
  <conditionalFormatting sqref="B32">
    <cfRule type="cellIs" dxfId="57" priority="92" stopIfTrue="1" operator="equal">
      <formula>""</formula>
    </cfRule>
  </conditionalFormatting>
  <conditionalFormatting sqref="C32">
    <cfRule type="cellIs" dxfId="56" priority="91" stopIfTrue="1" operator="equal">
      <formula>""</formula>
    </cfRule>
  </conditionalFormatting>
  <conditionalFormatting sqref="D32">
    <cfRule type="cellIs" dxfId="55" priority="90" stopIfTrue="1" operator="equal">
      <formula>""</formula>
    </cfRule>
  </conditionalFormatting>
  <conditionalFormatting sqref="R33">
    <cfRule type="cellIs" dxfId="54" priority="89" stopIfTrue="1" operator="equal">
      <formula>""</formula>
    </cfRule>
  </conditionalFormatting>
  <conditionalFormatting sqref="S33">
    <cfRule type="cellIs" dxfId="53" priority="88" stopIfTrue="1" operator="equal">
      <formula>""</formula>
    </cfRule>
  </conditionalFormatting>
  <conditionalFormatting sqref="U33:X33">
    <cfRule type="expression" dxfId="52" priority="87" stopIfTrue="1">
      <formula>IF(U33=MAX($U$6:$X$25),1,0)</formula>
    </cfRule>
  </conditionalFormatting>
  <conditionalFormatting sqref="DS33:DS39">
    <cfRule type="expression" dxfId="51" priority="78" stopIfTrue="1">
      <formula>IF(DS33=MAX($DP33:$DS33),1,0)</formula>
    </cfRule>
  </conditionalFormatting>
  <conditionalFormatting sqref="DS33:DS39">
    <cfRule type="expression" dxfId="50" priority="77" stopIfTrue="1">
      <formula>IF(DS33=MAX($DP33:$DS33),1,0)</formula>
    </cfRule>
  </conditionalFormatting>
  <conditionalFormatting sqref="DQ33:DQ39">
    <cfRule type="expression" dxfId="49" priority="76" stopIfTrue="1">
      <formula>IF(DQ33=MAX($DP33:$DS33),1,0)</formula>
    </cfRule>
  </conditionalFormatting>
  <conditionalFormatting sqref="EE33:EH39">
    <cfRule type="expression" dxfId="48" priority="73">
      <formula>IF(EE33=MAX($EE33:$EH33),1,0)</formula>
    </cfRule>
    <cfRule type="expression" dxfId="47" priority="75">
      <formula>IF(EE33=LARGE($EE33:$EH33,3),1,0)</formula>
    </cfRule>
  </conditionalFormatting>
  <conditionalFormatting sqref="EE33:EH39">
    <cfRule type="expression" dxfId="46" priority="74">
      <formula>IF(EE33=LARGE($EE33:$EH33,2),1,0)</formula>
    </cfRule>
  </conditionalFormatting>
  <conditionalFormatting sqref="EQ33:ET39">
    <cfRule type="expression" dxfId="45" priority="67">
      <formula>IF(EQ33=MAX($EQ33:$ET33),1,0)</formula>
    </cfRule>
    <cfRule type="expression" dxfId="44" priority="69">
      <formula>IF(EQ33=LARGE($EQ33:$ET33,3),1,0)</formula>
    </cfRule>
  </conditionalFormatting>
  <conditionalFormatting sqref="EQ33:ET39">
    <cfRule type="expression" dxfId="43" priority="68">
      <formula>IF(EQ33=LARGE($EQ33:$ET33,2),1,0)</formula>
    </cfRule>
  </conditionalFormatting>
  <conditionalFormatting sqref="EW33:EZ39">
    <cfRule type="expression" dxfId="42" priority="64">
      <formula>IF(EW33=MIN($EW33:$EZ33),1,0)</formula>
    </cfRule>
    <cfRule type="expression" dxfId="41" priority="66">
      <formula>IF(EW33=SMALL($EW33:$EZ33,3),1,0)</formula>
    </cfRule>
  </conditionalFormatting>
  <conditionalFormatting sqref="EW33:EZ39">
    <cfRule type="expression" dxfId="40" priority="65">
      <formula>IF(EW33=SMALL($EW33:$EZ33,2),1,0)</formula>
    </cfRule>
  </conditionalFormatting>
  <conditionalFormatting sqref="B33">
    <cfRule type="cellIs" dxfId="39" priority="48" stopIfTrue="1" operator="equal">
      <formula>""</formula>
    </cfRule>
  </conditionalFormatting>
  <conditionalFormatting sqref="C33">
    <cfRule type="cellIs" dxfId="38" priority="47" stopIfTrue="1" operator="equal">
      <formula>""</formula>
    </cfRule>
  </conditionalFormatting>
  <conditionalFormatting sqref="D33">
    <cfRule type="cellIs" dxfId="37" priority="46" stopIfTrue="1" operator="equal">
      <formula>""</formula>
    </cfRule>
  </conditionalFormatting>
  <conditionalFormatting sqref="E33">
    <cfRule type="cellIs" dxfId="36" priority="45" stopIfTrue="1" operator="equal">
      <formula>""</formula>
    </cfRule>
  </conditionalFormatting>
  <conditionalFormatting sqref="U34:X34">
    <cfRule type="expression" dxfId="35" priority="43" stopIfTrue="1">
      <formula>IF(U34=MAX($U$6:$X$25),1,0)</formula>
    </cfRule>
  </conditionalFormatting>
  <conditionalFormatting sqref="B34">
    <cfRule type="cellIs" dxfId="34" priority="38" stopIfTrue="1" operator="equal">
      <formula>""</formula>
    </cfRule>
  </conditionalFormatting>
  <conditionalFormatting sqref="C34">
    <cfRule type="cellIs" dxfId="33" priority="37" stopIfTrue="1" operator="equal">
      <formula>""</formula>
    </cfRule>
  </conditionalFormatting>
  <conditionalFormatting sqref="D34">
    <cfRule type="cellIs" dxfId="32" priority="36" stopIfTrue="1" operator="equal">
      <formula>""</formula>
    </cfRule>
  </conditionalFormatting>
  <conditionalFormatting sqref="P35">
    <cfRule type="cellIs" dxfId="31" priority="34" stopIfTrue="1" operator="equal">
      <formula>""</formula>
    </cfRule>
  </conditionalFormatting>
  <conditionalFormatting sqref="S35">
    <cfRule type="cellIs" dxfId="30" priority="33" stopIfTrue="1" operator="equal">
      <formula>""</formula>
    </cfRule>
  </conditionalFormatting>
  <conditionalFormatting sqref="B35">
    <cfRule type="cellIs" dxfId="29" priority="32" stopIfTrue="1" operator="equal">
      <formula>""</formula>
    </cfRule>
  </conditionalFormatting>
  <conditionalFormatting sqref="D35">
    <cfRule type="cellIs" dxfId="28" priority="31" stopIfTrue="1" operator="equal">
      <formula>""</formula>
    </cfRule>
  </conditionalFormatting>
  <conditionalFormatting sqref="U35:X35">
    <cfRule type="expression" dxfId="27" priority="30" stopIfTrue="1">
      <formula>IF(U35=MAX($U$6:$X$25),1,0)</formula>
    </cfRule>
  </conditionalFormatting>
  <conditionalFormatting sqref="BD6:BN39">
    <cfRule type="expression" dxfId="26" priority="265" stopIfTrue="1">
      <formula>IF(BD6=MAX($BD$6:$BN$38),1,0)</formula>
    </cfRule>
    <cfRule type="expression" dxfId="25" priority="266" stopIfTrue="1">
      <formula>IF(BD6=MAX(BD$6:BD$38),1,0)</formula>
    </cfRule>
  </conditionalFormatting>
  <conditionalFormatting sqref="Q36">
    <cfRule type="cellIs" dxfId="24" priority="26" stopIfTrue="1" operator="equal">
      <formula>""</formula>
    </cfRule>
  </conditionalFormatting>
  <conditionalFormatting sqref="S36">
    <cfRule type="cellIs" dxfId="23" priority="25" stopIfTrue="1" operator="equal">
      <formula>""</formula>
    </cfRule>
  </conditionalFormatting>
  <conditionalFormatting sqref="U36:X36">
    <cfRule type="expression" dxfId="22" priority="24" stopIfTrue="1">
      <formula>IF(U36=MAX($U$6:$X$25),1,0)</formula>
    </cfRule>
  </conditionalFormatting>
  <conditionalFormatting sqref="E36">
    <cfRule type="cellIs" dxfId="21" priority="21" stopIfTrue="1" operator="equal">
      <formula>""</formula>
    </cfRule>
  </conditionalFormatting>
  <conditionalFormatting sqref="C36">
    <cfRule type="cellIs" dxfId="20" priority="20" stopIfTrue="1" operator="equal">
      <formula>""</formula>
    </cfRule>
  </conditionalFormatting>
  <conditionalFormatting sqref="B37">
    <cfRule type="cellIs" dxfId="19" priority="19" stopIfTrue="1" operator="equal">
      <formula>""</formula>
    </cfRule>
  </conditionalFormatting>
  <conditionalFormatting sqref="C37">
    <cfRule type="cellIs" dxfId="18" priority="18" stopIfTrue="1" operator="equal">
      <formula>""</formula>
    </cfRule>
  </conditionalFormatting>
  <conditionalFormatting sqref="E37">
    <cfRule type="cellIs" dxfId="17" priority="17" stopIfTrue="1" operator="equal">
      <formula>""</formula>
    </cfRule>
  </conditionalFormatting>
  <conditionalFormatting sqref="R37">
    <cfRule type="cellIs" dxfId="16" priority="16" stopIfTrue="1" operator="equal">
      <formula>""</formula>
    </cfRule>
  </conditionalFormatting>
  <conditionalFormatting sqref="S37">
    <cfRule type="cellIs" dxfId="15" priority="15" stopIfTrue="1" operator="equal">
      <formula>""</formula>
    </cfRule>
  </conditionalFormatting>
  <conditionalFormatting sqref="U37:X37">
    <cfRule type="expression" dxfId="14" priority="14" stopIfTrue="1">
      <formula>IF(U37=MAX($U$6:$X$25),1,0)</formula>
    </cfRule>
  </conditionalFormatting>
  <conditionalFormatting sqref="B83:L116">
    <cfRule type="expression" dxfId="13" priority="276" stopIfTrue="1">
      <formula>IF(B83="",0,IF(COUNTIF(B$82:B83,B83)=1,1,0))</formula>
    </cfRule>
  </conditionalFormatting>
  <conditionalFormatting sqref="B38">
    <cfRule type="cellIs" dxfId="12" priority="13" stopIfTrue="1" operator="equal">
      <formula>""</formula>
    </cfRule>
  </conditionalFormatting>
  <conditionalFormatting sqref="C38">
    <cfRule type="cellIs" dxfId="11" priority="12" stopIfTrue="1" operator="equal">
      <formula>""</formula>
    </cfRule>
  </conditionalFormatting>
  <conditionalFormatting sqref="E38">
    <cfRule type="cellIs" dxfId="10" priority="11" stopIfTrue="1" operator="equal">
      <formula>""</formula>
    </cfRule>
  </conditionalFormatting>
  <conditionalFormatting sqref="Q38">
    <cfRule type="cellIs" dxfId="9" priority="8" stopIfTrue="1" operator="equal">
      <formula>""</formula>
    </cfRule>
  </conditionalFormatting>
  <conditionalFormatting sqref="U38:X38">
    <cfRule type="expression" dxfId="8" priority="7" stopIfTrue="1">
      <formula>IF(U38=MAX($U$6:$X$25),1,0)</formula>
    </cfRule>
  </conditionalFormatting>
  <conditionalFormatting sqref="CJ6:CJ119">
    <cfRule type="expression" dxfId="7" priority="298" stopIfTrue="1">
      <formula>IF(CJ6=MAX($CJ$6:$CJ$70),1,0)</formula>
    </cfRule>
  </conditionalFormatting>
  <conditionalFormatting sqref="Q39">
    <cfRule type="cellIs" dxfId="6" priority="6" stopIfTrue="1" operator="equal">
      <formula>""</formula>
    </cfRule>
  </conditionalFormatting>
  <conditionalFormatting sqref="S39">
    <cfRule type="cellIs" dxfId="5" priority="5" stopIfTrue="1" operator="equal">
      <formula>""</formula>
    </cfRule>
  </conditionalFormatting>
  <conditionalFormatting sqref="U39:X39">
    <cfRule type="expression" dxfId="4" priority="4" stopIfTrue="1">
      <formula>IF(U39=MAX($U$6:$X$25),1,0)</formula>
    </cfRule>
  </conditionalFormatting>
  <conditionalFormatting sqref="B39">
    <cfRule type="cellIs" dxfId="3" priority="3" stopIfTrue="1" operator="equal">
      <formula>""</formula>
    </cfRule>
  </conditionalFormatting>
  <conditionalFormatting sqref="C39">
    <cfRule type="cellIs" dxfId="2" priority="2" stopIfTrue="1" operator="equal">
      <formula>""</formula>
    </cfRule>
  </conditionalFormatting>
  <conditionalFormatting sqref="DU6:DU39">
    <cfRule type="expression" dxfId="1" priority="1">
      <formula>IF(DU6=MAX($DU$6:$DU$39),1,0)</formula>
    </cfRule>
  </conditionalFormatting>
  <dataValidations count="1">
    <dataValidation type="list" allowBlank="1" showInputMessage="1" showErrorMessage="1" sqref="CM1" xr:uid="{00000000-0002-0000-0000-000000000000}">
      <formula1>$DF$12:$DF$23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91</v>
      </c>
      <c r="B1">
        <v>79</v>
      </c>
      <c r="C1">
        <v>80</v>
      </c>
      <c r="E1">
        <v>60</v>
      </c>
    </row>
    <row r="2" spans="1:12" x14ac:dyDescent="0.2">
      <c r="B2" t="s">
        <v>6</v>
      </c>
      <c r="C2" t="s">
        <v>7</v>
      </c>
      <c r="E2" t="s">
        <v>9</v>
      </c>
      <c r="I2" t="str">
        <f>B2</f>
        <v>Mateusz</v>
      </c>
      <c r="J2" t="str">
        <f>C2</f>
        <v>Marcin</v>
      </c>
      <c r="K2">
        <f>D2</f>
        <v>0</v>
      </c>
      <c r="L2" t="str">
        <f>E2</f>
        <v>Agnieszka</v>
      </c>
    </row>
    <row r="3" spans="1:12" x14ac:dyDescent="0.2">
      <c r="A3" t="s">
        <v>37</v>
      </c>
      <c r="B3" s="38">
        <f>SUM(B4:B13)</f>
        <v>79</v>
      </c>
      <c r="C3">
        <f>SUM(C4:C13)</f>
        <v>80</v>
      </c>
      <c r="D3">
        <f>SUM(D4:D13)</f>
        <v>0</v>
      </c>
      <c r="E3">
        <f>SUM(E4:E13)</f>
        <v>60</v>
      </c>
      <c r="F3" s="14" t="s">
        <v>40</v>
      </c>
      <c r="I3">
        <f>SUM(I4:I12)</f>
        <v>79</v>
      </c>
      <c r="J3">
        <f>SUM(J4:J12)</f>
        <v>80</v>
      </c>
      <c r="K3">
        <f>SUM(K4:K12)</f>
        <v>0</v>
      </c>
      <c r="L3">
        <f>SUM(L4:L12)</f>
        <v>60</v>
      </c>
    </row>
    <row r="4" spans="1:12" x14ac:dyDescent="0.2">
      <c r="A4" t="s">
        <v>34</v>
      </c>
      <c r="B4">
        <v>9</v>
      </c>
      <c r="C4">
        <v>11</v>
      </c>
      <c r="E4">
        <v>13</v>
      </c>
      <c r="F4" s="13">
        <v>15</v>
      </c>
      <c r="H4" t="s">
        <v>36</v>
      </c>
      <c r="I4">
        <f>B4+B5</f>
        <v>19</v>
      </c>
      <c r="J4">
        <f>C4+C5</f>
        <v>21</v>
      </c>
      <c r="K4">
        <f>D4+D5</f>
        <v>0</v>
      </c>
      <c r="L4">
        <f>E4+E5</f>
        <v>23</v>
      </c>
    </row>
    <row r="5" spans="1:12" x14ac:dyDescent="0.2">
      <c r="A5" t="s">
        <v>33</v>
      </c>
      <c r="B5">
        <v>10</v>
      </c>
      <c r="C5">
        <v>10</v>
      </c>
      <c r="E5">
        <v>10</v>
      </c>
      <c r="F5" s="13">
        <v>10</v>
      </c>
      <c r="H5" t="s">
        <v>32</v>
      </c>
      <c r="I5">
        <f t="shared" ref="I5:L12" si="0">B6</f>
        <v>4</v>
      </c>
      <c r="J5">
        <f t="shared" si="0"/>
        <v>7</v>
      </c>
      <c r="K5">
        <f t="shared" si="0"/>
        <v>0</v>
      </c>
      <c r="L5">
        <f t="shared" si="0"/>
        <v>10</v>
      </c>
    </row>
    <row r="6" spans="1:12" x14ac:dyDescent="0.2">
      <c r="A6" t="s">
        <v>32</v>
      </c>
      <c r="B6">
        <v>4</v>
      </c>
      <c r="C6">
        <v>7</v>
      </c>
      <c r="E6">
        <v>10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2</v>
      </c>
    </row>
    <row r="7" spans="1:12" x14ac:dyDescent="0.2">
      <c r="A7" t="s">
        <v>31</v>
      </c>
      <c r="B7">
        <v>0</v>
      </c>
      <c r="C7">
        <v>0</v>
      </c>
      <c r="E7">
        <v>2</v>
      </c>
      <c r="F7" s="14" t="s">
        <v>41</v>
      </c>
      <c r="H7" t="s">
        <v>30</v>
      </c>
      <c r="I7">
        <f t="shared" si="0"/>
        <v>2</v>
      </c>
      <c r="J7">
        <f t="shared" si="0"/>
        <v>2</v>
      </c>
      <c r="K7">
        <f t="shared" si="0"/>
        <v>0</v>
      </c>
      <c r="L7">
        <f t="shared" si="0"/>
        <v>2</v>
      </c>
    </row>
    <row r="8" spans="1:12" x14ac:dyDescent="0.2">
      <c r="A8" t="s">
        <v>30</v>
      </c>
      <c r="B8">
        <v>2</v>
      </c>
      <c r="C8">
        <v>2</v>
      </c>
      <c r="E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/>
      <c r="E9" s="10">
        <v>0</v>
      </c>
      <c r="F9" s="13">
        <v>7</v>
      </c>
      <c r="H9" t="s">
        <v>28</v>
      </c>
      <c r="I9">
        <f t="shared" si="0"/>
        <v>44</v>
      </c>
      <c r="J9">
        <f t="shared" si="0"/>
        <v>16</v>
      </c>
      <c r="K9">
        <f t="shared" si="0"/>
        <v>0</v>
      </c>
      <c r="L9">
        <f t="shared" si="0"/>
        <v>14</v>
      </c>
    </row>
    <row r="10" spans="1:12" x14ac:dyDescent="0.2">
      <c r="A10" t="s">
        <v>28</v>
      </c>
      <c r="B10" s="4">
        <f>3+5+5+7+9+8+7</f>
        <v>44</v>
      </c>
      <c r="C10" s="4">
        <f>1+5+4+6</f>
        <v>16</v>
      </c>
      <c r="D10" s="4"/>
      <c r="E10" s="4">
        <f>4+3+7</f>
        <v>14</v>
      </c>
      <c r="F10" s="14" t="s">
        <v>42</v>
      </c>
      <c r="H10" t="s">
        <v>27</v>
      </c>
      <c r="I10">
        <f t="shared" si="0"/>
        <v>0</v>
      </c>
      <c r="J10">
        <f t="shared" si="0"/>
        <v>10</v>
      </c>
      <c r="K10">
        <f t="shared" si="0"/>
        <v>0</v>
      </c>
      <c r="L10">
        <f t="shared" si="0"/>
        <v>9</v>
      </c>
    </row>
    <row r="11" spans="1:12" x14ac:dyDescent="0.2">
      <c r="A11" t="s">
        <v>27</v>
      </c>
      <c r="B11" s="4">
        <v>0</v>
      </c>
      <c r="C11" s="4">
        <v>10</v>
      </c>
      <c r="D11" s="4"/>
      <c r="E11" s="4">
        <v>9</v>
      </c>
      <c r="F11" s="14" t="s">
        <v>42</v>
      </c>
      <c r="H11" t="s">
        <v>44</v>
      </c>
      <c r="I11">
        <f t="shared" si="0"/>
        <v>3</v>
      </c>
      <c r="J11">
        <f t="shared" si="0"/>
        <v>9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3</v>
      </c>
      <c r="C12" s="4">
        <v>9</v>
      </c>
      <c r="D12" s="4"/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15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15</v>
      </c>
      <c r="D13" s="4"/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 t="s">
        <v>9</v>
      </c>
      <c r="F21" s="38"/>
    </row>
    <row r="22" spans="1:6" x14ac:dyDescent="0.2">
      <c r="A22" s="38" t="s">
        <v>38</v>
      </c>
      <c r="B22" s="40">
        <f>SUM(B23:B31)</f>
        <v>-1</v>
      </c>
      <c r="C22" s="40"/>
      <c r="D22" s="40"/>
      <c r="E22" s="40">
        <f>SUM(E23:E31)</f>
        <v>1</v>
      </c>
      <c r="F22" s="41" t="s">
        <v>40</v>
      </c>
    </row>
    <row r="23" spans="1:6" x14ac:dyDescent="0.2">
      <c r="A23" s="38" t="s">
        <v>36</v>
      </c>
      <c r="B23" s="40">
        <f>B4+B5-C4-C5</f>
        <v>-2</v>
      </c>
      <c r="C23" s="40"/>
      <c r="D23" s="40"/>
      <c r="E23" s="40">
        <f t="shared" ref="E23:E31" si="1">-B23</f>
        <v>2</v>
      </c>
      <c r="F23" s="42">
        <v>25</v>
      </c>
    </row>
    <row r="24" spans="1:6" x14ac:dyDescent="0.2">
      <c r="A24" s="38" t="s">
        <v>32</v>
      </c>
      <c r="B24" s="40">
        <f>B6-C6</f>
        <v>-3</v>
      </c>
      <c r="C24" s="40"/>
      <c r="D24" s="40"/>
      <c r="E24" s="40">
        <f t="shared" si="1"/>
        <v>3</v>
      </c>
      <c r="F24" s="42">
        <v>10</v>
      </c>
    </row>
    <row r="25" spans="1:6" x14ac:dyDescent="0.2">
      <c r="A25" s="38" t="s">
        <v>31</v>
      </c>
      <c r="B25" s="40">
        <f t="shared" ref="B25:B31" si="2">B7-C7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28</v>
      </c>
      <c r="C28" s="40"/>
      <c r="D28" s="40"/>
      <c r="E28" s="40">
        <f t="shared" si="1"/>
        <v>-28</v>
      </c>
      <c r="F28" s="41" t="s">
        <v>42</v>
      </c>
    </row>
    <row r="29" spans="1:6" x14ac:dyDescent="0.2">
      <c r="A29" s="38" t="s">
        <v>27</v>
      </c>
      <c r="B29" s="40">
        <f t="shared" si="2"/>
        <v>-10</v>
      </c>
      <c r="C29" s="40"/>
      <c r="D29" s="40"/>
      <c r="E29" s="40">
        <f t="shared" si="1"/>
        <v>10</v>
      </c>
      <c r="F29" s="41" t="s">
        <v>42</v>
      </c>
    </row>
    <row r="30" spans="1:6" x14ac:dyDescent="0.2">
      <c r="A30" s="38" t="s">
        <v>44</v>
      </c>
      <c r="B30" s="40">
        <f t="shared" si="2"/>
        <v>-6</v>
      </c>
      <c r="C30" s="38"/>
      <c r="D30" s="38"/>
      <c r="E30" s="40">
        <f t="shared" si="1"/>
        <v>6</v>
      </c>
      <c r="F30" s="38"/>
    </row>
    <row r="31" spans="1:6" x14ac:dyDescent="0.2">
      <c r="A31" s="38" t="s">
        <v>26</v>
      </c>
      <c r="B31" s="40">
        <f t="shared" si="2"/>
        <v>-15</v>
      </c>
      <c r="C31" s="40"/>
      <c r="D31" s="40"/>
      <c r="E31" s="40">
        <f t="shared" si="1"/>
        <v>15</v>
      </c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95</v>
      </c>
      <c r="B1">
        <v>41</v>
      </c>
      <c r="C1">
        <v>105</v>
      </c>
      <c r="D1">
        <v>61</v>
      </c>
      <c r="E1">
        <v>60</v>
      </c>
    </row>
    <row r="2" spans="1:12" x14ac:dyDescent="0.2">
      <c r="B2" t="s">
        <v>6</v>
      </c>
      <c r="C2" t="s">
        <v>7</v>
      </c>
      <c r="D2" t="s">
        <v>8</v>
      </c>
      <c r="E2" t="s">
        <v>94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Dominika</v>
      </c>
    </row>
    <row r="3" spans="1:12" x14ac:dyDescent="0.2">
      <c r="A3" t="s">
        <v>37</v>
      </c>
      <c r="B3" s="38">
        <f>SUM(B4:B13)</f>
        <v>41</v>
      </c>
      <c r="C3">
        <f>SUM(C4:C13)</f>
        <v>105</v>
      </c>
      <c r="D3">
        <f>SUM(D4:D13)</f>
        <v>61</v>
      </c>
      <c r="E3">
        <f>SUM(E4:E13)</f>
        <v>60</v>
      </c>
      <c r="F3" s="14" t="s">
        <v>40</v>
      </c>
      <c r="I3">
        <f>SUM(I4:I12)</f>
        <v>41</v>
      </c>
      <c r="J3">
        <f>SUM(J4:J12)</f>
        <v>105</v>
      </c>
      <c r="K3">
        <f>SUM(K4:K12)</f>
        <v>61</v>
      </c>
      <c r="L3">
        <f>SUM(L4:L12)</f>
        <v>60</v>
      </c>
    </row>
    <row r="4" spans="1:12" x14ac:dyDescent="0.2">
      <c r="A4" t="s">
        <v>34</v>
      </c>
      <c r="B4">
        <v>0</v>
      </c>
      <c r="C4">
        <v>11</v>
      </c>
      <c r="D4">
        <v>15</v>
      </c>
      <c r="E4">
        <v>4</v>
      </c>
      <c r="F4" s="13">
        <v>15</v>
      </c>
      <c r="H4" t="s">
        <v>36</v>
      </c>
      <c r="I4">
        <f>B4+B5</f>
        <v>3</v>
      </c>
      <c r="J4">
        <f>C4+C5</f>
        <v>21</v>
      </c>
      <c r="K4">
        <f>D4+D5</f>
        <v>25</v>
      </c>
      <c r="L4">
        <f>E4+E5</f>
        <v>10</v>
      </c>
    </row>
    <row r="5" spans="1:12" x14ac:dyDescent="0.2">
      <c r="A5" t="s">
        <v>33</v>
      </c>
      <c r="B5">
        <v>3</v>
      </c>
      <c r="C5">
        <v>10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0</v>
      </c>
      <c r="J5">
        <f t="shared" si="0"/>
        <v>10</v>
      </c>
      <c r="K5">
        <f t="shared" si="0"/>
        <v>4</v>
      </c>
      <c r="L5">
        <f t="shared" si="0"/>
        <v>7</v>
      </c>
    </row>
    <row r="6" spans="1:12" x14ac:dyDescent="0.2">
      <c r="A6" t="s">
        <v>32</v>
      </c>
      <c r="B6">
        <v>0</v>
      </c>
      <c r="C6">
        <v>10</v>
      </c>
      <c r="D6">
        <v>4</v>
      </c>
      <c r="E6">
        <v>7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1</v>
      </c>
    </row>
    <row r="7" spans="1:12" x14ac:dyDescent="0.2">
      <c r="A7" t="s">
        <v>31</v>
      </c>
      <c r="B7">
        <v>1</v>
      </c>
      <c r="C7">
        <v>0</v>
      </c>
      <c r="D7">
        <v>0</v>
      </c>
      <c r="E7">
        <v>1</v>
      </c>
      <c r="F7" s="14" t="s">
        <v>41</v>
      </c>
      <c r="H7" t="s">
        <v>30</v>
      </c>
      <c r="I7">
        <f t="shared" si="0"/>
        <v>0</v>
      </c>
      <c r="J7">
        <f t="shared" si="0"/>
        <v>2</v>
      </c>
      <c r="K7">
        <f t="shared" si="0"/>
        <v>2</v>
      </c>
      <c r="L7">
        <f t="shared" si="0"/>
        <v>2</v>
      </c>
    </row>
    <row r="8" spans="1:12" x14ac:dyDescent="0.2">
      <c r="A8" t="s">
        <v>30</v>
      </c>
      <c r="B8">
        <v>0</v>
      </c>
      <c r="C8">
        <v>2</v>
      </c>
      <c r="D8">
        <v>2</v>
      </c>
      <c r="E8">
        <v>2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7</v>
      </c>
      <c r="K8" s="10">
        <f t="shared" si="0"/>
        <v>0</v>
      </c>
      <c r="L8" s="10">
        <f t="shared" si="0"/>
        <v>7</v>
      </c>
    </row>
    <row r="9" spans="1:12" x14ac:dyDescent="0.2">
      <c r="A9" s="10" t="s">
        <v>29</v>
      </c>
      <c r="B9" s="10">
        <v>0</v>
      </c>
      <c r="C9" s="10">
        <v>7</v>
      </c>
      <c r="D9" s="10">
        <v>0</v>
      </c>
      <c r="E9" s="10">
        <v>7</v>
      </c>
      <c r="F9" s="13">
        <v>7</v>
      </c>
      <c r="H9" t="s">
        <v>28</v>
      </c>
      <c r="I9">
        <f t="shared" si="0"/>
        <v>31</v>
      </c>
      <c r="J9">
        <f t="shared" si="0"/>
        <v>41</v>
      </c>
      <c r="K9">
        <f t="shared" si="0"/>
        <v>22</v>
      </c>
      <c r="L9">
        <f t="shared" si="0"/>
        <v>33</v>
      </c>
    </row>
    <row r="10" spans="1:12" x14ac:dyDescent="0.2">
      <c r="A10" t="s">
        <v>28</v>
      </c>
      <c r="B10" s="4">
        <f>4+4+5+9+9</f>
        <v>31</v>
      </c>
      <c r="C10" s="4">
        <f>5+6+7+5+4+9+5</f>
        <v>41</v>
      </c>
      <c r="D10" s="4">
        <f>4+4+5+6+3</f>
        <v>22</v>
      </c>
      <c r="E10" s="4">
        <f>3+5+5+6+5+2+7</f>
        <v>33</v>
      </c>
      <c r="F10" s="14" t="s">
        <v>42</v>
      </c>
      <c r="H10" t="s">
        <v>27</v>
      </c>
      <c r="I10">
        <f t="shared" si="0"/>
        <v>0</v>
      </c>
      <c r="J10">
        <f t="shared" si="0"/>
        <v>24</v>
      </c>
      <c r="K10">
        <f t="shared" si="0"/>
        <v>8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24</v>
      </c>
      <c r="D11" s="4">
        <v>8</v>
      </c>
      <c r="E11" s="4">
        <v>0</v>
      </c>
      <c r="F11" s="14" t="s">
        <v>42</v>
      </c>
      <c r="H11" t="s">
        <v>44</v>
      </c>
      <c r="I11">
        <f t="shared" si="0"/>
        <v>6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6</v>
      </c>
      <c r="C12" s="4">
        <v>0</v>
      </c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-64</v>
      </c>
      <c r="C22" s="40"/>
      <c r="D22" s="40"/>
      <c r="E22" s="40">
        <f>SUM(E23:E31)</f>
        <v>64</v>
      </c>
      <c r="F22" s="41" t="s">
        <v>40</v>
      </c>
    </row>
    <row r="23" spans="1:6" x14ac:dyDescent="0.2">
      <c r="A23" s="38" t="s">
        <v>36</v>
      </c>
      <c r="B23" s="40">
        <f>B4+B5-C4-C5</f>
        <v>-18</v>
      </c>
      <c r="C23" s="40"/>
      <c r="D23" s="40"/>
      <c r="E23" s="40">
        <f t="shared" ref="E23:E31" si="1">-B23</f>
        <v>18</v>
      </c>
      <c r="F23" s="42">
        <v>25</v>
      </c>
    </row>
    <row r="24" spans="1:6" x14ac:dyDescent="0.2">
      <c r="A24" s="38" t="s">
        <v>32</v>
      </c>
      <c r="B24" s="40">
        <f t="shared" ref="B24:B31" si="2">B6-C6</f>
        <v>-10</v>
      </c>
      <c r="C24" s="40"/>
      <c r="D24" s="40"/>
      <c r="E24" s="40">
        <f t="shared" si="1"/>
        <v>10</v>
      </c>
      <c r="F24" s="42">
        <v>10</v>
      </c>
    </row>
    <row r="25" spans="1:6" x14ac:dyDescent="0.2">
      <c r="A25" s="38" t="s">
        <v>31</v>
      </c>
      <c r="B25" s="40">
        <f t="shared" si="2"/>
        <v>1</v>
      </c>
      <c r="C25" s="40"/>
      <c r="D25" s="40"/>
      <c r="E25" s="40">
        <f t="shared" si="1"/>
        <v>-1</v>
      </c>
      <c r="F25" s="41" t="s">
        <v>41</v>
      </c>
    </row>
    <row r="26" spans="1:6" x14ac:dyDescent="0.2">
      <c r="A26" s="38" t="s">
        <v>30</v>
      </c>
      <c r="B26" s="40">
        <f t="shared" si="2"/>
        <v>-2</v>
      </c>
      <c r="C26" s="40"/>
      <c r="D26" s="40"/>
      <c r="E26" s="40">
        <f t="shared" si="1"/>
        <v>2</v>
      </c>
      <c r="F26" s="41" t="s">
        <v>41</v>
      </c>
    </row>
    <row r="27" spans="1:6" x14ac:dyDescent="0.2">
      <c r="A27" s="43" t="s">
        <v>29</v>
      </c>
      <c r="B27" s="44">
        <f t="shared" si="2"/>
        <v>-7</v>
      </c>
      <c r="C27" s="44"/>
      <c r="D27" s="44"/>
      <c r="E27" s="44">
        <f t="shared" si="1"/>
        <v>7</v>
      </c>
      <c r="F27" s="42">
        <v>7</v>
      </c>
    </row>
    <row r="28" spans="1:6" x14ac:dyDescent="0.2">
      <c r="A28" s="38" t="s">
        <v>28</v>
      </c>
      <c r="B28" s="40">
        <f t="shared" si="2"/>
        <v>-10</v>
      </c>
      <c r="C28" s="40"/>
      <c r="D28" s="40"/>
      <c r="E28" s="40">
        <f t="shared" si="1"/>
        <v>10</v>
      </c>
      <c r="F28" s="41" t="s">
        <v>42</v>
      </c>
    </row>
    <row r="29" spans="1:6" x14ac:dyDescent="0.2">
      <c r="A29" s="38" t="s">
        <v>27</v>
      </c>
      <c r="B29" s="40">
        <f t="shared" si="2"/>
        <v>-24</v>
      </c>
      <c r="C29" s="40"/>
      <c r="D29" s="40"/>
      <c r="E29" s="40">
        <f t="shared" si="1"/>
        <v>24</v>
      </c>
      <c r="F29" s="41" t="s">
        <v>42</v>
      </c>
    </row>
    <row r="30" spans="1:6" x14ac:dyDescent="0.2">
      <c r="A30" s="38" t="s">
        <v>44</v>
      </c>
      <c r="B30" s="40">
        <f t="shared" si="2"/>
        <v>6</v>
      </c>
      <c r="C30" s="38"/>
      <c r="D30" s="38"/>
      <c r="E30" s="40">
        <f t="shared" si="1"/>
        <v>-6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97</v>
      </c>
      <c r="B1">
        <v>71</v>
      </c>
      <c r="C1">
        <v>79</v>
      </c>
      <c r="D1">
        <v>53</v>
      </c>
      <c r="E1">
        <v>37</v>
      </c>
    </row>
    <row r="2" spans="1:12" x14ac:dyDescent="0.2">
      <c r="B2" t="s">
        <v>6</v>
      </c>
      <c r="C2" t="s">
        <v>8</v>
      </c>
      <c r="D2" t="s">
        <v>9</v>
      </c>
      <c r="E2" t="s">
        <v>94</v>
      </c>
      <c r="I2" t="str">
        <f>B2</f>
        <v>Mateusz</v>
      </c>
      <c r="J2" t="str">
        <f>C2</f>
        <v>Justyna</v>
      </c>
      <c r="K2" t="str">
        <f>D2</f>
        <v>Agnieszka</v>
      </c>
      <c r="L2" t="str">
        <f>E2</f>
        <v>Dominika</v>
      </c>
    </row>
    <row r="3" spans="1:12" x14ac:dyDescent="0.2">
      <c r="A3" t="s">
        <v>37</v>
      </c>
      <c r="B3" s="38">
        <f>SUM(B4:B13)</f>
        <v>71</v>
      </c>
      <c r="C3">
        <f>SUM(C4:C13)</f>
        <v>79</v>
      </c>
      <c r="D3">
        <f>SUM(D4:D13)</f>
        <v>53</v>
      </c>
      <c r="E3">
        <f>SUM(E4:E13)</f>
        <v>37</v>
      </c>
      <c r="F3" s="14" t="s">
        <v>40</v>
      </c>
      <c r="I3">
        <f>SUM(I4:I12)</f>
        <v>71</v>
      </c>
      <c r="J3">
        <f>SUM(J4:J12)</f>
        <v>79</v>
      </c>
      <c r="K3">
        <f>SUM(K4:K12)</f>
        <v>53</v>
      </c>
      <c r="L3">
        <f>SUM(L4:L12)</f>
        <v>37</v>
      </c>
    </row>
    <row r="4" spans="1:12" x14ac:dyDescent="0.2">
      <c r="A4" t="s">
        <v>34</v>
      </c>
      <c r="B4">
        <v>12</v>
      </c>
      <c r="C4">
        <v>11</v>
      </c>
      <c r="D4">
        <v>12</v>
      </c>
      <c r="E4">
        <v>5</v>
      </c>
      <c r="F4" s="13">
        <v>15</v>
      </c>
      <c r="H4" t="s">
        <v>36</v>
      </c>
      <c r="I4">
        <f>B4+B5</f>
        <v>22</v>
      </c>
      <c r="J4">
        <f>C4+C5</f>
        <v>21</v>
      </c>
      <c r="K4">
        <f>D4+D5</f>
        <v>22</v>
      </c>
      <c r="L4">
        <f>E4+E5</f>
        <v>11</v>
      </c>
    </row>
    <row r="5" spans="1:12" x14ac:dyDescent="0.2">
      <c r="A5" t="s">
        <v>33</v>
      </c>
      <c r="B5">
        <v>10</v>
      </c>
      <c r="C5">
        <v>10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0</v>
      </c>
      <c r="L5">
        <f t="shared" si="0"/>
        <v>0</v>
      </c>
    </row>
    <row r="6" spans="1:12" x14ac:dyDescent="0.2">
      <c r="A6" t="s">
        <v>32</v>
      </c>
      <c r="B6">
        <v>10</v>
      </c>
      <c r="C6">
        <v>7</v>
      </c>
      <c r="D6">
        <v>0</v>
      </c>
      <c r="E6">
        <v>0</v>
      </c>
      <c r="F6" s="13">
        <v>10</v>
      </c>
      <c r="H6" t="s">
        <v>31</v>
      </c>
      <c r="I6">
        <f t="shared" si="0"/>
        <v>1</v>
      </c>
      <c r="J6">
        <f t="shared" si="0"/>
        <v>1</v>
      </c>
      <c r="K6">
        <f t="shared" si="0"/>
        <v>0</v>
      </c>
      <c r="L6">
        <f t="shared" si="0"/>
        <v>1</v>
      </c>
    </row>
    <row r="7" spans="1:12" x14ac:dyDescent="0.2">
      <c r="A7" t="s">
        <v>31</v>
      </c>
      <c r="B7">
        <v>1</v>
      </c>
      <c r="C7">
        <v>1</v>
      </c>
      <c r="D7">
        <v>0</v>
      </c>
      <c r="E7">
        <v>1</v>
      </c>
      <c r="F7" s="14" t="s">
        <v>41</v>
      </c>
      <c r="H7" t="s">
        <v>30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0</v>
      </c>
      <c r="C8">
        <v>0</v>
      </c>
      <c r="D8">
        <v>0</v>
      </c>
      <c r="E8">
        <v>0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7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7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36</v>
      </c>
      <c r="J9">
        <f t="shared" si="0"/>
        <v>39</v>
      </c>
      <c r="K9">
        <f t="shared" si="0"/>
        <v>19</v>
      </c>
      <c r="L9">
        <f t="shared" si="0"/>
        <v>22</v>
      </c>
    </row>
    <row r="10" spans="1:12" x14ac:dyDescent="0.2">
      <c r="A10" t="s">
        <v>28</v>
      </c>
      <c r="B10" s="4">
        <f>4+7+5+3+7+5+5</f>
        <v>36</v>
      </c>
      <c r="C10" s="4">
        <f>1+6+2+4+6+5+6+6+3</f>
        <v>39</v>
      </c>
      <c r="D10" s="4">
        <f>4+8+7</f>
        <v>19</v>
      </c>
      <c r="E10" s="4">
        <f>3+5+5+9</f>
        <v>22</v>
      </c>
      <c r="F10" s="14" t="s">
        <v>42</v>
      </c>
      <c r="H10" t="s">
        <v>27</v>
      </c>
      <c r="I10">
        <f t="shared" si="0"/>
        <v>2</v>
      </c>
      <c r="J10">
        <f t="shared" si="0"/>
        <v>4</v>
      </c>
      <c r="K10">
        <f t="shared" si="0"/>
        <v>12</v>
      </c>
      <c r="L10">
        <f t="shared" si="0"/>
        <v>0</v>
      </c>
    </row>
    <row r="11" spans="1:12" x14ac:dyDescent="0.2">
      <c r="A11" t="s">
        <v>27</v>
      </c>
      <c r="B11" s="4">
        <v>2</v>
      </c>
      <c r="C11" s="4">
        <v>4</v>
      </c>
      <c r="D11" s="4">
        <v>12</v>
      </c>
      <c r="E11" s="4">
        <v>0</v>
      </c>
      <c r="F11" s="14" t="s">
        <v>42</v>
      </c>
      <c r="H11" t="s">
        <v>44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3</v>
      </c>
    </row>
    <row r="12" spans="1:12" x14ac:dyDescent="0.2">
      <c r="A12" t="s">
        <v>44</v>
      </c>
      <c r="B12" s="4">
        <v>0</v>
      </c>
      <c r="C12" s="4">
        <v>0</v>
      </c>
      <c r="D12" s="4">
        <v>0</v>
      </c>
      <c r="E12" s="4">
        <v>3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-8</v>
      </c>
      <c r="C22" s="40"/>
      <c r="D22" s="40"/>
      <c r="E22" s="40">
        <f>SUM(E23:E31)</f>
        <v>8</v>
      </c>
      <c r="F22" s="41" t="s">
        <v>40</v>
      </c>
    </row>
    <row r="23" spans="1:6" x14ac:dyDescent="0.2">
      <c r="A23" s="38" t="s">
        <v>36</v>
      </c>
      <c r="B23" s="40">
        <f>B4+B5-C4-C5</f>
        <v>1</v>
      </c>
      <c r="C23" s="40"/>
      <c r="D23" s="40"/>
      <c r="E23" s="40">
        <f t="shared" ref="E23:E31" si="1">-B23</f>
        <v>-1</v>
      </c>
      <c r="F23" s="42">
        <v>25</v>
      </c>
    </row>
    <row r="24" spans="1:6" x14ac:dyDescent="0.2">
      <c r="A24" s="38" t="s">
        <v>32</v>
      </c>
      <c r="B24" s="40">
        <f t="shared" ref="B24:B31" si="2">B6-C6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si="2"/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-7</v>
      </c>
      <c r="C27" s="44"/>
      <c r="D27" s="44"/>
      <c r="E27" s="44">
        <f t="shared" si="1"/>
        <v>7</v>
      </c>
      <c r="F27" s="42">
        <v>7</v>
      </c>
    </row>
    <row r="28" spans="1:6" x14ac:dyDescent="0.2">
      <c r="A28" s="38" t="s">
        <v>28</v>
      </c>
      <c r="B28" s="40">
        <f t="shared" si="2"/>
        <v>-3</v>
      </c>
      <c r="C28" s="40"/>
      <c r="D28" s="40"/>
      <c r="E28" s="40">
        <f t="shared" si="1"/>
        <v>3</v>
      </c>
      <c r="F28" s="41" t="s">
        <v>42</v>
      </c>
    </row>
    <row r="29" spans="1:6" x14ac:dyDescent="0.2">
      <c r="A29" s="38" t="s">
        <v>27</v>
      </c>
      <c r="B29" s="40">
        <f t="shared" si="2"/>
        <v>-2</v>
      </c>
      <c r="C29" s="40"/>
      <c r="D29" s="40"/>
      <c r="E29" s="40">
        <f t="shared" si="1"/>
        <v>2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96</v>
      </c>
      <c r="B1">
        <v>62</v>
      </c>
      <c r="C1">
        <v>60</v>
      </c>
      <c r="D1">
        <v>76</v>
      </c>
      <c r="E1">
        <v>61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62</v>
      </c>
      <c r="C3">
        <f>SUM(C4:C13)</f>
        <v>60</v>
      </c>
      <c r="D3">
        <f>SUM(D4:D13)</f>
        <v>76</v>
      </c>
      <c r="E3">
        <f>SUM(E4:E13)</f>
        <v>61</v>
      </c>
      <c r="F3" s="14" t="s">
        <v>40</v>
      </c>
      <c r="I3">
        <f>SUM(I4:I12)</f>
        <v>62</v>
      </c>
      <c r="J3">
        <f>SUM(J4:J12)</f>
        <v>60</v>
      </c>
      <c r="K3">
        <f>SUM(K4:K12)</f>
        <v>76</v>
      </c>
      <c r="L3">
        <f>SUM(L4:L12)</f>
        <v>61</v>
      </c>
    </row>
    <row r="4" spans="1:12" x14ac:dyDescent="0.2">
      <c r="A4" t="s">
        <v>34</v>
      </c>
      <c r="B4">
        <v>10</v>
      </c>
      <c r="C4">
        <v>12</v>
      </c>
      <c r="D4">
        <v>12</v>
      </c>
      <c r="E4">
        <v>12</v>
      </c>
      <c r="F4" s="13">
        <v>15</v>
      </c>
      <c r="H4" t="s">
        <v>36</v>
      </c>
      <c r="I4">
        <f>B4+B5</f>
        <v>20</v>
      </c>
      <c r="J4">
        <f>C4+C5</f>
        <v>18</v>
      </c>
      <c r="K4">
        <f>D4+D5</f>
        <v>22</v>
      </c>
      <c r="L4">
        <f>E4+E5</f>
        <v>18</v>
      </c>
    </row>
    <row r="5" spans="1:12" x14ac:dyDescent="0.2">
      <c r="A5" t="s">
        <v>33</v>
      </c>
      <c r="B5">
        <v>10</v>
      </c>
      <c r="C5">
        <v>6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1</v>
      </c>
      <c r="J5">
        <f t="shared" si="0"/>
        <v>4</v>
      </c>
      <c r="K5">
        <f t="shared" si="0"/>
        <v>7</v>
      </c>
      <c r="L5">
        <f t="shared" si="0"/>
        <v>10</v>
      </c>
    </row>
    <row r="6" spans="1:12" x14ac:dyDescent="0.2">
      <c r="A6" t="s">
        <v>32</v>
      </c>
      <c r="B6">
        <v>1</v>
      </c>
      <c r="C6">
        <v>4</v>
      </c>
      <c r="D6">
        <v>7</v>
      </c>
      <c r="E6">
        <v>10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1</v>
      </c>
    </row>
    <row r="7" spans="1:12" x14ac:dyDescent="0.2">
      <c r="A7" t="s">
        <v>31</v>
      </c>
      <c r="B7">
        <v>0</v>
      </c>
      <c r="C7">
        <v>0</v>
      </c>
      <c r="D7">
        <v>1</v>
      </c>
      <c r="E7">
        <v>1</v>
      </c>
      <c r="F7" s="14" t="s">
        <v>41</v>
      </c>
      <c r="H7" t="s">
        <v>30</v>
      </c>
      <c r="I7">
        <f t="shared" si="0"/>
        <v>0</v>
      </c>
      <c r="J7">
        <f t="shared" si="0"/>
        <v>3</v>
      </c>
      <c r="K7">
        <f t="shared" si="0"/>
        <v>2</v>
      </c>
      <c r="L7">
        <f t="shared" si="0"/>
        <v>1</v>
      </c>
    </row>
    <row r="8" spans="1:12" x14ac:dyDescent="0.2">
      <c r="A8" t="s">
        <v>30</v>
      </c>
      <c r="B8">
        <v>0</v>
      </c>
      <c r="C8">
        <v>3</v>
      </c>
      <c r="D8">
        <v>2</v>
      </c>
      <c r="E8">
        <v>1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0</v>
      </c>
      <c r="D9" s="10">
        <v>7</v>
      </c>
      <c r="E9" s="10">
        <v>0</v>
      </c>
      <c r="F9" s="13">
        <v>7</v>
      </c>
      <c r="H9" t="s">
        <v>28</v>
      </c>
      <c r="I9">
        <f t="shared" si="0"/>
        <v>33</v>
      </c>
      <c r="J9">
        <f t="shared" si="0"/>
        <v>35</v>
      </c>
      <c r="K9">
        <f t="shared" si="0"/>
        <v>37</v>
      </c>
      <c r="L9">
        <f t="shared" si="0"/>
        <v>30</v>
      </c>
    </row>
    <row r="10" spans="1:12" x14ac:dyDescent="0.2">
      <c r="A10" t="s">
        <v>28</v>
      </c>
      <c r="B10" s="4">
        <f>3+7+4+8+6+5</f>
        <v>33</v>
      </c>
      <c r="C10" s="4">
        <f>4+5+6+6+9+5</f>
        <v>35</v>
      </c>
      <c r="D10" s="4">
        <f>4+7+5+6+5+8+2</f>
        <v>37</v>
      </c>
      <c r="E10" s="4">
        <f>5+7+6+7+5</f>
        <v>30</v>
      </c>
      <c r="F10" s="14" t="s">
        <v>42</v>
      </c>
      <c r="H10" t="s">
        <v>27</v>
      </c>
      <c r="I10">
        <f t="shared" si="0"/>
        <v>2</v>
      </c>
      <c r="J10">
        <f t="shared" si="0"/>
        <v>0</v>
      </c>
      <c r="K10">
        <f t="shared" si="0"/>
        <v>0</v>
      </c>
      <c r="L10">
        <f t="shared" si="0"/>
        <v>1</v>
      </c>
    </row>
    <row r="11" spans="1:12" x14ac:dyDescent="0.2">
      <c r="A11" t="s">
        <v>27</v>
      </c>
      <c r="B11" s="4">
        <v>2</v>
      </c>
      <c r="C11" s="4">
        <v>0</v>
      </c>
      <c r="D11" s="4">
        <v>0</v>
      </c>
      <c r="E11" s="4">
        <v>1</v>
      </c>
      <c r="F11" s="14" t="s">
        <v>42</v>
      </c>
      <c r="H11" t="s">
        <v>44</v>
      </c>
      <c r="I11">
        <f t="shared" si="0"/>
        <v>6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6</v>
      </c>
      <c r="C12" s="4">
        <v>0</v>
      </c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2</v>
      </c>
      <c r="C22" s="40"/>
      <c r="D22" s="40"/>
      <c r="E22" s="40">
        <f>SUM(E23:E31)</f>
        <v>-2</v>
      </c>
      <c r="F22" s="41" t="s">
        <v>40</v>
      </c>
    </row>
    <row r="23" spans="1:6" x14ac:dyDescent="0.2">
      <c r="A23" s="38" t="s">
        <v>36</v>
      </c>
      <c r="B23" s="40">
        <f>B4+B5-C4-C5</f>
        <v>2</v>
      </c>
      <c r="C23" s="40"/>
      <c r="D23" s="40"/>
      <c r="E23" s="40">
        <f t="shared" ref="E23:E31" si="1">-B23</f>
        <v>-2</v>
      </c>
      <c r="F23" s="42">
        <v>25</v>
      </c>
    </row>
    <row r="24" spans="1:6" x14ac:dyDescent="0.2">
      <c r="A24" s="38" t="s">
        <v>32</v>
      </c>
      <c r="B24" s="40">
        <f t="shared" ref="B24:B31" si="2">B6-C6</f>
        <v>-3</v>
      </c>
      <c r="C24" s="40"/>
      <c r="D24" s="40"/>
      <c r="E24" s="40">
        <f t="shared" si="1"/>
        <v>3</v>
      </c>
      <c r="F24" s="42">
        <v>10</v>
      </c>
    </row>
    <row r="25" spans="1:6" x14ac:dyDescent="0.2">
      <c r="A25" s="38" t="s">
        <v>31</v>
      </c>
      <c r="B25" s="40">
        <f t="shared" si="2"/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-3</v>
      </c>
      <c r="C26" s="40"/>
      <c r="D26" s="40"/>
      <c r="E26" s="40">
        <f t="shared" si="1"/>
        <v>3</v>
      </c>
      <c r="F26" s="41" t="s">
        <v>41</v>
      </c>
    </row>
    <row r="27" spans="1:6" x14ac:dyDescent="0.2">
      <c r="A27" s="43" t="s">
        <v>29</v>
      </c>
      <c r="B27" s="44">
        <f t="shared" si="2"/>
        <v>0</v>
      </c>
      <c r="C27" s="44"/>
      <c r="D27" s="44"/>
      <c r="E27" s="44">
        <f t="shared" si="1"/>
        <v>0</v>
      </c>
      <c r="F27" s="42">
        <v>7</v>
      </c>
    </row>
    <row r="28" spans="1:6" x14ac:dyDescent="0.2">
      <c r="A28" s="38" t="s">
        <v>28</v>
      </c>
      <c r="B28" s="40">
        <f t="shared" si="2"/>
        <v>-2</v>
      </c>
      <c r="C28" s="40"/>
      <c r="D28" s="40"/>
      <c r="E28" s="40">
        <f t="shared" si="1"/>
        <v>2</v>
      </c>
      <c r="F28" s="41" t="s">
        <v>42</v>
      </c>
    </row>
    <row r="29" spans="1:6" x14ac:dyDescent="0.2">
      <c r="A29" s="38" t="s">
        <v>27</v>
      </c>
      <c r="B29" s="40">
        <f t="shared" si="2"/>
        <v>2</v>
      </c>
      <c r="C29" s="40"/>
      <c r="D29" s="40"/>
      <c r="E29" s="40">
        <f t="shared" si="1"/>
        <v>-2</v>
      </c>
      <c r="F29" s="41" t="s">
        <v>42</v>
      </c>
    </row>
    <row r="30" spans="1:6" x14ac:dyDescent="0.2">
      <c r="A30" s="38" t="s">
        <v>44</v>
      </c>
      <c r="B30" s="40">
        <f t="shared" si="2"/>
        <v>6</v>
      </c>
      <c r="C30" s="38"/>
      <c r="D30" s="38"/>
      <c r="E30" s="40">
        <f t="shared" si="1"/>
        <v>-6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98</v>
      </c>
      <c r="B1">
        <v>69</v>
      </c>
      <c r="C1">
        <v>72</v>
      </c>
      <c r="D1">
        <v>49</v>
      </c>
      <c r="E1">
        <v>65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69</v>
      </c>
      <c r="C3">
        <f>SUM(C4:C13)</f>
        <v>72</v>
      </c>
      <c r="D3">
        <f>SUM(D4:D13)</f>
        <v>49</v>
      </c>
      <c r="E3">
        <f>SUM(E4:E13)</f>
        <v>65</v>
      </c>
      <c r="F3" s="14" t="s">
        <v>40</v>
      </c>
      <c r="I3">
        <f>SUM(I4:I12)</f>
        <v>69</v>
      </c>
      <c r="J3">
        <f>SUM(J4:J12)</f>
        <v>72</v>
      </c>
      <c r="K3">
        <f>SUM(K4:K12)</f>
        <v>49</v>
      </c>
      <c r="L3">
        <f>SUM(L4:L12)</f>
        <v>65</v>
      </c>
    </row>
    <row r="4" spans="1:12" x14ac:dyDescent="0.2">
      <c r="A4" t="s">
        <v>34</v>
      </c>
      <c r="B4">
        <v>11</v>
      </c>
      <c r="C4">
        <v>11</v>
      </c>
      <c r="D4">
        <v>0</v>
      </c>
      <c r="E4">
        <v>4</v>
      </c>
      <c r="F4" s="13">
        <v>15</v>
      </c>
      <c r="H4" t="s">
        <v>36</v>
      </c>
      <c r="I4">
        <f>B4+B5</f>
        <v>21</v>
      </c>
      <c r="J4">
        <f>C4+C5</f>
        <v>21</v>
      </c>
      <c r="K4">
        <f>D4+D5</f>
        <v>3</v>
      </c>
      <c r="L4">
        <f>E4+E5</f>
        <v>10</v>
      </c>
    </row>
    <row r="5" spans="1:12" x14ac:dyDescent="0.2">
      <c r="A5" t="s">
        <v>33</v>
      </c>
      <c r="B5">
        <v>10</v>
      </c>
      <c r="C5">
        <v>10</v>
      </c>
      <c r="D5">
        <v>3</v>
      </c>
      <c r="E5">
        <v>6</v>
      </c>
      <c r="F5" s="13">
        <v>10</v>
      </c>
      <c r="H5" t="s">
        <v>32</v>
      </c>
      <c r="I5">
        <f t="shared" ref="I5:L12" si="0">B6</f>
        <v>7</v>
      </c>
      <c r="J5">
        <f t="shared" si="0"/>
        <v>0</v>
      </c>
      <c r="K5">
        <f t="shared" si="0"/>
        <v>0</v>
      </c>
      <c r="L5">
        <f t="shared" si="0"/>
        <v>10</v>
      </c>
    </row>
    <row r="6" spans="1:12" x14ac:dyDescent="0.2">
      <c r="A6" t="s">
        <v>32</v>
      </c>
      <c r="B6">
        <v>7</v>
      </c>
      <c r="C6">
        <v>0</v>
      </c>
      <c r="D6">
        <v>0</v>
      </c>
      <c r="E6">
        <v>10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2</v>
      </c>
      <c r="J7">
        <f t="shared" si="0"/>
        <v>0</v>
      </c>
      <c r="K7">
        <f t="shared" si="0"/>
        <v>0</v>
      </c>
      <c r="L7">
        <f t="shared" si="0"/>
        <v>1</v>
      </c>
    </row>
    <row r="8" spans="1:12" x14ac:dyDescent="0.2">
      <c r="A8" t="s">
        <v>30</v>
      </c>
      <c r="B8">
        <v>2</v>
      </c>
      <c r="C8">
        <v>0</v>
      </c>
      <c r="D8">
        <v>0</v>
      </c>
      <c r="E8">
        <v>1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0</v>
      </c>
      <c r="D9" s="10">
        <v>7</v>
      </c>
      <c r="E9" s="10">
        <v>0</v>
      </c>
      <c r="F9" s="13">
        <v>7</v>
      </c>
      <c r="H9" t="s">
        <v>28</v>
      </c>
      <c r="I9">
        <f t="shared" si="0"/>
        <v>39</v>
      </c>
      <c r="J9">
        <f t="shared" si="0"/>
        <v>6</v>
      </c>
      <c r="K9">
        <f t="shared" si="0"/>
        <v>39</v>
      </c>
      <c r="L9">
        <f t="shared" si="0"/>
        <v>44</v>
      </c>
    </row>
    <row r="10" spans="1:12" x14ac:dyDescent="0.2">
      <c r="A10" t="s">
        <v>28</v>
      </c>
      <c r="B10" s="4">
        <f>5+4+7+6+7+5+5</f>
        <v>39</v>
      </c>
      <c r="C10" s="4">
        <f>1+5</f>
        <v>6</v>
      </c>
      <c r="D10" s="4">
        <f>3+4+5+7+3+6+6+3+2</f>
        <v>39</v>
      </c>
      <c r="E10" s="4">
        <f>4+5+9+7+5+8+6</f>
        <v>44</v>
      </c>
      <c r="F10" s="14" t="s">
        <v>42</v>
      </c>
      <c r="H10" t="s">
        <v>27</v>
      </c>
      <c r="I10">
        <f t="shared" si="0"/>
        <v>0</v>
      </c>
      <c r="J10">
        <f t="shared" si="0"/>
        <v>30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30</v>
      </c>
      <c r="D11" s="4">
        <v>0</v>
      </c>
      <c r="E11" s="4">
        <v>0</v>
      </c>
      <c r="F11" s="14" t="s">
        <v>42</v>
      </c>
      <c r="H11" t="s">
        <v>44</v>
      </c>
      <c r="I11">
        <f t="shared" si="0"/>
        <v>0</v>
      </c>
      <c r="J11">
        <f t="shared" si="0"/>
        <v>15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>
        <v>15</v>
      </c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-3</v>
      </c>
      <c r="C22" s="40"/>
      <c r="D22" s="40"/>
      <c r="E22" s="40">
        <f>SUM(E23:E31)</f>
        <v>3</v>
      </c>
      <c r="F22" s="41" t="s">
        <v>40</v>
      </c>
    </row>
    <row r="23" spans="1:6" x14ac:dyDescent="0.2">
      <c r="A23" s="38" t="s">
        <v>36</v>
      </c>
      <c r="B23" s="40">
        <f>B4+B5-C4-C5</f>
        <v>0</v>
      </c>
      <c r="C23" s="40"/>
      <c r="D23" s="40"/>
      <c r="E23" s="40">
        <f t="shared" ref="E23:E31" si="1">-B23</f>
        <v>0</v>
      </c>
      <c r="F23" s="42">
        <v>25</v>
      </c>
    </row>
    <row r="24" spans="1:6" x14ac:dyDescent="0.2">
      <c r="A24" s="38" t="s">
        <v>32</v>
      </c>
      <c r="B24" s="40">
        <f t="shared" ref="B24:B31" si="2">B6-C6</f>
        <v>7</v>
      </c>
      <c r="C24" s="40"/>
      <c r="D24" s="40"/>
      <c r="E24" s="40">
        <f t="shared" si="1"/>
        <v>-7</v>
      </c>
      <c r="F24" s="42">
        <v>10</v>
      </c>
    </row>
    <row r="25" spans="1:6" x14ac:dyDescent="0.2">
      <c r="A25" s="38" t="s">
        <v>31</v>
      </c>
      <c r="B25" s="40">
        <f t="shared" si="2"/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2</v>
      </c>
      <c r="C26" s="40"/>
      <c r="D26" s="40"/>
      <c r="E26" s="40">
        <f t="shared" si="1"/>
        <v>-2</v>
      </c>
      <c r="F26" s="41" t="s">
        <v>41</v>
      </c>
    </row>
    <row r="27" spans="1:6" x14ac:dyDescent="0.2">
      <c r="A27" s="43" t="s">
        <v>29</v>
      </c>
      <c r="B27" s="44">
        <f t="shared" si="2"/>
        <v>0</v>
      </c>
      <c r="C27" s="44"/>
      <c r="D27" s="44"/>
      <c r="E27" s="44">
        <f t="shared" si="1"/>
        <v>0</v>
      </c>
      <c r="F27" s="42">
        <v>7</v>
      </c>
    </row>
    <row r="28" spans="1:6" x14ac:dyDescent="0.2">
      <c r="A28" s="38" t="s">
        <v>28</v>
      </c>
      <c r="B28" s="40">
        <f t="shared" si="2"/>
        <v>33</v>
      </c>
      <c r="C28" s="40"/>
      <c r="D28" s="40"/>
      <c r="E28" s="40">
        <f t="shared" si="1"/>
        <v>-33</v>
      </c>
      <c r="F28" s="41" t="s">
        <v>42</v>
      </c>
    </row>
    <row r="29" spans="1:6" x14ac:dyDescent="0.2">
      <c r="A29" s="38" t="s">
        <v>27</v>
      </c>
      <c r="B29" s="40">
        <f t="shared" si="2"/>
        <v>-30</v>
      </c>
      <c r="C29" s="40"/>
      <c r="D29" s="40"/>
      <c r="E29" s="40">
        <f t="shared" si="1"/>
        <v>30</v>
      </c>
      <c r="F29" s="41" t="s">
        <v>42</v>
      </c>
    </row>
    <row r="30" spans="1:6" x14ac:dyDescent="0.2">
      <c r="A30" s="38" t="s">
        <v>44</v>
      </c>
      <c r="B30" s="40">
        <f t="shared" si="2"/>
        <v>-15</v>
      </c>
      <c r="C30" s="38"/>
      <c r="D30" s="38"/>
      <c r="E30" s="40">
        <f t="shared" si="1"/>
        <v>15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99</v>
      </c>
      <c r="B1">
        <v>70</v>
      </c>
      <c r="D1">
        <v>68</v>
      </c>
      <c r="E1">
        <v>66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70</v>
      </c>
      <c r="D3">
        <f>SUM(D4:D13)</f>
        <v>72</v>
      </c>
      <c r="E3">
        <f>SUM(E4:E13)</f>
        <v>66</v>
      </c>
      <c r="F3" s="14" t="s">
        <v>40</v>
      </c>
      <c r="I3">
        <f>SUM(I4:I12)</f>
        <v>70</v>
      </c>
      <c r="J3">
        <f>SUM(J4:J12)</f>
        <v>0</v>
      </c>
      <c r="K3">
        <f>SUM(K4:K12)</f>
        <v>72</v>
      </c>
      <c r="L3">
        <f>SUM(L4:L12)</f>
        <v>66</v>
      </c>
    </row>
    <row r="4" spans="1:12" x14ac:dyDescent="0.2">
      <c r="A4" t="s">
        <v>34</v>
      </c>
      <c r="B4">
        <v>5</v>
      </c>
      <c r="D4">
        <v>10</v>
      </c>
      <c r="E4">
        <v>11</v>
      </c>
      <c r="F4" s="13">
        <v>15</v>
      </c>
      <c r="H4" t="s">
        <v>36</v>
      </c>
      <c r="I4">
        <f>B4+B5</f>
        <v>8</v>
      </c>
      <c r="J4">
        <f>C4+C5</f>
        <v>0</v>
      </c>
      <c r="K4">
        <f>D4+D5</f>
        <v>16</v>
      </c>
      <c r="L4">
        <f>E4+E5</f>
        <v>17</v>
      </c>
    </row>
    <row r="5" spans="1:12" x14ac:dyDescent="0.2">
      <c r="A5" t="s">
        <v>33</v>
      </c>
      <c r="B5">
        <v>3</v>
      </c>
      <c r="D5">
        <v>6</v>
      </c>
      <c r="E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0</v>
      </c>
      <c r="K5">
        <f t="shared" si="0"/>
        <v>7</v>
      </c>
      <c r="L5">
        <f t="shared" si="0"/>
        <v>4</v>
      </c>
    </row>
    <row r="6" spans="1:12" x14ac:dyDescent="0.2">
      <c r="A6" t="s">
        <v>32</v>
      </c>
      <c r="B6">
        <v>10</v>
      </c>
      <c r="D6">
        <v>7</v>
      </c>
      <c r="E6">
        <v>4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1</v>
      </c>
      <c r="J7">
        <f t="shared" si="0"/>
        <v>0</v>
      </c>
      <c r="K7">
        <f t="shared" si="0"/>
        <v>2</v>
      </c>
      <c r="L7">
        <f t="shared" si="0"/>
        <v>0</v>
      </c>
    </row>
    <row r="8" spans="1:12" x14ac:dyDescent="0.2">
      <c r="A8" t="s">
        <v>30</v>
      </c>
      <c r="B8">
        <v>1</v>
      </c>
      <c r="D8">
        <v>2</v>
      </c>
      <c r="E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/>
      <c r="D9" s="10">
        <v>0</v>
      </c>
      <c r="E9" s="10">
        <v>0</v>
      </c>
      <c r="F9" s="13">
        <v>7</v>
      </c>
      <c r="H9" t="s">
        <v>28</v>
      </c>
      <c r="I9">
        <f t="shared" si="0"/>
        <v>32</v>
      </c>
      <c r="J9">
        <f t="shared" si="0"/>
        <v>0</v>
      </c>
      <c r="K9">
        <f t="shared" si="0"/>
        <v>16</v>
      </c>
      <c r="L9">
        <f t="shared" si="0"/>
        <v>25</v>
      </c>
    </row>
    <row r="10" spans="1:12" x14ac:dyDescent="0.2">
      <c r="A10" t="s">
        <v>28</v>
      </c>
      <c r="B10" s="4">
        <f>3+5+3+5+6+7+3</f>
        <v>32</v>
      </c>
      <c r="C10" s="4"/>
      <c r="D10" s="4">
        <f>4+6+6</f>
        <v>16</v>
      </c>
      <c r="E10" s="4">
        <f>9+4+7+5</f>
        <v>25</v>
      </c>
      <c r="F10" s="14" t="s">
        <v>42</v>
      </c>
      <c r="H10" t="s">
        <v>27</v>
      </c>
      <c r="I10">
        <f t="shared" si="0"/>
        <v>12</v>
      </c>
      <c r="J10">
        <f t="shared" si="0"/>
        <v>0</v>
      </c>
      <c r="K10">
        <f t="shared" si="0"/>
        <v>6</v>
      </c>
      <c r="L10">
        <f t="shared" si="0"/>
        <v>20</v>
      </c>
    </row>
    <row r="11" spans="1:12" x14ac:dyDescent="0.2">
      <c r="A11" t="s">
        <v>27</v>
      </c>
      <c r="B11" s="4">
        <v>12</v>
      </c>
      <c r="C11" s="4"/>
      <c r="D11" s="4">
        <v>6</v>
      </c>
      <c r="E11" s="4">
        <v>20</v>
      </c>
      <c r="F11" s="14" t="s">
        <v>42</v>
      </c>
      <c r="H11" t="s">
        <v>44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/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25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/>
      <c r="D13" s="4">
        <v>25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70</v>
      </c>
      <c r="C22" s="40"/>
      <c r="D22" s="40"/>
      <c r="E22" s="40">
        <f>SUM(E23:E31)</f>
        <v>-70</v>
      </c>
      <c r="F22" s="41" t="s">
        <v>40</v>
      </c>
    </row>
    <row r="23" spans="1:6" x14ac:dyDescent="0.2">
      <c r="A23" s="38" t="s">
        <v>36</v>
      </c>
      <c r="B23" s="40">
        <f>B4+B5-C4-C5</f>
        <v>8</v>
      </c>
      <c r="C23" s="40"/>
      <c r="D23" s="40"/>
      <c r="E23" s="40">
        <f t="shared" ref="E23:E31" si="1">-B23</f>
        <v>-8</v>
      </c>
      <c r="F23" s="42">
        <v>25</v>
      </c>
    </row>
    <row r="24" spans="1:6" x14ac:dyDescent="0.2">
      <c r="A24" s="38" t="s">
        <v>32</v>
      </c>
      <c r="B24" s="40">
        <f t="shared" ref="B24:B31" si="2">B6-C6</f>
        <v>10</v>
      </c>
      <c r="C24" s="40"/>
      <c r="D24" s="40"/>
      <c r="E24" s="40">
        <f t="shared" si="1"/>
        <v>-10</v>
      </c>
      <c r="F24" s="42">
        <v>10</v>
      </c>
    </row>
    <row r="25" spans="1:6" x14ac:dyDescent="0.2">
      <c r="A25" s="38" t="s">
        <v>31</v>
      </c>
      <c r="B25" s="40">
        <f t="shared" si="2"/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1</v>
      </c>
      <c r="C26" s="40"/>
      <c r="D26" s="40"/>
      <c r="E26" s="40">
        <f t="shared" si="1"/>
        <v>-1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32</v>
      </c>
      <c r="C28" s="40"/>
      <c r="D28" s="40"/>
      <c r="E28" s="40">
        <f t="shared" si="1"/>
        <v>-32</v>
      </c>
      <c r="F28" s="41" t="s">
        <v>42</v>
      </c>
    </row>
    <row r="29" spans="1:6" x14ac:dyDescent="0.2">
      <c r="A29" s="38" t="s">
        <v>27</v>
      </c>
      <c r="B29" s="40">
        <f t="shared" si="2"/>
        <v>12</v>
      </c>
      <c r="C29" s="40"/>
      <c r="D29" s="40"/>
      <c r="E29" s="40">
        <f t="shared" si="1"/>
        <v>-12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0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101</v>
      </c>
      <c r="B1">
        <v>86</v>
      </c>
      <c r="C1">
        <v>50</v>
      </c>
      <c r="D1">
        <v>35</v>
      </c>
      <c r="E1">
        <v>68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86</v>
      </c>
      <c r="C3" s="38">
        <f>SUM(C4:C13)</f>
        <v>50</v>
      </c>
      <c r="D3">
        <f>SUM(D4:D13)</f>
        <v>35</v>
      </c>
      <c r="E3">
        <f>SUM(E4:E13)</f>
        <v>67</v>
      </c>
      <c r="F3" s="14" t="s">
        <v>40</v>
      </c>
      <c r="I3">
        <f>SUM(I4:I12)</f>
        <v>86</v>
      </c>
      <c r="J3">
        <f>SUM(J4:J12)</f>
        <v>50</v>
      </c>
      <c r="K3">
        <f>SUM(K4:K12)</f>
        <v>35</v>
      </c>
      <c r="L3">
        <f>SUM(L4:L12)</f>
        <v>67</v>
      </c>
    </row>
    <row r="4" spans="1:12" x14ac:dyDescent="0.2">
      <c r="A4" t="s">
        <v>34</v>
      </c>
      <c r="B4">
        <v>11</v>
      </c>
      <c r="C4">
        <v>6</v>
      </c>
      <c r="D4">
        <v>7</v>
      </c>
      <c r="E4">
        <v>13</v>
      </c>
      <c r="F4" s="13">
        <v>15</v>
      </c>
      <c r="H4" t="s">
        <v>36</v>
      </c>
      <c r="I4">
        <f>B4+B5</f>
        <v>21</v>
      </c>
      <c r="J4">
        <f>C4+C5</f>
        <v>12</v>
      </c>
      <c r="K4">
        <f>D4+D5</f>
        <v>13</v>
      </c>
      <c r="L4">
        <f>E4+E5</f>
        <v>23</v>
      </c>
    </row>
    <row r="5" spans="1:12" x14ac:dyDescent="0.2">
      <c r="A5" t="s">
        <v>33</v>
      </c>
      <c r="B5">
        <v>10</v>
      </c>
      <c r="C5">
        <v>6</v>
      </c>
      <c r="D5">
        <v>6</v>
      </c>
      <c r="E5">
        <v>10</v>
      </c>
      <c r="F5" s="13">
        <v>10</v>
      </c>
      <c r="H5" t="s">
        <v>32</v>
      </c>
      <c r="I5">
        <f t="shared" ref="I5:L12" si="0">B6</f>
        <v>10</v>
      </c>
      <c r="J5">
        <f t="shared" si="0"/>
        <v>4</v>
      </c>
      <c r="K5">
        <f t="shared" si="0"/>
        <v>0</v>
      </c>
      <c r="L5">
        <f t="shared" si="0"/>
        <v>7</v>
      </c>
    </row>
    <row r="6" spans="1:12" x14ac:dyDescent="0.2">
      <c r="A6" t="s">
        <v>32</v>
      </c>
      <c r="B6">
        <v>10</v>
      </c>
      <c r="C6">
        <v>4</v>
      </c>
      <c r="D6">
        <v>0</v>
      </c>
      <c r="E6">
        <v>7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1</v>
      </c>
      <c r="C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3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0</v>
      </c>
      <c r="C8">
        <v>3</v>
      </c>
      <c r="D8">
        <v>0</v>
      </c>
      <c r="E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43</v>
      </c>
      <c r="J9">
        <f t="shared" si="0"/>
        <v>7</v>
      </c>
      <c r="K9">
        <f t="shared" si="0"/>
        <v>11</v>
      </c>
      <c r="L9">
        <f t="shared" si="0"/>
        <v>33</v>
      </c>
    </row>
    <row r="10" spans="1:12" x14ac:dyDescent="0.2">
      <c r="A10" t="s">
        <v>28</v>
      </c>
      <c r="B10" s="4">
        <f>4+3+4+7+6+5+8+6</f>
        <v>43</v>
      </c>
      <c r="C10" s="4">
        <f>2+5</f>
        <v>7</v>
      </c>
      <c r="D10" s="4">
        <f>6+5</f>
        <v>11</v>
      </c>
      <c r="E10" s="4">
        <f>4+3+7+6+8+5</f>
        <v>33</v>
      </c>
      <c r="F10" s="14" t="s">
        <v>42</v>
      </c>
      <c r="H10" t="s">
        <v>27</v>
      </c>
      <c r="I10">
        <f t="shared" si="0"/>
        <v>4</v>
      </c>
      <c r="J10">
        <f t="shared" si="0"/>
        <v>0</v>
      </c>
      <c r="K10">
        <f t="shared" si="0"/>
        <v>8</v>
      </c>
      <c r="L10">
        <f t="shared" si="0"/>
        <v>4</v>
      </c>
    </row>
    <row r="11" spans="1:12" x14ac:dyDescent="0.2">
      <c r="A11" t="s">
        <v>27</v>
      </c>
      <c r="B11" s="4">
        <v>4</v>
      </c>
      <c r="C11" s="4">
        <v>0</v>
      </c>
      <c r="D11" s="4">
        <v>8</v>
      </c>
      <c r="E11" s="4">
        <v>4</v>
      </c>
      <c r="F11" s="14" t="s">
        <v>42</v>
      </c>
      <c r="H11" t="s">
        <v>44</v>
      </c>
      <c r="I11">
        <f t="shared" si="0"/>
        <v>0</v>
      </c>
      <c r="J11">
        <f t="shared" si="0"/>
        <v>9</v>
      </c>
      <c r="K11">
        <f t="shared" si="0"/>
        <v>3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>
        <v>9</v>
      </c>
      <c r="D12" s="4">
        <v>3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15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15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19</v>
      </c>
      <c r="C22" s="40"/>
      <c r="D22" s="40"/>
      <c r="E22" s="40">
        <f>SUM(E23:E31)</f>
        <v>-19</v>
      </c>
      <c r="F22" s="41" t="s">
        <v>40</v>
      </c>
    </row>
    <row r="23" spans="1:6" x14ac:dyDescent="0.2">
      <c r="A23" s="38" t="s">
        <v>36</v>
      </c>
      <c r="B23" s="40">
        <f>B4+B5-E4-E5</f>
        <v>-2</v>
      </c>
      <c r="C23" s="40"/>
      <c r="D23" s="40"/>
      <c r="E23" s="40">
        <f t="shared" ref="E23:E31" si="1">-B23</f>
        <v>2</v>
      </c>
      <c r="F23" s="42">
        <v>25</v>
      </c>
    </row>
    <row r="24" spans="1:6" x14ac:dyDescent="0.2">
      <c r="A24" s="38" t="s">
        <v>32</v>
      </c>
      <c r="B24" s="40">
        <f>B6-E6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1</v>
      </c>
      <c r="C25" s="40"/>
      <c r="D25" s="40"/>
      <c r="E25" s="40">
        <f t="shared" si="1"/>
        <v>-1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10</v>
      </c>
      <c r="C28" s="40"/>
      <c r="D28" s="40"/>
      <c r="E28" s="40">
        <f t="shared" si="1"/>
        <v>-10</v>
      </c>
      <c r="F28" s="41" t="s">
        <v>42</v>
      </c>
    </row>
    <row r="29" spans="1:6" x14ac:dyDescent="0.2">
      <c r="A29" s="38" t="s">
        <v>27</v>
      </c>
      <c r="B29" s="40">
        <f t="shared" si="2"/>
        <v>0</v>
      </c>
      <c r="C29" s="40"/>
      <c r="D29" s="40"/>
      <c r="E29" s="40">
        <f t="shared" si="1"/>
        <v>0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  <row r="55" spans="2:17" x14ac:dyDescent="0.2">
      <c r="B55" s="79" t="s">
        <v>109</v>
      </c>
      <c r="M55" s="79" t="s">
        <v>108</v>
      </c>
    </row>
    <row r="56" spans="2:17" x14ac:dyDescent="0.2">
      <c r="C56" s="85">
        <v>1</v>
      </c>
      <c r="D56" s="85">
        <v>2</v>
      </c>
      <c r="E56" s="85">
        <v>3</v>
      </c>
      <c r="F56" s="85">
        <v>4</v>
      </c>
      <c r="G56" s="85">
        <v>5</v>
      </c>
      <c r="H56" s="85">
        <v>6</v>
      </c>
      <c r="I56" s="85">
        <v>7</v>
      </c>
      <c r="J56" s="85">
        <v>8</v>
      </c>
      <c r="M56" t="s">
        <v>107</v>
      </c>
      <c r="N56" t="s">
        <v>79</v>
      </c>
      <c r="O56" t="s">
        <v>28</v>
      </c>
      <c r="P56" t="s">
        <v>106</v>
      </c>
    </row>
    <row r="57" spans="2:17" ht="15" x14ac:dyDescent="0.25">
      <c r="B57" t="s">
        <v>105</v>
      </c>
      <c r="C57" s="1">
        <v>1</v>
      </c>
      <c r="D57" s="1">
        <v>0</v>
      </c>
      <c r="E57" s="1">
        <v>1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84">
        <f>SUM(C57:J57)</f>
        <v>12</v>
      </c>
      <c r="M57" s="1">
        <v>10</v>
      </c>
      <c r="N57" s="1">
        <v>0</v>
      </c>
      <c r="O57" s="1">
        <v>0</v>
      </c>
      <c r="P57" s="1">
        <v>2</v>
      </c>
      <c r="Q57" s="84">
        <f>SUM(M57:P57)</f>
        <v>12</v>
      </c>
    </row>
    <row r="58" spans="2:17" ht="15" x14ac:dyDescent="0.25">
      <c r="B58" t="s">
        <v>104</v>
      </c>
      <c r="C58" s="1">
        <v>0</v>
      </c>
      <c r="D58" s="1">
        <v>2</v>
      </c>
      <c r="E58" s="1">
        <v>2</v>
      </c>
      <c r="F58" s="1">
        <v>2</v>
      </c>
      <c r="G58" s="1">
        <v>1</v>
      </c>
      <c r="H58" s="1">
        <v>0</v>
      </c>
      <c r="I58" s="1">
        <v>3</v>
      </c>
      <c r="J58" s="1">
        <v>0</v>
      </c>
      <c r="K58" s="84">
        <f>SUM(C58:J58)</f>
        <v>10</v>
      </c>
      <c r="M58" s="1">
        <v>8</v>
      </c>
      <c r="N58" s="1">
        <v>2</v>
      </c>
      <c r="O58" s="1">
        <v>0</v>
      </c>
      <c r="P58" s="1">
        <v>0</v>
      </c>
      <c r="Q58" s="84">
        <f>SUM(M58:P58)</f>
        <v>10</v>
      </c>
    </row>
    <row r="59" spans="2:17" ht="15" x14ac:dyDescent="0.25">
      <c r="B59" t="s">
        <v>103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v>3</v>
      </c>
      <c r="K59" s="84">
        <f>SUM(C59:J59)</f>
        <v>6</v>
      </c>
      <c r="M59" s="1">
        <v>2</v>
      </c>
      <c r="N59" s="1">
        <v>3</v>
      </c>
      <c r="O59" s="1">
        <v>0</v>
      </c>
      <c r="P59" s="1">
        <v>1</v>
      </c>
      <c r="Q59" s="84">
        <f>SUM(M59:P59)</f>
        <v>6</v>
      </c>
    </row>
    <row r="60" spans="2:17" ht="15" x14ac:dyDescent="0.25">
      <c r="C60" s="84">
        <f t="shared" ref="C60:J60" si="3">SUM(C57:C59)</f>
        <v>3</v>
      </c>
      <c r="D60" s="84">
        <f t="shared" si="3"/>
        <v>2</v>
      </c>
      <c r="E60" s="84">
        <f t="shared" si="3"/>
        <v>3</v>
      </c>
      <c r="F60" s="84">
        <f t="shared" si="3"/>
        <v>4</v>
      </c>
      <c r="G60" s="84">
        <f t="shared" si="3"/>
        <v>3</v>
      </c>
      <c r="H60" s="84">
        <f t="shared" si="3"/>
        <v>3</v>
      </c>
      <c r="I60" s="84">
        <f t="shared" si="3"/>
        <v>5</v>
      </c>
      <c r="J60" s="84">
        <f t="shared" si="3"/>
        <v>5</v>
      </c>
      <c r="K60" s="84" t="s">
        <v>37</v>
      </c>
      <c r="M60" s="84">
        <f>SUM(M57:M59)</f>
        <v>20</v>
      </c>
      <c r="N60" s="84">
        <f>SUM(N57:N59)</f>
        <v>5</v>
      </c>
      <c r="O60" s="84">
        <f>SUM(O57:O59)</f>
        <v>0</v>
      </c>
      <c r="P60" s="84">
        <f>SUM(P57:P59)</f>
        <v>3</v>
      </c>
      <c r="Q60" s="84" t="s">
        <v>37</v>
      </c>
    </row>
    <row r="61" spans="2:17" ht="15" x14ac:dyDescent="0.25">
      <c r="M61" s="84">
        <v>10</v>
      </c>
      <c r="N61" s="84">
        <v>2</v>
      </c>
      <c r="O61" s="84">
        <v>0</v>
      </c>
      <c r="P61" s="84">
        <v>3</v>
      </c>
      <c r="Q61" s="84" t="s">
        <v>102</v>
      </c>
    </row>
    <row r="63" spans="2:17" x14ac:dyDescent="0.2">
      <c r="M63" s="79" t="s">
        <v>111</v>
      </c>
    </row>
    <row r="64" spans="2:17" x14ac:dyDescent="0.2">
      <c r="M64" s="79" t="s">
        <v>110</v>
      </c>
      <c r="N64" s="79" t="s">
        <v>114</v>
      </c>
    </row>
    <row r="65" spans="13:15" x14ac:dyDescent="0.2">
      <c r="M65" s="79" t="s">
        <v>112</v>
      </c>
      <c r="N65" s="79" t="s">
        <v>113</v>
      </c>
    </row>
    <row r="66" spans="13:15" x14ac:dyDescent="0.2">
      <c r="M66" s="79" t="s">
        <v>115</v>
      </c>
      <c r="N66" s="79" t="s">
        <v>116</v>
      </c>
    </row>
    <row r="67" spans="13:15" x14ac:dyDescent="0.2">
      <c r="N67" s="79" t="s">
        <v>117</v>
      </c>
      <c r="O67" s="79" t="s">
        <v>122</v>
      </c>
    </row>
    <row r="68" spans="13:15" x14ac:dyDescent="0.2">
      <c r="N68" s="79" t="s">
        <v>118</v>
      </c>
      <c r="O68" s="79" t="s">
        <v>121</v>
      </c>
    </row>
    <row r="69" spans="13:15" x14ac:dyDescent="0.2">
      <c r="N69" s="79" t="s">
        <v>119</v>
      </c>
      <c r="O69" s="79" t="s">
        <v>120</v>
      </c>
    </row>
    <row r="70" spans="13:15" x14ac:dyDescent="0.2">
      <c r="M70" s="79" t="s">
        <v>123</v>
      </c>
    </row>
  </sheetData>
  <conditionalFormatting sqref="C57:J59 M58:M59">
    <cfRule type="cellIs" dxfId="0" priority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126</v>
      </c>
      <c r="B1">
        <v>58</v>
      </c>
      <c r="C1">
        <v>62</v>
      </c>
      <c r="D1">
        <v>64</v>
      </c>
      <c r="E1">
        <v>76</v>
      </c>
    </row>
    <row r="2" spans="1:12" x14ac:dyDescent="0.2">
      <c r="B2" t="s">
        <v>6</v>
      </c>
      <c r="C2" t="s">
        <v>7</v>
      </c>
      <c r="D2" t="s">
        <v>125</v>
      </c>
      <c r="E2" t="s">
        <v>9</v>
      </c>
      <c r="I2" t="str">
        <f>B2</f>
        <v>Mateusz</v>
      </c>
      <c r="J2" t="str">
        <f>C2</f>
        <v>Marcin</v>
      </c>
      <c r="K2" t="str">
        <f>D2</f>
        <v>Magda</v>
      </c>
      <c r="L2" t="str">
        <f>E2</f>
        <v>Agnieszka</v>
      </c>
    </row>
    <row r="3" spans="1:12" x14ac:dyDescent="0.2">
      <c r="A3" t="s">
        <v>37</v>
      </c>
      <c r="B3" s="38">
        <f>SUM(B4:B13)</f>
        <v>58</v>
      </c>
      <c r="C3" s="38">
        <f>SUM(C4:C13)</f>
        <v>62</v>
      </c>
      <c r="D3">
        <f>SUM(D4:D13)</f>
        <v>64</v>
      </c>
      <c r="E3">
        <f>SUM(E4:E13)</f>
        <v>76</v>
      </c>
      <c r="F3" s="14" t="s">
        <v>40</v>
      </c>
      <c r="I3">
        <f>SUM(I4:I12)</f>
        <v>58</v>
      </c>
      <c r="J3">
        <f>SUM(J4:J12)</f>
        <v>62</v>
      </c>
      <c r="K3">
        <f>SUM(K4:K12)</f>
        <v>64</v>
      </c>
      <c r="L3">
        <f>SUM(L4:L12)</f>
        <v>76</v>
      </c>
    </row>
    <row r="4" spans="1:12" x14ac:dyDescent="0.2">
      <c r="A4" t="s">
        <v>34</v>
      </c>
      <c r="B4">
        <v>11</v>
      </c>
      <c r="C4">
        <v>0</v>
      </c>
      <c r="D4">
        <v>0</v>
      </c>
      <c r="E4">
        <v>12</v>
      </c>
      <c r="F4" s="13">
        <v>15</v>
      </c>
      <c r="H4" t="s">
        <v>36</v>
      </c>
      <c r="I4">
        <f>B4+B5</f>
        <v>21</v>
      </c>
      <c r="J4">
        <f>C4+C5</f>
        <v>0</v>
      </c>
      <c r="K4">
        <f>D4+D5</f>
        <v>1</v>
      </c>
      <c r="L4">
        <f>E4+E5</f>
        <v>22</v>
      </c>
    </row>
    <row r="5" spans="1:12" x14ac:dyDescent="0.2">
      <c r="A5" t="s">
        <v>33</v>
      </c>
      <c r="B5">
        <v>10</v>
      </c>
      <c r="C5">
        <v>0</v>
      </c>
      <c r="D5">
        <v>1</v>
      </c>
      <c r="E5">
        <v>10</v>
      </c>
      <c r="F5" s="13">
        <v>10</v>
      </c>
      <c r="H5" t="s">
        <v>32</v>
      </c>
      <c r="I5">
        <f t="shared" ref="I5:L12" si="0">B6</f>
        <v>4</v>
      </c>
      <c r="J5">
        <f t="shared" si="0"/>
        <v>10</v>
      </c>
      <c r="K5">
        <f t="shared" si="0"/>
        <v>0</v>
      </c>
      <c r="L5">
        <f t="shared" si="0"/>
        <v>7</v>
      </c>
    </row>
    <row r="6" spans="1:12" x14ac:dyDescent="0.2">
      <c r="A6" t="s">
        <v>32</v>
      </c>
      <c r="B6">
        <v>4</v>
      </c>
      <c r="C6">
        <v>10</v>
      </c>
      <c r="D6">
        <v>0</v>
      </c>
      <c r="E6">
        <v>7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1</v>
      </c>
      <c r="J7">
        <f t="shared" si="0"/>
        <v>3</v>
      </c>
      <c r="K7">
        <f t="shared" si="0"/>
        <v>0</v>
      </c>
      <c r="L7">
        <f t="shared" si="0"/>
        <v>1</v>
      </c>
    </row>
    <row r="8" spans="1:12" x14ac:dyDescent="0.2">
      <c r="A8" t="s">
        <v>30</v>
      </c>
      <c r="B8">
        <v>1</v>
      </c>
      <c r="C8">
        <v>3</v>
      </c>
      <c r="D8">
        <v>0</v>
      </c>
      <c r="E8">
        <v>1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0</v>
      </c>
      <c r="D9" s="10">
        <v>7</v>
      </c>
      <c r="E9" s="10">
        <v>0</v>
      </c>
      <c r="F9" s="13">
        <v>7</v>
      </c>
      <c r="H9" t="s">
        <v>28</v>
      </c>
      <c r="I9">
        <f t="shared" si="0"/>
        <v>20</v>
      </c>
      <c r="J9">
        <f t="shared" si="0"/>
        <v>1</v>
      </c>
      <c r="K9">
        <f t="shared" si="0"/>
        <v>52</v>
      </c>
      <c r="L9">
        <f t="shared" si="0"/>
        <v>46</v>
      </c>
    </row>
    <row r="10" spans="1:12" x14ac:dyDescent="0.2">
      <c r="A10" t="s">
        <v>28</v>
      </c>
      <c r="B10" s="4">
        <f>4+4+7+5</f>
        <v>20</v>
      </c>
      <c r="C10" s="4">
        <f>1</f>
        <v>1</v>
      </c>
      <c r="D10" s="4">
        <f>2+5+5+4+5+9+5+5+6+6</f>
        <v>52</v>
      </c>
      <c r="E10" s="4">
        <f>4+8+7+7+8+6+6</f>
        <v>46</v>
      </c>
      <c r="F10" s="14" t="s">
        <v>42</v>
      </c>
      <c r="H10" t="s">
        <v>27</v>
      </c>
      <c r="I10">
        <f t="shared" si="0"/>
        <v>0</v>
      </c>
      <c r="J10">
        <f t="shared" si="0"/>
        <v>48</v>
      </c>
      <c r="K10">
        <f t="shared" si="0"/>
        <v>4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f>16+16+8+8</f>
        <v>48</v>
      </c>
      <c r="D11" s="4">
        <v>4</v>
      </c>
      <c r="E11" s="4">
        <v>0</v>
      </c>
      <c r="F11" s="14" t="s">
        <v>42</v>
      </c>
      <c r="H11" t="s">
        <v>44</v>
      </c>
      <c r="I11">
        <f t="shared" si="0"/>
        <v>12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12</v>
      </c>
      <c r="C12" s="4">
        <v>0</v>
      </c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-18</v>
      </c>
      <c r="C22" s="40"/>
      <c r="D22" s="40"/>
      <c r="E22" s="40">
        <f>SUM(E23:E31)</f>
        <v>18</v>
      </c>
      <c r="F22" s="41" t="s">
        <v>40</v>
      </c>
    </row>
    <row r="23" spans="1:6" x14ac:dyDescent="0.2">
      <c r="A23" s="38" t="s">
        <v>36</v>
      </c>
      <c r="B23" s="40">
        <f>B4+B5-E4-E5</f>
        <v>-1</v>
      </c>
      <c r="C23" s="40"/>
      <c r="D23" s="40"/>
      <c r="E23" s="40">
        <f t="shared" ref="E23:E31" si="1">-B23</f>
        <v>1</v>
      </c>
      <c r="F23" s="42">
        <v>25</v>
      </c>
    </row>
    <row r="24" spans="1:6" x14ac:dyDescent="0.2">
      <c r="A24" s="38" t="s">
        <v>32</v>
      </c>
      <c r="B24" s="40">
        <f>B6-E6</f>
        <v>-3</v>
      </c>
      <c r="C24" s="40"/>
      <c r="D24" s="40"/>
      <c r="E24" s="40">
        <f t="shared" si="1"/>
        <v>3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0</v>
      </c>
      <c r="C27" s="44"/>
      <c r="D27" s="44"/>
      <c r="E27" s="44">
        <f t="shared" si="1"/>
        <v>0</v>
      </c>
      <c r="F27" s="42">
        <v>7</v>
      </c>
    </row>
    <row r="28" spans="1:6" x14ac:dyDescent="0.2">
      <c r="A28" s="38" t="s">
        <v>28</v>
      </c>
      <c r="B28" s="40">
        <f t="shared" si="2"/>
        <v>-26</v>
      </c>
      <c r="C28" s="40"/>
      <c r="D28" s="40"/>
      <c r="E28" s="40">
        <f t="shared" si="1"/>
        <v>26</v>
      </c>
      <c r="F28" s="41" t="s">
        <v>42</v>
      </c>
    </row>
    <row r="29" spans="1:6" x14ac:dyDescent="0.2">
      <c r="A29" s="38" t="s">
        <v>27</v>
      </c>
      <c r="B29" s="40">
        <f t="shared" si="2"/>
        <v>0</v>
      </c>
      <c r="C29" s="40"/>
      <c r="D29" s="40"/>
      <c r="E29" s="40">
        <f t="shared" si="1"/>
        <v>0</v>
      </c>
      <c r="F29" s="41" t="s">
        <v>42</v>
      </c>
    </row>
    <row r="30" spans="1:6" x14ac:dyDescent="0.2">
      <c r="A30" s="38" t="s">
        <v>44</v>
      </c>
      <c r="B30" s="40">
        <f t="shared" si="2"/>
        <v>12</v>
      </c>
      <c r="C30" s="38"/>
      <c r="D30" s="38"/>
      <c r="E30" s="40">
        <f t="shared" si="1"/>
        <v>-12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1"/>
  <sheetViews>
    <sheetView workbookViewId="0">
      <selection activeCell="P16" sqref="P16"/>
    </sheetView>
  </sheetViews>
  <sheetFormatPr defaultRowHeight="12.75" x14ac:dyDescent="0.2"/>
  <cols>
    <col min="1" max="1" width="15.42578125" bestFit="1" customWidth="1"/>
  </cols>
  <sheetData>
    <row r="1" spans="1:12" x14ac:dyDescent="0.2">
      <c r="A1" t="s">
        <v>127</v>
      </c>
      <c r="B1">
        <v>70</v>
      </c>
      <c r="C1">
        <v>71</v>
      </c>
      <c r="D1">
        <v>58</v>
      </c>
    </row>
    <row r="2" spans="1:12" x14ac:dyDescent="0.2">
      <c r="B2" t="s">
        <v>6</v>
      </c>
      <c r="C2" t="s">
        <v>7</v>
      </c>
      <c r="D2" t="s">
        <v>125</v>
      </c>
      <c r="I2" t="str">
        <f>B2</f>
        <v>Mateusz</v>
      </c>
      <c r="J2" t="str">
        <f>C2</f>
        <v>Marcin</v>
      </c>
      <c r="K2" t="str">
        <f>D2</f>
        <v>Magda</v>
      </c>
      <c r="L2">
        <f>E2</f>
        <v>0</v>
      </c>
    </row>
    <row r="3" spans="1:12" x14ac:dyDescent="0.2">
      <c r="A3" t="s">
        <v>37</v>
      </c>
      <c r="B3" s="38">
        <f>SUM(B4:B13)</f>
        <v>70</v>
      </c>
      <c r="C3" s="38">
        <f>SUM(C4:C13)</f>
        <v>71</v>
      </c>
      <c r="D3">
        <f>SUM(D4:D13)</f>
        <v>58</v>
      </c>
      <c r="E3">
        <f>SUM(E4:E13)</f>
        <v>0</v>
      </c>
      <c r="F3" s="14" t="s">
        <v>40</v>
      </c>
      <c r="I3">
        <f>SUM(I4:I12)</f>
        <v>70</v>
      </c>
      <c r="J3">
        <f>SUM(J4:J12)</f>
        <v>71</v>
      </c>
      <c r="K3">
        <f>SUM(K4:K12)</f>
        <v>58</v>
      </c>
      <c r="L3">
        <f>SUM(L4:L12)</f>
        <v>0</v>
      </c>
    </row>
    <row r="4" spans="1:12" x14ac:dyDescent="0.2">
      <c r="A4" t="s">
        <v>34</v>
      </c>
      <c r="B4">
        <v>10</v>
      </c>
      <c r="C4">
        <v>5</v>
      </c>
      <c r="D4">
        <v>0</v>
      </c>
      <c r="F4" s="13">
        <v>15</v>
      </c>
      <c r="H4" t="s">
        <v>36</v>
      </c>
      <c r="I4">
        <f>B4+B5</f>
        <v>20</v>
      </c>
      <c r="J4">
        <f>C4+C5</f>
        <v>11</v>
      </c>
      <c r="K4">
        <f>D4+D5</f>
        <v>3</v>
      </c>
      <c r="L4">
        <f>E4+E5</f>
        <v>0</v>
      </c>
    </row>
    <row r="5" spans="1:12" x14ac:dyDescent="0.2">
      <c r="A5" t="s">
        <v>33</v>
      </c>
      <c r="B5">
        <v>10</v>
      </c>
      <c r="C5">
        <v>6</v>
      </c>
      <c r="D5">
        <v>3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0</v>
      </c>
      <c r="L5">
        <f t="shared" si="0"/>
        <v>0</v>
      </c>
    </row>
    <row r="6" spans="1:12" x14ac:dyDescent="0.2">
      <c r="A6" t="s">
        <v>32</v>
      </c>
      <c r="B6">
        <v>10</v>
      </c>
      <c r="C6">
        <v>7</v>
      </c>
      <c r="D6">
        <v>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3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D7">
        <v>3</v>
      </c>
      <c r="F7" s="14" t="s">
        <v>41</v>
      </c>
      <c r="H7" t="s">
        <v>30</v>
      </c>
      <c r="I7">
        <f t="shared" si="0"/>
        <v>1</v>
      </c>
      <c r="J7">
        <f t="shared" si="0"/>
        <v>0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1</v>
      </c>
      <c r="C8">
        <v>0</v>
      </c>
      <c r="D8">
        <v>0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0</v>
      </c>
      <c r="D9" s="10">
        <v>7</v>
      </c>
      <c r="E9" s="10"/>
      <c r="F9" s="13">
        <v>7</v>
      </c>
      <c r="H9" t="s">
        <v>28</v>
      </c>
      <c r="I9">
        <f t="shared" si="0"/>
        <v>21</v>
      </c>
      <c r="J9">
        <f t="shared" si="0"/>
        <v>23</v>
      </c>
      <c r="K9">
        <f t="shared" si="0"/>
        <v>45</v>
      </c>
      <c r="L9">
        <f t="shared" si="0"/>
        <v>0</v>
      </c>
    </row>
    <row r="10" spans="1:12" x14ac:dyDescent="0.2">
      <c r="A10" t="s">
        <v>28</v>
      </c>
      <c r="B10" s="4">
        <f>4+4+7+6</f>
        <v>21</v>
      </c>
      <c r="C10" s="4">
        <f>3+2+6+7+5</f>
        <v>23</v>
      </c>
      <c r="D10" s="4">
        <f>2+3+5+5+5+5+6+5+6+3</f>
        <v>45</v>
      </c>
      <c r="E10" s="4"/>
      <c r="F10" s="14" t="s">
        <v>42</v>
      </c>
      <c r="H10" t="s">
        <v>27</v>
      </c>
      <c r="I10">
        <f t="shared" si="0"/>
        <v>18</v>
      </c>
      <c r="J10">
        <f t="shared" si="0"/>
        <v>24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f>6+8+4</f>
        <v>18</v>
      </c>
      <c r="C11" s="4">
        <v>24</v>
      </c>
      <c r="D11" s="4">
        <v>0</v>
      </c>
      <c r="E11" s="4"/>
      <c r="F11" s="14" t="s">
        <v>42</v>
      </c>
      <c r="H11" t="s">
        <v>44</v>
      </c>
      <c r="I11">
        <f t="shared" si="0"/>
        <v>0</v>
      </c>
      <c r="J11">
        <f t="shared" si="0"/>
        <v>6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>
        <f>3+3</f>
        <v>6</v>
      </c>
      <c r="D12" s="4">
        <v>0</v>
      </c>
      <c r="E12" s="4"/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/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70</v>
      </c>
      <c r="C22" s="40"/>
      <c r="D22" s="40"/>
      <c r="E22" s="40">
        <f>SUM(E23:E31)</f>
        <v>-70</v>
      </c>
      <c r="F22" s="41" t="s">
        <v>40</v>
      </c>
    </row>
    <row r="23" spans="1:6" x14ac:dyDescent="0.2">
      <c r="A23" s="38" t="s">
        <v>36</v>
      </c>
      <c r="B23" s="40">
        <f>B4+B5-E4-E5</f>
        <v>20</v>
      </c>
      <c r="C23" s="40"/>
      <c r="D23" s="40"/>
      <c r="E23" s="40">
        <f t="shared" ref="E23:E31" si="1">-B23</f>
        <v>-20</v>
      </c>
      <c r="F23" s="42">
        <v>25</v>
      </c>
    </row>
    <row r="24" spans="1:6" x14ac:dyDescent="0.2">
      <c r="A24" s="38" t="s">
        <v>32</v>
      </c>
      <c r="B24" s="40">
        <f>B6-E6</f>
        <v>10</v>
      </c>
      <c r="C24" s="40"/>
      <c r="D24" s="40"/>
      <c r="E24" s="40">
        <f t="shared" si="1"/>
        <v>-10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1</v>
      </c>
      <c r="C26" s="40"/>
      <c r="D26" s="40"/>
      <c r="E26" s="40">
        <f t="shared" si="1"/>
        <v>-1</v>
      </c>
      <c r="F26" s="41" t="s">
        <v>41</v>
      </c>
    </row>
    <row r="27" spans="1:6" x14ac:dyDescent="0.2">
      <c r="A27" s="43" t="s">
        <v>29</v>
      </c>
      <c r="B27" s="44">
        <f t="shared" si="2"/>
        <v>0</v>
      </c>
      <c r="C27" s="44"/>
      <c r="D27" s="44"/>
      <c r="E27" s="44">
        <f t="shared" si="1"/>
        <v>0</v>
      </c>
      <c r="F27" s="42">
        <v>7</v>
      </c>
    </row>
    <row r="28" spans="1:6" x14ac:dyDescent="0.2">
      <c r="A28" s="38" t="s">
        <v>28</v>
      </c>
      <c r="B28" s="40">
        <f t="shared" si="2"/>
        <v>21</v>
      </c>
      <c r="C28" s="40"/>
      <c r="D28" s="40"/>
      <c r="E28" s="40">
        <f t="shared" si="1"/>
        <v>-21</v>
      </c>
      <c r="F28" s="41" t="s">
        <v>42</v>
      </c>
    </row>
    <row r="29" spans="1:6" x14ac:dyDescent="0.2">
      <c r="A29" s="38" t="s">
        <v>27</v>
      </c>
      <c r="B29" s="40">
        <f t="shared" si="2"/>
        <v>18</v>
      </c>
      <c r="C29" s="40"/>
      <c r="D29" s="40"/>
      <c r="E29" s="40">
        <f t="shared" si="1"/>
        <v>-18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131</v>
      </c>
      <c r="B1">
        <v>85</v>
      </c>
      <c r="C1">
        <v>89</v>
      </c>
      <c r="D1">
        <v>49</v>
      </c>
      <c r="E1">
        <v>85</v>
      </c>
    </row>
    <row r="2" spans="1:12" x14ac:dyDescent="0.2">
      <c r="B2" t="s">
        <v>6</v>
      </c>
      <c r="C2" t="s">
        <v>7</v>
      </c>
      <c r="D2" t="s">
        <v>125</v>
      </c>
      <c r="E2" t="s">
        <v>9</v>
      </c>
      <c r="I2" t="str">
        <f>B2</f>
        <v>Mateusz</v>
      </c>
      <c r="J2" t="str">
        <f>C2</f>
        <v>Marcin</v>
      </c>
      <c r="K2" t="str">
        <f>D2</f>
        <v>Magda</v>
      </c>
      <c r="L2" t="str">
        <f>E2</f>
        <v>Agnieszka</v>
      </c>
    </row>
    <row r="3" spans="1:12" x14ac:dyDescent="0.2">
      <c r="A3" t="s">
        <v>37</v>
      </c>
      <c r="B3" s="38">
        <f>SUM(B4:B13)</f>
        <v>85</v>
      </c>
      <c r="C3" s="38">
        <f>SUM(C4:C13)</f>
        <v>89</v>
      </c>
      <c r="D3">
        <f>SUM(D4:D13)</f>
        <v>49</v>
      </c>
      <c r="E3">
        <f>SUM(E4:E13)</f>
        <v>85</v>
      </c>
      <c r="F3" s="14" t="s">
        <v>40</v>
      </c>
      <c r="I3">
        <f>SUM(I4:I12)</f>
        <v>85</v>
      </c>
      <c r="J3">
        <f>SUM(J4:J12)</f>
        <v>89</v>
      </c>
      <c r="K3">
        <f>SUM(K4:K12)</f>
        <v>49</v>
      </c>
      <c r="L3">
        <f>SUM(L4:L12)</f>
        <v>85</v>
      </c>
    </row>
    <row r="4" spans="1:12" x14ac:dyDescent="0.2">
      <c r="A4" t="s">
        <v>34</v>
      </c>
      <c r="B4">
        <v>10</v>
      </c>
      <c r="C4">
        <v>8</v>
      </c>
      <c r="D4">
        <v>14</v>
      </c>
      <c r="E4">
        <v>12</v>
      </c>
      <c r="F4" s="13">
        <v>15</v>
      </c>
      <c r="H4" t="s">
        <v>36</v>
      </c>
      <c r="I4">
        <f>B4+B5</f>
        <v>20</v>
      </c>
      <c r="J4">
        <f>C4+C5</f>
        <v>18</v>
      </c>
      <c r="K4">
        <f>D4+D5</f>
        <v>24</v>
      </c>
      <c r="L4">
        <f>E4+E5</f>
        <v>22</v>
      </c>
    </row>
    <row r="5" spans="1:12" x14ac:dyDescent="0.2">
      <c r="A5" t="s">
        <v>33</v>
      </c>
      <c r="B5">
        <v>10</v>
      </c>
      <c r="C5">
        <v>10</v>
      </c>
      <c r="D5">
        <v>10</v>
      </c>
      <c r="E5">
        <v>10</v>
      </c>
      <c r="F5" s="13">
        <v>10</v>
      </c>
      <c r="H5" t="s">
        <v>32</v>
      </c>
      <c r="I5">
        <f t="shared" ref="I5:L12" si="0">B6</f>
        <v>7</v>
      </c>
      <c r="J5">
        <f t="shared" si="0"/>
        <v>10</v>
      </c>
      <c r="K5">
        <f t="shared" si="0"/>
        <v>1</v>
      </c>
      <c r="L5">
        <f t="shared" si="0"/>
        <v>4</v>
      </c>
    </row>
    <row r="6" spans="1:12" x14ac:dyDescent="0.2">
      <c r="A6" t="s">
        <v>32</v>
      </c>
      <c r="B6">
        <v>7</v>
      </c>
      <c r="C6">
        <v>10</v>
      </c>
      <c r="D6">
        <v>1</v>
      </c>
      <c r="E6">
        <v>4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1</v>
      </c>
      <c r="K7">
        <f t="shared" si="0"/>
        <v>2</v>
      </c>
      <c r="L7">
        <f t="shared" si="0"/>
        <v>2</v>
      </c>
    </row>
    <row r="8" spans="1:12" x14ac:dyDescent="0.2">
      <c r="A8" t="s">
        <v>30</v>
      </c>
      <c r="B8">
        <v>0</v>
      </c>
      <c r="C8">
        <v>1</v>
      </c>
      <c r="D8">
        <v>2</v>
      </c>
      <c r="E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7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7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38</v>
      </c>
      <c r="J9">
        <f t="shared" si="0"/>
        <v>32</v>
      </c>
      <c r="K9">
        <f t="shared" si="0"/>
        <v>22</v>
      </c>
      <c r="L9">
        <f t="shared" si="0"/>
        <v>24</v>
      </c>
    </row>
    <row r="10" spans="1:12" x14ac:dyDescent="0.2">
      <c r="A10" t="s">
        <v>28</v>
      </c>
      <c r="B10" s="4">
        <f>5+4+9+3+6+5+6</f>
        <v>38</v>
      </c>
      <c r="C10" s="4">
        <f>2+4+6+5+6+5+4</f>
        <v>32</v>
      </c>
      <c r="D10" s="4">
        <f>4+5+5+5+3</f>
        <v>22</v>
      </c>
      <c r="E10" s="4">
        <f>4+6+7+7</f>
        <v>24</v>
      </c>
      <c r="F10" s="14" t="s">
        <v>42</v>
      </c>
      <c r="H10" t="s">
        <v>27</v>
      </c>
      <c r="I10">
        <f t="shared" si="0"/>
        <v>4</v>
      </c>
      <c r="J10">
        <f t="shared" si="0"/>
        <v>9</v>
      </c>
      <c r="K10">
        <f t="shared" si="0"/>
        <v>0</v>
      </c>
      <c r="L10">
        <f t="shared" si="0"/>
        <v>24</v>
      </c>
    </row>
    <row r="11" spans="1:12" x14ac:dyDescent="0.2">
      <c r="A11" t="s">
        <v>27</v>
      </c>
      <c r="B11" s="4">
        <v>4</v>
      </c>
      <c r="C11" s="4">
        <f>3+6</f>
        <v>9</v>
      </c>
      <c r="D11" s="4">
        <v>0</v>
      </c>
      <c r="E11" s="4">
        <v>24</v>
      </c>
      <c r="F11" s="14" t="s">
        <v>42</v>
      </c>
      <c r="H11" t="s">
        <v>44</v>
      </c>
      <c r="I11">
        <f t="shared" si="0"/>
        <v>9</v>
      </c>
      <c r="J11">
        <f t="shared" si="0"/>
        <v>12</v>
      </c>
      <c r="K11">
        <f t="shared" si="0"/>
        <v>0</v>
      </c>
      <c r="L11">
        <f t="shared" si="0"/>
        <v>9</v>
      </c>
    </row>
    <row r="12" spans="1:12" x14ac:dyDescent="0.2">
      <c r="A12" t="s">
        <v>44</v>
      </c>
      <c r="B12" s="4">
        <v>9</v>
      </c>
      <c r="C12" s="4">
        <v>12</v>
      </c>
      <c r="D12" s="4">
        <v>0</v>
      </c>
      <c r="E12" s="4">
        <v>9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0</v>
      </c>
      <c r="C22" s="40"/>
      <c r="D22" s="40"/>
      <c r="E22" s="40">
        <f>SUM(E23:E31)</f>
        <v>0</v>
      </c>
      <c r="F22" s="41" t="s">
        <v>40</v>
      </c>
    </row>
    <row r="23" spans="1:6" x14ac:dyDescent="0.2">
      <c r="A23" s="38" t="s">
        <v>36</v>
      </c>
      <c r="B23" s="40">
        <f>B4+B5-E4-E5</f>
        <v>-2</v>
      </c>
      <c r="C23" s="40"/>
      <c r="D23" s="40"/>
      <c r="E23" s="40">
        <f t="shared" ref="E23:E31" si="1">-B23</f>
        <v>2</v>
      </c>
      <c r="F23" s="42">
        <v>25</v>
      </c>
    </row>
    <row r="24" spans="1:6" x14ac:dyDescent="0.2">
      <c r="A24" s="38" t="s">
        <v>32</v>
      </c>
      <c r="B24" s="40">
        <f>B6-E6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-2</v>
      </c>
      <c r="C26" s="40"/>
      <c r="D26" s="40"/>
      <c r="E26" s="40">
        <f t="shared" si="1"/>
        <v>2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14</v>
      </c>
      <c r="C28" s="40"/>
      <c r="D28" s="40"/>
      <c r="E28" s="40">
        <f t="shared" si="1"/>
        <v>-14</v>
      </c>
      <c r="F28" s="41" t="s">
        <v>42</v>
      </c>
    </row>
    <row r="29" spans="1:6" x14ac:dyDescent="0.2">
      <c r="A29" s="38" t="s">
        <v>27</v>
      </c>
      <c r="B29" s="40">
        <f t="shared" si="2"/>
        <v>-20</v>
      </c>
      <c r="C29" s="40"/>
      <c r="D29" s="40"/>
      <c r="E29" s="40">
        <f t="shared" si="1"/>
        <v>20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/>
  </sheetViews>
  <sheetFormatPr defaultRowHeight="12.75" x14ac:dyDescent="0.2"/>
  <cols>
    <col min="1" max="1" width="15.42578125" bestFit="1" customWidth="1"/>
  </cols>
  <sheetData>
    <row r="1" spans="1:8" x14ac:dyDescent="0.2">
      <c r="A1" t="s">
        <v>35</v>
      </c>
    </row>
    <row r="2" spans="1:8" x14ac:dyDescent="0.2">
      <c r="B2" t="s">
        <v>6</v>
      </c>
      <c r="C2" t="s">
        <v>8</v>
      </c>
      <c r="G2" t="s">
        <v>6</v>
      </c>
      <c r="H2" t="s">
        <v>8</v>
      </c>
    </row>
    <row r="3" spans="1:8" x14ac:dyDescent="0.2">
      <c r="A3" t="s">
        <v>37</v>
      </c>
      <c r="B3">
        <f>SUM(B4:B12)</f>
        <v>73</v>
      </c>
      <c r="C3">
        <f>SUM(C4:C12)</f>
        <v>66</v>
      </c>
      <c r="G3">
        <f>SUM(G4:G11)</f>
        <v>73</v>
      </c>
      <c r="H3">
        <f>SUM(H4:H11)</f>
        <v>66</v>
      </c>
    </row>
    <row r="4" spans="1:8" x14ac:dyDescent="0.2">
      <c r="A4" t="s">
        <v>34</v>
      </c>
      <c r="B4">
        <v>15</v>
      </c>
      <c r="C4">
        <v>0</v>
      </c>
      <c r="F4" t="s">
        <v>36</v>
      </c>
      <c r="G4">
        <f>B4+B5</f>
        <v>25</v>
      </c>
      <c r="H4">
        <f>C4+C5</f>
        <v>3</v>
      </c>
    </row>
    <row r="5" spans="1:8" x14ac:dyDescent="0.2">
      <c r="A5" t="s">
        <v>33</v>
      </c>
      <c r="B5">
        <v>10</v>
      </c>
      <c r="C5">
        <v>3</v>
      </c>
      <c r="F5" t="s">
        <v>32</v>
      </c>
      <c r="G5">
        <f>B6</f>
        <v>10</v>
      </c>
      <c r="H5">
        <f>C6</f>
        <v>7</v>
      </c>
    </row>
    <row r="6" spans="1:8" x14ac:dyDescent="0.2">
      <c r="A6" t="s">
        <v>32</v>
      </c>
      <c r="B6">
        <v>10</v>
      </c>
      <c r="C6">
        <v>7</v>
      </c>
      <c r="F6" t="s">
        <v>31</v>
      </c>
      <c r="G6">
        <f t="shared" ref="G6:G11" si="0">B7</f>
        <v>0</v>
      </c>
      <c r="H6">
        <f t="shared" ref="H6:H11" si="1">C7</f>
        <v>0</v>
      </c>
    </row>
    <row r="7" spans="1:8" x14ac:dyDescent="0.2">
      <c r="A7" t="s">
        <v>31</v>
      </c>
      <c r="B7">
        <v>0</v>
      </c>
      <c r="C7">
        <v>0</v>
      </c>
      <c r="F7" t="s">
        <v>30</v>
      </c>
      <c r="G7">
        <f t="shared" si="0"/>
        <v>1</v>
      </c>
      <c r="H7">
        <f t="shared" si="1"/>
        <v>1</v>
      </c>
    </row>
    <row r="8" spans="1:8" x14ac:dyDescent="0.2">
      <c r="A8" t="s">
        <v>30</v>
      </c>
      <c r="B8">
        <v>1</v>
      </c>
      <c r="C8">
        <v>1</v>
      </c>
      <c r="F8" s="10" t="s">
        <v>29</v>
      </c>
      <c r="G8" s="10">
        <f t="shared" si="0"/>
        <v>7</v>
      </c>
      <c r="H8" s="10">
        <f t="shared" si="1"/>
        <v>0</v>
      </c>
    </row>
    <row r="9" spans="1:8" x14ac:dyDescent="0.2">
      <c r="A9" s="10" t="s">
        <v>29</v>
      </c>
      <c r="B9" s="10">
        <v>7</v>
      </c>
      <c r="C9" s="10">
        <v>0</v>
      </c>
      <c r="D9" s="3"/>
      <c r="F9" t="s">
        <v>28</v>
      </c>
      <c r="G9">
        <f t="shared" si="0"/>
        <v>22</v>
      </c>
      <c r="H9">
        <f t="shared" si="1"/>
        <v>15</v>
      </c>
    </row>
    <row r="10" spans="1:8" x14ac:dyDescent="0.2">
      <c r="A10" t="s">
        <v>28</v>
      </c>
      <c r="B10">
        <v>22</v>
      </c>
      <c r="C10">
        <v>15</v>
      </c>
      <c r="F10" t="s">
        <v>27</v>
      </c>
      <c r="G10">
        <f t="shared" si="0"/>
        <v>8</v>
      </c>
      <c r="H10">
        <f t="shared" si="1"/>
        <v>40</v>
      </c>
    </row>
    <row r="11" spans="1:8" x14ac:dyDescent="0.2">
      <c r="A11" t="s">
        <v>27</v>
      </c>
      <c r="B11">
        <v>8</v>
      </c>
      <c r="C11">
        <v>40</v>
      </c>
      <c r="F11" t="s">
        <v>26</v>
      </c>
      <c r="G11">
        <f t="shared" si="0"/>
        <v>0</v>
      </c>
      <c r="H11">
        <f t="shared" si="1"/>
        <v>0</v>
      </c>
    </row>
    <row r="12" spans="1:8" x14ac:dyDescent="0.2">
      <c r="A12" t="s">
        <v>26</v>
      </c>
      <c r="B12">
        <v>0</v>
      </c>
      <c r="C12">
        <v>0</v>
      </c>
    </row>
    <row r="20" spans="1:4" x14ac:dyDescent="0.2">
      <c r="B20" t="s">
        <v>6</v>
      </c>
      <c r="C20" t="s">
        <v>8</v>
      </c>
    </row>
    <row r="21" spans="1:4" x14ac:dyDescent="0.2">
      <c r="A21" t="s">
        <v>38</v>
      </c>
      <c r="B21" s="11">
        <f>SUM(B22:B29)</f>
        <v>7</v>
      </c>
      <c r="C21" s="11">
        <f>SUM(C22:C29)</f>
        <v>-7</v>
      </c>
      <c r="D21" s="11"/>
    </row>
    <row r="22" spans="1:4" x14ac:dyDescent="0.2">
      <c r="A22" t="s">
        <v>36</v>
      </c>
      <c r="B22" s="11">
        <f>B4+B5-C4-C5</f>
        <v>22</v>
      </c>
      <c r="C22" s="11">
        <f>-B22</f>
        <v>-22</v>
      </c>
      <c r="D22" s="11"/>
    </row>
    <row r="23" spans="1:4" x14ac:dyDescent="0.2">
      <c r="A23" t="s">
        <v>32</v>
      </c>
      <c r="B23" s="11">
        <f>B6-C6</f>
        <v>3</v>
      </c>
      <c r="C23" s="11">
        <f t="shared" ref="C23:C29" si="2">-B23</f>
        <v>-3</v>
      </c>
      <c r="D23" s="11"/>
    </row>
    <row r="24" spans="1:4" x14ac:dyDescent="0.2">
      <c r="A24" t="s">
        <v>31</v>
      </c>
      <c r="B24" s="11">
        <f t="shared" ref="B24:B29" si="3">B7-C7</f>
        <v>0</v>
      </c>
      <c r="C24" s="11">
        <f t="shared" si="2"/>
        <v>0</v>
      </c>
      <c r="D24" s="11"/>
    </row>
    <row r="25" spans="1:4" x14ac:dyDescent="0.2">
      <c r="A25" t="s">
        <v>30</v>
      </c>
      <c r="B25" s="11">
        <f t="shared" si="3"/>
        <v>0</v>
      </c>
      <c r="C25" s="11">
        <f t="shared" si="2"/>
        <v>0</v>
      </c>
      <c r="D25" s="11"/>
    </row>
    <row r="26" spans="1:4" x14ac:dyDescent="0.2">
      <c r="A26" s="10" t="s">
        <v>29</v>
      </c>
      <c r="B26" s="12">
        <f t="shared" si="3"/>
        <v>7</v>
      </c>
      <c r="C26" s="12">
        <f t="shared" si="2"/>
        <v>-7</v>
      </c>
      <c r="D26" s="15"/>
    </row>
    <row r="27" spans="1:4" x14ac:dyDescent="0.2">
      <c r="A27" t="s">
        <v>28</v>
      </c>
      <c r="B27" s="11">
        <f t="shared" si="3"/>
        <v>7</v>
      </c>
      <c r="C27" s="11">
        <f t="shared" si="2"/>
        <v>-7</v>
      </c>
      <c r="D27" s="11"/>
    </row>
    <row r="28" spans="1:4" x14ac:dyDescent="0.2">
      <c r="A28" t="s">
        <v>27</v>
      </c>
      <c r="B28" s="11">
        <f t="shared" si="3"/>
        <v>-32</v>
      </c>
      <c r="C28" s="11">
        <f t="shared" si="2"/>
        <v>32</v>
      </c>
      <c r="D28" s="11"/>
    </row>
    <row r="29" spans="1:4" x14ac:dyDescent="0.2">
      <c r="A29" t="s">
        <v>26</v>
      </c>
      <c r="B29" s="11">
        <f t="shared" si="3"/>
        <v>0</v>
      </c>
      <c r="C29" s="11">
        <f t="shared" si="2"/>
        <v>0</v>
      </c>
      <c r="D29" s="11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s="92" t="s">
        <v>132</v>
      </c>
      <c r="B1">
        <v>90</v>
      </c>
      <c r="C1">
        <v>73</v>
      </c>
    </row>
    <row r="2" spans="1:12" x14ac:dyDescent="0.2">
      <c r="B2" t="s">
        <v>6</v>
      </c>
      <c r="C2" t="s">
        <v>133</v>
      </c>
      <c r="I2" t="str">
        <f>B2</f>
        <v>Mateusz</v>
      </c>
      <c r="J2" t="str">
        <f>C2</f>
        <v>Maciek</v>
      </c>
      <c r="K2">
        <f>D2</f>
        <v>0</v>
      </c>
      <c r="L2">
        <f>E2</f>
        <v>0</v>
      </c>
    </row>
    <row r="3" spans="1:12" x14ac:dyDescent="0.2">
      <c r="A3" t="s">
        <v>37</v>
      </c>
      <c r="B3" s="38">
        <f>SUM(B4:B13)</f>
        <v>90</v>
      </c>
      <c r="C3" s="38">
        <f>SUM(C4:C13)</f>
        <v>73</v>
      </c>
      <c r="D3">
        <f>SUM(D4:D13)</f>
        <v>0</v>
      </c>
      <c r="E3">
        <f>SUM(E4:E13)</f>
        <v>0</v>
      </c>
      <c r="F3" s="14" t="s">
        <v>40</v>
      </c>
      <c r="I3">
        <f>SUM(I4:I12)</f>
        <v>90</v>
      </c>
      <c r="J3">
        <f>SUM(J4:J12)</f>
        <v>73</v>
      </c>
      <c r="K3">
        <f>SUM(K4:K12)</f>
        <v>0</v>
      </c>
      <c r="L3">
        <f>SUM(L4:L12)</f>
        <v>0</v>
      </c>
    </row>
    <row r="4" spans="1:12" x14ac:dyDescent="0.2">
      <c r="A4" t="s">
        <v>34</v>
      </c>
      <c r="B4">
        <v>10</v>
      </c>
      <c r="C4">
        <v>11</v>
      </c>
      <c r="F4" s="13">
        <v>15</v>
      </c>
      <c r="H4" t="s">
        <v>36</v>
      </c>
      <c r="I4">
        <f>B4+B5</f>
        <v>20</v>
      </c>
      <c r="J4">
        <f>C4+C5</f>
        <v>17</v>
      </c>
      <c r="K4">
        <f>D4+D5</f>
        <v>0</v>
      </c>
      <c r="L4">
        <f>E4+E5</f>
        <v>0</v>
      </c>
    </row>
    <row r="5" spans="1:12" x14ac:dyDescent="0.2">
      <c r="A5" t="s">
        <v>33</v>
      </c>
      <c r="B5">
        <v>10</v>
      </c>
      <c r="C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0</v>
      </c>
      <c r="L5">
        <f t="shared" si="0"/>
        <v>0</v>
      </c>
    </row>
    <row r="6" spans="1:12" x14ac:dyDescent="0.2">
      <c r="A6" t="s">
        <v>32</v>
      </c>
      <c r="B6">
        <v>10</v>
      </c>
      <c r="C6">
        <v>7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F7" s="14" t="s">
        <v>41</v>
      </c>
      <c r="H7" t="s">
        <v>30</v>
      </c>
      <c r="I7">
        <f t="shared" si="0"/>
        <v>0</v>
      </c>
      <c r="J7">
        <f t="shared" si="0"/>
        <v>2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0</v>
      </c>
      <c r="C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/>
      <c r="E9" s="10"/>
      <c r="F9" s="13">
        <v>7</v>
      </c>
      <c r="H9" t="s">
        <v>28</v>
      </c>
      <c r="I9">
        <f t="shared" si="0"/>
        <v>34</v>
      </c>
      <c r="J9">
        <f t="shared" si="0"/>
        <v>35</v>
      </c>
      <c r="K9">
        <f t="shared" si="0"/>
        <v>0</v>
      </c>
      <c r="L9">
        <f t="shared" si="0"/>
        <v>0</v>
      </c>
    </row>
    <row r="10" spans="1:12" x14ac:dyDescent="0.2">
      <c r="A10" t="s">
        <v>28</v>
      </c>
      <c r="B10" s="4">
        <f>2+6+3+7+4+7+5</f>
        <v>34</v>
      </c>
      <c r="C10" s="4">
        <f>4+6+2+9+8+6</f>
        <v>35</v>
      </c>
      <c r="D10" s="4"/>
      <c r="E10" s="4"/>
      <c r="F10" s="14" t="s">
        <v>42</v>
      </c>
      <c r="H10" t="s">
        <v>27</v>
      </c>
      <c r="I10">
        <f t="shared" si="0"/>
        <v>4</v>
      </c>
      <c r="J10">
        <f t="shared" si="0"/>
        <v>0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4</v>
      </c>
      <c r="C11" s="4">
        <v>0</v>
      </c>
      <c r="D11" s="4"/>
      <c r="E11" s="4"/>
      <c r="F11" s="14" t="s">
        <v>42</v>
      </c>
      <c r="H11" t="s">
        <v>44</v>
      </c>
      <c r="I11">
        <f t="shared" si="0"/>
        <v>15</v>
      </c>
      <c r="J11">
        <f t="shared" si="0"/>
        <v>12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15</v>
      </c>
      <c r="C12" s="4">
        <v>12</v>
      </c>
      <c r="D12" s="4"/>
      <c r="E12" s="4"/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/>
      <c r="E13" s="4"/>
      <c r="F13" s="14" t="s">
        <v>64</v>
      </c>
    </row>
    <row r="14" spans="1:12" x14ac:dyDescent="0.2">
      <c r="B14" t="s">
        <v>82</v>
      </c>
      <c r="C14" t="s">
        <v>134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90</v>
      </c>
      <c r="C22" s="40"/>
      <c r="D22" s="40"/>
      <c r="E22" s="40">
        <f>SUM(E23:E31)</f>
        <v>-90</v>
      </c>
      <c r="F22" s="41" t="s">
        <v>40</v>
      </c>
    </row>
    <row r="23" spans="1:6" x14ac:dyDescent="0.2">
      <c r="A23" s="38" t="s">
        <v>36</v>
      </c>
      <c r="B23" s="40">
        <f>B4+B5-E4-E5</f>
        <v>20</v>
      </c>
      <c r="C23" s="40"/>
      <c r="D23" s="40"/>
      <c r="E23" s="40">
        <f t="shared" ref="E23:E31" si="1">-B23</f>
        <v>-20</v>
      </c>
      <c r="F23" s="42">
        <v>25</v>
      </c>
    </row>
    <row r="24" spans="1:6" x14ac:dyDescent="0.2">
      <c r="A24" s="38" t="s">
        <v>32</v>
      </c>
      <c r="B24" s="40">
        <f>B6-E6</f>
        <v>10</v>
      </c>
      <c r="C24" s="40"/>
      <c r="D24" s="40"/>
      <c r="E24" s="40">
        <f t="shared" si="1"/>
        <v>-10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34</v>
      </c>
      <c r="C28" s="40"/>
      <c r="D28" s="40"/>
      <c r="E28" s="40">
        <f t="shared" si="1"/>
        <v>-34</v>
      </c>
      <c r="F28" s="41" t="s">
        <v>42</v>
      </c>
    </row>
    <row r="29" spans="1:6" x14ac:dyDescent="0.2">
      <c r="A29" s="38" t="s">
        <v>27</v>
      </c>
      <c r="B29" s="40">
        <f t="shared" si="2"/>
        <v>4</v>
      </c>
      <c r="C29" s="40"/>
      <c r="D29" s="40"/>
      <c r="E29" s="40">
        <f t="shared" si="1"/>
        <v>-4</v>
      </c>
      <c r="F29" s="41" t="s">
        <v>42</v>
      </c>
    </row>
    <row r="30" spans="1:6" x14ac:dyDescent="0.2">
      <c r="A30" s="38" t="s">
        <v>44</v>
      </c>
      <c r="B30" s="40">
        <f t="shared" si="2"/>
        <v>15</v>
      </c>
      <c r="C30" s="38"/>
      <c r="D30" s="38"/>
      <c r="E30" s="40">
        <f t="shared" si="1"/>
        <v>-15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135</v>
      </c>
      <c r="B1">
        <v>73</v>
      </c>
      <c r="C1">
        <v>67</v>
      </c>
      <c r="D1">
        <v>59</v>
      </c>
      <c r="E1">
        <v>39</v>
      </c>
    </row>
    <row r="2" spans="1:12" x14ac:dyDescent="0.2">
      <c r="B2" t="s">
        <v>6</v>
      </c>
      <c r="C2" t="s">
        <v>8</v>
      </c>
      <c r="D2" t="s">
        <v>125</v>
      </c>
      <c r="E2" t="s">
        <v>9</v>
      </c>
      <c r="I2" t="str">
        <f>B2</f>
        <v>Mateusz</v>
      </c>
      <c r="J2" t="str">
        <f>C2</f>
        <v>Justyna</v>
      </c>
      <c r="K2" t="str">
        <f>D2</f>
        <v>Magda</v>
      </c>
      <c r="L2" t="str">
        <f>E2</f>
        <v>Agnieszka</v>
      </c>
    </row>
    <row r="3" spans="1:12" x14ac:dyDescent="0.2">
      <c r="A3" t="s">
        <v>37</v>
      </c>
      <c r="B3" s="38">
        <f>SUM(B4:B13)</f>
        <v>73</v>
      </c>
      <c r="C3" s="38">
        <f>SUM(C4:C13)</f>
        <v>67</v>
      </c>
      <c r="D3">
        <f>SUM(D4:D13)</f>
        <v>59</v>
      </c>
      <c r="E3">
        <f>SUM(E4:E13)</f>
        <v>39</v>
      </c>
      <c r="F3" s="14" t="s">
        <v>40</v>
      </c>
      <c r="I3">
        <f>SUM(I4:I12)</f>
        <v>73</v>
      </c>
      <c r="J3">
        <f>SUM(J4:J12)</f>
        <v>67</v>
      </c>
      <c r="K3">
        <f>SUM(K4:K12)</f>
        <v>59</v>
      </c>
      <c r="L3">
        <f>SUM(L4:L12)</f>
        <v>39</v>
      </c>
    </row>
    <row r="4" spans="1:12" x14ac:dyDescent="0.2">
      <c r="A4" t="s">
        <v>34</v>
      </c>
      <c r="B4">
        <v>0</v>
      </c>
      <c r="C4">
        <v>11</v>
      </c>
      <c r="D4">
        <v>15</v>
      </c>
      <c r="E4">
        <v>0</v>
      </c>
      <c r="F4" s="13">
        <v>15</v>
      </c>
      <c r="H4" t="s">
        <v>36</v>
      </c>
      <c r="I4">
        <f>B4+B5</f>
        <v>3</v>
      </c>
      <c r="J4">
        <f>C4+C5</f>
        <v>17</v>
      </c>
      <c r="K4">
        <f>D4+D5</f>
        <v>25</v>
      </c>
      <c r="L4">
        <f>E4+E5</f>
        <v>3</v>
      </c>
    </row>
    <row r="5" spans="1:12" x14ac:dyDescent="0.2">
      <c r="A5" t="s">
        <v>33</v>
      </c>
      <c r="B5">
        <v>3</v>
      </c>
      <c r="C5">
        <v>6</v>
      </c>
      <c r="D5">
        <v>10</v>
      </c>
      <c r="E5">
        <v>3</v>
      </c>
      <c r="F5" s="13">
        <v>10</v>
      </c>
      <c r="H5" t="s">
        <v>32</v>
      </c>
      <c r="I5">
        <f t="shared" ref="I5:L12" si="0">B6</f>
        <v>10</v>
      </c>
      <c r="J5">
        <f t="shared" si="0"/>
        <v>4</v>
      </c>
      <c r="K5">
        <f t="shared" si="0"/>
        <v>7</v>
      </c>
      <c r="L5">
        <f t="shared" si="0"/>
        <v>1</v>
      </c>
    </row>
    <row r="6" spans="1:12" x14ac:dyDescent="0.2">
      <c r="A6" t="s">
        <v>32</v>
      </c>
      <c r="B6">
        <v>10</v>
      </c>
      <c r="C6">
        <v>4</v>
      </c>
      <c r="D6">
        <v>7</v>
      </c>
      <c r="E6">
        <v>1</v>
      </c>
      <c r="F6" s="13">
        <v>10</v>
      </c>
      <c r="H6" t="s">
        <v>31</v>
      </c>
      <c r="I6">
        <f t="shared" si="0"/>
        <v>2</v>
      </c>
      <c r="J6">
        <f t="shared" si="0"/>
        <v>2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2</v>
      </c>
      <c r="C7">
        <v>2</v>
      </c>
      <c r="D7">
        <v>0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2</v>
      </c>
      <c r="K7">
        <f t="shared" si="0"/>
        <v>0</v>
      </c>
      <c r="L7">
        <f t="shared" si="0"/>
        <v>2</v>
      </c>
    </row>
    <row r="8" spans="1:12" x14ac:dyDescent="0.2">
      <c r="A8" t="s">
        <v>30</v>
      </c>
      <c r="B8">
        <v>0</v>
      </c>
      <c r="C8">
        <v>2</v>
      </c>
      <c r="D8">
        <v>0</v>
      </c>
      <c r="E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45</v>
      </c>
      <c r="J9">
        <f t="shared" si="0"/>
        <v>27</v>
      </c>
      <c r="K9">
        <f t="shared" si="0"/>
        <v>17</v>
      </c>
      <c r="L9">
        <f t="shared" si="0"/>
        <v>20</v>
      </c>
    </row>
    <row r="10" spans="1:12" x14ac:dyDescent="0.2">
      <c r="A10" t="s">
        <v>28</v>
      </c>
      <c r="B10" s="4">
        <f>4+3+5+6+5+8+5+4+5</f>
        <v>45</v>
      </c>
      <c r="C10" s="4">
        <f>2+9+4+9+3</f>
        <v>27</v>
      </c>
      <c r="D10" s="4">
        <f>5+7+5</f>
        <v>17</v>
      </c>
      <c r="E10" s="4">
        <f>4+6+5+5</f>
        <v>20</v>
      </c>
      <c r="F10" s="14" t="s">
        <v>42</v>
      </c>
      <c r="H10" t="s">
        <v>27</v>
      </c>
      <c r="I10">
        <f t="shared" si="0"/>
        <v>6</v>
      </c>
      <c r="J10">
        <f t="shared" si="0"/>
        <v>0</v>
      </c>
      <c r="K10">
        <f t="shared" si="0"/>
        <v>4</v>
      </c>
      <c r="L10">
        <f t="shared" si="0"/>
        <v>13</v>
      </c>
    </row>
    <row r="11" spans="1:12" x14ac:dyDescent="0.2">
      <c r="A11" t="s">
        <v>27</v>
      </c>
      <c r="B11" s="4">
        <v>6</v>
      </c>
      <c r="C11" s="4">
        <v>0</v>
      </c>
      <c r="D11" s="4">
        <v>4</v>
      </c>
      <c r="E11" s="4">
        <f>4+9</f>
        <v>13</v>
      </c>
      <c r="F11" s="14" t="s">
        <v>42</v>
      </c>
      <c r="H11" t="s">
        <v>44</v>
      </c>
      <c r="I11">
        <f t="shared" si="0"/>
        <v>0</v>
      </c>
      <c r="J11">
        <f t="shared" si="0"/>
        <v>15</v>
      </c>
      <c r="K11">
        <f t="shared" si="0"/>
        <v>6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>
        <v>15</v>
      </c>
      <c r="D12" s="4">
        <v>6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6</v>
      </c>
      <c r="C22" s="40"/>
      <c r="D22" s="40"/>
      <c r="E22" s="40">
        <f>SUM(E23:E31)</f>
        <v>-6</v>
      </c>
      <c r="F22" s="41" t="s">
        <v>40</v>
      </c>
    </row>
    <row r="23" spans="1:6" x14ac:dyDescent="0.2">
      <c r="A23" s="38" t="s">
        <v>36</v>
      </c>
      <c r="B23" s="40">
        <f>B4+B5-C4-C5</f>
        <v>-14</v>
      </c>
      <c r="C23" s="40"/>
      <c r="D23" s="40"/>
      <c r="E23" s="40">
        <f t="shared" ref="E23:E31" si="1">-B23</f>
        <v>14</v>
      </c>
      <c r="F23" s="42">
        <v>25</v>
      </c>
    </row>
    <row r="24" spans="1:6" x14ac:dyDescent="0.2">
      <c r="A24" s="38" t="s">
        <v>32</v>
      </c>
      <c r="B24" s="40">
        <f>B6-C6</f>
        <v>6</v>
      </c>
      <c r="C24" s="40"/>
      <c r="D24" s="40"/>
      <c r="E24" s="40">
        <f t="shared" si="1"/>
        <v>-6</v>
      </c>
      <c r="F24" s="42">
        <v>10</v>
      </c>
    </row>
    <row r="25" spans="1:6" x14ac:dyDescent="0.2">
      <c r="A25" s="38" t="s">
        <v>31</v>
      </c>
      <c r="B25" s="40">
        <f t="shared" ref="B25:B31" si="2">B7-C7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-2</v>
      </c>
      <c r="C26" s="40"/>
      <c r="D26" s="40"/>
      <c r="E26" s="40">
        <f t="shared" si="1"/>
        <v>2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18</v>
      </c>
      <c r="C28" s="40"/>
      <c r="D28" s="40"/>
      <c r="E28" s="40">
        <f t="shared" si="1"/>
        <v>-18</v>
      </c>
      <c r="F28" s="41" t="s">
        <v>42</v>
      </c>
    </row>
    <row r="29" spans="1:6" x14ac:dyDescent="0.2">
      <c r="A29" s="38" t="s">
        <v>27</v>
      </c>
      <c r="B29" s="40">
        <f t="shared" si="2"/>
        <v>6</v>
      </c>
      <c r="C29" s="40"/>
      <c r="D29" s="40"/>
      <c r="E29" s="40">
        <f t="shared" si="1"/>
        <v>-6</v>
      </c>
      <c r="F29" s="41" t="s">
        <v>42</v>
      </c>
    </row>
    <row r="30" spans="1:6" x14ac:dyDescent="0.2">
      <c r="A30" s="38" t="s">
        <v>44</v>
      </c>
      <c r="B30" s="40">
        <f t="shared" si="2"/>
        <v>-15</v>
      </c>
      <c r="C30" s="38"/>
      <c r="D30" s="38"/>
      <c r="E30" s="40">
        <f t="shared" si="1"/>
        <v>15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38"/>
  <sheetViews>
    <sheetView workbookViewId="0">
      <selection activeCell="B1" sqref="B1:E1"/>
    </sheetView>
  </sheetViews>
  <sheetFormatPr defaultRowHeight="12.75" x14ac:dyDescent="0.2"/>
  <cols>
    <col min="1" max="1" width="15.42578125" bestFit="1" customWidth="1"/>
  </cols>
  <sheetData>
    <row r="1" spans="1:12" x14ac:dyDescent="0.2">
      <c r="A1" t="s">
        <v>136</v>
      </c>
      <c r="B1">
        <v>73</v>
      </c>
      <c r="C1">
        <v>45</v>
      </c>
      <c r="D1">
        <v>82</v>
      </c>
      <c r="E1">
        <v>53</v>
      </c>
    </row>
    <row r="2" spans="1:12" x14ac:dyDescent="0.2">
      <c r="B2" t="s">
        <v>6</v>
      </c>
      <c r="C2" t="s">
        <v>8</v>
      </c>
      <c r="D2" t="s">
        <v>7</v>
      </c>
      <c r="E2" t="s">
        <v>9</v>
      </c>
      <c r="I2" t="str">
        <f>B2</f>
        <v>Mateusz</v>
      </c>
      <c r="J2" t="str">
        <f>C2</f>
        <v>Justyna</v>
      </c>
      <c r="K2" t="str">
        <f>D2</f>
        <v>Marcin</v>
      </c>
      <c r="L2" t="str">
        <f>E2</f>
        <v>Agnieszka</v>
      </c>
    </row>
    <row r="3" spans="1:12" x14ac:dyDescent="0.2">
      <c r="A3" t="s">
        <v>37</v>
      </c>
      <c r="B3" s="38">
        <f>SUM(B4:B13)</f>
        <v>73</v>
      </c>
      <c r="C3" s="38">
        <f>SUM(C4:C13)</f>
        <v>45</v>
      </c>
      <c r="D3">
        <f>SUM(D4:D13)</f>
        <v>82</v>
      </c>
      <c r="E3">
        <f>SUM(E4:E13)</f>
        <v>53</v>
      </c>
      <c r="F3" s="14" t="s">
        <v>40</v>
      </c>
      <c r="I3">
        <f>SUM(I4:I12)</f>
        <v>73</v>
      </c>
      <c r="J3">
        <f>SUM(J4:J12)</f>
        <v>45</v>
      </c>
      <c r="K3">
        <f>SUM(K4:K12)</f>
        <v>82</v>
      </c>
      <c r="L3">
        <f>SUM(L4:L12)</f>
        <v>53</v>
      </c>
    </row>
    <row r="4" spans="1:12" x14ac:dyDescent="0.2">
      <c r="A4" t="s">
        <v>34</v>
      </c>
      <c r="B4">
        <v>11</v>
      </c>
      <c r="C4">
        <v>0</v>
      </c>
      <c r="D4">
        <v>9</v>
      </c>
      <c r="E4">
        <v>11</v>
      </c>
      <c r="F4" s="13">
        <v>15</v>
      </c>
      <c r="H4" t="s">
        <v>36</v>
      </c>
      <c r="I4">
        <f>B4+B5</f>
        <v>17</v>
      </c>
      <c r="J4">
        <f>C4+C5</f>
        <v>3</v>
      </c>
      <c r="K4">
        <f>D4+D5</f>
        <v>19</v>
      </c>
      <c r="L4">
        <f>E4+E5</f>
        <v>21</v>
      </c>
    </row>
    <row r="5" spans="1:12" x14ac:dyDescent="0.2">
      <c r="A5" t="s">
        <v>33</v>
      </c>
      <c r="B5">
        <v>6</v>
      </c>
      <c r="C5">
        <v>3</v>
      </c>
      <c r="D5">
        <v>10</v>
      </c>
      <c r="E5">
        <v>10</v>
      </c>
      <c r="F5" s="13">
        <v>10</v>
      </c>
      <c r="H5" t="s">
        <v>32</v>
      </c>
      <c r="I5">
        <f t="shared" ref="I5:L12" si="0">B6</f>
        <v>7</v>
      </c>
      <c r="J5">
        <f t="shared" si="0"/>
        <v>4</v>
      </c>
      <c r="K5">
        <f t="shared" si="0"/>
        <v>10</v>
      </c>
      <c r="L5">
        <f t="shared" si="0"/>
        <v>0</v>
      </c>
    </row>
    <row r="6" spans="1:12" x14ac:dyDescent="0.2">
      <c r="A6" t="s">
        <v>32</v>
      </c>
      <c r="B6">
        <v>7</v>
      </c>
      <c r="C6">
        <v>4</v>
      </c>
      <c r="D6">
        <v>10</v>
      </c>
      <c r="E6">
        <v>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1</v>
      </c>
      <c r="L6">
        <f t="shared" si="0"/>
        <v>0</v>
      </c>
    </row>
    <row r="7" spans="1:12" x14ac:dyDescent="0.2">
      <c r="A7" t="s">
        <v>31</v>
      </c>
      <c r="B7">
        <v>0</v>
      </c>
      <c r="C7">
        <v>0</v>
      </c>
      <c r="D7">
        <v>1</v>
      </c>
      <c r="E7">
        <v>0</v>
      </c>
      <c r="F7" s="14" t="s">
        <v>41</v>
      </c>
      <c r="H7" t="s">
        <v>30</v>
      </c>
      <c r="I7">
        <f t="shared" si="0"/>
        <v>2</v>
      </c>
      <c r="J7">
        <f t="shared" si="0"/>
        <v>2</v>
      </c>
      <c r="K7">
        <f t="shared" si="0"/>
        <v>1</v>
      </c>
      <c r="L7">
        <f t="shared" si="0"/>
        <v>0</v>
      </c>
    </row>
    <row r="8" spans="1:12" x14ac:dyDescent="0.2">
      <c r="A8" t="s">
        <v>30</v>
      </c>
      <c r="B8">
        <v>2</v>
      </c>
      <c r="C8">
        <v>2</v>
      </c>
      <c r="D8">
        <v>1</v>
      </c>
      <c r="E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40</v>
      </c>
      <c r="J9">
        <f t="shared" si="0"/>
        <v>28</v>
      </c>
      <c r="K9">
        <f t="shared" si="0"/>
        <v>7</v>
      </c>
      <c r="L9">
        <f t="shared" si="0"/>
        <v>32</v>
      </c>
    </row>
    <row r="10" spans="1:12" x14ac:dyDescent="0.2">
      <c r="A10" t="s">
        <v>28</v>
      </c>
      <c r="B10" s="4">
        <f>4+5+5+5+3+9+5+4</f>
        <v>40</v>
      </c>
      <c r="C10" s="4">
        <f>8+5+5+4+6</f>
        <v>28</v>
      </c>
      <c r="D10" s="4">
        <f>7</f>
        <v>7</v>
      </c>
      <c r="E10" s="4">
        <f>4+8+8+5+7</f>
        <v>32</v>
      </c>
      <c r="F10" s="14" t="s">
        <v>42</v>
      </c>
      <c r="H10" t="s">
        <v>27</v>
      </c>
      <c r="I10">
        <f t="shared" si="0"/>
        <v>0</v>
      </c>
      <c r="J10">
        <f t="shared" si="0"/>
        <v>5</v>
      </c>
      <c r="K10">
        <f t="shared" si="0"/>
        <v>24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5</v>
      </c>
      <c r="D11" s="4">
        <v>24</v>
      </c>
      <c r="E11" s="4">
        <v>0</v>
      </c>
      <c r="F11" s="14" t="s">
        <v>42</v>
      </c>
      <c r="H11" t="s">
        <v>44</v>
      </c>
      <c r="I11">
        <f t="shared" si="0"/>
        <v>0</v>
      </c>
      <c r="J11">
        <f t="shared" si="0"/>
        <v>3</v>
      </c>
      <c r="K11">
        <f t="shared" si="0"/>
        <v>15</v>
      </c>
      <c r="L11">
        <f t="shared" si="0"/>
        <v>0</v>
      </c>
    </row>
    <row r="12" spans="1:12" x14ac:dyDescent="0.2">
      <c r="A12" t="s">
        <v>44</v>
      </c>
      <c r="B12" s="4">
        <v>0</v>
      </c>
      <c r="C12" s="4">
        <v>3</v>
      </c>
      <c r="D12" s="4">
        <v>15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5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5</v>
      </c>
      <c r="E13" s="4">
        <v>0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-9</v>
      </c>
      <c r="C22" s="40"/>
      <c r="D22" s="40"/>
      <c r="E22" s="40">
        <f>SUM(E23:E31)</f>
        <v>9</v>
      </c>
      <c r="F22" s="41" t="s">
        <v>40</v>
      </c>
    </row>
    <row r="23" spans="1:6" x14ac:dyDescent="0.2">
      <c r="A23" s="38" t="s">
        <v>36</v>
      </c>
      <c r="B23" s="40">
        <f>B4+B5-D4-D5</f>
        <v>-2</v>
      </c>
      <c r="C23" s="40"/>
      <c r="D23" s="40"/>
      <c r="E23" s="40">
        <f t="shared" ref="E23:E31" si="1">-B23</f>
        <v>2</v>
      </c>
      <c r="F23" s="42">
        <v>25</v>
      </c>
    </row>
    <row r="24" spans="1:6" x14ac:dyDescent="0.2">
      <c r="A24" s="38" t="s">
        <v>32</v>
      </c>
      <c r="B24" s="40">
        <f>B6-D6</f>
        <v>-3</v>
      </c>
      <c r="C24" s="40"/>
      <c r="D24" s="40"/>
      <c r="E24" s="40">
        <f t="shared" si="1"/>
        <v>3</v>
      </c>
      <c r="F24" s="42">
        <v>10</v>
      </c>
    </row>
    <row r="25" spans="1:6" x14ac:dyDescent="0.2">
      <c r="A25" s="38" t="s">
        <v>31</v>
      </c>
      <c r="B25" s="40">
        <f t="shared" ref="B25:B31" si="2">B7-D7</f>
        <v>-1</v>
      </c>
      <c r="C25" s="40"/>
      <c r="D25" s="40"/>
      <c r="E25" s="40">
        <f t="shared" si="1"/>
        <v>1</v>
      </c>
      <c r="F25" s="41" t="s">
        <v>41</v>
      </c>
    </row>
    <row r="26" spans="1:6" x14ac:dyDescent="0.2">
      <c r="A26" s="38" t="s">
        <v>30</v>
      </c>
      <c r="B26" s="40">
        <f t="shared" si="2"/>
        <v>1</v>
      </c>
      <c r="C26" s="40"/>
      <c r="D26" s="40"/>
      <c r="E26" s="40">
        <f t="shared" si="1"/>
        <v>-1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33</v>
      </c>
      <c r="C28" s="40"/>
      <c r="D28" s="40"/>
      <c r="E28" s="40">
        <f t="shared" si="1"/>
        <v>-33</v>
      </c>
      <c r="F28" s="41" t="s">
        <v>42</v>
      </c>
    </row>
    <row r="29" spans="1:6" x14ac:dyDescent="0.2">
      <c r="A29" s="38" t="s">
        <v>27</v>
      </c>
      <c r="B29" s="40">
        <f t="shared" si="2"/>
        <v>-24</v>
      </c>
      <c r="C29" s="40"/>
      <c r="D29" s="40"/>
      <c r="E29" s="40">
        <f t="shared" si="1"/>
        <v>24</v>
      </c>
      <c r="F29" s="41" t="s">
        <v>42</v>
      </c>
    </row>
    <row r="30" spans="1:6" x14ac:dyDescent="0.2">
      <c r="A30" s="38" t="s">
        <v>44</v>
      </c>
      <c r="B30" s="40">
        <f t="shared" si="2"/>
        <v>-15</v>
      </c>
      <c r="C30" s="38"/>
      <c r="D30" s="38"/>
      <c r="E30" s="40">
        <f t="shared" si="1"/>
        <v>15</v>
      </c>
      <c r="F30" s="38"/>
    </row>
    <row r="31" spans="1:6" x14ac:dyDescent="0.2">
      <c r="A31" s="38" t="s">
        <v>26</v>
      </c>
      <c r="B31" s="40">
        <f t="shared" si="2"/>
        <v>-5</v>
      </c>
      <c r="C31" s="40"/>
      <c r="D31" s="40"/>
      <c r="E31" s="40">
        <f t="shared" si="1"/>
        <v>5</v>
      </c>
      <c r="F31" s="41" t="s">
        <v>43</v>
      </c>
    </row>
    <row r="37" spans="5:5" x14ac:dyDescent="0.2">
      <c r="E37" s="11"/>
    </row>
    <row r="38" spans="5:5" x14ac:dyDescent="0.2">
      <c r="E38" s="11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ECC10-303F-47A3-BB01-AD43058C2015}">
  <dimension ref="A1:L31"/>
  <sheetViews>
    <sheetView workbookViewId="0">
      <selection activeCell="A17" sqref="A17"/>
    </sheetView>
  </sheetViews>
  <sheetFormatPr defaultRowHeight="12.75" x14ac:dyDescent="0.2"/>
  <cols>
    <col min="1" max="1" width="15.42578125" bestFit="1" customWidth="1"/>
  </cols>
  <sheetData>
    <row r="1" spans="1:12" x14ac:dyDescent="0.2">
      <c r="A1" t="s">
        <v>138</v>
      </c>
      <c r="B1">
        <v>80</v>
      </c>
      <c r="C1">
        <v>64</v>
      </c>
      <c r="D1">
        <v>68</v>
      </c>
      <c r="E1">
        <v>66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80</v>
      </c>
      <c r="C3" s="38">
        <f>SUM(C4:C13)</f>
        <v>64</v>
      </c>
      <c r="D3">
        <f>SUM(D4:D13)</f>
        <v>68</v>
      </c>
      <c r="E3">
        <f>SUM(E4:E13)</f>
        <v>66</v>
      </c>
      <c r="F3" s="14" t="s">
        <v>40</v>
      </c>
      <c r="I3">
        <f>SUM(I4:I12)</f>
        <v>80</v>
      </c>
      <c r="J3">
        <f>SUM(J4:J12)</f>
        <v>64</v>
      </c>
      <c r="K3">
        <f>SUM(K4:K12)</f>
        <v>68</v>
      </c>
      <c r="L3">
        <f>SUM(L4:L12)</f>
        <v>66</v>
      </c>
    </row>
    <row r="4" spans="1:12" x14ac:dyDescent="0.2">
      <c r="A4" t="s">
        <v>34</v>
      </c>
      <c r="B4">
        <v>14</v>
      </c>
      <c r="C4">
        <v>11</v>
      </c>
      <c r="D4">
        <v>4</v>
      </c>
      <c r="E4">
        <v>4</v>
      </c>
      <c r="F4" s="13">
        <v>15</v>
      </c>
      <c r="H4" t="s">
        <v>36</v>
      </c>
      <c r="I4">
        <f>B4+B5</f>
        <v>24</v>
      </c>
      <c r="J4">
        <f>C4+C5</f>
        <v>21</v>
      </c>
      <c r="K4">
        <f>D4+D5</f>
        <v>7</v>
      </c>
      <c r="L4">
        <f>E4+E5</f>
        <v>10</v>
      </c>
    </row>
    <row r="5" spans="1:12" x14ac:dyDescent="0.2">
      <c r="A5" t="s">
        <v>33</v>
      </c>
      <c r="B5">
        <v>10</v>
      </c>
      <c r="C5">
        <v>10</v>
      </c>
      <c r="D5">
        <v>3</v>
      </c>
      <c r="E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4</v>
      </c>
      <c r="L5">
        <f t="shared" si="0"/>
        <v>1</v>
      </c>
    </row>
    <row r="6" spans="1:12" x14ac:dyDescent="0.2">
      <c r="A6" t="s">
        <v>32</v>
      </c>
      <c r="B6">
        <v>10</v>
      </c>
      <c r="C6">
        <v>7</v>
      </c>
      <c r="D6">
        <v>4</v>
      </c>
      <c r="E6">
        <v>1</v>
      </c>
      <c r="F6" s="13">
        <v>10</v>
      </c>
      <c r="H6" t="s">
        <v>31</v>
      </c>
      <c r="I6">
        <f t="shared" si="0"/>
        <v>0</v>
      </c>
      <c r="J6">
        <f t="shared" si="0"/>
        <v>3</v>
      </c>
      <c r="K6">
        <f t="shared" si="0"/>
        <v>1</v>
      </c>
      <c r="L6">
        <f t="shared" si="0"/>
        <v>0</v>
      </c>
    </row>
    <row r="7" spans="1:12" x14ac:dyDescent="0.2">
      <c r="A7" t="s">
        <v>31</v>
      </c>
      <c r="B7">
        <v>0</v>
      </c>
      <c r="C7">
        <v>3</v>
      </c>
      <c r="D7">
        <v>1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3</v>
      </c>
      <c r="K7">
        <f t="shared" si="0"/>
        <v>4</v>
      </c>
      <c r="L7">
        <f t="shared" si="0"/>
        <v>2</v>
      </c>
    </row>
    <row r="8" spans="1:12" x14ac:dyDescent="0.2">
      <c r="A8" t="s">
        <v>30</v>
      </c>
      <c r="B8">
        <v>0</v>
      </c>
      <c r="C8">
        <v>3</v>
      </c>
      <c r="D8">
        <v>4</v>
      </c>
      <c r="E8">
        <v>2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7</v>
      </c>
    </row>
    <row r="9" spans="1:12" x14ac:dyDescent="0.2">
      <c r="A9" s="10" t="s">
        <v>29</v>
      </c>
      <c r="B9" s="10">
        <v>0</v>
      </c>
      <c r="C9" s="10">
        <v>0</v>
      </c>
      <c r="D9" s="10">
        <v>0</v>
      </c>
      <c r="E9" s="10">
        <v>7</v>
      </c>
      <c r="F9" s="13">
        <v>7</v>
      </c>
      <c r="H9" t="s">
        <v>28</v>
      </c>
      <c r="I9">
        <f t="shared" si="0"/>
        <v>38</v>
      </c>
      <c r="J9">
        <f t="shared" si="0"/>
        <v>8</v>
      </c>
      <c r="K9">
        <f t="shared" si="0"/>
        <v>23</v>
      </c>
      <c r="L9">
        <f t="shared" si="0"/>
        <v>46</v>
      </c>
    </row>
    <row r="10" spans="1:12" x14ac:dyDescent="0.2">
      <c r="A10" t="s">
        <v>28</v>
      </c>
      <c r="B10" s="4">
        <f>2+9+4+6+6+6+5</f>
        <v>38</v>
      </c>
      <c r="C10" s="4">
        <f>4+4</f>
        <v>8</v>
      </c>
      <c r="D10" s="4">
        <f>1+3+5+5+9</f>
        <v>23</v>
      </c>
      <c r="E10" s="4">
        <f>5+5+8+5+7+7+2+7</f>
        <v>46</v>
      </c>
      <c r="F10" s="14" t="s">
        <v>42</v>
      </c>
      <c r="H10" t="s">
        <v>27</v>
      </c>
      <c r="I10">
        <f t="shared" si="0"/>
        <v>0</v>
      </c>
      <c r="J10">
        <f t="shared" si="0"/>
        <v>22</v>
      </c>
      <c r="K10">
        <f t="shared" si="0"/>
        <v>14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f>8+2+12</f>
        <v>22</v>
      </c>
      <c r="D11" s="4">
        <f>6+8</f>
        <v>14</v>
      </c>
      <c r="E11" s="4">
        <v>0</v>
      </c>
      <c r="F11" s="14" t="s">
        <v>42</v>
      </c>
      <c r="H11" t="s">
        <v>44</v>
      </c>
      <c r="I11">
        <f t="shared" si="0"/>
        <v>3</v>
      </c>
      <c r="J11">
        <f t="shared" si="0"/>
        <v>0</v>
      </c>
      <c r="K11">
        <f t="shared" si="0"/>
        <v>15</v>
      </c>
      <c r="L11">
        <f t="shared" si="0"/>
        <v>0</v>
      </c>
    </row>
    <row r="12" spans="1:12" x14ac:dyDescent="0.2">
      <c r="A12" t="s">
        <v>44</v>
      </c>
      <c r="B12" s="4">
        <v>3</v>
      </c>
      <c r="C12" s="4">
        <v>0</v>
      </c>
      <c r="D12" s="4">
        <v>15</v>
      </c>
      <c r="E12" s="4">
        <v>0</v>
      </c>
      <c r="F12" s="14" t="s">
        <v>46</v>
      </c>
      <c r="H12" t="s">
        <v>26</v>
      </c>
      <c r="I12">
        <f t="shared" si="0"/>
        <v>5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5</v>
      </c>
      <c r="C13" s="4">
        <v>0</v>
      </c>
      <c r="D13" s="4">
        <v>0</v>
      </c>
      <c r="E13" s="4">
        <v>0</v>
      </c>
      <c r="F13" s="14" t="s">
        <v>64</v>
      </c>
    </row>
    <row r="15" spans="1:12" x14ac:dyDescent="0.2">
      <c r="A15" t="s">
        <v>139</v>
      </c>
      <c r="B15">
        <v>15</v>
      </c>
      <c r="C15">
        <v>10</v>
      </c>
      <c r="D15">
        <v>9</v>
      </c>
      <c r="E15">
        <v>10</v>
      </c>
    </row>
    <row r="16" spans="1:12" x14ac:dyDescent="0.2">
      <c r="B16" t="s">
        <v>143</v>
      </c>
      <c r="C16" t="s">
        <v>140</v>
      </c>
      <c r="D16" t="s">
        <v>141</v>
      </c>
      <c r="E16" t="s">
        <v>142</v>
      </c>
    </row>
    <row r="17" spans="1:6" x14ac:dyDescent="0.2">
      <c r="B17" t="s">
        <v>144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14</v>
      </c>
      <c r="C22" s="40"/>
      <c r="D22" s="40"/>
      <c r="E22" s="40">
        <f>SUM(E23:E31)</f>
        <v>-14</v>
      </c>
      <c r="F22" s="41" t="s">
        <v>40</v>
      </c>
    </row>
    <row r="23" spans="1:6" x14ac:dyDescent="0.2">
      <c r="A23" s="38" t="s">
        <v>36</v>
      </c>
      <c r="B23" s="40">
        <f>B4+B5-E4-E5</f>
        <v>14</v>
      </c>
      <c r="C23" s="40"/>
      <c r="D23" s="40"/>
      <c r="E23" s="40">
        <f t="shared" ref="E23:E31" si="1">-B23</f>
        <v>-14</v>
      </c>
      <c r="F23" s="42">
        <v>25</v>
      </c>
    </row>
    <row r="24" spans="1:6" x14ac:dyDescent="0.2">
      <c r="A24" s="38" t="s">
        <v>32</v>
      </c>
      <c r="B24" s="40">
        <f>B6-E6</f>
        <v>9</v>
      </c>
      <c r="C24" s="40"/>
      <c r="D24" s="40"/>
      <c r="E24" s="40">
        <f t="shared" si="1"/>
        <v>-9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0</v>
      </c>
      <c r="C25" s="40"/>
      <c r="D25" s="40"/>
      <c r="E25" s="40">
        <f t="shared" si="1"/>
        <v>0</v>
      </c>
      <c r="F25" s="41" t="s">
        <v>41</v>
      </c>
    </row>
    <row r="26" spans="1:6" x14ac:dyDescent="0.2">
      <c r="A26" s="38" t="s">
        <v>30</v>
      </c>
      <c r="B26" s="40">
        <f t="shared" si="2"/>
        <v>-2</v>
      </c>
      <c r="C26" s="40"/>
      <c r="D26" s="40"/>
      <c r="E26" s="40">
        <f t="shared" si="1"/>
        <v>2</v>
      </c>
      <c r="F26" s="41" t="s">
        <v>41</v>
      </c>
    </row>
    <row r="27" spans="1:6" x14ac:dyDescent="0.2">
      <c r="A27" s="43" t="s">
        <v>29</v>
      </c>
      <c r="B27" s="44">
        <f t="shared" si="2"/>
        <v>-7</v>
      </c>
      <c r="C27" s="44"/>
      <c r="D27" s="44"/>
      <c r="E27" s="44">
        <f t="shared" si="1"/>
        <v>7</v>
      </c>
      <c r="F27" s="42">
        <v>7</v>
      </c>
    </row>
    <row r="28" spans="1:6" x14ac:dyDescent="0.2">
      <c r="A28" s="38" t="s">
        <v>28</v>
      </c>
      <c r="B28" s="40">
        <f t="shared" si="2"/>
        <v>-8</v>
      </c>
      <c r="C28" s="40"/>
      <c r="D28" s="40"/>
      <c r="E28" s="40">
        <f t="shared" si="1"/>
        <v>8</v>
      </c>
      <c r="F28" s="41" t="s">
        <v>42</v>
      </c>
    </row>
    <row r="29" spans="1:6" x14ac:dyDescent="0.2">
      <c r="A29" s="38" t="s">
        <v>27</v>
      </c>
      <c r="B29" s="40">
        <f t="shared" si="2"/>
        <v>0</v>
      </c>
      <c r="C29" s="40"/>
      <c r="D29" s="40"/>
      <c r="E29" s="40">
        <f t="shared" si="1"/>
        <v>0</v>
      </c>
      <c r="F29" s="41" t="s">
        <v>42</v>
      </c>
    </row>
    <row r="30" spans="1:6" x14ac:dyDescent="0.2">
      <c r="A30" s="38" t="s">
        <v>44</v>
      </c>
      <c r="B30" s="40">
        <f t="shared" si="2"/>
        <v>3</v>
      </c>
      <c r="C30" s="38"/>
      <c r="D30" s="38"/>
      <c r="E30" s="40">
        <f t="shared" si="1"/>
        <v>-3</v>
      </c>
      <c r="F30" s="38"/>
    </row>
    <row r="31" spans="1:6" x14ac:dyDescent="0.2">
      <c r="A31" s="38" t="s">
        <v>26</v>
      </c>
      <c r="B31" s="40">
        <f t="shared" si="2"/>
        <v>5</v>
      </c>
      <c r="C31" s="40"/>
      <c r="D31" s="40"/>
      <c r="E31" s="40">
        <f t="shared" si="1"/>
        <v>-5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3F96F-9909-4891-B62D-4679BFF3F143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146</v>
      </c>
      <c r="B1">
        <v>67</v>
      </c>
      <c r="C1">
        <v>57</v>
      </c>
      <c r="D1">
        <v>36</v>
      </c>
      <c r="E1">
        <v>87</v>
      </c>
    </row>
    <row r="2" spans="1:12" x14ac:dyDescent="0.2">
      <c r="B2" t="s">
        <v>6</v>
      </c>
      <c r="C2" t="s">
        <v>7</v>
      </c>
      <c r="D2" t="s">
        <v>94</v>
      </c>
      <c r="E2" t="s">
        <v>9</v>
      </c>
      <c r="I2" t="str">
        <f>B2</f>
        <v>Mateusz</v>
      </c>
      <c r="J2" t="str">
        <f>C2</f>
        <v>Marcin</v>
      </c>
      <c r="K2" t="str">
        <f>D2</f>
        <v>Dominika</v>
      </c>
      <c r="L2" t="str">
        <f>E2</f>
        <v>Agnieszka</v>
      </c>
    </row>
    <row r="3" spans="1:12" x14ac:dyDescent="0.2">
      <c r="A3" t="s">
        <v>37</v>
      </c>
      <c r="B3" s="38">
        <f>SUM(B4:B13)</f>
        <v>67</v>
      </c>
      <c r="C3" s="38">
        <f>SUM(C4:C13)</f>
        <v>57</v>
      </c>
      <c r="D3">
        <f>SUM(D4:D13)</f>
        <v>36</v>
      </c>
      <c r="E3">
        <f>SUM(E4:E13)</f>
        <v>87</v>
      </c>
      <c r="F3" s="14" t="s">
        <v>40</v>
      </c>
      <c r="I3">
        <f>SUM(I4:I12)</f>
        <v>67</v>
      </c>
      <c r="J3">
        <f>SUM(J4:J12)</f>
        <v>57</v>
      </c>
      <c r="K3">
        <f>SUM(K4:K12)</f>
        <v>36</v>
      </c>
      <c r="L3">
        <f>SUM(L4:L12)</f>
        <v>87</v>
      </c>
    </row>
    <row r="4" spans="1:12" x14ac:dyDescent="0.2">
      <c r="A4" t="s">
        <v>34</v>
      </c>
      <c r="B4">
        <v>12</v>
      </c>
      <c r="C4">
        <v>6</v>
      </c>
      <c r="D4">
        <v>7</v>
      </c>
      <c r="E4">
        <v>11</v>
      </c>
      <c r="F4" s="13">
        <v>15</v>
      </c>
      <c r="H4" t="s">
        <v>36</v>
      </c>
      <c r="I4">
        <f>B4+B5</f>
        <v>22</v>
      </c>
      <c r="J4">
        <f>C4+C5</f>
        <v>12</v>
      </c>
      <c r="K4">
        <f>D4+D5</f>
        <v>10</v>
      </c>
      <c r="L4">
        <f>E4+E5</f>
        <v>21</v>
      </c>
    </row>
    <row r="5" spans="1:12" x14ac:dyDescent="0.2">
      <c r="A5" t="s">
        <v>33</v>
      </c>
      <c r="B5">
        <v>10</v>
      </c>
      <c r="C5">
        <v>6</v>
      </c>
      <c r="D5">
        <v>3</v>
      </c>
      <c r="E5">
        <v>10</v>
      </c>
      <c r="F5" s="13">
        <v>10</v>
      </c>
      <c r="H5" t="s">
        <v>32</v>
      </c>
      <c r="I5">
        <f t="shared" ref="I5:L12" si="0">B6</f>
        <v>7</v>
      </c>
      <c r="J5">
        <f t="shared" si="0"/>
        <v>10</v>
      </c>
      <c r="K5">
        <f t="shared" si="0"/>
        <v>0</v>
      </c>
      <c r="L5">
        <f t="shared" si="0"/>
        <v>4</v>
      </c>
    </row>
    <row r="6" spans="1:12" x14ac:dyDescent="0.2">
      <c r="A6" t="s">
        <v>32</v>
      </c>
      <c r="B6">
        <v>7</v>
      </c>
      <c r="C6">
        <v>10</v>
      </c>
      <c r="D6">
        <v>0</v>
      </c>
      <c r="E6">
        <v>4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</row>
    <row r="7" spans="1:12" x14ac:dyDescent="0.2">
      <c r="A7" t="s">
        <v>31</v>
      </c>
      <c r="B7">
        <v>0</v>
      </c>
      <c r="C7">
        <v>0</v>
      </c>
      <c r="D7">
        <v>0</v>
      </c>
      <c r="E7">
        <v>1</v>
      </c>
      <c r="F7" s="14" t="s">
        <v>41</v>
      </c>
      <c r="H7" t="s">
        <v>30</v>
      </c>
      <c r="I7">
        <f t="shared" si="0"/>
        <v>2</v>
      </c>
      <c r="J7">
        <f t="shared" si="0"/>
        <v>0</v>
      </c>
      <c r="K7">
        <f t="shared" si="0"/>
        <v>0</v>
      </c>
      <c r="L7">
        <f t="shared" si="0"/>
        <v>2</v>
      </c>
    </row>
    <row r="8" spans="1:12" x14ac:dyDescent="0.2">
      <c r="A8" t="s">
        <v>30</v>
      </c>
      <c r="B8">
        <v>2</v>
      </c>
      <c r="C8">
        <v>0</v>
      </c>
      <c r="D8">
        <v>0</v>
      </c>
      <c r="E8">
        <v>2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7</v>
      </c>
    </row>
    <row r="9" spans="1:12" x14ac:dyDescent="0.2">
      <c r="A9" s="10" t="s">
        <v>29</v>
      </c>
      <c r="B9" s="10">
        <v>0</v>
      </c>
      <c r="C9" s="10">
        <v>0</v>
      </c>
      <c r="D9" s="10">
        <v>0</v>
      </c>
      <c r="E9" s="10">
        <v>7</v>
      </c>
      <c r="F9" s="13">
        <v>7</v>
      </c>
      <c r="H9" t="s">
        <v>28</v>
      </c>
      <c r="I9">
        <f t="shared" si="0"/>
        <v>27</v>
      </c>
      <c r="J9">
        <f t="shared" si="0"/>
        <v>5</v>
      </c>
      <c r="K9">
        <f t="shared" si="0"/>
        <v>26</v>
      </c>
      <c r="L9">
        <f t="shared" si="0"/>
        <v>31</v>
      </c>
    </row>
    <row r="10" spans="1:12" x14ac:dyDescent="0.2">
      <c r="A10" t="s">
        <v>28</v>
      </c>
      <c r="B10" s="4">
        <f>1+7+5+5+9</f>
        <v>27</v>
      </c>
      <c r="C10" s="4">
        <f>5</f>
        <v>5</v>
      </c>
      <c r="D10" s="4">
        <f>4+5+4+7+6</f>
        <v>26</v>
      </c>
      <c r="E10" s="4">
        <f>2+5+8+4+8+4</f>
        <v>31</v>
      </c>
      <c r="F10" s="14" t="s">
        <v>42</v>
      </c>
      <c r="H10" t="s">
        <v>27</v>
      </c>
      <c r="I10">
        <f t="shared" si="0"/>
        <v>0</v>
      </c>
      <c r="J10">
        <f t="shared" si="0"/>
        <v>30</v>
      </c>
      <c r="K10">
        <f t="shared" si="0"/>
        <v>0</v>
      </c>
      <c r="L10">
        <f t="shared" si="0"/>
        <v>12</v>
      </c>
    </row>
    <row r="11" spans="1:12" x14ac:dyDescent="0.2">
      <c r="A11" t="s">
        <v>27</v>
      </c>
      <c r="B11" s="4">
        <v>0</v>
      </c>
      <c r="C11" s="4">
        <f>3+2+6+16+3</f>
        <v>30</v>
      </c>
      <c r="D11" s="4">
        <v>0</v>
      </c>
      <c r="E11" s="4">
        <v>12</v>
      </c>
      <c r="F11" s="14" t="s">
        <v>42</v>
      </c>
      <c r="H11" t="s">
        <v>44</v>
      </c>
      <c r="I11">
        <f t="shared" si="0"/>
        <v>9</v>
      </c>
      <c r="J11">
        <f t="shared" si="0"/>
        <v>0</v>
      </c>
      <c r="K11">
        <f t="shared" si="0"/>
        <v>0</v>
      </c>
      <c r="L11">
        <f t="shared" si="0"/>
        <v>9</v>
      </c>
    </row>
    <row r="12" spans="1:12" x14ac:dyDescent="0.2">
      <c r="A12" t="s">
        <v>44</v>
      </c>
      <c r="B12" s="4">
        <v>9</v>
      </c>
      <c r="C12" s="4">
        <v>0</v>
      </c>
      <c r="D12" s="4">
        <v>0</v>
      </c>
      <c r="E12" s="4">
        <v>9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15" spans="1:12" x14ac:dyDescent="0.2">
      <c r="A15" t="s">
        <v>139</v>
      </c>
      <c r="B15">
        <v>11</v>
      </c>
      <c r="C15">
        <v>8</v>
      </c>
      <c r="D15">
        <v>8</v>
      </c>
      <c r="E15">
        <v>10</v>
      </c>
    </row>
    <row r="16" spans="1:12" x14ac:dyDescent="0.2">
      <c r="B16" t="s">
        <v>143</v>
      </c>
      <c r="C16" t="s">
        <v>140</v>
      </c>
      <c r="D16" t="s">
        <v>141</v>
      </c>
      <c r="E16" t="s">
        <v>142</v>
      </c>
    </row>
    <row r="17" spans="1:6" x14ac:dyDescent="0.2">
      <c r="B17" t="s">
        <v>145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-20</v>
      </c>
      <c r="C22" s="40"/>
      <c r="D22" s="40"/>
      <c r="E22" s="40">
        <f>SUM(E23:E31)</f>
        <v>20</v>
      </c>
      <c r="F22" s="41" t="s">
        <v>40</v>
      </c>
    </row>
    <row r="23" spans="1:6" x14ac:dyDescent="0.2">
      <c r="A23" s="38" t="s">
        <v>36</v>
      </c>
      <c r="B23" s="40">
        <f>B4+B5-E4-E5</f>
        <v>1</v>
      </c>
      <c r="C23" s="40"/>
      <c r="D23" s="40"/>
      <c r="E23" s="40">
        <f t="shared" ref="E23:E31" si="1">-B23</f>
        <v>-1</v>
      </c>
      <c r="F23" s="42">
        <v>25</v>
      </c>
    </row>
    <row r="24" spans="1:6" x14ac:dyDescent="0.2">
      <c r="A24" s="38" t="s">
        <v>32</v>
      </c>
      <c r="B24" s="40">
        <f>B6-E6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-1</v>
      </c>
      <c r="C25" s="40"/>
      <c r="D25" s="40"/>
      <c r="E25" s="40">
        <f t="shared" si="1"/>
        <v>1</v>
      </c>
      <c r="F25" s="41" t="s">
        <v>41</v>
      </c>
    </row>
    <row r="26" spans="1:6" x14ac:dyDescent="0.2">
      <c r="A26" s="38" t="s">
        <v>30</v>
      </c>
      <c r="B26" s="40">
        <f t="shared" si="2"/>
        <v>0</v>
      </c>
      <c r="C26" s="40"/>
      <c r="D26" s="40"/>
      <c r="E26" s="40">
        <f t="shared" si="1"/>
        <v>0</v>
      </c>
      <c r="F26" s="41" t="s">
        <v>41</v>
      </c>
    </row>
    <row r="27" spans="1:6" x14ac:dyDescent="0.2">
      <c r="A27" s="43" t="s">
        <v>29</v>
      </c>
      <c r="B27" s="44">
        <f t="shared" si="2"/>
        <v>-7</v>
      </c>
      <c r="C27" s="44"/>
      <c r="D27" s="44"/>
      <c r="E27" s="44">
        <f t="shared" si="1"/>
        <v>7</v>
      </c>
      <c r="F27" s="42">
        <v>7</v>
      </c>
    </row>
    <row r="28" spans="1:6" x14ac:dyDescent="0.2">
      <c r="A28" s="38" t="s">
        <v>28</v>
      </c>
      <c r="B28" s="40">
        <f t="shared" si="2"/>
        <v>-4</v>
      </c>
      <c r="C28" s="40"/>
      <c r="D28" s="40"/>
      <c r="E28" s="40">
        <f t="shared" si="1"/>
        <v>4</v>
      </c>
      <c r="F28" s="41" t="s">
        <v>42</v>
      </c>
    </row>
    <row r="29" spans="1:6" x14ac:dyDescent="0.2">
      <c r="A29" s="38" t="s">
        <v>27</v>
      </c>
      <c r="B29" s="40">
        <f t="shared" si="2"/>
        <v>-12</v>
      </c>
      <c r="C29" s="40"/>
      <c r="D29" s="40"/>
      <c r="E29" s="40">
        <f t="shared" si="1"/>
        <v>12</v>
      </c>
      <c r="F29" s="41" t="s">
        <v>42</v>
      </c>
    </row>
    <row r="30" spans="1:6" x14ac:dyDescent="0.2">
      <c r="A30" s="38" t="s">
        <v>44</v>
      </c>
      <c r="B30" s="40">
        <f t="shared" si="2"/>
        <v>0</v>
      </c>
      <c r="C30" s="38"/>
      <c r="D30" s="38"/>
      <c r="E30" s="40">
        <f t="shared" si="1"/>
        <v>0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D746-F948-473F-9279-DDA8080E7439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150</v>
      </c>
      <c r="B1">
        <v>82</v>
      </c>
      <c r="C1">
        <v>66</v>
      </c>
      <c r="D1">
        <v>54</v>
      </c>
    </row>
    <row r="2" spans="1:12" x14ac:dyDescent="0.2">
      <c r="B2" t="s">
        <v>6</v>
      </c>
      <c r="C2" t="s">
        <v>148</v>
      </c>
      <c r="D2" t="s">
        <v>149</v>
      </c>
      <c r="I2" t="str">
        <f>B2</f>
        <v>Mateusz</v>
      </c>
      <c r="J2" t="str">
        <f>C2</f>
        <v>Agnieszka P.</v>
      </c>
      <c r="K2" t="str">
        <f>D2</f>
        <v>Michał</v>
      </c>
      <c r="L2">
        <f>E2</f>
        <v>0</v>
      </c>
    </row>
    <row r="3" spans="1:12" x14ac:dyDescent="0.2">
      <c r="A3" t="s">
        <v>37</v>
      </c>
      <c r="B3" s="38">
        <f>SUM(B4:B13)</f>
        <v>82</v>
      </c>
      <c r="C3" s="38">
        <f>SUM(C4:C13)</f>
        <v>66</v>
      </c>
      <c r="D3">
        <f>SUM(D4:D13)</f>
        <v>54</v>
      </c>
      <c r="E3">
        <f>SUM(E4:E13)</f>
        <v>0</v>
      </c>
      <c r="F3" s="14" t="s">
        <v>40</v>
      </c>
      <c r="I3">
        <f>SUM(I4:I12)</f>
        <v>82</v>
      </c>
      <c r="J3">
        <f>SUM(J4:J12)</f>
        <v>66</v>
      </c>
      <c r="K3">
        <f>SUM(K4:K12)</f>
        <v>54</v>
      </c>
      <c r="L3">
        <f>SUM(L4:L12)</f>
        <v>0</v>
      </c>
    </row>
    <row r="4" spans="1:12" x14ac:dyDescent="0.2">
      <c r="A4" t="s">
        <v>34</v>
      </c>
      <c r="B4">
        <v>11</v>
      </c>
      <c r="C4">
        <v>9</v>
      </c>
      <c r="D4">
        <v>14</v>
      </c>
      <c r="F4" s="13">
        <v>15</v>
      </c>
      <c r="H4" t="s">
        <v>36</v>
      </c>
      <c r="I4">
        <f>B4+B5</f>
        <v>21</v>
      </c>
      <c r="J4">
        <f>C4+C5</f>
        <v>19</v>
      </c>
      <c r="K4">
        <f>D4+D5</f>
        <v>20</v>
      </c>
      <c r="L4">
        <f>E4+E5</f>
        <v>0</v>
      </c>
    </row>
    <row r="5" spans="1:12" x14ac:dyDescent="0.2">
      <c r="A5" t="s">
        <v>33</v>
      </c>
      <c r="B5">
        <v>10</v>
      </c>
      <c r="C5">
        <v>10</v>
      </c>
      <c r="D5">
        <v>6</v>
      </c>
      <c r="F5" s="13">
        <v>10</v>
      </c>
      <c r="H5" t="s">
        <v>32</v>
      </c>
      <c r="I5">
        <f t="shared" ref="I5:L12" si="0">B6</f>
        <v>7</v>
      </c>
      <c r="J5">
        <f t="shared" si="0"/>
        <v>10</v>
      </c>
      <c r="K5">
        <f t="shared" si="0"/>
        <v>4</v>
      </c>
      <c r="L5">
        <f t="shared" si="0"/>
        <v>0</v>
      </c>
    </row>
    <row r="6" spans="1:12" x14ac:dyDescent="0.2">
      <c r="A6" t="s">
        <v>32</v>
      </c>
      <c r="B6">
        <v>7</v>
      </c>
      <c r="C6">
        <v>10</v>
      </c>
      <c r="D6">
        <v>4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1</v>
      </c>
      <c r="L6">
        <f t="shared" si="0"/>
        <v>0</v>
      </c>
    </row>
    <row r="7" spans="1:12" x14ac:dyDescent="0.2">
      <c r="A7" t="s">
        <v>31</v>
      </c>
      <c r="B7">
        <v>1</v>
      </c>
      <c r="C7">
        <v>0</v>
      </c>
      <c r="D7">
        <v>1</v>
      </c>
      <c r="F7" s="14" t="s">
        <v>41</v>
      </c>
      <c r="H7" t="s">
        <v>30</v>
      </c>
      <c r="I7">
        <f t="shared" si="0"/>
        <v>2</v>
      </c>
      <c r="J7">
        <f t="shared" si="0"/>
        <v>0</v>
      </c>
      <c r="K7">
        <f t="shared" si="0"/>
        <v>2</v>
      </c>
      <c r="L7">
        <f t="shared" si="0"/>
        <v>0</v>
      </c>
    </row>
    <row r="8" spans="1:12" x14ac:dyDescent="0.2">
      <c r="A8" t="s">
        <v>30</v>
      </c>
      <c r="B8">
        <v>2</v>
      </c>
      <c r="C8">
        <v>0</v>
      </c>
      <c r="D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7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7</v>
      </c>
      <c r="D9" s="10">
        <v>7</v>
      </c>
      <c r="E9" s="10"/>
      <c r="F9" s="13">
        <v>7</v>
      </c>
      <c r="H9" t="s">
        <v>28</v>
      </c>
      <c r="I9">
        <f t="shared" si="0"/>
        <v>26</v>
      </c>
      <c r="J9">
        <f t="shared" si="0"/>
        <v>30</v>
      </c>
      <c r="K9">
        <f t="shared" si="0"/>
        <v>20</v>
      </c>
      <c r="L9">
        <f t="shared" si="0"/>
        <v>0</v>
      </c>
    </row>
    <row r="10" spans="1:12" x14ac:dyDescent="0.2">
      <c r="A10" t="s">
        <v>28</v>
      </c>
      <c r="B10" s="4">
        <f>1+9+5+5+6</f>
        <v>26</v>
      </c>
      <c r="C10" s="4">
        <f>4+6+8+8+4</f>
        <v>30</v>
      </c>
      <c r="D10" s="4">
        <f>2+2+4+7+5</f>
        <v>20</v>
      </c>
      <c r="E10" s="4"/>
      <c r="F10" s="14" t="s">
        <v>42</v>
      </c>
      <c r="H10" t="s">
        <v>27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0</v>
      </c>
      <c r="D11" s="4">
        <v>0</v>
      </c>
      <c r="E11" s="4"/>
      <c r="F11" s="14" t="s">
        <v>42</v>
      </c>
      <c r="H11" t="s">
        <v>44</v>
      </c>
      <c r="I11">
        <f t="shared" si="0"/>
        <v>3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3</v>
      </c>
      <c r="C12" s="4">
        <v>0</v>
      </c>
      <c r="D12" s="4">
        <v>0</v>
      </c>
      <c r="E12" s="4"/>
      <c r="F12" s="14" t="s">
        <v>46</v>
      </c>
      <c r="H12" t="s">
        <v>26</v>
      </c>
      <c r="I12">
        <f t="shared" si="0"/>
        <v>15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15</v>
      </c>
      <c r="C13" s="4">
        <v>0</v>
      </c>
      <c r="D13" s="4">
        <v>0</v>
      </c>
      <c r="E13" s="4"/>
      <c r="F13" s="14" t="s">
        <v>64</v>
      </c>
    </row>
    <row r="15" spans="1:12" x14ac:dyDescent="0.2">
      <c r="A15" t="s">
        <v>139</v>
      </c>
      <c r="B15" s="95">
        <v>11</v>
      </c>
      <c r="C15" s="95">
        <v>8</v>
      </c>
      <c r="D15" s="95">
        <v>8</v>
      </c>
      <c r="E15" s="95">
        <v>10</v>
      </c>
    </row>
    <row r="16" spans="1:12" x14ac:dyDescent="0.2">
      <c r="B16" s="95" t="s">
        <v>143</v>
      </c>
      <c r="C16" s="95" t="s">
        <v>140</v>
      </c>
      <c r="D16" s="95" t="s">
        <v>141</v>
      </c>
      <c r="E16" s="95" t="s">
        <v>142</v>
      </c>
    </row>
    <row r="17" spans="1:6" x14ac:dyDescent="0.2">
      <c r="B17" s="95" t="s">
        <v>145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82</v>
      </c>
      <c r="C22" s="40"/>
      <c r="D22" s="40"/>
      <c r="E22" s="40">
        <f>SUM(E23:E31)</f>
        <v>-82</v>
      </c>
      <c r="F22" s="41" t="s">
        <v>40</v>
      </c>
    </row>
    <row r="23" spans="1:6" x14ac:dyDescent="0.2">
      <c r="A23" s="38" t="s">
        <v>36</v>
      </c>
      <c r="B23" s="40">
        <f>B4+B5-E4-E5</f>
        <v>21</v>
      </c>
      <c r="C23" s="40"/>
      <c r="D23" s="40"/>
      <c r="E23" s="40">
        <f t="shared" ref="E23:E31" si="1">-B23</f>
        <v>-21</v>
      </c>
      <c r="F23" s="42">
        <v>25</v>
      </c>
    </row>
    <row r="24" spans="1:6" x14ac:dyDescent="0.2">
      <c r="A24" s="38" t="s">
        <v>32</v>
      </c>
      <c r="B24" s="40">
        <f>B6-E6</f>
        <v>7</v>
      </c>
      <c r="C24" s="40"/>
      <c r="D24" s="40"/>
      <c r="E24" s="40">
        <f t="shared" si="1"/>
        <v>-7</v>
      </c>
      <c r="F24" s="42">
        <v>10</v>
      </c>
    </row>
    <row r="25" spans="1:6" x14ac:dyDescent="0.2">
      <c r="A25" s="38" t="s">
        <v>31</v>
      </c>
      <c r="B25" s="40">
        <f t="shared" ref="B25:B31" si="2">B7-E7</f>
        <v>1</v>
      </c>
      <c r="C25" s="40"/>
      <c r="D25" s="40"/>
      <c r="E25" s="40">
        <f t="shared" si="1"/>
        <v>-1</v>
      </c>
      <c r="F25" s="41" t="s">
        <v>41</v>
      </c>
    </row>
    <row r="26" spans="1:6" x14ac:dyDescent="0.2">
      <c r="A26" s="38" t="s">
        <v>30</v>
      </c>
      <c r="B26" s="40">
        <f t="shared" si="2"/>
        <v>2</v>
      </c>
      <c r="C26" s="40"/>
      <c r="D26" s="40"/>
      <c r="E26" s="40">
        <f t="shared" si="1"/>
        <v>-2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26</v>
      </c>
      <c r="C28" s="40"/>
      <c r="D28" s="40"/>
      <c r="E28" s="40">
        <f t="shared" si="1"/>
        <v>-26</v>
      </c>
      <c r="F28" s="41" t="s">
        <v>42</v>
      </c>
    </row>
    <row r="29" spans="1:6" x14ac:dyDescent="0.2">
      <c r="A29" s="38" t="s">
        <v>27</v>
      </c>
      <c r="B29" s="40">
        <f t="shared" si="2"/>
        <v>0</v>
      </c>
      <c r="C29" s="40"/>
      <c r="D29" s="40"/>
      <c r="E29" s="40">
        <f t="shared" si="1"/>
        <v>0</v>
      </c>
      <c r="F29" s="41" t="s">
        <v>42</v>
      </c>
    </row>
    <row r="30" spans="1:6" x14ac:dyDescent="0.2">
      <c r="A30" s="38" t="s">
        <v>44</v>
      </c>
      <c r="B30" s="40">
        <f t="shared" si="2"/>
        <v>3</v>
      </c>
      <c r="C30" s="38"/>
      <c r="D30" s="38"/>
      <c r="E30" s="40">
        <f t="shared" si="1"/>
        <v>-3</v>
      </c>
      <c r="F30" s="38"/>
    </row>
    <row r="31" spans="1:6" x14ac:dyDescent="0.2">
      <c r="A31" s="38" t="s">
        <v>26</v>
      </c>
      <c r="B31" s="40">
        <f t="shared" si="2"/>
        <v>15</v>
      </c>
      <c r="C31" s="40"/>
      <c r="D31" s="40"/>
      <c r="E31" s="40">
        <f t="shared" si="1"/>
        <v>-15</v>
      </c>
      <c r="F31" s="41" t="s">
        <v>43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4355-F01A-4506-B731-6A0161C265F9}">
  <dimension ref="A1:L31"/>
  <sheetViews>
    <sheetView workbookViewId="0">
      <selection activeCell="B15" sqref="B15:E16"/>
    </sheetView>
  </sheetViews>
  <sheetFormatPr defaultRowHeight="12.75" x14ac:dyDescent="0.2"/>
  <cols>
    <col min="1" max="1" width="15.42578125" bestFit="1" customWidth="1"/>
  </cols>
  <sheetData>
    <row r="1" spans="1:12" x14ac:dyDescent="0.2">
      <c r="A1" t="s">
        <v>151</v>
      </c>
      <c r="B1">
        <v>82</v>
      </c>
      <c r="C1">
        <v>61</v>
      </c>
      <c r="D1">
        <v>55</v>
      </c>
      <c r="E1">
        <v>59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82</v>
      </c>
      <c r="C3" s="38">
        <f>SUM(C4:C13)</f>
        <v>61</v>
      </c>
      <c r="D3">
        <f>SUM(D4:D13)</f>
        <v>55</v>
      </c>
      <c r="E3">
        <f>SUM(E4:E13)</f>
        <v>59</v>
      </c>
      <c r="F3" s="14" t="s">
        <v>40</v>
      </c>
      <c r="I3">
        <f>SUM(I4:I12)</f>
        <v>82</v>
      </c>
      <c r="J3">
        <f>SUM(J4:J12)</f>
        <v>61</v>
      </c>
      <c r="K3">
        <f>SUM(K4:K12)</f>
        <v>55</v>
      </c>
      <c r="L3">
        <f>SUM(L4:L12)</f>
        <v>59</v>
      </c>
    </row>
    <row r="4" spans="1:12" x14ac:dyDescent="0.2">
      <c r="A4" t="s">
        <v>34</v>
      </c>
      <c r="B4">
        <v>12</v>
      </c>
      <c r="C4">
        <v>9</v>
      </c>
      <c r="D4">
        <v>10</v>
      </c>
      <c r="E4">
        <v>9</v>
      </c>
      <c r="F4" s="13">
        <v>15</v>
      </c>
      <c r="H4" t="s">
        <v>36</v>
      </c>
      <c r="I4">
        <f>B4+B5</f>
        <v>22</v>
      </c>
      <c r="J4">
        <f>C4+C5</f>
        <v>19</v>
      </c>
      <c r="K4">
        <f>D4+D5</f>
        <v>20</v>
      </c>
      <c r="L4">
        <f>E4+E5</f>
        <v>15</v>
      </c>
    </row>
    <row r="5" spans="1:12" x14ac:dyDescent="0.2">
      <c r="A5" t="s">
        <v>33</v>
      </c>
      <c r="B5">
        <v>10</v>
      </c>
      <c r="C5">
        <v>10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7</v>
      </c>
      <c r="J5">
        <f t="shared" si="0"/>
        <v>10</v>
      </c>
      <c r="K5">
        <f t="shared" si="0"/>
        <v>0</v>
      </c>
      <c r="L5">
        <f t="shared" si="0"/>
        <v>4</v>
      </c>
    </row>
    <row r="6" spans="1:12" x14ac:dyDescent="0.2">
      <c r="A6" t="s">
        <v>32</v>
      </c>
      <c r="B6">
        <v>7</v>
      </c>
      <c r="C6">
        <v>10</v>
      </c>
      <c r="D6">
        <v>0</v>
      </c>
      <c r="E6">
        <v>4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1</v>
      </c>
      <c r="L6">
        <f t="shared" si="0"/>
        <v>0</v>
      </c>
    </row>
    <row r="7" spans="1:12" x14ac:dyDescent="0.2">
      <c r="A7" t="s">
        <v>31</v>
      </c>
      <c r="B7">
        <v>1</v>
      </c>
      <c r="C7">
        <v>0</v>
      </c>
      <c r="D7">
        <v>1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2</v>
      </c>
      <c r="K7">
        <f t="shared" si="0"/>
        <v>0</v>
      </c>
      <c r="L7">
        <f t="shared" si="0"/>
        <v>1</v>
      </c>
    </row>
    <row r="8" spans="1:12" x14ac:dyDescent="0.2">
      <c r="A8" t="s">
        <v>30</v>
      </c>
      <c r="B8">
        <v>0</v>
      </c>
      <c r="C8">
        <v>2</v>
      </c>
      <c r="D8">
        <v>0</v>
      </c>
      <c r="E8">
        <v>1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29</v>
      </c>
      <c r="J9">
        <f t="shared" si="0"/>
        <v>26</v>
      </c>
      <c r="K9">
        <f t="shared" si="0"/>
        <v>22</v>
      </c>
      <c r="L9">
        <f t="shared" si="0"/>
        <v>27</v>
      </c>
    </row>
    <row r="10" spans="1:12" x14ac:dyDescent="0.2">
      <c r="A10" t="s">
        <v>28</v>
      </c>
      <c r="B10" s="4">
        <f>4+2+3+6+9+5</f>
        <v>29</v>
      </c>
      <c r="C10" s="4">
        <f>2+6+3+8+7</f>
        <v>26</v>
      </c>
      <c r="D10" s="4">
        <f>1+7+4+6+4</f>
        <v>22</v>
      </c>
      <c r="E10" s="4">
        <f>5+4+5+8+5</f>
        <v>27</v>
      </c>
      <c r="F10" s="14" t="s">
        <v>42</v>
      </c>
      <c r="H10" t="s">
        <v>27</v>
      </c>
      <c r="I10">
        <f t="shared" si="0"/>
        <v>10</v>
      </c>
      <c r="J10">
        <f t="shared" si="0"/>
        <v>4</v>
      </c>
      <c r="K10">
        <f t="shared" si="0"/>
        <v>0</v>
      </c>
      <c r="L10">
        <f t="shared" si="0"/>
        <v>6</v>
      </c>
    </row>
    <row r="11" spans="1:12" x14ac:dyDescent="0.2">
      <c r="A11" t="s">
        <v>27</v>
      </c>
      <c r="B11" s="4">
        <v>10</v>
      </c>
      <c r="C11" s="4">
        <v>4</v>
      </c>
      <c r="D11" s="4">
        <v>0</v>
      </c>
      <c r="E11" s="4">
        <v>6</v>
      </c>
      <c r="F11" s="14" t="s">
        <v>42</v>
      </c>
      <c r="H11" t="s">
        <v>44</v>
      </c>
      <c r="I11">
        <f t="shared" si="0"/>
        <v>6</v>
      </c>
      <c r="J11">
        <f t="shared" si="0"/>
        <v>0</v>
      </c>
      <c r="K11">
        <f t="shared" si="0"/>
        <v>12</v>
      </c>
      <c r="L11">
        <f t="shared" si="0"/>
        <v>6</v>
      </c>
    </row>
    <row r="12" spans="1:12" x14ac:dyDescent="0.2">
      <c r="A12" t="s">
        <v>44</v>
      </c>
      <c r="B12" s="4">
        <v>6</v>
      </c>
      <c r="C12" s="4">
        <v>0</v>
      </c>
      <c r="D12" s="4">
        <v>12</v>
      </c>
      <c r="E12" s="4">
        <v>6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0</v>
      </c>
      <c r="E13" s="4">
        <v>0</v>
      </c>
      <c r="F13" s="14" t="s">
        <v>64</v>
      </c>
    </row>
    <row r="15" spans="1:12" x14ac:dyDescent="0.2">
      <c r="A15" t="s">
        <v>139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21</v>
      </c>
      <c r="C22" s="40"/>
      <c r="D22" s="40"/>
      <c r="E22" s="40">
        <f>SUM(E23:E31)</f>
        <v>-21</v>
      </c>
      <c r="F22" s="41" t="s">
        <v>40</v>
      </c>
    </row>
    <row r="23" spans="1:6" x14ac:dyDescent="0.2">
      <c r="A23" s="38" t="s">
        <v>36</v>
      </c>
      <c r="B23" s="40">
        <f>B4+B5-C4-C5</f>
        <v>3</v>
      </c>
      <c r="C23" s="40"/>
      <c r="D23" s="40"/>
      <c r="E23" s="40">
        <f t="shared" ref="E23:E31" si="1">-B23</f>
        <v>-3</v>
      </c>
      <c r="F23" s="42">
        <v>25</v>
      </c>
    </row>
    <row r="24" spans="1:6" x14ac:dyDescent="0.2">
      <c r="A24" s="38" t="s">
        <v>32</v>
      </c>
      <c r="B24" s="40">
        <f>B6-C6</f>
        <v>-3</v>
      </c>
      <c r="C24" s="40"/>
      <c r="D24" s="40"/>
      <c r="E24" s="40">
        <f t="shared" si="1"/>
        <v>3</v>
      </c>
      <c r="F24" s="42">
        <v>10</v>
      </c>
    </row>
    <row r="25" spans="1:6" x14ac:dyDescent="0.2">
      <c r="A25" s="38" t="s">
        <v>31</v>
      </c>
      <c r="B25" s="40">
        <f t="shared" ref="B25:B31" si="2">B7-C7</f>
        <v>1</v>
      </c>
      <c r="C25" s="40"/>
      <c r="D25" s="40"/>
      <c r="E25" s="40">
        <f t="shared" si="1"/>
        <v>-1</v>
      </c>
      <c r="F25" s="41" t="s">
        <v>41</v>
      </c>
    </row>
    <row r="26" spans="1:6" x14ac:dyDescent="0.2">
      <c r="A26" s="38" t="s">
        <v>30</v>
      </c>
      <c r="B26" s="40">
        <f t="shared" si="2"/>
        <v>-2</v>
      </c>
      <c r="C26" s="40"/>
      <c r="D26" s="40"/>
      <c r="E26" s="40">
        <f t="shared" si="1"/>
        <v>2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3</v>
      </c>
      <c r="C28" s="40"/>
      <c r="D28" s="40"/>
      <c r="E28" s="40">
        <f t="shared" si="1"/>
        <v>-3</v>
      </c>
      <c r="F28" s="41" t="s">
        <v>42</v>
      </c>
    </row>
    <row r="29" spans="1:6" x14ac:dyDescent="0.2">
      <c r="A29" s="38" t="s">
        <v>27</v>
      </c>
      <c r="B29" s="40">
        <f t="shared" si="2"/>
        <v>6</v>
      </c>
      <c r="C29" s="40"/>
      <c r="D29" s="40"/>
      <c r="E29" s="40">
        <f t="shared" si="1"/>
        <v>-6</v>
      </c>
      <c r="F29" s="41" t="s">
        <v>42</v>
      </c>
    </row>
    <row r="30" spans="1:6" x14ac:dyDescent="0.2">
      <c r="A30" s="38" t="s">
        <v>44</v>
      </c>
      <c r="B30" s="40">
        <f t="shared" si="2"/>
        <v>6</v>
      </c>
      <c r="C30" s="38"/>
      <c r="D30" s="38"/>
      <c r="E30" s="40">
        <f t="shared" si="1"/>
        <v>-6</v>
      </c>
      <c r="F30" s="38"/>
    </row>
    <row r="31" spans="1:6" x14ac:dyDescent="0.2">
      <c r="A31" s="38" t="s">
        <v>26</v>
      </c>
      <c r="B31" s="40">
        <f t="shared" si="2"/>
        <v>0</v>
      </c>
      <c r="C31" s="40"/>
      <c r="D31" s="40"/>
      <c r="E31" s="40">
        <f t="shared" si="1"/>
        <v>0</v>
      </c>
      <c r="F31" s="41" t="s">
        <v>43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68D1-16C0-4942-B184-D00BC428C1AA}">
  <dimension ref="A1:L31"/>
  <sheetViews>
    <sheetView workbookViewId="0">
      <selection activeCell="B15" sqref="B15:E16"/>
    </sheetView>
  </sheetViews>
  <sheetFormatPr defaultRowHeight="12.75" x14ac:dyDescent="0.2"/>
  <cols>
    <col min="1" max="1" width="15.42578125" bestFit="1" customWidth="1"/>
  </cols>
  <sheetData>
    <row r="1" spans="1:12" x14ac:dyDescent="0.2">
      <c r="A1" t="s">
        <v>154</v>
      </c>
      <c r="B1">
        <v>79</v>
      </c>
      <c r="C1">
        <v>69</v>
      </c>
      <c r="D1">
        <v>55</v>
      </c>
      <c r="E1">
        <v>49</v>
      </c>
    </row>
    <row r="2" spans="1:12" x14ac:dyDescent="0.2">
      <c r="B2" t="s">
        <v>6</v>
      </c>
      <c r="C2" t="s">
        <v>152</v>
      </c>
      <c r="D2" t="s">
        <v>8</v>
      </c>
      <c r="E2" t="s">
        <v>153</v>
      </c>
      <c r="I2" t="str">
        <f>B2</f>
        <v>Mateusz</v>
      </c>
      <c r="J2" t="str">
        <f>C2</f>
        <v>Maciek T.</v>
      </c>
      <c r="K2" t="str">
        <f>D2</f>
        <v>Justyna</v>
      </c>
      <c r="L2" t="str">
        <f>E2</f>
        <v>Ela</v>
      </c>
    </row>
    <row r="3" spans="1:12" x14ac:dyDescent="0.2">
      <c r="A3" t="s">
        <v>37</v>
      </c>
      <c r="B3" s="38">
        <f>SUM(B4:B13)</f>
        <v>79</v>
      </c>
      <c r="C3" s="38">
        <f>SUM(C4:C13)</f>
        <v>69</v>
      </c>
      <c r="D3">
        <f>SUM(D4:D13)</f>
        <v>55</v>
      </c>
      <c r="E3">
        <f>SUM(E4:E13)</f>
        <v>49</v>
      </c>
      <c r="F3" s="14" t="s">
        <v>40</v>
      </c>
      <c r="I3">
        <f>SUM(I4:I12)</f>
        <v>79</v>
      </c>
      <c r="J3">
        <f>SUM(J4:J12)</f>
        <v>69</v>
      </c>
      <c r="K3">
        <f>SUM(K4:K12)</f>
        <v>55</v>
      </c>
      <c r="L3">
        <f>SUM(L4:L12)</f>
        <v>49</v>
      </c>
    </row>
    <row r="4" spans="1:12" x14ac:dyDescent="0.2">
      <c r="A4" t="s">
        <v>34</v>
      </c>
      <c r="B4">
        <v>12</v>
      </c>
      <c r="C4">
        <v>8</v>
      </c>
      <c r="D4">
        <v>8</v>
      </c>
      <c r="E4">
        <v>11</v>
      </c>
      <c r="F4" s="13">
        <v>15</v>
      </c>
      <c r="H4" t="s">
        <v>36</v>
      </c>
      <c r="I4">
        <f>B4+B5</f>
        <v>22</v>
      </c>
      <c r="J4">
        <f>C4+C5</f>
        <v>18</v>
      </c>
      <c r="K4">
        <f>D4+D5</f>
        <v>18</v>
      </c>
      <c r="L4">
        <f>E4+E5</f>
        <v>17</v>
      </c>
    </row>
    <row r="5" spans="1:12" x14ac:dyDescent="0.2">
      <c r="A5" t="s">
        <v>33</v>
      </c>
      <c r="B5">
        <v>10</v>
      </c>
      <c r="C5">
        <v>10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4</v>
      </c>
      <c r="K5">
        <f t="shared" si="0"/>
        <v>1</v>
      </c>
      <c r="L5">
        <f t="shared" si="0"/>
        <v>7</v>
      </c>
    </row>
    <row r="6" spans="1:12" x14ac:dyDescent="0.2">
      <c r="A6" t="s">
        <v>32</v>
      </c>
      <c r="B6">
        <v>10</v>
      </c>
      <c r="C6">
        <v>4</v>
      </c>
      <c r="D6">
        <v>1</v>
      </c>
      <c r="E6">
        <v>7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1</v>
      </c>
      <c r="L6">
        <f t="shared" si="0"/>
        <v>0</v>
      </c>
    </row>
    <row r="7" spans="1:12" x14ac:dyDescent="0.2">
      <c r="A7" t="s">
        <v>31</v>
      </c>
      <c r="B7">
        <v>1</v>
      </c>
      <c r="C7">
        <v>0</v>
      </c>
      <c r="D7">
        <v>1</v>
      </c>
      <c r="E7">
        <v>0</v>
      </c>
      <c r="F7" s="14" t="s">
        <v>41</v>
      </c>
      <c r="H7" t="s">
        <v>30</v>
      </c>
      <c r="I7">
        <f t="shared" si="0"/>
        <v>2</v>
      </c>
      <c r="J7">
        <f t="shared" si="0"/>
        <v>1</v>
      </c>
      <c r="K7">
        <f t="shared" si="0"/>
        <v>0</v>
      </c>
      <c r="L7">
        <f t="shared" si="0"/>
        <v>3</v>
      </c>
    </row>
    <row r="8" spans="1:12" x14ac:dyDescent="0.2">
      <c r="A8" t="s">
        <v>30</v>
      </c>
      <c r="B8">
        <v>2</v>
      </c>
      <c r="C8">
        <v>1</v>
      </c>
      <c r="D8">
        <v>0</v>
      </c>
      <c r="E8">
        <v>3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34</v>
      </c>
      <c r="J9">
        <f t="shared" si="0"/>
        <v>25</v>
      </c>
      <c r="K9">
        <f t="shared" si="0"/>
        <v>35</v>
      </c>
      <c r="L9">
        <f t="shared" si="0"/>
        <v>22</v>
      </c>
    </row>
    <row r="10" spans="1:12" x14ac:dyDescent="0.2">
      <c r="A10" t="s">
        <v>28</v>
      </c>
      <c r="B10" s="4">
        <f>2+3+6+9+2+6+6</f>
        <v>34</v>
      </c>
      <c r="C10" s="4">
        <f>1+5+9+5+5</f>
        <v>25</v>
      </c>
      <c r="D10" s="4">
        <f>7+4+5+7+8+4</f>
        <v>35</v>
      </c>
      <c r="E10" s="4">
        <f>4+6+5+7</f>
        <v>22</v>
      </c>
      <c r="F10" s="14" t="s">
        <v>42</v>
      </c>
      <c r="H10" t="s">
        <v>27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0</v>
      </c>
      <c r="D11" s="4">
        <v>0</v>
      </c>
      <c r="E11" s="4">
        <v>0</v>
      </c>
      <c r="F11" s="14" t="s">
        <v>42</v>
      </c>
      <c r="H11" t="s">
        <v>44</v>
      </c>
      <c r="I11">
        <f t="shared" si="0"/>
        <v>3</v>
      </c>
      <c r="J11">
        <f t="shared" si="0"/>
        <v>6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3</v>
      </c>
      <c r="C12" s="4">
        <v>6</v>
      </c>
      <c r="D12" s="4">
        <v>0</v>
      </c>
      <c r="E12" s="4">
        <v>0</v>
      </c>
      <c r="F12" s="14" t="s">
        <v>46</v>
      </c>
      <c r="H12" t="s">
        <v>26</v>
      </c>
      <c r="I12">
        <f t="shared" si="0"/>
        <v>0</v>
      </c>
      <c r="J12">
        <f t="shared" si="0"/>
        <v>15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15</v>
      </c>
      <c r="D13" s="4">
        <v>0</v>
      </c>
      <c r="E13" s="4">
        <v>0</v>
      </c>
      <c r="F13" s="14" t="s">
        <v>64</v>
      </c>
    </row>
    <row r="15" spans="1:12" x14ac:dyDescent="0.2">
      <c r="A15" t="s">
        <v>139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10</v>
      </c>
      <c r="C22" s="40"/>
      <c r="D22" s="40"/>
      <c r="E22" s="40">
        <f>SUM(E23:E31)</f>
        <v>-10</v>
      </c>
      <c r="F22" s="41" t="s">
        <v>40</v>
      </c>
    </row>
    <row r="23" spans="1:6" x14ac:dyDescent="0.2">
      <c r="A23" s="38" t="s">
        <v>36</v>
      </c>
      <c r="B23" s="40">
        <f>B4+B5-C4-C5</f>
        <v>4</v>
      </c>
      <c r="C23" s="40"/>
      <c r="D23" s="40"/>
      <c r="E23" s="40">
        <f t="shared" ref="E23:E31" si="1">-B23</f>
        <v>-4</v>
      </c>
      <c r="F23" s="42">
        <v>25</v>
      </c>
    </row>
    <row r="24" spans="1:6" x14ac:dyDescent="0.2">
      <c r="A24" s="38" t="s">
        <v>32</v>
      </c>
      <c r="B24" s="40">
        <f>B6-C6</f>
        <v>6</v>
      </c>
      <c r="C24" s="40"/>
      <c r="D24" s="40"/>
      <c r="E24" s="40">
        <f t="shared" si="1"/>
        <v>-6</v>
      </c>
      <c r="F24" s="42">
        <v>10</v>
      </c>
    </row>
    <row r="25" spans="1:6" x14ac:dyDescent="0.2">
      <c r="A25" s="38" t="s">
        <v>31</v>
      </c>
      <c r="B25" s="40">
        <f t="shared" ref="B25:B31" si="2">B7-C7</f>
        <v>1</v>
      </c>
      <c r="C25" s="40"/>
      <c r="D25" s="40"/>
      <c r="E25" s="40">
        <f t="shared" si="1"/>
        <v>-1</v>
      </c>
      <c r="F25" s="41" t="s">
        <v>41</v>
      </c>
    </row>
    <row r="26" spans="1:6" x14ac:dyDescent="0.2">
      <c r="A26" s="38" t="s">
        <v>30</v>
      </c>
      <c r="B26" s="40">
        <f t="shared" si="2"/>
        <v>1</v>
      </c>
      <c r="C26" s="40"/>
      <c r="D26" s="40"/>
      <c r="E26" s="40">
        <f t="shared" si="1"/>
        <v>-1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9</v>
      </c>
      <c r="C28" s="40"/>
      <c r="D28" s="40"/>
      <c r="E28" s="40">
        <f t="shared" si="1"/>
        <v>-9</v>
      </c>
      <c r="F28" s="41" t="s">
        <v>42</v>
      </c>
    </row>
    <row r="29" spans="1:6" x14ac:dyDescent="0.2">
      <c r="A29" s="38" t="s">
        <v>27</v>
      </c>
      <c r="B29" s="40">
        <f t="shared" si="2"/>
        <v>0</v>
      </c>
      <c r="C29" s="40"/>
      <c r="D29" s="40"/>
      <c r="E29" s="40">
        <f t="shared" si="1"/>
        <v>0</v>
      </c>
      <c r="F29" s="41" t="s">
        <v>42</v>
      </c>
    </row>
    <row r="30" spans="1:6" x14ac:dyDescent="0.2">
      <c r="A30" s="38" t="s">
        <v>44</v>
      </c>
      <c r="B30" s="40">
        <f t="shared" si="2"/>
        <v>-3</v>
      </c>
      <c r="C30" s="38"/>
      <c r="D30" s="38"/>
      <c r="E30" s="40">
        <f t="shared" si="1"/>
        <v>3</v>
      </c>
      <c r="F30" s="38"/>
    </row>
    <row r="31" spans="1:6" x14ac:dyDescent="0.2">
      <c r="A31" s="38" t="s">
        <v>26</v>
      </c>
      <c r="B31" s="40">
        <f t="shared" si="2"/>
        <v>-15</v>
      </c>
      <c r="C31" s="40"/>
      <c r="D31" s="40"/>
      <c r="E31" s="40">
        <f t="shared" si="1"/>
        <v>15</v>
      </c>
      <c r="F31" s="41" t="s">
        <v>43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634A9-EA03-4F2E-9C6D-B24F43F12616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154</v>
      </c>
      <c r="B1">
        <v>90</v>
      </c>
      <c r="C1">
        <v>69</v>
      </c>
      <c r="D1">
        <v>80</v>
      </c>
      <c r="E1">
        <v>69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90</v>
      </c>
      <c r="C3" s="38">
        <f>SUM(C4:C13)</f>
        <v>69</v>
      </c>
      <c r="D3">
        <f>SUM(D4:D13)</f>
        <v>80</v>
      </c>
      <c r="E3">
        <f>SUM(E4:E13)</f>
        <v>69</v>
      </c>
      <c r="F3" s="14" t="s">
        <v>40</v>
      </c>
      <c r="I3">
        <f>SUM(I4:I12)</f>
        <v>90</v>
      </c>
      <c r="J3">
        <f>SUM(J4:J12)</f>
        <v>69</v>
      </c>
      <c r="K3">
        <f>SUM(K4:K12)</f>
        <v>80</v>
      </c>
      <c r="L3">
        <f>SUM(L4:L12)</f>
        <v>69</v>
      </c>
    </row>
    <row r="4" spans="1:12" x14ac:dyDescent="0.2">
      <c r="A4" t="s">
        <v>34</v>
      </c>
      <c r="B4">
        <v>13</v>
      </c>
      <c r="C4">
        <v>9</v>
      </c>
      <c r="D4">
        <v>11</v>
      </c>
      <c r="E4">
        <v>7</v>
      </c>
      <c r="F4" s="13">
        <v>15</v>
      </c>
      <c r="H4" t="s">
        <v>36</v>
      </c>
      <c r="I4">
        <f>B4+B5</f>
        <v>23</v>
      </c>
      <c r="J4">
        <f>C4+C5</f>
        <v>15</v>
      </c>
      <c r="K4">
        <f>D4+D5</f>
        <v>21</v>
      </c>
      <c r="L4">
        <f>E4+E5</f>
        <v>13</v>
      </c>
    </row>
    <row r="5" spans="1:12" x14ac:dyDescent="0.2">
      <c r="A5" t="s">
        <v>33</v>
      </c>
      <c r="B5">
        <v>10</v>
      </c>
      <c r="C5">
        <v>6</v>
      </c>
      <c r="D5">
        <v>10</v>
      </c>
      <c r="E5">
        <v>6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4</v>
      </c>
      <c r="L5">
        <f t="shared" si="0"/>
        <v>0</v>
      </c>
    </row>
    <row r="6" spans="1:12" x14ac:dyDescent="0.2">
      <c r="A6" t="s">
        <v>32</v>
      </c>
      <c r="B6">
        <v>10</v>
      </c>
      <c r="C6">
        <v>7</v>
      </c>
      <c r="D6">
        <v>4</v>
      </c>
      <c r="E6">
        <v>0</v>
      </c>
      <c r="F6" s="13">
        <v>10</v>
      </c>
      <c r="H6" t="s">
        <v>31</v>
      </c>
      <c r="I6">
        <f t="shared" si="0"/>
        <v>0</v>
      </c>
      <c r="J6">
        <f t="shared" si="0"/>
        <v>4</v>
      </c>
      <c r="K6">
        <f t="shared" si="0"/>
        <v>1</v>
      </c>
      <c r="L6">
        <f t="shared" si="0"/>
        <v>1</v>
      </c>
    </row>
    <row r="7" spans="1:12" x14ac:dyDescent="0.2">
      <c r="A7" t="s">
        <v>31</v>
      </c>
      <c r="B7">
        <v>0</v>
      </c>
      <c r="C7">
        <v>4</v>
      </c>
      <c r="D7">
        <v>1</v>
      </c>
      <c r="E7">
        <v>1</v>
      </c>
      <c r="F7" s="14" t="s">
        <v>41</v>
      </c>
      <c r="H7" t="s">
        <v>30</v>
      </c>
      <c r="I7">
        <f t="shared" si="0"/>
        <v>2</v>
      </c>
      <c r="J7">
        <f t="shared" si="0"/>
        <v>1</v>
      </c>
      <c r="K7">
        <f t="shared" si="0"/>
        <v>3</v>
      </c>
      <c r="L7">
        <f t="shared" si="0"/>
        <v>0</v>
      </c>
    </row>
    <row r="8" spans="1:12" x14ac:dyDescent="0.2">
      <c r="A8" t="s">
        <v>30</v>
      </c>
      <c r="B8">
        <v>2</v>
      </c>
      <c r="C8">
        <v>1</v>
      </c>
      <c r="D8">
        <v>3</v>
      </c>
      <c r="E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7</v>
      </c>
      <c r="L8" s="10">
        <f t="shared" si="0"/>
        <v>7</v>
      </c>
    </row>
    <row r="9" spans="1:12" x14ac:dyDescent="0.2">
      <c r="A9" s="10" t="s">
        <v>29</v>
      </c>
      <c r="B9" s="10">
        <v>7</v>
      </c>
      <c r="C9" s="10">
        <v>0</v>
      </c>
      <c r="D9" s="10">
        <v>7</v>
      </c>
      <c r="E9" s="10">
        <v>7</v>
      </c>
      <c r="F9" s="13">
        <v>7</v>
      </c>
      <c r="H9" t="s">
        <v>28</v>
      </c>
      <c r="I9">
        <f t="shared" si="0"/>
        <v>33</v>
      </c>
      <c r="J9">
        <f t="shared" si="0"/>
        <v>3</v>
      </c>
      <c r="K9">
        <f t="shared" si="0"/>
        <v>40</v>
      </c>
      <c r="L9">
        <f t="shared" si="0"/>
        <v>36</v>
      </c>
    </row>
    <row r="10" spans="1:12" x14ac:dyDescent="0.2">
      <c r="A10" t="s">
        <v>28</v>
      </c>
      <c r="B10" s="4">
        <v>33</v>
      </c>
      <c r="C10" s="4">
        <v>3</v>
      </c>
      <c r="D10" s="4">
        <v>40</v>
      </c>
      <c r="E10" s="4">
        <v>36</v>
      </c>
      <c r="F10" s="14" t="s">
        <v>42</v>
      </c>
      <c r="H10" t="s">
        <v>27</v>
      </c>
      <c r="I10">
        <f t="shared" si="0"/>
        <v>0</v>
      </c>
      <c r="J10">
        <f t="shared" si="0"/>
        <v>12</v>
      </c>
      <c r="K10">
        <f t="shared" si="0"/>
        <v>4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12</v>
      </c>
      <c r="D11" s="4">
        <v>4</v>
      </c>
      <c r="E11" s="4">
        <v>0</v>
      </c>
      <c r="F11" s="14" t="s">
        <v>42</v>
      </c>
      <c r="H11" t="s">
        <v>44</v>
      </c>
      <c r="I11">
        <f t="shared" si="0"/>
        <v>15</v>
      </c>
      <c r="J11">
        <f t="shared" si="0"/>
        <v>12</v>
      </c>
      <c r="K11">
        <f t="shared" si="0"/>
        <v>0</v>
      </c>
      <c r="L11">
        <f t="shared" si="0"/>
        <v>12</v>
      </c>
    </row>
    <row r="12" spans="1:12" x14ac:dyDescent="0.2">
      <c r="A12" t="s">
        <v>44</v>
      </c>
      <c r="B12" s="4">
        <v>15</v>
      </c>
      <c r="C12" s="4">
        <v>12</v>
      </c>
      <c r="D12" s="4">
        <v>0</v>
      </c>
      <c r="E12" s="4">
        <v>12</v>
      </c>
      <c r="F12" s="14" t="s">
        <v>46</v>
      </c>
      <c r="H12" t="s">
        <v>26</v>
      </c>
      <c r="I12">
        <f t="shared" si="0"/>
        <v>0</v>
      </c>
      <c r="J12">
        <f t="shared" si="0"/>
        <v>15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15</v>
      </c>
      <c r="D13" s="4">
        <v>0</v>
      </c>
      <c r="E13" s="4">
        <v>0</v>
      </c>
      <c r="F13" s="14" t="s">
        <v>64</v>
      </c>
    </row>
    <row r="14" spans="1:12" x14ac:dyDescent="0.2">
      <c r="C14" t="s">
        <v>155</v>
      </c>
      <c r="E14" t="s">
        <v>155</v>
      </c>
    </row>
    <row r="15" spans="1:12" x14ac:dyDescent="0.2">
      <c r="A15" t="s">
        <v>139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/>
      <c r="F21" s="38"/>
    </row>
    <row r="22" spans="1:6" x14ac:dyDescent="0.2">
      <c r="A22" s="38" t="s">
        <v>38</v>
      </c>
      <c r="B22" s="40">
        <f>SUM(B23:B31)</f>
        <v>21</v>
      </c>
      <c r="C22" s="40"/>
      <c r="D22" s="40"/>
      <c r="E22" s="40">
        <f>SUM(E23:E31)</f>
        <v>-21</v>
      </c>
      <c r="F22" s="41" t="s">
        <v>40</v>
      </c>
    </row>
    <row r="23" spans="1:6" x14ac:dyDescent="0.2">
      <c r="A23" s="38" t="s">
        <v>36</v>
      </c>
      <c r="B23" s="40">
        <f>B4+B5-C4-C5</f>
        <v>8</v>
      </c>
      <c r="C23" s="40"/>
      <c r="D23" s="40"/>
      <c r="E23" s="40">
        <f t="shared" ref="E23:E31" si="1">-B23</f>
        <v>-8</v>
      </c>
      <c r="F23" s="42">
        <v>25</v>
      </c>
    </row>
    <row r="24" spans="1:6" x14ac:dyDescent="0.2">
      <c r="A24" s="38" t="s">
        <v>32</v>
      </c>
      <c r="B24" s="40">
        <f>B6-C6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ref="B25:B31" si="2">B7-C7</f>
        <v>-4</v>
      </c>
      <c r="C25" s="40"/>
      <c r="D25" s="40"/>
      <c r="E25" s="40">
        <f t="shared" si="1"/>
        <v>4</v>
      </c>
      <c r="F25" s="41" t="s">
        <v>41</v>
      </c>
    </row>
    <row r="26" spans="1:6" x14ac:dyDescent="0.2">
      <c r="A26" s="38" t="s">
        <v>30</v>
      </c>
      <c r="B26" s="40">
        <f t="shared" si="2"/>
        <v>1</v>
      </c>
      <c r="C26" s="40"/>
      <c r="D26" s="40"/>
      <c r="E26" s="40">
        <f t="shared" si="1"/>
        <v>-1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30</v>
      </c>
      <c r="C28" s="40"/>
      <c r="D28" s="40"/>
      <c r="E28" s="40">
        <f t="shared" si="1"/>
        <v>-30</v>
      </c>
      <c r="F28" s="41" t="s">
        <v>42</v>
      </c>
    </row>
    <row r="29" spans="1:6" x14ac:dyDescent="0.2">
      <c r="A29" s="38" t="s">
        <v>27</v>
      </c>
      <c r="B29" s="40">
        <f t="shared" si="2"/>
        <v>-12</v>
      </c>
      <c r="C29" s="40"/>
      <c r="D29" s="40"/>
      <c r="E29" s="40">
        <f t="shared" si="1"/>
        <v>12</v>
      </c>
      <c r="F29" s="41" t="s">
        <v>42</v>
      </c>
    </row>
    <row r="30" spans="1:6" x14ac:dyDescent="0.2">
      <c r="A30" s="38" t="s">
        <v>44</v>
      </c>
      <c r="B30" s="40">
        <f t="shared" si="2"/>
        <v>3</v>
      </c>
      <c r="C30" s="38"/>
      <c r="D30" s="38"/>
      <c r="E30" s="40">
        <f t="shared" si="1"/>
        <v>-3</v>
      </c>
      <c r="F30" s="38"/>
    </row>
    <row r="31" spans="1:6" x14ac:dyDescent="0.2">
      <c r="A31" s="38" t="s">
        <v>26</v>
      </c>
      <c r="B31" s="40">
        <f t="shared" si="2"/>
        <v>-15</v>
      </c>
      <c r="C31" s="40"/>
      <c r="D31" s="40"/>
      <c r="E31" s="40">
        <f t="shared" si="1"/>
        <v>15</v>
      </c>
      <c r="F31" s="41" t="s">
        <v>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9"/>
  <sheetViews>
    <sheetView workbookViewId="0"/>
  </sheetViews>
  <sheetFormatPr defaultRowHeight="12.75" x14ac:dyDescent="0.2"/>
  <cols>
    <col min="1" max="1" width="15.42578125" bestFit="1" customWidth="1"/>
  </cols>
  <sheetData>
    <row r="1" spans="1:8" x14ac:dyDescent="0.2">
      <c r="A1" t="s">
        <v>39</v>
      </c>
    </row>
    <row r="2" spans="1:8" x14ac:dyDescent="0.2">
      <c r="B2" t="s">
        <v>6</v>
      </c>
      <c r="C2" t="s">
        <v>8</v>
      </c>
      <c r="G2" t="s">
        <v>6</v>
      </c>
      <c r="H2" t="s">
        <v>8</v>
      </c>
    </row>
    <row r="3" spans="1:8" x14ac:dyDescent="0.2">
      <c r="A3" t="s">
        <v>37</v>
      </c>
      <c r="B3">
        <f>SUM(B4:B12)</f>
        <v>72</v>
      </c>
      <c r="C3">
        <f>SUM(C4:C12)</f>
        <v>51</v>
      </c>
      <c r="D3" s="14" t="s">
        <v>40</v>
      </c>
      <c r="G3">
        <f>SUM(G4:G11)</f>
        <v>72</v>
      </c>
      <c r="H3">
        <f>SUM(H4:H11)</f>
        <v>51</v>
      </c>
    </row>
    <row r="4" spans="1:8" x14ac:dyDescent="0.2">
      <c r="A4" t="s">
        <v>34</v>
      </c>
      <c r="B4">
        <v>6</v>
      </c>
      <c r="C4">
        <v>4</v>
      </c>
      <c r="D4" s="13">
        <v>15</v>
      </c>
      <c r="F4" t="s">
        <v>36</v>
      </c>
      <c r="G4">
        <f>B4+B5</f>
        <v>9</v>
      </c>
      <c r="H4">
        <f>C4+C5</f>
        <v>10</v>
      </c>
    </row>
    <row r="5" spans="1:8" x14ac:dyDescent="0.2">
      <c r="A5" t="s">
        <v>33</v>
      </c>
      <c r="B5">
        <v>3</v>
      </c>
      <c r="C5">
        <v>6</v>
      </c>
      <c r="D5" s="13">
        <v>10</v>
      </c>
      <c r="F5" t="s">
        <v>32</v>
      </c>
      <c r="G5">
        <f t="shared" ref="G5:H11" si="0">B6</f>
        <v>7</v>
      </c>
      <c r="H5">
        <f t="shared" si="0"/>
        <v>10</v>
      </c>
    </row>
    <row r="6" spans="1:8" x14ac:dyDescent="0.2">
      <c r="A6" t="s">
        <v>32</v>
      </c>
      <c r="B6">
        <v>7</v>
      </c>
      <c r="C6">
        <v>10</v>
      </c>
      <c r="D6" s="13">
        <v>10</v>
      </c>
      <c r="F6" t="s">
        <v>31</v>
      </c>
      <c r="G6">
        <f t="shared" si="0"/>
        <v>1</v>
      </c>
      <c r="H6">
        <f t="shared" si="0"/>
        <v>1</v>
      </c>
    </row>
    <row r="7" spans="1:8" x14ac:dyDescent="0.2">
      <c r="A7" t="s">
        <v>31</v>
      </c>
      <c r="B7">
        <v>1</v>
      </c>
      <c r="C7">
        <v>1</v>
      </c>
      <c r="D7" s="14" t="s">
        <v>41</v>
      </c>
      <c r="F7" t="s">
        <v>30</v>
      </c>
      <c r="G7">
        <f t="shared" si="0"/>
        <v>0</v>
      </c>
      <c r="H7">
        <f t="shared" si="0"/>
        <v>1</v>
      </c>
    </row>
    <row r="8" spans="1:8" x14ac:dyDescent="0.2">
      <c r="A8" t="s">
        <v>30</v>
      </c>
      <c r="B8">
        <v>0</v>
      </c>
      <c r="C8">
        <v>1</v>
      </c>
      <c r="D8" s="14" t="s">
        <v>41</v>
      </c>
      <c r="F8" s="10" t="s">
        <v>29</v>
      </c>
      <c r="G8" s="10">
        <f t="shared" si="0"/>
        <v>7</v>
      </c>
      <c r="H8" s="10">
        <f t="shared" si="0"/>
        <v>0</v>
      </c>
    </row>
    <row r="9" spans="1:8" x14ac:dyDescent="0.2">
      <c r="A9" s="10" t="s">
        <v>29</v>
      </c>
      <c r="B9" s="10">
        <v>7</v>
      </c>
      <c r="C9" s="10">
        <v>0</v>
      </c>
      <c r="D9" s="13">
        <v>7</v>
      </c>
      <c r="F9" t="s">
        <v>28</v>
      </c>
      <c r="G9">
        <f t="shared" si="0"/>
        <v>44</v>
      </c>
      <c r="H9">
        <f t="shared" si="0"/>
        <v>19</v>
      </c>
    </row>
    <row r="10" spans="1:8" x14ac:dyDescent="0.2">
      <c r="A10" t="s">
        <v>28</v>
      </c>
      <c r="B10">
        <v>44</v>
      </c>
      <c r="C10">
        <v>19</v>
      </c>
      <c r="D10" s="14" t="s">
        <v>42</v>
      </c>
      <c r="F10" t="s">
        <v>27</v>
      </c>
      <c r="G10">
        <f t="shared" si="0"/>
        <v>4</v>
      </c>
      <c r="H10">
        <f t="shared" si="0"/>
        <v>10</v>
      </c>
    </row>
    <row r="11" spans="1:8" x14ac:dyDescent="0.2">
      <c r="A11" t="s">
        <v>27</v>
      </c>
      <c r="B11">
        <v>4</v>
      </c>
      <c r="C11">
        <v>10</v>
      </c>
      <c r="D11" s="14" t="s">
        <v>42</v>
      </c>
      <c r="F11" t="s">
        <v>26</v>
      </c>
      <c r="G11">
        <f t="shared" si="0"/>
        <v>0</v>
      </c>
      <c r="H11">
        <f t="shared" si="0"/>
        <v>0</v>
      </c>
    </row>
    <row r="12" spans="1:8" x14ac:dyDescent="0.2">
      <c r="A12" t="s">
        <v>26</v>
      </c>
      <c r="B12">
        <v>0</v>
      </c>
      <c r="C12">
        <v>0</v>
      </c>
      <c r="D12" s="14" t="s">
        <v>43</v>
      </c>
    </row>
    <row r="20" spans="1:4" x14ac:dyDescent="0.2">
      <c r="B20" t="s">
        <v>6</v>
      </c>
      <c r="C20" t="s">
        <v>8</v>
      </c>
    </row>
    <row r="21" spans="1:4" x14ac:dyDescent="0.2">
      <c r="A21" t="s">
        <v>38</v>
      </c>
      <c r="B21" s="11">
        <f>SUM(B22:B29)</f>
        <v>21</v>
      </c>
      <c r="C21" s="11">
        <f>SUM(C22:C29)</f>
        <v>-21</v>
      </c>
      <c r="D21" s="14" t="s">
        <v>40</v>
      </c>
    </row>
    <row r="22" spans="1:4" x14ac:dyDescent="0.2">
      <c r="A22" t="s">
        <v>36</v>
      </c>
      <c r="B22" s="11">
        <f>B4+B5-C4-C5</f>
        <v>-1</v>
      </c>
      <c r="C22" s="11">
        <f t="shared" ref="C22:C29" si="1">-B22</f>
        <v>1</v>
      </c>
      <c r="D22" s="13">
        <v>25</v>
      </c>
    </row>
    <row r="23" spans="1:4" x14ac:dyDescent="0.2">
      <c r="A23" t="s">
        <v>32</v>
      </c>
      <c r="B23" s="11">
        <f t="shared" ref="B23:B29" si="2">B6-C6</f>
        <v>-3</v>
      </c>
      <c r="C23" s="11">
        <f t="shared" si="1"/>
        <v>3</v>
      </c>
      <c r="D23" s="13">
        <v>10</v>
      </c>
    </row>
    <row r="24" spans="1:4" x14ac:dyDescent="0.2">
      <c r="A24" t="s">
        <v>31</v>
      </c>
      <c r="B24" s="11">
        <f t="shared" si="2"/>
        <v>0</v>
      </c>
      <c r="C24" s="11">
        <f t="shared" si="1"/>
        <v>0</v>
      </c>
      <c r="D24" s="14" t="s">
        <v>41</v>
      </c>
    </row>
    <row r="25" spans="1:4" x14ac:dyDescent="0.2">
      <c r="A25" t="s">
        <v>30</v>
      </c>
      <c r="B25" s="11">
        <f t="shared" si="2"/>
        <v>-1</v>
      </c>
      <c r="C25" s="11">
        <f t="shared" si="1"/>
        <v>1</v>
      </c>
      <c r="D25" s="14" t="s">
        <v>41</v>
      </c>
    </row>
    <row r="26" spans="1:4" x14ac:dyDescent="0.2">
      <c r="A26" s="10" t="s">
        <v>29</v>
      </c>
      <c r="B26" s="12">
        <f t="shared" si="2"/>
        <v>7</v>
      </c>
      <c r="C26" s="12">
        <f t="shared" si="1"/>
        <v>-7</v>
      </c>
      <c r="D26" s="13">
        <v>7</v>
      </c>
    </row>
    <row r="27" spans="1:4" x14ac:dyDescent="0.2">
      <c r="A27" t="s">
        <v>28</v>
      </c>
      <c r="B27" s="11">
        <f t="shared" si="2"/>
        <v>25</v>
      </c>
      <c r="C27" s="11">
        <f t="shared" si="1"/>
        <v>-25</v>
      </c>
      <c r="D27" s="14" t="s">
        <v>42</v>
      </c>
    </row>
    <row r="28" spans="1:4" x14ac:dyDescent="0.2">
      <c r="A28" t="s">
        <v>27</v>
      </c>
      <c r="B28" s="11">
        <f t="shared" si="2"/>
        <v>-6</v>
      </c>
      <c r="C28" s="11">
        <f t="shared" si="1"/>
        <v>6</v>
      </c>
      <c r="D28" s="14" t="s">
        <v>42</v>
      </c>
    </row>
    <row r="29" spans="1:4" x14ac:dyDescent="0.2">
      <c r="A29" t="s">
        <v>26</v>
      </c>
      <c r="B29" s="11">
        <f t="shared" si="2"/>
        <v>0</v>
      </c>
      <c r="C29" s="11">
        <f t="shared" si="1"/>
        <v>0</v>
      </c>
      <c r="D29" s="14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45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">
        <v>6</v>
      </c>
      <c r="J2" t="s">
        <v>7</v>
      </c>
      <c r="K2" t="s">
        <v>8</v>
      </c>
      <c r="L2" t="s">
        <v>9</v>
      </c>
    </row>
    <row r="3" spans="1:12" x14ac:dyDescent="0.2">
      <c r="A3" t="s">
        <v>37</v>
      </c>
      <c r="B3">
        <f>SUM(B4:B13)</f>
        <v>74</v>
      </c>
      <c r="C3">
        <f>SUM(C4:C13)</f>
        <v>69</v>
      </c>
      <c r="D3">
        <f>SUM(D4:D13)</f>
        <v>55</v>
      </c>
      <c r="E3">
        <f>SUM(E4:E13)</f>
        <v>50</v>
      </c>
      <c r="F3" s="14" t="s">
        <v>40</v>
      </c>
      <c r="I3">
        <f>SUM(I4:I12)</f>
        <v>74</v>
      </c>
      <c r="J3">
        <f>SUM(J4:J12)</f>
        <v>69</v>
      </c>
      <c r="K3">
        <f>SUM(K4:K12)</f>
        <v>55</v>
      </c>
      <c r="L3">
        <f>SUM(L4:L12)</f>
        <v>50</v>
      </c>
    </row>
    <row r="4" spans="1:12" x14ac:dyDescent="0.2">
      <c r="A4" t="s">
        <v>34</v>
      </c>
      <c r="B4">
        <v>5</v>
      </c>
      <c r="C4">
        <v>4</v>
      </c>
      <c r="D4">
        <v>14</v>
      </c>
      <c r="E4">
        <v>8</v>
      </c>
      <c r="F4" s="13">
        <v>15</v>
      </c>
      <c r="H4" t="s">
        <v>36</v>
      </c>
      <c r="I4">
        <f>B4+B5</f>
        <v>8</v>
      </c>
      <c r="J4">
        <f>C4+C5</f>
        <v>10</v>
      </c>
      <c r="K4">
        <f>D4+D5</f>
        <v>24</v>
      </c>
      <c r="L4">
        <f>E4+E5</f>
        <v>18</v>
      </c>
    </row>
    <row r="5" spans="1:12" x14ac:dyDescent="0.2">
      <c r="A5" t="s">
        <v>33</v>
      </c>
      <c r="B5">
        <v>3</v>
      </c>
      <c r="C5">
        <v>6</v>
      </c>
      <c r="D5">
        <v>10</v>
      </c>
      <c r="E5">
        <v>10</v>
      </c>
      <c r="F5" s="13">
        <v>10</v>
      </c>
      <c r="H5" t="s">
        <v>32</v>
      </c>
      <c r="I5">
        <f t="shared" ref="I5:I11" si="0">B6</f>
        <v>10</v>
      </c>
      <c r="J5">
        <f t="shared" ref="J5:J12" si="1">C6</f>
        <v>7</v>
      </c>
      <c r="K5">
        <f t="shared" ref="K5:K12" si="2">D6</f>
        <v>4</v>
      </c>
      <c r="L5">
        <f t="shared" ref="L5:L12" si="3">E6</f>
        <v>0</v>
      </c>
    </row>
    <row r="6" spans="1:12" x14ac:dyDescent="0.2">
      <c r="A6" t="s">
        <v>32</v>
      </c>
      <c r="B6">
        <v>10</v>
      </c>
      <c r="C6">
        <v>7</v>
      </c>
      <c r="D6">
        <v>4</v>
      </c>
      <c r="E6">
        <v>0</v>
      </c>
      <c r="F6" s="13">
        <v>10</v>
      </c>
      <c r="H6" t="s">
        <v>31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1</v>
      </c>
    </row>
    <row r="7" spans="1:12" x14ac:dyDescent="0.2">
      <c r="A7" t="s">
        <v>31</v>
      </c>
      <c r="B7">
        <v>0</v>
      </c>
      <c r="C7">
        <v>0</v>
      </c>
      <c r="D7">
        <v>0</v>
      </c>
      <c r="E7">
        <v>1</v>
      </c>
      <c r="F7" s="14" t="s">
        <v>41</v>
      </c>
      <c r="H7" t="s">
        <v>30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</row>
    <row r="8" spans="1:12" x14ac:dyDescent="0.2">
      <c r="A8" t="s">
        <v>30</v>
      </c>
      <c r="B8">
        <v>1</v>
      </c>
      <c r="C8">
        <v>0</v>
      </c>
      <c r="D8">
        <v>0</v>
      </c>
      <c r="E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1"/>
        <v>0</v>
      </c>
      <c r="K8" s="10">
        <f t="shared" si="2"/>
        <v>0</v>
      </c>
      <c r="L8" s="10">
        <f t="shared" si="3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>
        <v>0</v>
      </c>
      <c r="F9" s="13">
        <v>7</v>
      </c>
      <c r="H9" t="s">
        <v>28</v>
      </c>
      <c r="I9">
        <f t="shared" si="0"/>
        <v>42</v>
      </c>
      <c r="J9">
        <f t="shared" si="1"/>
        <v>35</v>
      </c>
      <c r="K9">
        <f t="shared" si="2"/>
        <v>27</v>
      </c>
      <c r="L9">
        <f t="shared" si="3"/>
        <v>21</v>
      </c>
    </row>
    <row r="10" spans="1:12" x14ac:dyDescent="0.2">
      <c r="A10" t="s">
        <v>28</v>
      </c>
      <c r="B10" s="4">
        <v>42</v>
      </c>
      <c r="C10" s="4">
        <v>35</v>
      </c>
      <c r="D10" s="4">
        <v>27</v>
      </c>
      <c r="E10" s="4">
        <v>21</v>
      </c>
      <c r="F10" s="14" t="s">
        <v>42</v>
      </c>
      <c r="H10" t="s">
        <v>27</v>
      </c>
      <c r="I10">
        <f t="shared" si="0"/>
        <v>0</v>
      </c>
      <c r="J10">
        <f t="shared" si="1"/>
        <v>11</v>
      </c>
      <c r="K10">
        <f t="shared" si="2"/>
        <v>0</v>
      </c>
      <c r="L10">
        <f t="shared" si="3"/>
        <v>4</v>
      </c>
    </row>
    <row r="11" spans="1:12" x14ac:dyDescent="0.2">
      <c r="A11" t="s">
        <v>27</v>
      </c>
      <c r="B11" s="4">
        <v>0</v>
      </c>
      <c r="C11" s="4">
        <v>11</v>
      </c>
      <c r="D11" s="4">
        <v>0</v>
      </c>
      <c r="E11" s="4">
        <v>4</v>
      </c>
      <c r="F11" s="14" t="s">
        <v>42</v>
      </c>
      <c r="H11" t="s">
        <v>44</v>
      </c>
      <c r="I11">
        <f t="shared" si="0"/>
        <v>6</v>
      </c>
      <c r="J11">
        <f t="shared" si="1"/>
        <v>6</v>
      </c>
      <c r="K11">
        <f t="shared" si="2"/>
        <v>0</v>
      </c>
      <c r="L11">
        <f t="shared" si="3"/>
        <v>6</v>
      </c>
    </row>
    <row r="12" spans="1:12" x14ac:dyDescent="0.2">
      <c r="A12" t="s">
        <v>44</v>
      </c>
      <c r="B12">
        <v>6</v>
      </c>
      <c r="C12">
        <v>6</v>
      </c>
      <c r="D12">
        <v>0</v>
      </c>
      <c r="E12" s="4">
        <v>6</v>
      </c>
      <c r="F12" s="14" t="s">
        <v>46</v>
      </c>
      <c r="H12" t="s">
        <v>26</v>
      </c>
      <c r="I12">
        <f>B13</f>
        <v>0</v>
      </c>
      <c r="J12">
        <f t="shared" si="1"/>
        <v>0</v>
      </c>
      <c r="K12">
        <f t="shared" si="2"/>
        <v>0</v>
      </c>
      <c r="L12">
        <f t="shared" si="3"/>
        <v>0</v>
      </c>
    </row>
    <row r="13" spans="1:12" x14ac:dyDescent="0.2">
      <c r="A13" t="s">
        <v>26</v>
      </c>
      <c r="B13">
        <v>0</v>
      </c>
      <c r="C13">
        <v>0</v>
      </c>
      <c r="D13">
        <v>0</v>
      </c>
      <c r="E13">
        <v>0</v>
      </c>
      <c r="F13" s="14" t="s">
        <v>43</v>
      </c>
    </row>
    <row r="20" spans="1:6" x14ac:dyDescent="0.2">
      <c r="A20" t="s">
        <v>47</v>
      </c>
    </row>
    <row r="21" spans="1:6" x14ac:dyDescent="0.2">
      <c r="A21" s="16"/>
      <c r="B21" s="16" t="s">
        <v>6</v>
      </c>
      <c r="C21" s="16"/>
      <c r="D21" s="16"/>
      <c r="E21" s="16" t="s">
        <v>8</v>
      </c>
      <c r="F21" s="16"/>
    </row>
    <row r="22" spans="1:6" x14ac:dyDescent="0.2">
      <c r="A22" s="16" t="s">
        <v>38</v>
      </c>
      <c r="B22" s="17">
        <f>SUM(B23:B31)</f>
        <v>24</v>
      </c>
      <c r="C22" s="17"/>
      <c r="D22" s="17"/>
      <c r="E22" s="17">
        <f>SUM(E23:E31)</f>
        <v>-24</v>
      </c>
      <c r="F22" s="18" t="s">
        <v>40</v>
      </c>
    </row>
    <row r="23" spans="1:6" x14ac:dyDescent="0.2">
      <c r="A23" s="16" t="s">
        <v>36</v>
      </c>
      <c r="B23" s="17">
        <f>B4+B5-E4-E5</f>
        <v>-10</v>
      </c>
      <c r="C23" s="17"/>
      <c r="D23" s="17"/>
      <c r="E23" s="17">
        <f t="shared" ref="E23:E29" si="4">-B23</f>
        <v>10</v>
      </c>
      <c r="F23" s="19">
        <v>25</v>
      </c>
    </row>
    <row r="24" spans="1:6" x14ac:dyDescent="0.2">
      <c r="A24" s="16" t="s">
        <v>32</v>
      </c>
      <c r="B24" s="17">
        <f t="shared" ref="B24:B29" si="5">B6-E6</f>
        <v>10</v>
      </c>
      <c r="C24" s="17"/>
      <c r="D24" s="17"/>
      <c r="E24" s="17">
        <f t="shared" si="4"/>
        <v>-10</v>
      </c>
      <c r="F24" s="19">
        <v>10</v>
      </c>
    </row>
    <row r="25" spans="1:6" x14ac:dyDescent="0.2">
      <c r="A25" s="16" t="s">
        <v>31</v>
      </c>
      <c r="B25" s="17">
        <f t="shared" si="5"/>
        <v>-1</v>
      </c>
      <c r="C25" s="17"/>
      <c r="D25" s="17"/>
      <c r="E25" s="17">
        <f t="shared" si="4"/>
        <v>1</v>
      </c>
      <c r="F25" s="18" t="s">
        <v>41</v>
      </c>
    </row>
    <row r="26" spans="1:6" x14ac:dyDescent="0.2">
      <c r="A26" s="16" t="s">
        <v>30</v>
      </c>
      <c r="B26" s="17">
        <f t="shared" si="5"/>
        <v>1</v>
      </c>
      <c r="C26" s="17"/>
      <c r="D26" s="17"/>
      <c r="E26" s="17">
        <f t="shared" si="4"/>
        <v>-1</v>
      </c>
      <c r="F26" s="18" t="s">
        <v>41</v>
      </c>
    </row>
    <row r="27" spans="1:6" x14ac:dyDescent="0.2">
      <c r="A27" s="20" t="s">
        <v>29</v>
      </c>
      <c r="B27" s="21">
        <f t="shared" si="5"/>
        <v>7</v>
      </c>
      <c r="C27" s="21"/>
      <c r="D27" s="21"/>
      <c r="E27" s="21">
        <f t="shared" si="4"/>
        <v>-7</v>
      </c>
      <c r="F27" s="19">
        <v>7</v>
      </c>
    </row>
    <row r="28" spans="1:6" x14ac:dyDescent="0.2">
      <c r="A28" s="16" t="s">
        <v>28</v>
      </c>
      <c r="B28" s="17">
        <f t="shared" si="5"/>
        <v>21</v>
      </c>
      <c r="C28" s="17"/>
      <c r="D28" s="17"/>
      <c r="E28" s="17">
        <f t="shared" si="4"/>
        <v>-21</v>
      </c>
      <c r="F28" s="18" t="s">
        <v>42</v>
      </c>
    </row>
    <row r="29" spans="1:6" x14ac:dyDescent="0.2">
      <c r="A29" s="16" t="s">
        <v>27</v>
      </c>
      <c r="B29" s="17">
        <f t="shared" si="5"/>
        <v>-4</v>
      </c>
      <c r="C29" s="17"/>
      <c r="D29" s="17"/>
      <c r="E29" s="17">
        <f t="shared" si="4"/>
        <v>4</v>
      </c>
      <c r="F29" s="18" t="s">
        <v>42</v>
      </c>
    </row>
    <row r="30" spans="1:6" x14ac:dyDescent="0.2">
      <c r="A30" s="16" t="s">
        <v>44</v>
      </c>
      <c r="B30" s="16"/>
      <c r="C30" s="16"/>
      <c r="D30" s="16"/>
      <c r="E30" s="16"/>
      <c r="F30" s="16"/>
    </row>
    <row r="31" spans="1:6" x14ac:dyDescent="0.2">
      <c r="A31" s="16" t="s">
        <v>26</v>
      </c>
      <c r="B31" s="17">
        <f>B13-E13</f>
        <v>0</v>
      </c>
      <c r="C31" s="17"/>
      <c r="D31" s="17"/>
      <c r="E31" s="17">
        <f>-B31</f>
        <v>0</v>
      </c>
      <c r="F31" s="18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50</v>
      </c>
    </row>
    <row r="2" spans="1:12" x14ac:dyDescent="0.2">
      <c r="B2" t="s">
        <v>6</v>
      </c>
      <c r="C2" t="s">
        <v>7</v>
      </c>
      <c r="D2" t="s">
        <v>8</v>
      </c>
      <c r="E2" t="s">
        <v>9</v>
      </c>
      <c r="I2" t="s">
        <v>6</v>
      </c>
      <c r="J2" t="s">
        <v>7</v>
      </c>
      <c r="K2" t="s">
        <v>8</v>
      </c>
      <c r="L2" t="s">
        <v>9</v>
      </c>
    </row>
    <row r="3" spans="1:12" x14ac:dyDescent="0.2">
      <c r="A3" t="s">
        <v>37</v>
      </c>
      <c r="B3">
        <f>SUM(B4:B13)</f>
        <v>63</v>
      </c>
      <c r="C3">
        <f>SUM(C4:C13)</f>
        <v>83</v>
      </c>
      <c r="D3">
        <f>SUM(D4:D13)</f>
        <v>76</v>
      </c>
      <c r="E3">
        <f>SUM(E4:E13)</f>
        <v>64</v>
      </c>
      <c r="F3" s="14" t="s">
        <v>40</v>
      </c>
      <c r="I3">
        <f>SUM(I4:I12)</f>
        <v>63</v>
      </c>
      <c r="J3">
        <f>SUM(J4:J12)</f>
        <v>83</v>
      </c>
      <c r="K3">
        <f>SUM(K4:K12)</f>
        <v>76</v>
      </c>
      <c r="L3">
        <f>SUM(L4:L12)</f>
        <v>64</v>
      </c>
    </row>
    <row r="4" spans="1:12" x14ac:dyDescent="0.2">
      <c r="A4" t="s">
        <v>34</v>
      </c>
      <c r="B4">
        <v>8</v>
      </c>
      <c r="C4">
        <v>12</v>
      </c>
      <c r="D4">
        <v>11</v>
      </c>
      <c r="E4">
        <v>12</v>
      </c>
      <c r="F4" s="13">
        <v>15</v>
      </c>
      <c r="H4" t="s">
        <v>36</v>
      </c>
      <c r="I4">
        <f>B4+B5</f>
        <v>14</v>
      </c>
      <c r="J4">
        <f>C4+C5</f>
        <v>22</v>
      </c>
      <c r="K4">
        <f>D4+D5</f>
        <v>21</v>
      </c>
      <c r="L4">
        <f>E4+E5</f>
        <v>22</v>
      </c>
    </row>
    <row r="5" spans="1:12" x14ac:dyDescent="0.2">
      <c r="A5" t="s">
        <v>33</v>
      </c>
      <c r="B5">
        <v>6</v>
      </c>
      <c r="C5">
        <v>10</v>
      </c>
      <c r="D5">
        <v>10</v>
      </c>
      <c r="E5">
        <v>10</v>
      </c>
      <c r="F5" s="13">
        <v>10</v>
      </c>
      <c r="H5" t="s">
        <v>32</v>
      </c>
      <c r="I5">
        <f t="shared" ref="I5:L12" si="0">B6</f>
        <v>7</v>
      </c>
      <c r="J5">
        <f t="shared" si="0"/>
        <v>10</v>
      </c>
      <c r="K5">
        <f t="shared" si="0"/>
        <v>4</v>
      </c>
      <c r="L5">
        <f t="shared" si="0"/>
        <v>0</v>
      </c>
    </row>
    <row r="6" spans="1:12" x14ac:dyDescent="0.2">
      <c r="A6" t="s">
        <v>32</v>
      </c>
      <c r="B6">
        <v>7</v>
      </c>
      <c r="C6">
        <v>10</v>
      </c>
      <c r="D6">
        <v>4</v>
      </c>
      <c r="E6">
        <v>0</v>
      </c>
      <c r="F6" s="13">
        <v>10</v>
      </c>
      <c r="H6" t="s">
        <v>31</v>
      </c>
      <c r="I6">
        <f t="shared" si="0"/>
        <v>1</v>
      </c>
      <c r="J6">
        <f t="shared" si="0"/>
        <v>0</v>
      </c>
      <c r="K6">
        <f t="shared" si="0"/>
        <v>1</v>
      </c>
      <c r="L6">
        <f t="shared" si="0"/>
        <v>1</v>
      </c>
    </row>
    <row r="7" spans="1:12" x14ac:dyDescent="0.2">
      <c r="A7" t="s">
        <v>31</v>
      </c>
      <c r="B7">
        <v>1</v>
      </c>
      <c r="C7">
        <v>0</v>
      </c>
      <c r="D7">
        <v>1</v>
      </c>
      <c r="E7">
        <v>1</v>
      </c>
      <c r="F7" s="14" t="s">
        <v>41</v>
      </c>
      <c r="H7" t="s">
        <v>30</v>
      </c>
      <c r="I7">
        <f t="shared" si="0"/>
        <v>1</v>
      </c>
      <c r="J7">
        <f t="shared" si="0"/>
        <v>1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1</v>
      </c>
      <c r="C8">
        <v>1</v>
      </c>
      <c r="D8">
        <v>0</v>
      </c>
      <c r="E8">
        <v>0</v>
      </c>
      <c r="F8" s="14" t="s">
        <v>41</v>
      </c>
      <c r="H8" s="10" t="s">
        <v>29</v>
      </c>
      <c r="I8" s="10">
        <f t="shared" si="0"/>
        <v>0</v>
      </c>
      <c r="J8" s="10">
        <f t="shared" si="0"/>
        <v>7</v>
      </c>
      <c r="K8" s="10">
        <f t="shared" si="0"/>
        <v>7</v>
      </c>
      <c r="L8" s="10">
        <f t="shared" si="0"/>
        <v>0</v>
      </c>
    </row>
    <row r="9" spans="1:12" x14ac:dyDescent="0.2">
      <c r="A9" s="10" t="s">
        <v>29</v>
      </c>
      <c r="B9" s="10">
        <v>0</v>
      </c>
      <c r="C9" s="10">
        <v>7</v>
      </c>
      <c r="D9" s="10">
        <v>7</v>
      </c>
      <c r="E9" s="10">
        <v>0</v>
      </c>
      <c r="F9" s="13">
        <v>7</v>
      </c>
      <c r="H9" t="s">
        <v>28</v>
      </c>
      <c r="I9">
        <f t="shared" si="0"/>
        <v>30</v>
      </c>
      <c r="J9">
        <f t="shared" si="0"/>
        <v>33</v>
      </c>
      <c r="K9">
        <f t="shared" si="0"/>
        <v>34</v>
      </c>
      <c r="L9">
        <f t="shared" si="0"/>
        <v>34</v>
      </c>
    </row>
    <row r="10" spans="1:12" x14ac:dyDescent="0.2">
      <c r="A10" t="s">
        <v>28</v>
      </c>
      <c r="B10" s="4">
        <v>30</v>
      </c>
      <c r="C10" s="4">
        <v>33</v>
      </c>
      <c r="D10" s="4">
        <v>34</v>
      </c>
      <c r="E10" s="4">
        <v>34</v>
      </c>
      <c r="F10" s="14" t="s">
        <v>42</v>
      </c>
      <c r="H10" t="s">
        <v>27</v>
      </c>
      <c r="I10">
        <f t="shared" si="0"/>
        <v>10</v>
      </c>
      <c r="J10">
        <f t="shared" si="0"/>
        <v>2</v>
      </c>
      <c r="K10">
        <f t="shared" si="0"/>
        <v>6</v>
      </c>
      <c r="L10">
        <f t="shared" si="0"/>
        <v>1</v>
      </c>
    </row>
    <row r="11" spans="1:12" x14ac:dyDescent="0.2">
      <c r="A11" t="s">
        <v>27</v>
      </c>
      <c r="B11" s="4">
        <v>10</v>
      </c>
      <c r="C11" s="4">
        <v>2</v>
      </c>
      <c r="D11" s="4">
        <v>6</v>
      </c>
      <c r="E11" s="4">
        <v>1</v>
      </c>
      <c r="F11" s="14" t="s">
        <v>42</v>
      </c>
      <c r="H11" t="s">
        <v>44</v>
      </c>
      <c r="I11">
        <f t="shared" si="0"/>
        <v>0</v>
      </c>
      <c r="J11">
        <f t="shared" si="0"/>
        <v>3</v>
      </c>
      <c r="K11">
        <f t="shared" si="0"/>
        <v>3</v>
      </c>
      <c r="L11">
        <f t="shared" si="0"/>
        <v>6</v>
      </c>
    </row>
    <row r="12" spans="1:12" x14ac:dyDescent="0.2">
      <c r="A12" t="s">
        <v>44</v>
      </c>
      <c r="B12" s="4">
        <v>0</v>
      </c>
      <c r="C12" s="4">
        <v>3</v>
      </c>
      <c r="D12" s="4">
        <v>3</v>
      </c>
      <c r="E12" s="4">
        <v>6</v>
      </c>
      <c r="F12" s="14" t="s">
        <v>46</v>
      </c>
      <c r="H12" t="s">
        <v>26</v>
      </c>
      <c r="I12">
        <f t="shared" si="0"/>
        <v>0</v>
      </c>
      <c r="J12">
        <f t="shared" si="0"/>
        <v>5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5</v>
      </c>
      <c r="D13" s="4">
        <v>0</v>
      </c>
      <c r="E13" s="4">
        <v>0</v>
      </c>
      <c r="F13" s="14" t="s">
        <v>43</v>
      </c>
    </row>
    <row r="20" spans="1:6" x14ac:dyDescent="0.2">
      <c r="A20" t="s">
        <v>47</v>
      </c>
    </row>
    <row r="21" spans="1:6" x14ac:dyDescent="0.2">
      <c r="A21" s="16"/>
      <c r="B21" s="16" t="s">
        <v>6</v>
      </c>
      <c r="C21" s="16"/>
      <c r="D21" s="16"/>
      <c r="E21" s="16" t="s">
        <v>8</v>
      </c>
      <c r="F21" s="16"/>
    </row>
    <row r="22" spans="1:6" x14ac:dyDescent="0.2">
      <c r="A22" s="16" t="s">
        <v>38</v>
      </c>
      <c r="B22" s="17">
        <f>SUM(B23:B31)</f>
        <v>5</v>
      </c>
      <c r="C22" s="17"/>
      <c r="D22" s="17"/>
      <c r="E22" s="17">
        <f>SUM(E23:E31)</f>
        <v>-5</v>
      </c>
      <c r="F22" s="18" t="s">
        <v>40</v>
      </c>
    </row>
    <row r="23" spans="1:6" x14ac:dyDescent="0.2">
      <c r="A23" s="16" t="s">
        <v>36</v>
      </c>
      <c r="B23" s="17">
        <f>B4+B5-E4-E5</f>
        <v>-8</v>
      </c>
      <c r="C23" s="17"/>
      <c r="D23" s="17"/>
      <c r="E23" s="17">
        <f t="shared" ref="E23:E29" si="1">-B23</f>
        <v>8</v>
      </c>
      <c r="F23" s="19">
        <v>25</v>
      </c>
    </row>
    <row r="24" spans="1:6" x14ac:dyDescent="0.2">
      <c r="A24" s="16" t="s">
        <v>32</v>
      </c>
      <c r="B24" s="17">
        <f t="shared" ref="B24:B29" si="2">B6-E6</f>
        <v>7</v>
      </c>
      <c r="C24" s="17"/>
      <c r="D24" s="17"/>
      <c r="E24" s="17">
        <f t="shared" si="1"/>
        <v>-7</v>
      </c>
      <c r="F24" s="19">
        <v>10</v>
      </c>
    </row>
    <row r="25" spans="1:6" x14ac:dyDescent="0.2">
      <c r="A25" s="16" t="s">
        <v>31</v>
      </c>
      <c r="B25" s="17">
        <f t="shared" si="2"/>
        <v>0</v>
      </c>
      <c r="C25" s="17"/>
      <c r="D25" s="17"/>
      <c r="E25" s="17">
        <f t="shared" si="1"/>
        <v>0</v>
      </c>
      <c r="F25" s="18" t="s">
        <v>41</v>
      </c>
    </row>
    <row r="26" spans="1:6" x14ac:dyDescent="0.2">
      <c r="A26" s="16" t="s">
        <v>30</v>
      </c>
      <c r="B26" s="17">
        <f t="shared" si="2"/>
        <v>1</v>
      </c>
      <c r="C26" s="17"/>
      <c r="D26" s="17"/>
      <c r="E26" s="17">
        <f t="shared" si="1"/>
        <v>-1</v>
      </c>
      <c r="F26" s="18" t="s">
        <v>41</v>
      </c>
    </row>
    <row r="27" spans="1:6" x14ac:dyDescent="0.2">
      <c r="A27" s="20" t="s">
        <v>29</v>
      </c>
      <c r="B27" s="21">
        <f t="shared" si="2"/>
        <v>0</v>
      </c>
      <c r="C27" s="21"/>
      <c r="D27" s="21"/>
      <c r="E27" s="21">
        <f t="shared" si="1"/>
        <v>0</v>
      </c>
      <c r="F27" s="19">
        <v>7</v>
      </c>
    </row>
    <row r="28" spans="1:6" x14ac:dyDescent="0.2">
      <c r="A28" s="16" t="s">
        <v>28</v>
      </c>
      <c r="B28" s="17">
        <f t="shared" si="2"/>
        <v>-4</v>
      </c>
      <c r="C28" s="17"/>
      <c r="D28" s="17"/>
      <c r="E28" s="17">
        <f t="shared" si="1"/>
        <v>4</v>
      </c>
      <c r="F28" s="18" t="s">
        <v>42</v>
      </c>
    </row>
    <row r="29" spans="1:6" x14ac:dyDescent="0.2">
      <c r="A29" s="16" t="s">
        <v>27</v>
      </c>
      <c r="B29" s="17">
        <f t="shared" si="2"/>
        <v>9</v>
      </c>
      <c r="C29" s="17"/>
      <c r="D29" s="17"/>
      <c r="E29" s="17">
        <f t="shared" si="1"/>
        <v>-9</v>
      </c>
      <c r="F29" s="18" t="s">
        <v>42</v>
      </c>
    </row>
    <row r="30" spans="1:6" x14ac:dyDescent="0.2">
      <c r="A30" s="16" t="s">
        <v>44</v>
      </c>
      <c r="B30" s="16"/>
      <c r="C30" s="16"/>
      <c r="D30" s="16"/>
      <c r="E30" s="16"/>
      <c r="F30" s="16"/>
    </row>
    <row r="31" spans="1:6" x14ac:dyDescent="0.2">
      <c r="A31" s="16" t="s">
        <v>26</v>
      </c>
      <c r="B31" s="17">
        <f>B13-E13</f>
        <v>0</v>
      </c>
      <c r="C31" s="17"/>
      <c r="D31" s="17"/>
      <c r="E31" s="17">
        <f>-B31</f>
        <v>0</v>
      </c>
      <c r="F31" s="18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66</v>
      </c>
      <c r="B1">
        <v>67</v>
      </c>
      <c r="C1">
        <v>52</v>
      </c>
      <c r="D1">
        <v>75</v>
      </c>
    </row>
    <row r="2" spans="1:12" x14ac:dyDescent="0.2">
      <c r="B2" t="s">
        <v>6</v>
      </c>
      <c r="C2" t="s">
        <v>7</v>
      </c>
      <c r="D2" t="s">
        <v>8</v>
      </c>
      <c r="E2" t="s">
        <v>61</v>
      </c>
      <c r="I2" t="str">
        <f>B2</f>
        <v>Mateusz</v>
      </c>
      <c r="J2" t="str">
        <f>C2</f>
        <v>Marcin</v>
      </c>
      <c r="K2" t="str">
        <f>D2</f>
        <v>Justyna</v>
      </c>
      <c r="L2" t="str">
        <f>E2</f>
        <v xml:space="preserve"> </v>
      </c>
    </row>
    <row r="3" spans="1:12" x14ac:dyDescent="0.2">
      <c r="A3" t="s">
        <v>37</v>
      </c>
      <c r="B3" s="36">
        <f>SUM(B4:B13)</f>
        <v>68</v>
      </c>
      <c r="C3">
        <f>SUM(C4:C13)</f>
        <v>52</v>
      </c>
      <c r="D3">
        <f>SUM(D4:D13)</f>
        <v>75</v>
      </c>
      <c r="E3">
        <f>SUM(E4:E13)</f>
        <v>0</v>
      </c>
      <c r="F3" s="14" t="s">
        <v>40</v>
      </c>
      <c r="I3">
        <f>SUM(I4:I12)</f>
        <v>68</v>
      </c>
      <c r="J3">
        <f>SUM(J4:J12)</f>
        <v>52</v>
      </c>
      <c r="K3">
        <f>SUM(K4:K12)</f>
        <v>75</v>
      </c>
      <c r="L3">
        <f>SUM(L4:L12)</f>
        <v>0</v>
      </c>
    </row>
    <row r="4" spans="1:12" x14ac:dyDescent="0.2">
      <c r="A4" t="s">
        <v>34</v>
      </c>
      <c r="B4">
        <v>9</v>
      </c>
      <c r="C4">
        <v>4</v>
      </c>
      <c r="D4">
        <v>14</v>
      </c>
      <c r="F4" s="13">
        <v>15</v>
      </c>
      <c r="H4" t="s">
        <v>36</v>
      </c>
      <c r="I4">
        <f>B4+B5</f>
        <v>19</v>
      </c>
      <c r="J4">
        <f>C4+C5</f>
        <v>10</v>
      </c>
      <c r="K4">
        <f>D4+D5</f>
        <v>24</v>
      </c>
      <c r="L4">
        <f>E4+E5</f>
        <v>0</v>
      </c>
    </row>
    <row r="5" spans="1:12" x14ac:dyDescent="0.2">
      <c r="A5" t="s">
        <v>33</v>
      </c>
      <c r="B5">
        <v>10</v>
      </c>
      <c r="C5">
        <v>6</v>
      </c>
      <c r="D5">
        <v>10</v>
      </c>
      <c r="F5" s="13">
        <v>10</v>
      </c>
      <c r="H5" t="s">
        <v>32</v>
      </c>
      <c r="I5">
        <f t="shared" ref="I5:L12" si="0">B6</f>
        <v>4</v>
      </c>
      <c r="J5">
        <f t="shared" si="0"/>
        <v>10</v>
      </c>
      <c r="K5">
        <f t="shared" si="0"/>
        <v>7</v>
      </c>
      <c r="L5">
        <f t="shared" si="0"/>
        <v>0</v>
      </c>
    </row>
    <row r="6" spans="1:12" x14ac:dyDescent="0.2">
      <c r="A6" t="s">
        <v>32</v>
      </c>
      <c r="B6">
        <v>4</v>
      </c>
      <c r="C6">
        <v>10</v>
      </c>
      <c r="D6">
        <v>7</v>
      </c>
      <c r="F6" s="13">
        <v>10</v>
      </c>
      <c r="H6" t="s">
        <v>31</v>
      </c>
      <c r="I6">
        <f t="shared" si="0"/>
        <v>0</v>
      </c>
      <c r="J6">
        <f t="shared" si="0"/>
        <v>2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C7">
        <v>2</v>
      </c>
      <c r="D7">
        <v>0</v>
      </c>
      <c r="F7" s="14" t="s">
        <v>41</v>
      </c>
      <c r="H7" t="s">
        <v>30</v>
      </c>
      <c r="I7">
        <f t="shared" si="0"/>
        <v>1</v>
      </c>
      <c r="J7">
        <f t="shared" si="0"/>
        <v>1</v>
      </c>
      <c r="K7">
        <f t="shared" si="0"/>
        <v>2</v>
      </c>
      <c r="L7">
        <f t="shared" si="0"/>
        <v>0</v>
      </c>
    </row>
    <row r="8" spans="1:12" x14ac:dyDescent="0.2">
      <c r="A8" t="s">
        <v>30</v>
      </c>
      <c r="B8">
        <v>1</v>
      </c>
      <c r="C8">
        <v>1</v>
      </c>
      <c r="D8">
        <v>2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>
        <v>0</v>
      </c>
      <c r="E9" s="10"/>
      <c r="F9" s="13">
        <v>7</v>
      </c>
      <c r="H9" t="s">
        <v>28</v>
      </c>
      <c r="I9">
        <f t="shared" si="0"/>
        <v>28</v>
      </c>
      <c r="J9">
        <f t="shared" si="0"/>
        <v>0</v>
      </c>
      <c r="K9">
        <f t="shared" si="0"/>
        <v>28</v>
      </c>
      <c r="L9">
        <f t="shared" si="0"/>
        <v>0</v>
      </c>
    </row>
    <row r="10" spans="1:12" x14ac:dyDescent="0.2">
      <c r="A10" t="s">
        <v>28</v>
      </c>
      <c r="B10" s="4">
        <f>4+1+2+7+5+5+4</f>
        <v>28</v>
      </c>
      <c r="C10" s="4">
        <v>0</v>
      </c>
      <c r="D10" s="4">
        <f>2+8+7+3+3+5</f>
        <v>28</v>
      </c>
      <c r="E10" s="4"/>
      <c r="F10" s="14" t="s">
        <v>42</v>
      </c>
      <c r="H10" t="s">
        <v>27</v>
      </c>
      <c r="I10">
        <f t="shared" si="0"/>
        <v>0</v>
      </c>
      <c r="J10">
        <f t="shared" si="0"/>
        <v>14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14</v>
      </c>
      <c r="D11" s="4">
        <v>0</v>
      </c>
      <c r="E11" s="4"/>
      <c r="F11" s="14" t="s">
        <v>42</v>
      </c>
      <c r="H11" t="s">
        <v>44</v>
      </c>
      <c r="I11">
        <f t="shared" si="0"/>
        <v>9</v>
      </c>
      <c r="J11">
        <f t="shared" si="0"/>
        <v>15</v>
      </c>
      <c r="K11">
        <f t="shared" si="0"/>
        <v>9</v>
      </c>
      <c r="L11">
        <f t="shared" si="0"/>
        <v>0</v>
      </c>
    </row>
    <row r="12" spans="1:12" x14ac:dyDescent="0.2">
      <c r="A12" t="s">
        <v>44</v>
      </c>
      <c r="B12" s="4">
        <v>9</v>
      </c>
      <c r="C12" s="4">
        <v>15</v>
      </c>
      <c r="D12" s="4">
        <v>9</v>
      </c>
      <c r="E12" s="4"/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5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>
        <v>5</v>
      </c>
      <c r="E13" s="4"/>
      <c r="F13" s="14" t="s">
        <v>43</v>
      </c>
    </row>
    <row r="20" spans="1:6" x14ac:dyDescent="0.2">
      <c r="A20" t="s">
        <v>47</v>
      </c>
    </row>
    <row r="21" spans="1:6" x14ac:dyDescent="0.2">
      <c r="A21" s="16"/>
      <c r="B21" s="16" t="s">
        <v>6</v>
      </c>
      <c r="C21" s="16"/>
      <c r="D21" s="16"/>
      <c r="E21" s="16" t="s">
        <v>8</v>
      </c>
      <c r="F21" s="16"/>
    </row>
    <row r="22" spans="1:6" x14ac:dyDescent="0.2">
      <c r="A22" s="16" t="s">
        <v>38</v>
      </c>
      <c r="B22" s="17">
        <f>SUM(B23:B31)</f>
        <v>59</v>
      </c>
      <c r="C22" s="17"/>
      <c r="D22" s="17"/>
      <c r="E22" s="17">
        <f>SUM(E23:E31)</f>
        <v>-59</v>
      </c>
      <c r="F22" s="18" t="s">
        <v>40</v>
      </c>
    </row>
    <row r="23" spans="1:6" x14ac:dyDescent="0.2">
      <c r="A23" s="16" t="s">
        <v>36</v>
      </c>
      <c r="B23" s="17">
        <f>B4+B5-E4-E5</f>
        <v>19</v>
      </c>
      <c r="C23" s="17"/>
      <c r="D23" s="17"/>
      <c r="E23" s="17">
        <f t="shared" ref="E23:E29" si="1">-B23</f>
        <v>-19</v>
      </c>
      <c r="F23" s="19">
        <v>25</v>
      </c>
    </row>
    <row r="24" spans="1:6" x14ac:dyDescent="0.2">
      <c r="A24" s="16" t="s">
        <v>32</v>
      </c>
      <c r="B24" s="17">
        <f t="shared" ref="B24:B29" si="2">B6-E6</f>
        <v>4</v>
      </c>
      <c r="C24" s="17"/>
      <c r="D24" s="17"/>
      <c r="E24" s="17">
        <f t="shared" si="1"/>
        <v>-4</v>
      </c>
      <c r="F24" s="19">
        <v>10</v>
      </c>
    </row>
    <row r="25" spans="1:6" x14ac:dyDescent="0.2">
      <c r="A25" s="16" t="s">
        <v>31</v>
      </c>
      <c r="B25" s="17">
        <f t="shared" si="2"/>
        <v>0</v>
      </c>
      <c r="C25" s="17"/>
      <c r="D25" s="17"/>
      <c r="E25" s="17">
        <f t="shared" si="1"/>
        <v>0</v>
      </c>
      <c r="F25" s="18" t="s">
        <v>41</v>
      </c>
    </row>
    <row r="26" spans="1:6" x14ac:dyDescent="0.2">
      <c r="A26" s="16" t="s">
        <v>30</v>
      </c>
      <c r="B26" s="17">
        <f t="shared" si="2"/>
        <v>1</v>
      </c>
      <c r="C26" s="17"/>
      <c r="D26" s="17"/>
      <c r="E26" s="17">
        <f t="shared" si="1"/>
        <v>-1</v>
      </c>
      <c r="F26" s="18" t="s">
        <v>41</v>
      </c>
    </row>
    <row r="27" spans="1:6" x14ac:dyDescent="0.2">
      <c r="A27" s="20" t="s">
        <v>29</v>
      </c>
      <c r="B27" s="21">
        <f t="shared" si="2"/>
        <v>7</v>
      </c>
      <c r="C27" s="21"/>
      <c r="D27" s="21"/>
      <c r="E27" s="21">
        <f t="shared" si="1"/>
        <v>-7</v>
      </c>
      <c r="F27" s="19">
        <v>7</v>
      </c>
    </row>
    <row r="28" spans="1:6" x14ac:dyDescent="0.2">
      <c r="A28" s="16" t="s">
        <v>28</v>
      </c>
      <c r="B28" s="17">
        <f t="shared" si="2"/>
        <v>28</v>
      </c>
      <c r="C28" s="17"/>
      <c r="D28" s="17"/>
      <c r="E28" s="17">
        <f t="shared" si="1"/>
        <v>-28</v>
      </c>
      <c r="F28" s="18" t="s">
        <v>42</v>
      </c>
    </row>
    <row r="29" spans="1:6" x14ac:dyDescent="0.2">
      <c r="A29" s="16" t="s">
        <v>27</v>
      </c>
      <c r="B29" s="17">
        <f t="shared" si="2"/>
        <v>0</v>
      </c>
      <c r="C29" s="17"/>
      <c r="D29" s="17"/>
      <c r="E29" s="17">
        <f t="shared" si="1"/>
        <v>0</v>
      </c>
      <c r="F29" s="18" t="s">
        <v>42</v>
      </c>
    </row>
    <row r="30" spans="1:6" x14ac:dyDescent="0.2">
      <c r="A30" s="16" t="s">
        <v>44</v>
      </c>
      <c r="B30" s="16"/>
      <c r="C30" s="16"/>
      <c r="D30" s="16"/>
      <c r="E30" s="16"/>
      <c r="F30" s="16"/>
    </row>
    <row r="31" spans="1:6" x14ac:dyDescent="0.2">
      <c r="A31" s="16" t="s">
        <v>26</v>
      </c>
      <c r="B31" s="17">
        <f>B13-E13</f>
        <v>0</v>
      </c>
      <c r="C31" s="17"/>
      <c r="D31" s="17"/>
      <c r="E31" s="17">
        <f>-B31</f>
        <v>0</v>
      </c>
      <c r="F31" s="18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65</v>
      </c>
      <c r="B1">
        <v>65</v>
      </c>
      <c r="D1">
        <v>51</v>
      </c>
      <c r="E1">
        <v>65</v>
      </c>
    </row>
    <row r="2" spans="1:12" x14ac:dyDescent="0.2">
      <c r="B2" t="s">
        <v>6</v>
      </c>
      <c r="C2" t="s">
        <v>61</v>
      </c>
      <c r="D2" t="s">
        <v>8</v>
      </c>
      <c r="E2" t="s">
        <v>9</v>
      </c>
      <c r="I2" t="str">
        <f>B2</f>
        <v>Mateusz</v>
      </c>
      <c r="J2" t="str">
        <f>C2</f>
        <v xml:space="preserve"> 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65</v>
      </c>
      <c r="C3">
        <f>SUM(C4:C13)</f>
        <v>0</v>
      </c>
      <c r="D3">
        <f>SUM(D4:D13)</f>
        <v>51</v>
      </c>
      <c r="E3">
        <f>SUM(E4:E13)</f>
        <v>65</v>
      </c>
      <c r="F3" s="14" t="s">
        <v>40</v>
      </c>
      <c r="I3">
        <f>SUM(I4:I12)</f>
        <v>65</v>
      </c>
      <c r="J3">
        <f>SUM(J4:J12)</f>
        <v>0</v>
      </c>
      <c r="K3">
        <f>SUM(K4:K12)</f>
        <v>51</v>
      </c>
      <c r="L3">
        <f>SUM(L4:L12)</f>
        <v>65</v>
      </c>
    </row>
    <row r="4" spans="1:12" x14ac:dyDescent="0.2">
      <c r="A4" t="s">
        <v>34</v>
      </c>
      <c r="B4">
        <v>0</v>
      </c>
      <c r="D4">
        <v>0</v>
      </c>
      <c r="E4">
        <v>4</v>
      </c>
      <c r="F4" s="13">
        <v>15</v>
      </c>
      <c r="H4" t="s">
        <v>36</v>
      </c>
      <c r="I4">
        <f>B4+B5</f>
        <v>3</v>
      </c>
      <c r="J4">
        <f>C4+C5</f>
        <v>0</v>
      </c>
      <c r="K4">
        <f>D4+D5</f>
        <v>3</v>
      </c>
      <c r="L4">
        <f>E4+E5</f>
        <v>10</v>
      </c>
    </row>
    <row r="5" spans="1:12" x14ac:dyDescent="0.2">
      <c r="A5" t="s">
        <v>33</v>
      </c>
      <c r="B5">
        <v>3</v>
      </c>
      <c r="D5">
        <v>3</v>
      </c>
      <c r="E5">
        <v>6</v>
      </c>
      <c r="F5" s="13">
        <v>10</v>
      </c>
      <c r="H5" t="s">
        <v>32</v>
      </c>
      <c r="I5">
        <f t="shared" ref="I5:L12" si="0">B6</f>
        <v>7</v>
      </c>
      <c r="J5">
        <f t="shared" si="0"/>
        <v>0</v>
      </c>
      <c r="K5">
        <f t="shared" si="0"/>
        <v>0</v>
      </c>
      <c r="L5">
        <f t="shared" si="0"/>
        <v>10</v>
      </c>
    </row>
    <row r="6" spans="1:12" x14ac:dyDescent="0.2">
      <c r="A6" t="s">
        <v>32</v>
      </c>
      <c r="B6">
        <v>7</v>
      </c>
      <c r="D6">
        <v>0</v>
      </c>
      <c r="E6">
        <v>10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0</v>
      </c>
      <c r="D7">
        <v>0</v>
      </c>
      <c r="E7">
        <v>0</v>
      </c>
      <c r="F7" s="14" t="s">
        <v>41</v>
      </c>
      <c r="H7" t="s">
        <v>30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</row>
    <row r="8" spans="1:12" x14ac:dyDescent="0.2">
      <c r="A8" t="s">
        <v>30</v>
      </c>
      <c r="B8">
        <v>0</v>
      </c>
      <c r="D8">
        <v>0</v>
      </c>
      <c r="E8">
        <v>1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/>
      <c r="D9" s="10">
        <v>0</v>
      </c>
      <c r="E9" s="10">
        <v>0</v>
      </c>
      <c r="F9" s="13">
        <v>7</v>
      </c>
      <c r="H9" t="s">
        <v>28</v>
      </c>
      <c r="I9">
        <f t="shared" si="0"/>
        <v>45</v>
      </c>
      <c r="J9">
        <f t="shared" si="0"/>
        <v>0</v>
      </c>
      <c r="K9">
        <f t="shared" si="0"/>
        <v>39</v>
      </c>
      <c r="L9">
        <f t="shared" si="0"/>
        <v>33</v>
      </c>
    </row>
    <row r="10" spans="1:12" x14ac:dyDescent="0.2">
      <c r="A10" t="s">
        <v>28</v>
      </c>
      <c r="B10" s="4">
        <f>4+4+7+5+5+6+6+5+3</f>
        <v>45</v>
      </c>
      <c r="C10" s="4"/>
      <c r="D10" s="4">
        <f>3+5+6+9+5+6+2+3</f>
        <v>39</v>
      </c>
      <c r="E10" s="4">
        <f>5+9+7+7+5</f>
        <v>33</v>
      </c>
      <c r="F10" s="14" t="s">
        <v>42</v>
      </c>
      <c r="H10" t="s">
        <v>27</v>
      </c>
      <c r="I10">
        <f t="shared" si="0"/>
        <v>0</v>
      </c>
      <c r="J10">
        <f t="shared" si="0"/>
        <v>0</v>
      </c>
      <c r="K10">
        <f t="shared" si="0"/>
        <v>9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/>
      <c r="D11" s="4">
        <v>9</v>
      </c>
      <c r="E11" s="4">
        <v>0</v>
      </c>
      <c r="F11" s="14" t="s">
        <v>42</v>
      </c>
      <c r="H11" t="s">
        <v>44</v>
      </c>
      <c r="I11">
        <f t="shared" si="0"/>
        <v>3</v>
      </c>
      <c r="J11">
        <f t="shared" si="0"/>
        <v>0</v>
      </c>
      <c r="K11">
        <f t="shared" si="0"/>
        <v>0</v>
      </c>
      <c r="L11">
        <f t="shared" si="0"/>
        <v>6</v>
      </c>
    </row>
    <row r="12" spans="1:12" x14ac:dyDescent="0.2">
      <c r="A12" t="s">
        <v>44</v>
      </c>
      <c r="B12" s="4">
        <v>3</v>
      </c>
      <c r="C12" s="4"/>
      <c r="D12" s="4">
        <v>0</v>
      </c>
      <c r="E12" s="4">
        <v>6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5</v>
      </c>
    </row>
    <row r="13" spans="1:12" x14ac:dyDescent="0.2">
      <c r="A13" t="s">
        <v>26</v>
      </c>
      <c r="B13" s="4">
        <v>0</v>
      </c>
      <c r="C13" s="4"/>
      <c r="D13" s="4">
        <v>0</v>
      </c>
      <c r="E13" s="4">
        <v>5</v>
      </c>
      <c r="F13" s="14" t="s">
        <v>64</v>
      </c>
    </row>
    <row r="20" spans="1:6" x14ac:dyDescent="0.2">
      <c r="A20" t="s">
        <v>47</v>
      </c>
    </row>
    <row r="21" spans="1:6" x14ac:dyDescent="0.2">
      <c r="A21" s="16"/>
      <c r="B21" s="16" t="s">
        <v>6</v>
      </c>
      <c r="C21" s="16"/>
      <c r="D21" s="16"/>
      <c r="E21" s="16" t="s">
        <v>8</v>
      </c>
      <c r="F21" s="16"/>
    </row>
    <row r="22" spans="1:6" x14ac:dyDescent="0.2">
      <c r="A22" s="16" t="s">
        <v>38</v>
      </c>
      <c r="B22" s="17">
        <f>SUM(B23:B31)</f>
        <v>3</v>
      </c>
      <c r="C22" s="17"/>
      <c r="D22" s="17"/>
      <c r="E22" s="17">
        <f>SUM(E23:E31)</f>
        <v>-3</v>
      </c>
      <c r="F22" s="18" t="s">
        <v>40</v>
      </c>
    </row>
    <row r="23" spans="1:6" x14ac:dyDescent="0.2">
      <c r="A23" s="16" t="s">
        <v>36</v>
      </c>
      <c r="B23" s="17">
        <f>B4+B5-E4-E5</f>
        <v>-7</v>
      </c>
      <c r="C23" s="17"/>
      <c r="D23" s="17"/>
      <c r="E23" s="17">
        <f t="shared" ref="E23:E29" si="1">-B23</f>
        <v>7</v>
      </c>
      <c r="F23" s="19">
        <v>25</v>
      </c>
    </row>
    <row r="24" spans="1:6" x14ac:dyDescent="0.2">
      <c r="A24" s="16" t="s">
        <v>32</v>
      </c>
      <c r="B24" s="17">
        <f t="shared" ref="B24:B29" si="2">B6-E6</f>
        <v>-3</v>
      </c>
      <c r="C24" s="17"/>
      <c r="D24" s="17"/>
      <c r="E24" s="17">
        <f t="shared" si="1"/>
        <v>3</v>
      </c>
      <c r="F24" s="19">
        <v>10</v>
      </c>
    </row>
    <row r="25" spans="1:6" x14ac:dyDescent="0.2">
      <c r="A25" s="16" t="s">
        <v>31</v>
      </c>
      <c r="B25" s="17">
        <f t="shared" si="2"/>
        <v>0</v>
      </c>
      <c r="C25" s="17"/>
      <c r="D25" s="17"/>
      <c r="E25" s="17">
        <f t="shared" si="1"/>
        <v>0</v>
      </c>
      <c r="F25" s="18" t="s">
        <v>41</v>
      </c>
    </row>
    <row r="26" spans="1:6" x14ac:dyDescent="0.2">
      <c r="A26" s="16" t="s">
        <v>30</v>
      </c>
      <c r="B26" s="17">
        <f t="shared" si="2"/>
        <v>-1</v>
      </c>
      <c r="C26" s="17"/>
      <c r="D26" s="17"/>
      <c r="E26" s="17">
        <f t="shared" si="1"/>
        <v>1</v>
      </c>
      <c r="F26" s="18" t="s">
        <v>41</v>
      </c>
    </row>
    <row r="27" spans="1:6" x14ac:dyDescent="0.2">
      <c r="A27" s="20" t="s">
        <v>29</v>
      </c>
      <c r="B27" s="21">
        <f t="shared" si="2"/>
        <v>7</v>
      </c>
      <c r="C27" s="21"/>
      <c r="D27" s="21"/>
      <c r="E27" s="21">
        <f t="shared" si="1"/>
        <v>-7</v>
      </c>
      <c r="F27" s="19">
        <v>7</v>
      </c>
    </row>
    <row r="28" spans="1:6" x14ac:dyDescent="0.2">
      <c r="A28" s="16" t="s">
        <v>28</v>
      </c>
      <c r="B28" s="17">
        <f t="shared" si="2"/>
        <v>12</v>
      </c>
      <c r="C28" s="17"/>
      <c r="D28" s="17"/>
      <c r="E28" s="17">
        <f t="shared" si="1"/>
        <v>-12</v>
      </c>
      <c r="F28" s="18" t="s">
        <v>42</v>
      </c>
    </row>
    <row r="29" spans="1:6" x14ac:dyDescent="0.2">
      <c r="A29" s="16" t="s">
        <v>27</v>
      </c>
      <c r="B29" s="17">
        <f t="shared" si="2"/>
        <v>0</v>
      </c>
      <c r="C29" s="17"/>
      <c r="D29" s="17"/>
      <c r="E29" s="17">
        <f t="shared" si="1"/>
        <v>0</v>
      </c>
      <c r="F29" s="18" t="s">
        <v>42</v>
      </c>
    </row>
    <row r="30" spans="1:6" x14ac:dyDescent="0.2">
      <c r="A30" s="16" t="s">
        <v>44</v>
      </c>
      <c r="B30" s="16"/>
      <c r="C30" s="16"/>
      <c r="D30" s="16"/>
      <c r="E30" s="16"/>
      <c r="F30" s="16"/>
    </row>
    <row r="31" spans="1:6" x14ac:dyDescent="0.2">
      <c r="A31" s="16" t="s">
        <v>26</v>
      </c>
      <c r="B31" s="17">
        <f>B13-E13</f>
        <v>-5</v>
      </c>
      <c r="C31" s="17"/>
      <c r="D31" s="17"/>
      <c r="E31" s="17">
        <f>-B31</f>
        <v>5</v>
      </c>
      <c r="F31" s="18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68</v>
      </c>
      <c r="B1">
        <v>83</v>
      </c>
      <c r="D1">
        <v>51</v>
      </c>
      <c r="E1">
        <v>81</v>
      </c>
    </row>
    <row r="2" spans="1:12" x14ac:dyDescent="0.2">
      <c r="B2" t="s">
        <v>6</v>
      </c>
      <c r="C2" t="s">
        <v>61</v>
      </c>
      <c r="D2" t="s">
        <v>8</v>
      </c>
      <c r="E2" t="s">
        <v>9</v>
      </c>
      <c r="I2" t="str">
        <f>B2</f>
        <v>Mateusz</v>
      </c>
      <c r="J2" t="str">
        <f>C2</f>
        <v xml:space="preserve"> </v>
      </c>
      <c r="K2" t="str">
        <f>D2</f>
        <v>Justyna</v>
      </c>
      <c r="L2" t="str">
        <f>E2</f>
        <v>Agnieszka</v>
      </c>
    </row>
    <row r="3" spans="1:12" x14ac:dyDescent="0.2">
      <c r="A3" t="s">
        <v>37</v>
      </c>
      <c r="B3" s="38">
        <f>SUM(B4:B13)</f>
        <v>83</v>
      </c>
      <c r="C3">
        <f>SUM(C4:C13)</f>
        <v>0</v>
      </c>
      <c r="D3">
        <f>SUM(D4:D13)</f>
        <v>51</v>
      </c>
      <c r="E3">
        <f>SUM(E4:E13)</f>
        <v>81</v>
      </c>
      <c r="F3" s="14" t="s">
        <v>40</v>
      </c>
      <c r="I3">
        <f>SUM(I4:I12)</f>
        <v>83</v>
      </c>
      <c r="J3">
        <f>SUM(J4:J12)</f>
        <v>0</v>
      </c>
      <c r="K3">
        <f>SUM(K4:K12)</f>
        <v>51</v>
      </c>
      <c r="L3">
        <f>SUM(L4:L12)</f>
        <v>81</v>
      </c>
    </row>
    <row r="4" spans="1:12" x14ac:dyDescent="0.2">
      <c r="A4" t="s">
        <v>34</v>
      </c>
      <c r="B4">
        <v>12</v>
      </c>
      <c r="D4">
        <v>11</v>
      </c>
      <c r="E4">
        <v>11</v>
      </c>
      <c r="F4" s="13">
        <v>15</v>
      </c>
      <c r="H4" t="s">
        <v>36</v>
      </c>
      <c r="I4">
        <f>B4+B5</f>
        <v>22</v>
      </c>
      <c r="J4">
        <f>C4+C5</f>
        <v>0</v>
      </c>
      <c r="K4">
        <f>D4+D5</f>
        <v>21</v>
      </c>
      <c r="L4">
        <f>E4+E5</f>
        <v>21</v>
      </c>
    </row>
    <row r="5" spans="1:12" x14ac:dyDescent="0.2">
      <c r="A5" t="s">
        <v>33</v>
      </c>
      <c r="B5">
        <v>10</v>
      </c>
      <c r="D5">
        <v>10</v>
      </c>
      <c r="E5">
        <v>10</v>
      </c>
      <c r="F5" s="13">
        <v>10</v>
      </c>
      <c r="H5" t="s">
        <v>32</v>
      </c>
      <c r="I5">
        <f t="shared" ref="I5:L12" si="0">B6</f>
        <v>10</v>
      </c>
      <c r="J5">
        <f t="shared" si="0"/>
        <v>0</v>
      </c>
      <c r="K5">
        <f t="shared" si="0"/>
        <v>4</v>
      </c>
      <c r="L5">
        <f t="shared" si="0"/>
        <v>7</v>
      </c>
    </row>
    <row r="6" spans="1:12" x14ac:dyDescent="0.2">
      <c r="A6" t="s">
        <v>32</v>
      </c>
      <c r="B6">
        <v>10</v>
      </c>
      <c r="D6">
        <v>4</v>
      </c>
      <c r="E6">
        <v>7</v>
      </c>
      <c r="F6" s="13">
        <v>10</v>
      </c>
      <c r="H6" t="s">
        <v>31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1</v>
      </c>
    </row>
    <row r="7" spans="1:12" x14ac:dyDescent="0.2">
      <c r="A7" t="s">
        <v>31</v>
      </c>
      <c r="B7">
        <v>0</v>
      </c>
      <c r="D7">
        <v>0</v>
      </c>
      <c r="E7">
        <v>1</v>
      </c>
      <c r="F7" s="14" t="s">
        <v>41</v>
      </c>
      <c r="H7" t="s">
        <v>30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1</v>
      </c>
    </row>
    <row r="8" spans="1:12" x14ac:dyDescent="0.2">
      <c r="A8" t="s">
        <v>30</v>
      </c>
      <c r="B8">
        <v>0</v>
      </c>
      <c r="D8">
        <v>0</v>
      </c>
      <c r="E8">
        <v>1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/>
      <c r="D9" s="10">
        <v>0</v>
      </c>
      <c r="E9" s="10">
        <v>0</v>
      </c>
      <c r="F9" s="13">
        <v>7</v>
      </c>
      <c r="H9" t="s">
        <v>28</v>
      </c>
      <c r="I9">
        <f t="shared" si="0"/>
        <v>44</v>
      </c>
      <c r="J9">
        <f t="shared" si="0"/>
        <v>0</v>
      </c>
      <c r="K9">
        <f t="shared" si="0"/>
        <v>20</v>
      </c>
      <c r="L9">
        <f t="shared" si="0"/>
        <v>27</v>
      </c>
    </row>
    <row r="10" spans="1:12" x14ac:dyDescent="0.2">
      <c r="A10" t="s">
        <v>28</v>
      </c>
      <c r="B10" s="4">
        <f>2+5+2+6+5+4+7+6+7</f>
        <v>44</v>
      </c>
      <c r="C10" s="4"/>
      <c r="D10" s="4">
        <f>3+5+6+6</f>
        <v>20</v>
      </c>
      <c r="E10" s="4">
        <f>5+7+8+7</f>
        <v>27</v>
      </c>
      <c r="F10" s="14" t="s">
        <v>42</v>
      </c>
      <c r="H10" t="s">
        <v>27</v>
      </c>
      <c r="I10">
        <f t="shared" si="0"/>
        <v>0</v>
      </c>
      <c r="J10">
        <f t="shared" si="0"/>
        <v>0</v>
      </c>
      <c r="K10">
        <f t="shared" si="0"/>
        <v>6</v>
      </c>
      <c r="L10">
        <f t="shared" si="0"/>
        <v>6</v>
      </c>
    </row>
    <row r="11" spans="1:12" x14ac:dyDescent="0.2">
      <c r="A11" t="s">
        <v>27</v>
      </c>
      <c r="B11" s="4">
        <v>0</v>
      </c>
      <c r="C11" s="4"/>
      <c r="D11" s="4">
        <v>6</v>
      </c>
      <c r="E11" s="4">
        <v>6</v>
      </c>
      <c r="F11" s="14" t="s">
        <v>42</v>
      </c>
      <c r="H11" t="s">
        <v>44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3</v>
      </c>
    </row>
    <row r="12" spans="1:12" x14ac:dyDescent="0.2">
      <c r="A12" t="s">
        <v>44</v>
      </c>
      <c r="B12" s="4">
        <v>0</v>
      </c>
      <c r="C12" s="4"/>
      <c r="D12" s="4">
        <v>0</v>
      </c>
      <c r="E12" s="4">
        <v>3</v>
      </c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15</v>
      </c>
    </row>
    <row r="13" spans="1:12" x14ac:dyDescent="0.2">
      <c r="A13" t="s">
        <v>26</v>
      </c>
      <c r="B13" s="4">
        <v>0</v>
      </c>
      <c r="C13" s="4"/>
      <c r="D13" s="4">
        <v>0</v>
      </c>
      <c r="E13" s="4">
        <v>15</v>
      </c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/>
      <c r="D21" s="38"/>
      <c r="E21" s="38" t="s">
        <v>9</v>
      </c>
      <c r="F21" s="38"/>
    </row>
    <row r="22" spans="1:6" x14ac:dyDescent="0.2">
      <c r="A22" s="38" t="s">
        <v>38</v>
      </c>
      <c r="B22" s="40">
        <f>SUM(B23:B31)</f>
        <v>2</v>
      </c>
      <c r="C22" s="40"/>
      <c r="D22" s="40"/>
      <c r="E22" s="40">
        <f>SUM(E23:E31)</f>
        <v>-2</v>
      </c>
      <c r="F22" s="41" t="s">
        <v>40</v>
      </c>
    </row>
    <row r="23" spans="1:6" x14ac:dyDescent="0.2">
      <c r="A23" s="38" t="s">
        <v>36</v>
      </c>
      <c r="B23" s="40">
        <f>B4+B5-E4-E5</f>
        <v>1</v>
      </c>
      <c r="C23" s="40"/>
      <c r="D23" s="40"/>
      <c r="E23" s="40">
        <f t="shared" ref="E23:E30" si="1">-B23</f>
        <v>-1</v>
      </c>
      <c r="F23" s="42">
        <v>25</v>
      </c>
    </row>
    <row r="24" spans="1:6" x14ac:dyDescent="0.2">
      <c r="A24" s="38" t="s">
        <v>32</v>
      </c>
      <c r="B24" s="40">
        <f t="shared" ref="B24:B30" si="2">B6-E6</f>
        <v>3</v>
      </c>
      <c r="C24" s="40"/>
      <c r="D24" s="40"/>
      <c r="E24" s="40">
        <f t="shared" si="1"/>
        <v>-3</v>
      </c>
      <c r="F24" s="42">
        <v>10</v>
      </c>
    </row>
    <row r="25" spans="1:6" x14ac:dyDescent="0.2">
      <c r="A25" s="38" t="s">
        <v>31</v>
      </c>
      <c r="B25" s="40">
        <f t="shared" si="2"/>
        <v>-1</v>
      </c>
      <c r="C25" s="40"/>
      <c r="D25" s="40"/>
      <c r="E25" s="40">
        <f t="shared" si="1"/>
        <v>1</v>
      </c>
      <c r="F25" s="41" t="s">
        <v>41</v>
      </c>
    </row>
    <row r="26" spans="1:6" x14ac:dyDescent="0.2">
      <c r="A26" s="38" t="s">
        <v>30</v>
      </c>
      <c r="B26" s="40">
        <f t="shared" si="2"/>
        <v>-1</v>
      </c>
      <c r="C26" s="40"/>
      <c r="D26" s="40"/>
      <c r="E26" s="40">
        <f t="shared" si="1"/>
        <v>1</v>
      </c>
      <c r="F26" s="41" t="s">
        <v>41</v>
      </c>
    </row>
    <row r="27" spans="1:6" x14ac:dyDescent="0.2">
      <c r="A27" s="43" t="s">
        <v>29</v>
      </c>
      <c r="B27" s="44">
        <f t="shared" si="2"/>
        <v>7</v>
      </c>
      <c r="C27" s="44"/>
      <c r="D27" s="44"/>
      <c r="E27" s="44">
        <f t="shared" si="1"/>
        <v>-7</v>
      </c>
      <c r="F27" s="42">
        <v>7</v>
      </c>
    </row>
    <row r="28" spans="1:6" x14ac:dyDescent="0.2">
      <c r="A28" s="38" t="s">
        <v>28</v>
      </c>
      <c r="B28" s="40">
        <f t="shared" si="2"/>
        <v>17</v>
      </c>
      <c r="C28" s="40"/>
      <c r="D28" s="40"/>
      <c r="E28" s="40">
        <f t="shared" si="1"/>
        <v>-17</v>
      </c>
      <c r="F28" s="41" t="s">
        <v>42</v>
      </c>
    </row>
    <row r="29" spans="1:6" x14ac:dyDescent="0.2">
      <c r="A29" s="38" t="s">
        <v>27</v>
      </c>
      <c r="B29" s="40">
        <f t="shared" si="2"/>
        <v>-6</v>
      </c>
      <c r="C29" s="40"/>
      <c r="D29" s="40"/>
      <c r="E29" s="40">
        <f t="shared" si="1"/>
        <v>6</v>
      </c>
      <c r="F29" s="41" t="s">
        <v>42</v>
      </c>
    </row>
    <row r="30" spans="1:6" x14ac:dyDescent="0.2">
      <c r="A30" s="38" t="s">
        <v>44</v>
      </c>
      <c r="B30" s="40">
        <f t="shared" si="2"/>
        <v>-3</v>
      </c>
      <c r="C30" s="38"/>
      <c r="D30" s="38"/>
      <c r="E30" s="40">
        <f t="shared" si="1"/>
        <v>3</v>
      </c>
      <c r="F30" s="38"/>
    </row>
    <row r="31" spans="1:6" x14ac:dyDescent="0.2">
      <c r="A31" s="38" t="s">
        <v>26</v>
      </c>
      <c r="B31" s="40">
        <f>B13-E13</f>
        <v>-15</v>
      </c>
      <c r="C31" s="40"/>
      <c r="D31" s="40"/>
      <c r="E31" s="40">
        <f>-B31</f>
        <v>15</v>
      </c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1"/>
  <sheetViews>
    <sheetView workbookViewId="0"/>
  </sheetViews>
  <sheetFormatPr defaultRowHeight="12.75" x14ac:dyDescent="0.2"/>
  <cols>
    <col min="1" max="1" width="15.42578125" bestFit="1" customWidth="1"/>
  </cols>
  <sheetData>
    <row r="1" spans="1:12" x14ac:dyDescent="0.2">
      <c r="A1" t="s">
        <v>90</v>
      </c>
      <c r="B1">
        <v>95</v>
      </c>
      <c r="C1">
        <v>59</v>
      </c>
    </row>
    <row r="2" spans="1:12" x14ac:dyDescent="0.2">
      <c r="B2" t="s">
        <v>6</v>
      </c>
      <c r="C2" t="s">
        <v>89</v>
      </c>
      <c r="I2" t="str">
        <f>B2</f>
        <v>Mateusz</v>
      </c>
      <c r="J2" t="str">
        <f>C2</f>
        <v>Siedlar</v>
      </c>
      <c r="K2">
        <f>D2</f>
        <v>0</v>
      </c>
      <c r="L2">
        <f>E2</f>
        <v>0</v>
      </c>
    </row>
    <row r="3" spans="1:12" x14ac:dyDescent="0.2">
      <c r="A3" t="s">
        <v>37</v>
      </c>
      <c r="B3" s="38">
        <f>SUM(B4:B13)</f>
        <v>95</v>
      </c>
      <c r="C3">
        <f>SUM(C4:C13)</f>
        <v>59</v>
      </c>
      <c r="D3">
        <f>SUM(D4:D13)</f>
        <v>0</v>
      </c>
      <c r="E3">
        <f>SUM(E4:E13)</f>
        <v>0</v>
      </c>
      <c r="F3" s="14" t="s">
        <v>40</v>
      </c>
      <c r="I3">
        <f>SUM(I4:I12)</f>
        <v>95</v>
      </c>
      <c r="J3">
        <f>SUM(J4:J12)</f>
        <v>59</v>
      </c>
      <c r="K3">
        <f>SUM(K4:K12)</f>
        <v>0</v>
      </c>
      <c r="L3">
        <f>SUM(L4:L12)</f>
        <v>0</v>
      </c>
    </row>
    <row r="4" spans="1:12" x14ac:dyDescent="0.2">
      <c r="A4" t="s">
        <v>34</v>
      </c>
      <c r="B4">
        <v>12</v>
      </c>
      <c r="C4">
        <v>4</v>
      </c>
      <c r="F4" s="13">
        <v>15</v>
      </c>
      <c r="H4" t="s">
        <v>36</v>
      </c>
      <c r="I4">
        <f>B4+B5</f>
        <v>22</v>
      </c>
      <c r="J4">
        <f>C4+C5</f>
        <v>7</v>
      </c>
      <c r="K4">
        <f>D4+D5</f>
        <v>0</v>
      </c>
      <c r="L4">
        <f>E4+E5</f>
        <v>0</v>
      </c>
    </row>
    <row r="5" spans="1:12" x14ac:dyDescent="0.2">
      <c r="A5" t="s">
        <v>33</v>
      </c>
      <c r="B5">
        <v>10</v>
      </c>
      <c r="C5">
        <v>3</v>
      </c>
      <c r="F5" s="13">
        <v>10</v>
      </c>
      <c r="H5" t="s">
        <v>32</v>
      </c>
      <c r="I5">
        <f t="shared" ref="I5:L12" si="0">B6</f>
        <v>10</v>
      </c>
      <c r="J5">
        <f t="shared" si="0"/>
        <v>7</v>
      </c>
      <c r="K5">
        <f t="shared" si="0"/>
        <v>0</v>
      </c>
      <c r="L5">
        <f t="shared" si="0"/>
        <v>0</v>
      </c>
    </row>
    <row r="6" spans="1:12" x14ac:dyDescent="0.2">
      <c r="A6" t="s">
        <v>32</v>
      </c>
      <c r="B6">
        <v>10</v>
      </c>
      <c r="C6">
        <v>7</v>
      </c>
      <c r="F6" s="13">
        <v>10</v>
      </c>
      <c r="H6" t="s">
        <v>31</v>
      </c>
      <c r="I6">
        <f t="shared" si="0"/>
        <v>1</v>
      </c>
      <c r="J6">
        <f t="shared" si="0"/>
        <v>1</v>
      </c>
      <c r="K6">
        <f t="shared" si="0"/>
        <v>0</v>
      </c>
      <c r="L6">
        <f t="shared" si="0"/>
        <v>0</v>
      </c>
    </row>
    <row r="7" spans="1:12" x14ac:dyDescent="0.2">
      <c r="A7" t="s">
        <v>31</v>
      </c>
      <c r="B7">
        <v>1</v>
      </c>
      <c r="C7">
        <v>1</v>
      </c>
      <c r="F7" s="14" t="s">
        <v>41</v>
      </c>
      <c r="H7" t="s">
        <v>30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</row>
    <row r="8" spans="1:12" x14ac:dyDescent="0.2">
      <c r="A8" t="s">
        <v>30</v>
      </c>
      <c r="B8">
        <v>0</v>
      </c>
      <c r="C8">
        <v>0</v>
      </c>
      <c r="F8" s="14" t="s">
        <v>41</v>
      </c>
      <c r="H8" s="10" t="s">
        <v>29</v>
      </c>
      <c r="I8" s="10">
        <f t="shared" si="0"/>
        <v>7</v>
      </c>
      <c r="J8" s="10">
        <f t="shared" si="0"/>
        <v>0</v>
      </c>
      <c r="K8" s="10">
        <f t="shared" si="0"/>
        <v>0</v>
      </c>
      <c r="L8" s="10">
        <f t="shared" si="0"/>
        <v>0</v>
      </c>
    </row>
    <row r="9" spans="1:12" x14ac:dyDescent="0.2">
      <c r="A9" s="10" t="s">
        <v>29</v>
      </c>
      <c r="B9" s="10">
        <v>7</v>
      </c>
      <c r="C9" s="10">
        <v>0</v>
      </c>
      <c r="D9" s="10"/>
      <c r="E9" s="10"/>
      <c r="F9" s="13">
        <v>7</v>
      </c>
      <c r="H9" t="s">
        <v>28</v>
      </c>
      <c r="I9">
        <f t="shared" si="0"/>
        <v>43</v>
      </c>
      <c r="J9">
        <f t="shared" si="0"/>
        <v>32</v>
      </c>
      <c r="K9">
        <f t="shared" si="0"/>
        <v>0</v>
      </c>
      <c r="L9">
        <f t="shared" si="0"/>
        <v>0</v>
      </c>
    </row>
    <row r="10" spans="1:12" x14ac:dyDescent="0.2">
      <c r="A10" t="s">
        <v>28</v>
      </c>
      <c r="B10" s="4">
        <f>5+5+4+5+7+7+5+5</f>
        <v>43</v>
      </c>
      <c r="C10" s="4">
        <f>3+6+7+5+9+2</f>
        <v>32</v>
      </c>
      <c r="D10" s="4"/>
      <c r="E10" s="4"/>
      <c r="F10" s="14" t="s">
        <v>42</v>
      </c>
      <c r="H10" t="s">
        <v>27</v>
      </c>
      <c r="I10">
        <f t="shared" si="0"/>
        <v>0</v>
      </c>
      <c r="J10">
        <f t="shared" si="0"/>
        <v>12</v>
      </c>
      <c r="K10">
        <f t="shared" si="0"/>
        <v>0</v>
      </c>
      <c r="L10">
        <f t="shared" si="0"/>
        <v>0</v>
      </c>
    </row>
    <row r="11" spans="1:12" x14ac:dyDescent="0.2">
      <c r="A11" t="s">
        <v>27</v>
      </c>
      <c r="B11" s="4">
        <v>0</v>
      </c>
      <c r="C11" s="4">
        <v>12</v>
      </c>
      <c r="D11" s="4"/>
      <c r="E11" s="4"/>
      <c r="F11" s="14" t="s">
        <v>42</v>
      </c>
      <c r="H11" t="s">
        <v>44</v>
      </c>
      <c r="I11">
        <f t="shared" si="0"/>
        <v>12</v>
      </c>
      <c r="J11">
        <f t="shared" si="0"/>
        <v>0</v>
      </c>
      <c r="K11">
        <f t="shared" si="0"/>
        <v>0</v>
      </c>
      <c r="L11">
        <f t="shared" si="0"/>
        <v>0</v>
      </c>
    </row>
    <row r="12" spans="1:12" x14ac:dyDescent="0.2">
      <c r="A12" t="s">
        <v>44</v>
      </c>
      <c r="B12" s="4">
        <v>12</v>
      </c>
      <c r="C12" s="4">
        <v>0</v>
      </c>
      <c r="D12" s="4"/>
      <c r="E12" s="4"/>
      <c r="F12" s="14" t="s">
        <v>46</v>
      </c>
      <c r="H12" t="s">
        <v>26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</row>
    <row r="13" spans="1:12" x14ac:dyDescent="0.2">
      <c r="A13" t="s">
        <v>26</v>
      </c>
      <c r="B13" s="4">
        <v>0</v>
      </c>
      <c r="C13" s="4">
        <v>0</v>
      </c>
      <c r="D13" s="4"/>
      <c r="E13" s="4"/>
      <c r="F13" s="14" t="s">
        <v>64</v>
      </c>
    </row>
    <row r="20" spans="1:6" x14ac:dyDescent="0.2">
      <c r="A20" t="s">
        <v>69</v>
      </c>
    </row>
    <row r="21" spans="1:6" x14ac:dyDescent="0.2">
      <c r="A21" s="38"/>
      <c r="B21" s="38" t="s">
        <v>6</v>
      </c>
      <c r="C21" s="38" t="s">
        <v>89</v>
      </c>
      <c r="D21" s="38"/>
      <c r="E21" s="38"/>
      <c r="F21" s="38"/>
    </row>
    <row r="22" spans="1:6" x14ac:dyDescent="0.2">
      <c r="A22" s="38" t="s">
        <v>38</v>
      </c>
      <c r="B22" s="40">
        <f>SUM(B23:B31)</f>
        <v>36</v>
      </c>
      <c r="C22" s="40"/>
      <c r="D22" s="40"/>
      <c r="E22" s="40"/>
      <c r="F22" s="41" t="s">
        <v>40</v>
      </c>
    </row>
    <row r="23" spans="1:6" x14ac:dyDescent="0.2">
      <c r="A23" s="38" t="s">
        <v>36</v>
      </c>
      <c r="B23" s="40">
        <f>B4+B5-C4-C5</f>
        <v>15</v>
      </c>
      <c r="C23" s="40"/>
      <c r="D23" s="40"/>
      <c r="E23" s="40"/>
      <c r="F23" s="42">
        <v>25</v>
      </c>
    </row>
    <row r="24" spans="1:6" x14ac:dyDescent="0.2">
      <c r="A24" s="38" t="s">
        <v>32</v>
      </c>
      <c r="B24" s="40">
        <f>B6-C6</f>
        <v>3</v>
      </c>
      <c r="C24" s="40"/>
      <c r="D24" s="40"/>
      <c r="E24" s="40"/>
      <c r="F24" s="42">
        <v>10</v>
      </c>
    </row>
    <row r="25" spans="1:6" x14ac:dyDescent="0.2">
      <c r="A25" s="38" t="s">
        <v>31</v>
      </c>
      <c r="B25" s="40">
        <f t="shared" ref="B25:B31" si="1">B7-C7</f>
        <v>0</v>
      </c>
      <c r="C25" s="40"/>
      <c r="D25" s="40"/>
      <c r="E25" s="40"/>
      <c r="F25" s="41" t="s">
        <v>41</v>
      </c>
    </row>
    <row r="26" spans="1:6" x14ac:dyDescent="0.2">
      <c r="A26" s="38" t="s">
        <v>30</v>
      </c>
      <c r="B26" s="40">
        <f t="shared" si="1"/>
        <v>0</v>
      </c>
      <c r="C26" s="40"/>
      <c r="D26" s="40"/>
      <c r="E26" s="40"/>
      <c r="F26" s="41" t="s">
        <v>41</v>
      </c>
    </row>
    <row r="27" spans="1:6" x14ac:dyDescent="0.2">
      <c r="A27" s="43" t="s">
        <v>29</v>
      </c>
      <c r="B27" s="44">
        <f t="shared" si="1"/>
        <v>7</v>
      </c>
      <c r="C27" s="44"/>
      <c r="D27" s="44"/>
      <c r="E27" s="44"/>
      <c r="F27" s="42">
        <v>7</v>
      </c>
    </row>
    <row r="28" spans="1:6" x14ac:dyDescent="0.2">
      <c r="A28" s="38" t="s">
        <v>28</v>
      </c>
      <c r="B28" s="40">
        <f t="shared" si="1"/>
        <v>11</v>
      </c>
      <c r="C28" s="40"/>
      <c r="D28" s="40"/>
      <c r="E28" s="40"/>
      <c r="F28" s="41" t="s">
        <v>42</v>
      </c>
    </row>
    <row r="29" spans="1:6" x14ac:dyDescent="0.2">
      <c r="A29" s="38" t="s">
        <v>27</v>
      </c>
      <c r="B29" s="40">
        <f t="shared" si="1"/>
        <v>-12</v>
      </c>
      <c r="C29" s="40"/>
      <c r="D29" s="40"/>
      <c r="E29" s="40"/>
      <c r="F29" s="41" t="s">
        <v>42</v>
      </c>
    </row>
    <row r="30" spans="1:6" x14ac:dyDescent="0.2">
      <c r="A30" s="38" t="s">
        <v>44</v>
      </c>
      <c r="B30" s="40">
        <f t="shared" si="1"/>
        <v>12</v>
      </c>
      <c r="C30" s="38"/>
      <c r="D30" s="38"/>
      <c r="E30" s="40"/>
      <c r="F30" s="38"/>
    </row>
    <row r="31" spans="1:6" x14ac:dyDescent="0.2">
      <c r="A31" s="38" t="s">
        <v>26</v>
      </c>
      <c r="B31" s="40">
        <f t="shared" si="1"/>
        <v>0</v>
      </c>
      <c r="C31" s="40"/>
      <c r="D31" s="40"/>
      <c r="E31" s="40"/>
      <c r="F31" s="41" t="s">
        <v>43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28</vt:i4>
      </vt:variant>
    </vt:vector>
  </HeadingPairs>
  <TitlesOfParts>
    <vt:vector size="28" baseType="lpstr">
      <vt:lpstr>Arkusz1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maciek</vt:lpstr>
      <vt:lpstr>27</vt:lpstr>
      <vt:lpstr>28</vt:lpstr>
      <vt:lpstr>29</vt:lpstr>
      <vt:lpstr>30</vt:lpstr>
      <vt:lpstr>31</vt:lpstr>
      <vt:lpstr>32</vt:lpstr>
      <vt:lpstr>33</vt:lpstr>
      <vt:lpstr>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</dc:creator>
  <cp:lastModifiedBy>Matt</cp:lastModifiedBy>
  <dcterms:created xsi:type="dcterms:W3CDTF">2020-04-02T18:29:39Z</dcterms:created>
  <dcterms:modified xsi:type="dcterms:W3CDTF">2022-04-05T21:31:08Z</dcterms:modified>
</cp:coreProperties>
</file>