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eciai.arellanoe./Documents/Finance_Seminar/Proyecto_Final_GIAE/data/"/>
    </mc:Choice>
  </mc:AlternateContent>
  <xr:revisionPtr revIDLastSave="0" documentId="13_ncr:1_{AA04678D-8909-5548-9382-7A181E41B2CE}" xr6:coauthVersionLast="47" xr6:coauthVersionMax="47" xr10:uidLastSave="{00000000-0000-0000-0000-000000000000}"/>
  <bookViews>
    <workbookView xWindow="9600" yWindow="-21100" windowWidth="23400" windowHeight="21060" xr2:uid="{E94AF4E7-7DF3-43F2-B566-0FECD118B9E8}"/>
  </bookViews>
  <sheets>
    <sheet name="plantilla" sheetId="2" r:id="rId1"/>
    <sheet name="da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2" l="1"/>
  <c r="F105" i="2" s="1"/>
  <c r="F115" i="2"/>
  <c r="F107" i="2" s="1"/>
  <c r="F15" i="2" s="1"/>
  <c r="F17" i="2"/>
  <c r="F104" i="2"/>
  <c r="F102" i="2" s="1"/>
  <c r="F101" i="2" s="1"/>
  <c r="F92" i="2"/>
  <c r="F86" i="2"/>
  <c r="F82" i="2" s="1"/>
  <c r="F59" i="2"/>
  <c r="F93" i="2"/>
  <c r="F103" i="2"/>
  <c r="F98" i="2"/>
  <c r="F118" i="2"/>
  <c r="F125" i="2"/>
  <c r="F122" i="2"/>
  <c r="F62" i="2"/>
  <c r="F123" i="2"/>
  <c r="F87" i="2"/>
  <c r="F121" i="2"/>
  <c r="F39" i="2"/>
  <c r="F83" i="2"/>
  <c r="F78" i="2"/>
  <c r="F69" i="2"/>
  <c r="F65" i="2"/>
  <c r="F54" i="2"/>
  <c r="F52" i="2"/>
  <c r="F40" i="2"/>
  <c r="F35" i="2"/>
  <c r="F28" i="2"/>
  <c r="F24" i="2"/>
  <c r="F25" i="2"/>
  <c r="G52" i="2"/>
  <c r="F51" i="2"/>
  <c r="F50" i="2"/>
  <c r="G124" i="2"/>
  <c r="F124" i="2"/>
  <c r="G123" i="2"/>
  <c r="G120" i="2"/>
  <c r="F120" i="2"/>
  <c r="G119" i="2"/>
  <c r="F119" i="2"/>
  <c r="G113" i="2"/>
  <c r="F113" i="2"/>
  <c r="G110" i="2"/>
  <c r="F110" i="2"/>
  <c r="G109" i="2"/>
  <c r="F109" i="2"/>
  <c r="G106" i="2"/>
  <c r="G105" i="2" s="1"/>
  <c r="G103" i="2"/>
  <c r="G100" i="2"/>
  <c r="F100" i="2"/>
  <c r="G99" i="2"/>
  <c r="F99" i="2"/>
  <c r="G96" i="2"/>
  <c r="F96" i="2"/>
  <c r="G95" i="2"/>
  <c r="F95" i="2"/>
  <c r="G94" i="2"/>
  <c r="F94" i="2"/>
  <c r="G91" i="2"/>
  <c r="F91" i="2"/>
  <c r="G89" i="2"/>
  <c r="G88" i="2"/>
  <c r="F89" i="2"/>
  <c r="F88" i="2"/>
  <c r="F85" i="2"/>
  <c r="G85" i="2"/>
  <c r="G84" i="2"/>
  <c r="F84" i="2"/>
  <c r="G81" i="2"/>
  <c r="F81" i="2"/>
  <c r="G80" i="2"/>
  <c r="F80" i="2"/>
  <c r="G79" i="2"/>
  <c r="F79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8" i="2"/>
  <c r="F68" i="2"/>
  <c r="G67" i="2"/>
  <c r="F67" i="2"/>
  <c r="G66" i="2"/>
  <c r="F66" i="2"/>
  <c r="G64" i="2"/>
  <c r="F64" i="2"/>
  <c r="G63" i="2"/>
  <c r="F63" i="2"/>
  <c r="G61" i="2"/>
  <c r="G60" i="2"/>
  <c r="G58" i="2"/>
  <c r="G57" i="2"/>
  <c r="G56" i="2"/>
  <c r="G55" i="2"/>
  <c r="G53" i="2"/>
  <c r="G51" i="2"/>
  <c r="G50" i="2"/>
  <c r="G49" i="2"/>
  <c r="G48" i="2"/>
  <c r="G47" i="2"/>
  <c r="G46" i="2"/>
  <c r="G45" i="2"/>
  <c r="G44" i="2"/>
  <c r="G43" i="2"/>
  <c r="G42" i="2"/>
  <c r="G41" i="2"/>
  <c r="G38" i="2"/>
  <c r="G37" i="2"/>
  <c r="G36" i="2"/>
  <c r="G34" i="2"/>
  <c r="G33" i="2"/>
  <c r="G32" i="2"/>
  <c r="G31" i="2"/>
  <c r="G30" i="2"/>
  <c r="G29" i="2"/>
  <c r="G27" i="2"/>
  <c r="G26" i="2"/>
  <c r="G25" i="2"/>
  <c r="F53" i="2"/>
  <c r="G125" i="2"/>
  <c r="G121" i="2"/>
  <c r="G116" i="2"/>
  <c r="G115" i="2"/>
  <c r="G111" i="2"/>
  <c r="G108" i="2"/>
  <c r="F116" i="2"/>
  <c r="F111" i="2"/>
  <c r="F108" i="2"/>
  <c r="F61" i="2"/>
  <c r="F60" i="2"/>
  <c r="F58" i="2"/>
  <c r="F57" i="2"/>
  <c r="F56" i="2"/>
  <c r="F55" i="2"/>
  <c r="F49" i="2"/>
  <c r="F48" i="2"/>
  <c r="F47" i="2"/>
  <c r="F46" i="2"/>
  <c r="F45" i="2"/>
  <c r="F44" i="2"/>
  <c r="F43" i="2"/>
  <c r="F42" i="2"/>
  <c r="F41" i="2"/>
  <c r="F38" i="2"/>
  <c r="F37" i="2"/>
  <c r="F36" i="2"/>
  <c r="F34" i="2"/>
  <c r="F33" i="2"/>
  <c r="F32" i="2"/>
  <c r="F31" i="2"/>
  <c r="F30" i="2"/>
  <c r="F29" i="2"/>
  <c r="F27" i="2"/>
  <c r="F26" i="2"/>
  <c r="F77" i="2" l="1"/>
  <c r="F117" i="2"/>
  <c r="G83" i="2"/>
  <c r="G65" i="2"/>
  <c r="G93" i="2"/>
  <c r="G118" i="2"/>
  <c r="G98" i="2"/>
  <c r="G62" i="2"/>
  <c r="G59" i="2" s="1"/>
  <c r="G69" i="2"/>
  <c r="G35" i="2"/>
  <c r="G87" i="2"/>
  <c r="G78" i="2"/>
  <c r="G28" i="2"/>
  <c r="G54" i="2"/>
  <c r="G122" i="2"/>
  <c r="G117" i="2" s="1"/>
  <c r="G107" i="2" s="1"/>
  <c r="G15" i="2" s="1"/>
  <c r="G24" i="2"/>
  <c r="G40" i="2"/>
  <c r="B2" i="2"/>
  <c r="F90" i="2" l="1"/>
  <c r="F23" i="2" s="1"/>
  <c r="G39" i="2"/>
  <c r="G86" i="2"/>
  <c r="G82" i="2" s="1"/>
  <c r="G77" i="2" s="1"/>
  <c r="G92" i="2" l="1"/>
  <c r="G90" i="2" l="1"/>
  <c r="G23" i="2" s="1"/>
  <c r="G17" i="2" s="1"/>
  <c r="F13" i="2" l="1"/>
  <c r="G104" i="2"/>
  <c r="G102" i="2" s="1"/>
  <c r="G101" i="2" s="1"/>
  <c r="G97" i="2" s="1"/>
  <c r="G114" i="2"/>
  <c r="G112" i="2" s="1"/>
  <c r="G13" i="2"/>
  <c r="F114" i="2" l="1"/>
  <c r="F112" i="2" s="1"/>
  <c r="F97" i="2"/>
  <c r="G14" i="2"/>
  <c r="G22" i="2"/>
  <c r="G12" i="2" s="1"/>
  <c r="G18" i="2" s="1"/>
  <c r="G11" i="2"/>
  <c r="G19" i="2" s="1"/>
  <c r="F14" i="2" l="1"/>
  <c r="F22" i="2"/>
  <c r="F12" i="2"/>
  <c r="F18" i="2" s="1"/>
  <c r="F11" i="2"/>
  <c r="F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tc={5BB17F65-987C-4D26-8A15-1BD240193F61}</author>
  </authors>
  <commentList>
    <comment ref="G7" authorId="0" shapeId="0" xr:uid="{5BB17F65-987C-4D26-8A15-1BD240193F6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Por ahora son fijos hasta que terminemos de revisar cómo determinar los APRST</t>
      </text>
    </comment>
  </commentList>
</comments>
</file>

<file path=xl/sharedStrings.xml><?xml version="1.0" encoding="utf-8"?>
<sst xmlns="http://schemas.openxmlformats.org/spreadsheetml/2006/main" count="280" uniqueCount="205">
  <si>
    <t>Títulos representativos de capital social que cumplan con el anexo 1-Q</t>
  </si>
  <si>
    <t>Reservas de capital</t>
  </si>
  <si>
    <t>Resultado de Ejercicios Anteriores</t>
  </si>
  <si>
    <t>Resultado Neto</t>
  </si>
  <si>
    <t>Resultado por valuación  de instrumentos de cobertura de flujos de efectivo</t>
  </si>
  <si>
    <t>Resultado por remediciones por beneficios definidos a los empleados.</t>
  </si>
  <si>
    <t>Acciones propias  adquiridas conforme a lo previsto en la LIC</t>
  </si>
  <si>
    <t xml:space="preserve">Subsidiarias financieras sujetas a requerimiento de capital: </t>
  </si>
  <si>
    <t>Controladoras de grupos financieros</t>
  </si>
  <si>
    <t>Sociedades Financieras de Objeto Múltiple</t>
  </si>
  <si>
    <t>Administradoras de fondos para el retiro y Sociedades de inversión especializadas de fondos para el retiro</t>
  </si>
  <si>
    <t>Sociedades y fondos de inversión, parte relativa al capital fijo (incluye la inversión en controladoras de sociedades de inversión)</t>
  </si>
  <si>
    <t>De capitales y de objeto limitado, cotizadas, respecto de las cuales la tenencia de la Institución exceda del 15 % del capital de la sociedad de inversión, por la parte de tales sociedades que esté representada por títulos accionarios</t>
  </si>
  <si>
    <t>Organismos Multilaterales de Desarrollo o de Fomento Internacional que cuenten con calificación crediticia asignada por alguna de las Instituciones Calificadoras al emisor, igual o mejor al grado de riesgo 2 a largo plazo</t>
  </si>
  <si>
    <t>Otras entidades financieras del país distintas a las comprendidas en los conceptos anteriores</t>
  </si>
  <si>
    <t>Otras entidades financieras del exterior distintas a las comprendidas en los conceptos anteriores</t>
  </si>
  <si>
    <t>Instrumentos de deuda subordinados</t>
  </si>
  <si>
    <t>Beneficio sobre el remanente en operaciones de bursatilización</t>
  </si>
  <si>
    <t>Utilidad o incremento en el valor de los activos respecto de los activos  registrados en el balance del originador de acuerdo con el 2 Bis 56</t>
  </si>
  <si>
    <t>Empresas (cotizadas y no cotizadas) accionistas de la propia Institución, de la controladora del grupo financiero o de las demás entidades financieras integrantes del grupo financiero, o de las filiales financieras de todas éstas</t>
  </si>
  <si>
    <t>Empresas ( cotizadas y no cotizadas) relacionadas con la institución en los términos de los artículos 73, 73 BIS y 73 BIS 1 de la L.I.C., cuya inversión no derive de capitalizaciones o daciones en pago de adeudos</t>
  </si>
  <si>
    <t>Cuya capitalización o dación en pago tenga más de 5 años de haberse efectuado</t>
  </si>
  <si>
    <t>Empresas denominadas como  "capital de riesgo" (sólo para Bancos de Desarrollo)</t>
  </si>
  <si>
    <t>Reservas constituidas con cargo a cuentas distintas de resultados o de capital</t>
  </si>
  <si>
    <t>Reservas pendientes de constituirse</t>
  </si>
  <si>
    <t>Aportaciones destinadas a la adquisición de acciones  de la sociedad controladora del grupo financiero, de otras entidades financieras integrantes del grupo o de las filiales financieras de todas</t>
  </si>
  <si>
    <t>Créditos y demás operaciones que se realicen en contravención a las disposiciones aplicables</t>
  </si>
  <si>
    <t>Intangibles distintos a crédito mercantil</t>
  </si>
  <si>
    <t>Crédito mercantil</t>
  </si>
  <si>
    <t xml:space="preserve">      De inversiones en acciones de las que se restan para determinar el Capital Básico 1 </t>
  </si>
  <si>
    <t xml:space="preserve">      De  otras inversiones</t>
  </si>
  <si>
    <t>Erogaciones o gastos cuyo reconocimiento en el capital contable se difiera en el tiempo, provenientes de  cargos diferidos  y pagos anticipados cuyo plazo remanente de afectación a resultados sea mayor a un año.</t>
  </si>
  <si>
    <t>Pagos anticipados , cuyo plazo remanente de afectación a resultados sea mayor a un año.</t>
  </si>
  <si>
    <t>Cargos diferidos , cuyo plazo remanente de afectación a resultados sea mayor a un año.</t>
  </si>
  <si>
    <t>Pérdidas fiscales</t>
  </si>
  <si>
    <t>Créditos Fiscales</t>
  </si>
  <si>
    <t>Participación de los trabajadores en las utilidades diferida activa</t>
  </si>
  <si>
    <t>Otras diferencias temporales activas netas de las partidas pasivas</t>
  </si>
  <si>
    <t xml:space="preserve">Límite de computabilidad </t>
  </si>
  <si>
    <t>Operaciones Realizadas Con Personas Relacionadas Relevantes,  celebradas con posterioridad al 3 de marzo 2011</t>
  </si>
  <si>
    <t>Títulos representativos del capital social que cumplan con el anexo 1-R</t>
  </si>
  <si>
    <t>Prima en venta de acciones de títulos representativos del capital social que cumplan con el  anexo 1-R</t>
  </si>
  <si>
    <t>Instrumentos de Capital que cumplan con el anexo 1-R</t>
  </si>
  <si>
    <t>Límite de computabilidad conforme artículo 2 bis 6  fracción II inciso b,  a partir de diciembre 2017</t>
  </si>
  <si>
    <t xml:space="preserve">Monto máximo permitido de Obligaciones Subordinadas e Instrumentos de capital emitidos con anterioridad al 31 de diciembre de 2012 que computan como Capital Básico No Fundamental </t>
  </si>
  <si>
    <t>Títulos representativos del capital social que cumplan con el  anexo 1-S</t>
  </si>
  <si>
    <t>Prima en venta de acciones de títulos representativos del capital social que cumplan con el  anexo 1-S</t>
  </si>
  <si>
    <t>Límite de computabilidad conforme artículo 2 bis 7  fracción II a partir de diciembre 2017</t>
  </si>
  <si>
    <t>Monto máximo permitido de Obligaciones Subordinadas e Instrumentos de capital emitidos con anterioridad al 31 de diciembre de 2012 que computan como Capital Complementario</t>
  </si>
  <si>
    <t>CAPITAL BÁSICO</t>
  </si>
  <si>
    <t>CAPITAL NETO</t>
  </si>
  <si>
    <t>cifras en millones de pesos</t>
  </si>
  <si>
    <t>CONCEPTO</t>
  </si>
  <si>
    <t>DETERMINACIÓN DEL CAPITAL BÁSICO</t>
  </si>
  <si>
    <t>MI BANCO</t>
  </si>
  <si>
    <t>CAPITAL CONTRIBUIDO</t>
  </si>
  <si>
    <t>(+)</t>
  </si>
  <si>
    <t>CAPITAL GANADO</t>
  </si>
  <si>
    <t>I</t>
  </si>
  <si>
    <t>II</t>
  </si>
  <si>
    <t>III</t>
  </si>
  <si>
    <t>INVERSIONES</t>
  </si>
  <si>
    <t xml:space="preserve">INVERSIONES EN ENTIDADES FINANCIERAS (DIRECTAS E INDIRECTAS) </t>
  </si>
  <si>
    <t>(-)</t>
  </si>
  <si>
    <t>INVERSIONES EN OTROS INSTRUMENTOS</t>
  </si>
  <si>
    <t>INVERSIONES INDIRECTAS</t>
  </si>
  <si>
    <t>INVERSIONES EN ENTIDADES NO FINANCIERAS</t>
  </si>
  <si>
    <t>IV</t>
  </si>
  <si>
    <t>RESERVAS</t>
  </si>
  <si>
    <t>95667 + 95286 +  95700</t>
  </si>
  <si>
    <t>95668 + 95284 + 95699</t>
  </si>
  <si>
    <t xml:space="preserve">Pérdidas esperadas totales </t>
  </si>
  <si>
    <t>Faltante de reservas  derivadas de modelos internos</t>
  </si>
  <si>
    <t>V</t>
  </si>
  <si>
    <t>VI</t>
  </si>
  <si>
    <t>APORTACIONES Y FINANCIAMIENTOS</t>
  </si>
  <si>
    <t>VII</t>
  </si>
  <si>
    <t>INTANGIBLES</t>
  </si>
  <si>
    <t>PARTE FUNDAMENTAL</t>
  </si>
  <si>
    <t>I.1</t>
  </si>
  <si>
    <t>I.2</t>
  </si>
  <si>
    <t>I.3</t>
  </si>
  <si>
    <t>I.4</t>
  </si>
  <si>
    <t>I.5</t>
  </si>
  <si>
    <t>I.6</t>
  </si>
  <si>
    <t>I.7</t>
  </si>
  <si>
    <t>I.8</t>
  </si>
  <si>
    <t>b)</t>
  </si>
  <si>
    <t>e)</t>
  </si>
  <si>
    <t>c)</t>
  </si>
  <si>
    <t>a)</t>
  </si>
  <si>
    <t>Valores  referenciados a índices accionarios que incluyan acciones propias de la institución</t>
  </si>
  <si>
    <t>d)</t>
  </si>
  <si>
    <t>i)</t>
  </si>
  <si>
    <t>f)</t>
  </si>
  <si>
    <t>g)</t>
  </si>
  <si>
    <t>h)</t>
  </si>
  <si>
    <t>j)</t>
  </si>
  <si>
    <t>k)</t>
  </si>
  <si>
    <t>K)</t>
  </si>
  <si>
    <t>l)</t>
  </si>
  <si>
    <t>m)</t>
  </si>
  <si>
    <t>n).1</t>
  </si>
  <si>
    <t>r).1</t>
  </si>
  <si>
    <t>n).2</t>
  </si>
  <si>
    <t>p)</t>
  </si>
  <si>
    <t>VIII</t>
  </si>
  <si>
    <t xml:space="preserve"> IMPUESTOS DIFERIDOS,</t>
  </si>
  <si>
    <t xml:space="preserve"> PARTIDAS A FAVOR PROVENIENTES DE PÉRDIDAS Y CRÉDITOS FISCALES</t>
  </si>
  <si>
    <t>VIII.1</t>
  </si>
  <si>
    <t>IMPUESTOS DIFERIDOS, PARTIDAS A FAVOR PROVENIENTES DE  DIFERENCIAS TEMPORALES</t>
  </si>
  <si>
    <t xml:space="preserve">VIII.2 </t>
  </si>
  <si>
    <t>Diferencias temporales activas</t>
  </si>
  <si>
    <t>Diferencias temporales pasivas</t>
  </si>
  <si>
    <t xml:space="preserve">Máx(0, (95380-95390) </t>
  </si>
  <si>
    <t>max(0, q.1 - q.2)</t>
  </si>
  <si>
    <t>q.1</t>
  </si>
  <si>
    <t>q.2</t>
  </si>
  <si>
    <t>IX</t>
  </si>
  <si>
    <t>Resultado de valuación positivo que se deduce</t>
  </si>
  <si>
    <t>Resultado de valuación negativo que se suma</t>
  </si>
  <si>
    <t xml:space="preserve">RESULTADO POR VALUACIÓN DE INSTRUMENTOS DE COBERTURA DE FLUJOS DE EFECTIVO PARTIDAS VALUADAS A COSTO AMORTIZADO </t>
  </si>
  <si>
    <t>X</t>
  </si>
  <si>
    <t>MONTO A DEDUCIR DE OPERACIONES REALIZADAS CON PERSONAS RELACIONADAS RELEVANTES</t>
  </si>
  <si>
    <t>Límite de computabilidad ( 25%  Capital Fundamental antes de personas relacionadas relevantes)</t>
  </si>
  <si>
    <t>max(0, 25% [(I+II)-(III+…+IX)]</t>
  </si>
  <si>
    <t xml:space="preserve"> máx(0, 10% [( I + II) - ( III+…+ VIII.I)])</t>
  </si>
  <si>
    <t>X.I</t>
  </si>
  <si>
    <t>MONTO A DEDUCIR DE OPERACIONES REALIZADAS CON GRANDES EXPOSICIONES QUE EXCEDEN LOS LÍMITES ESTABLECIDOS EN EL ARTÍCULO 54 DE LA CUB</t>
  </si>
  <si>
    <t>Excedente de Grandes Exposiciones con limite del 25% del C.B</t>
  </si>
  <si>
    <t>Excedente de Grandes Exposiciones con limite del 15% del C.B</t>
  </si>
  <si>
    <t>Excedente de Grandes Exposiciones con limite del 100% del C.B</t>
  </si>
  <si>
    <t>r).2</t>
  </si>
  <si>
    <t>s.1</t>
  </si>
  <si>
    <t>s.2</t>
  </si>
  <si>
    <t>max(0, s.1-s.2)</t>
  </si>
  <si>
    <t>t).1</t>
  </si>
  <si>
    <t>t).2</t>
  </si>
  <si>
    <t>t).3</t>
  </si>
  <si>
    <t>PARTE BÁSICA NO FUNDAMENTAL</t>
  </si>
  <si>
    <t>XII</t>
  </si>
  <si>
    <t>XIII</t>
  </si>
  <si>
    <t>TÍTULOS REPRESENTATIVOS  DEL CAPITAL SOCIAL</t>
  </si>
  <si>
    <t xml:space="preserve">INSTRUMENTOS DE CAPITAL </t>
  </si>
  <si>
    <t>XIV</t>
  </si>
  <si>
    <t>TÍTULOS ART.64 DE LA LIC. EMITIDOS ANTES DEL 31 DE DICIEMBRE 2012( TRANSITORIOS)</t>
  </si>
  <si>
    <t>b.2</t>
  </si>
  <si>
    <t>b.1</t>
  </si>
  <si>
    <t>máx[0, min ( b.1, b.2)]</t>
  </si>
  <si>
    <t>[(I+II)-(III+…+XI)]</t>
  </si>
  <si>
    <t>XII+XIII+XIV</t>
  </si>
  <si>
    <t>PARTE COMPLEMENTARIA</t>
  </si>
  <si>
    <t>XVI</t>
  </si>
  <si>
    <t>XV</t>
  </si>
  <si>
    <t>INSTRUMENTOS DE CAPITAL</t>
  </si>
  <si>
    <t>II.1</t>
  </si>
  <si>
    <t>II.2</t>
  </si>
  <si>
    <t xml:space="preserve">Máx(0, (min( II.1, II.2)) </t>
  </si>
  <si>
    <t>TÍTULOS ART. 64  DE LA LIC. EMITIDOS ANTÉS DEL 31 DE DICIEMBRE 2012( TRANSITORIOS)</t>
  </si>
  <si>
    <t>XVII.</t>
  </si>
  <si>
    <t xml:space="preserve">XVIII. </t>
  </si>
  <si>
    <t>Límite de computabilidad de reservas bajo metodología estándar</t>
  </si>
  <si>
    <t>Reservas admisibles totales.</t>
  </si>
  <si>
    <t>95695</t>
  </si>
  <si>
    <t>Pérdidas Esperadas Totales</t>
  </si>
  <si>
    <t>Reservas computables de cartera bajo método estándar</t>
  </si>
  <si>
    <t>Reservas Admisibles Totales</t>
  </si>
  <si>
    <t>95708</t>
  </si>
  <si>
    <t>Límite de computabilidad de reservas bajo metodología interna</t>
  </si>
  <si>
    <t>Reservas computables de cartera bajo método interno</t>
  </si>
  <si>
    <t>0.6% ASRC (MI)</t>
  </si>
  <si>
    <t>1.25% ASRC (ME)</t>
  </si>
  <si>
    <t>a.1</t>
  </si>
  <si>
    <t>a.2</t>
  </si>
  <si>
    <t>a.3</t>
  </si>
  <si>
    <t>b.3</t>
  </si>
  <si>
    <t>Min( Máx( 0, (a.1-a.2)) , a.3)</t>
  </si>
  <si>
    <t>Min( Máx( 0, (b.1-b.2)) ,b.3)</t>
  </si>
  <si>
    <t>fecha</t>
  </si>
  <si>
    <t>concepto</t>
  </si>
  <si>
    <t>importe1</t>
  </si>
  <si>
    <t>IV.1</t>
  </si>
  <si>
    <t>IV.3</t>
  </si>
  <si>
    <t>IV.2</t>
  </si>
  <si>
    <t>Reservas admisibles totales</t>
  </si>
  <si>
    <t>ACTIVOS SUJETOS A RIESGO TOTALES</t>
  </si>
  <si>
    <t>COEFICIENTE DE CAPITAL FUNDAMENTAL</t>
  </si>
  <si>
    <t>Si CCF&gt;= 10% entonces  95080
Si no, entonces Máx [ 0, Min (  0.50* Cap. Fundamental ,   0.50* Cap. Fundamental - 95075  )]</t>
  </si>
  <si>
    <t>Si CCF&gt;10%  entonces 95075
sino,   0.50*Fundamental</t>
  </si>
  <si>
    <t>BÁSICA NO FUNDAMENTAL</t>
  </si>
  <si>
    <t>FUNDAMENTAL</t>
  </si>
  <si>
    <t>CAPITAL COMPLEMENTARIO</t>
  </si>
  <si>
    <t>COEFICIENTE DE CAPITAL BÁSICO</t>
  </si>
  <si>
    <t>ÍNDICE DE CAPITALIZACIÓN</t>
  </si>
  <si>
    <t>Prima en venta de acciones  de títulos representativos del capital que cumplan con el anexo 1-Q</t>
  </si>
  <si>
    <t>Aportaciones para futuros aumentos de capital formalizados por su órgano de gobierno</t>
  </si>
  <si>
    <t>Resultado por valuación de títulos disponibles para la venta</t>
  </si>
  <si>
    <t>Cámaras de compensación, empresas, fideicomisos  u otro tipo de figuras similares que tengan por finalidad actuar como socio liquidador.</t>
  </si>
  <si>
    <t>Max(0,95295-95290)</t>
  </si>
  <si>
    <t>Financiamiento cuyo destino directo o indirecto sea la adquisición de acciones de subsidiarias financieras de las entidades financieras integrantes del grupo.</t>
  </si>
  <si>
    <t>Instrumentos de cápita computables en el básico no fundamental</t>
  </si>
  <si>
    <t>Instrumentos de cápita computables en el complementario</t>
  </si>
  <si>
    <t>Instrumentos de Capital que cumplan con el anexo 1-S  con plazos de amortización</t>
  </si>
  <si>
    <t>ACTIVOS SUJETOS A RIESGO DE CREDITO (MÉTODO ESTÁNDAR)</t>
  </si>
  <si>
    <t>ACTIVOS SUJETOS A RIESGO DE CREDITO (MÉTODO INTERNO)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</si>
</sst>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indexed="9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DashDotDot">
        <color auto="1"/>
      </left>
      <right/>
      <top/>
      <bottom style="hair">
        <color auto="1"/>
      </bottom>
      <diagonal/>
    </border>
  </borders>
  <cellStyleXfs count="7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165" fontId="5" fillId="0" borderId="0" xfId="5" applyNumberFormat="1" applyFont="1"/>
    <xf numFmtId="0" fontId="6" fillId="0" borderId="0" xfId="0" applyFont="1" applyAlignment="1">
      <alignment horizontal="left"/>
    </xf>
    <xf numFmtId="165" fontId="6" fillId="0" borderId="0" xfId="5" applyNumberFormat="1" applyFont="1" applyFill="1"/>
    <xf numFmtId="14" fontId="6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14" fontId="6" fillId="3" borderId="0" xfId="0" applyNumberFormat="1" applyFont="1" applyFill="1"/>
    <xf numFmtId="0" fontId="5" fillId="0" borderId="2" xfId="0" applyFont="1" applyBorder="1"/>
    <xf numFmtId="165" fontId="5" fillId="0" borderId="3" xfId="5" applyNumberFormat="1" applyFont="1" applyFill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5" fontId="6" fillId="0" borderId="5" xfId="5" applyNumberFormat="1" applyFont="1" applyFill="1" applyBorder="1"/>
    <xf numFmtId="0" fontId="5" fillId="0" borderId="6" xfId="0" applyFont="1" applyBorder="1"/>
    <xf numFmtId="165" fontId="5" fillId="0" borderId="0" xfId="5" applyNumberFormat="1" applyFont="1" applyFill="1" applyBorder="1"/>
    <xf numFmtId="0" fontId="5" fillId="0" borderId="0" xfId="0" applyFont="1" applyAlignment="1">
      <alignment horizontal="left" indent="3"/>
    </xf>
    <xf numFmtId="0" fontId="5" fillId="0" borderId="7" xfId="0" applyFont="1" applyBorder="1"/>
    <xf numFmtId="0" fontId="5" fillId="0" borderId="8" xfId="0" applyFont="1" applyBorder="1"/>
    <xf numFmtId="165" fontId="5" fillId="0" borderId="8" xfId="5" applyNumberFormat="1" applyFont="1" applyFill="1" applyBorder="1"/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5" fillId="0" borderId="0" xfId="0" applyNumberFormat="1" applyFont="1"/>
    <xf numFmtId="0" fontId="7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 indent="3"/>
    </xf>
    <xf numFmtId="165" fontId="5" fillId="0" borderId="0" xfId="5" applyNumberFormat="1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/>
    <xf numFmtId="165" fontId="5" fillId="0" borderId="5" xfId="5" applyNumberFormat="1" applyFont="1" applyFill="1" applyBorder="1"/>
    <xf numFmtId="0" fontId="5" fillId="0" borderId="0" xfId="0" applyFont="1" applyAlignment="1">
      <alignment horizontal="left" indent="2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0" xfId="0" applyFont="1" applyBorder="1"/>
    <xf numFmtId="165" fontId="6" fillId="0" borderId="10" xfId="5" applyNumberFormat="1" applyFont="1" applyFill="1" applyBorder="1"/>
    <xf numFmtId="0" fontId="5" fillId="0" borderId="11" xfId="0" applyFont="1" applyBorder="1"/>
    <xf numFmtId="165" fontId="6" fillId="0" borderId="0" xfId="5" applyNumberFormat="1" applyFont="1" applyFill="1" applyBorder="1"/>
    <xf numFmtId="0" fontId="5" fillId="0" borderId="12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65" fontId="6" fillId="0" borderId="1" xfId="5" applyNumberFormat="1" applyFont="1" applyFill="1" applyBorder="1"/>
    <xf numFmtId="10" fontId="6" fillId="0" borderId="10" xfId="6" applyNumberFormat="1" applyFont="1" applyFill="1" applyBorder="1"/>
    <xf numFmtId="10" fontId="6" fillId="0" borderId="0" xfId="6" applyNumberFormat="1" applyFont="1" applyFill="1" applyBorder="1"/>
    <xf numFmtId="10" fontId="6" fillId="0" borderId="1" xfId="6" applyNumberFormat="1" applyFont="1" applyFill="1" applyBorder="1"/>
    <xf numFmtId="0" fontId="6" fillId="0" borderId="0" xfId="0" applyFont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1" xfId="0" applyFont="1" applyBorder="1" applyAlignment="1">
      <alignment horizontal="left" indent="2"/>
    </xf>
    <xf numFmtId="0" fontId="5" fillId="5" borderId="9" xfId="0" applyFont="1" applyFill="1" applyBorder="1"/>
    <xf numFmtId="0" fontId="8" fillId="5" borderId="10" xfId="0" applyFont="1" applyFill="1" applyBorder="1"/>
    <xf numFmtId="0" fontId="6" fillId="5" borderId="10" xfId="0" applyFont="1" applyFill="1" applyBorder="1"/>
    <xf numFmtId="165" fontId="8" fillId="5" borderId="10" xfId="5" applyNumberFormat="1" applyFont="1" applyFill="1" applyBorder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165" fontId="6" fillId="4" borderId="0" xfId="5" applyNumberFormat="1" applyFont="1" applyFill="1" applyBorder="1"/>
    <xf numFmtId="0" fontId="6" fillId="0" borderId="11" xfId="0" applyFont="1" applyBorder="1"/>
    <xf numFmtId="165" fontId="6" fillId="0" borderId="0" xfId="5" applyNumberFormat="1" applyFont="1" applyBorder="1"/>
    <xf numFmtId="0" fontId="5" fillId="0" borderId="0" xfId="0" applyFont="1" applyAlignment="1">
      <alignment horizontal="left" indent="1"/>
    </xf>
    <xf numFmtId="0" fontId="6" fillId="6" borderId="11" xfId="0" applyFont="1" applyFill="1" applyBorder="1"/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5" fillId="0" borderId="1" xfId="0" applyFont="1" applyBorder="1"/>
    <xf numFmtId="165" fontId="5" fillId="0" borderId="1" xfId="5" applyNumberFormat="1" applyFont="1" applyBorder="1"/>
    <xf numFmtId="0" fontId="8" fillId="2" borderId="9" xfId="0" applyFont="1" applyFill="1" applyBorder="1"/>
    <xf numFmtId="0" fontId="8" fillId="2" borderId="10" xfId="0" applyFont="1" applyFill="1" applyBorder="1" applyAlignment="1">
      <alignment horizontal="left"/>
    </xf>
    <xf numFmtId="0" fontId="8" fillId="2" borderId="10" xfId="0" applyFont="1" applyFill="1" applyBorder="1"/>
    <xf numFmtId="165" fontId="8" fillId="2" borderId="10" xfId="5" applyNumberFormat="1" applyFont="1" applyFill="1" applyBorder="1"/>
    <xf numFmtId="0" fontId="5" fillId="0" borderId="13" xfId="0" applyFont="1" applyBorder="1" applyAlignment="1">
      <alignment horizontal="left"/>
    </xf>
    <xf numFmtId="0" fontId="5" fillId="0" borderId="1" xfId="0" applyFont="1" applyBorder="1" applyAlignment="1">
      <alignment horizontal="left" indent="2"/>
    </xf>
    <xf numFmtId="165" fontId="5" fillId="0" borderId="1" xfId="5" applyNumberFormat="1" applyFont="1" applyFill="1" applyBorder="1"/>
    <xf numFmtId="0" fontId="6" fillId="4" borderId="11" xfId="0" applyFont="1" applyFill="1" applyBorder="1" applyAlignment="1">
      <alignment horizontal="left"/>
    </xf>
    <xf numFmtId="165" fontId="6" fillId="0" borderId="0" xfId="0" applyNumberFormat="1" applyFont="1"/>
    <xf numFmtId="165" fontId="6" fillId="0" borderId="5" xfId="0" applyNumberFormat="1" applyFont="1" applyBorder="1"/>
    <xf numFmtId="165" fontId="6" fillId="6" borderId="0" xfId="0" applyNumberFormat="1" applyFont="1" applyFill="1"/>
    <xf numFmtId="0" fontId="5" fillId="0" borderId="0" xfId="0" applyFont="1" applyAlignment="1">
      <alignment horizontal="left" wrapText="1"/>
    </xf>
    <xf numFmtId="43" fontId="5" fillId="0" borderId="0" xfId="0" applyNumberFormat="1" applyFont="1"/>
    <xf numFmtId="43" fontId="6" fillId="0" borderId="0" xfId="0" applyNumberFormat="1" applyFont="1"/>
    <xf numFmtId="0" fontId="4" fillId="7" borderId="0" xfId="0" applyFont="1" applyFill="1" applyAlignment="1">
      <alignment horizontal="center" vertical="center"/>
    </xf>
    <xf numFmtId="165" fontId="5" fillId="8" borderId="8" xfId="5" applyNumberFormat="1" applyFont="1" applyFill="1" applyBorder="1"/>
    <xf numFmtId="165" fontId="6" fillId="9" borderId="0" xfId="5" applyNumberFormat="1" applyFont="1" applyFill="1" applyBorder="1"/>
  </cellXfs>
  <cellStyles count="7">
    <cellStyle name="Millares" xfId="5" builtinId="3"/>
    <cellStyle name="Millares 18 10" xfId="2" xr:uid="{0D2F74E7-FACD-4475-94CB-9C8F67DC1F78}"/>
    <cellStyle name="Normal" xfId="0" builtinId="0"/>
    <cellStyle name="Normal 22 2" xfId="1" xr:uid="{7BFF2BC1-2E11-40F8-AC8E-B100965A3538}"/>
    <cellStyle name="Normal 22 2 3" xfId="3" xr:uid="{CCBFF7DB-8AF0-45AF-9329-805CCE825BC9}"/>
    <cellStyle name="Normal 3 23" xfId="4" xr:uid="{2ED99DE5-B323-4069-AC4F-63FD1F864E5F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ía Arellano Martinez" id="{BBDB1162-625D-4003-95D1-010641A5E185}" userId="8d8a42d52f336a98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5-03-17T06:09:43.10" personId="{BBDB1162-625D-4003-95D1-010641A5E185}" id="{5BB17F65-987C-4D26-8A15-1BD240193F61}">
    <text>Por ahora son fijos hasta que terminemos de revisar cómo determinar los APRST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C46A-3B17-4A19-AC1E-E5732A74F939}">
  <sheetPr codeName="Hoja2">
    <pageSetUpPr autoPageBreaks="0"/>
  </sheetPr>
  <dimension ref="B2:J125"/>
  <sheetViews>
    <sheetView showGridLines="0" tabSelected="1" topLeftCell="A94" zoomScale="115" zoomScaleNormal="115" workbookViewId="0">
      <selection activeCell="F105" sqref="F105"/>
    </sheetView>
  </sheetViews>
  <sheetFormatPr baseColWidth="10" defaultColWidth="11.5" defaultRowHeight="15" x14ac:dyDescent="0.2"/>
  <cols>
    <col min="1" max="1" width="11.5" style="2"/>
    <col min="2" max="2" width="16.33203125" style="2" customWidth="1"/>
    <col min="3" max="3" width="24.5" style="3" customWidth="1"/>
    <col min="4" max="4" width="4.83203125" style="2" customWidth="1"/>
    <col min="5" max="5" width="72.5" style="2" customWidth="1"/>
    <col min="6" max="6" width="16.5" style="5" customWidth="1"/>
    <col min="7" max="7" width="15" style="5" bestFit="1" customWidth="1"/>
    <col min="8" max="16384" width="11.5" style="2"/>
  </cols>
  <sheetData>
    <row r="2" spans="2:10" ht="21" x14ac:dyDescent="0.2">
      <c r="B2" s="83" t="str">
        <f>"DETERMINACION DEL CAPITAL NETO CORRESPODIENTE A : "</f>
        <v xml:space="preserve">DETERMINACION DEL CAPITAL NETO CORRESPODIENTE A : </v>
      </c>
      <c r="C2" s="83"/>
      <c r="D2" s="83"/>
      <c r="E2" s="83"/>
      <c r="F2" s="83"/>
      <c r="G2" s="83"/>
    </row>
    <row r="3" spans="2:10" ht="21" x14ac:dyDescent="0.2">
      <c r="B3" s="83" t="s">
        <v>54</v>
      </c>
      <c r="C3" s="83"/>
      <c r="D3" s="83"/>
      <c r="E3" s="83"/>
      <c r="F3" s="83"/>
      <c r="G3" s="83"/>
    </row>
    <row r="4" spans="2:10" ht="21" x14ac:dyDescent="0.2">
      <c r="B4" s="83" t="s">
        <v>51</v>
      </c>
      <c r="C4" s="83"/>
      <c r="D4" s="83"/>
      <c r="E4" s="83"/>
      <c r="F4" s="83"/>
      <c r="G4" s="83"/>
    </row>
    <row r="6" spans="2:10" s="4" customFormat="1" x14ac:dyDescent="0.2">
      <c r="B6" s="9"/>
      <c r="C6" s="10"/>
      <c r="D6" s="9" t="s">
        <v>52</v>
      </c>
      <c r="E6" s="9"/>
      <c r="F6" s="11">
        <v>41274</v>
      </c>
      <c r="G6" s="11">
        <v>45688</v>
      </c>
    </row>
    <row r="7" spans="2:10" x14ac:dyDescent="0.2">
      <c r="B7" s="35"/>
      <c r="C7" s="36"/>
      <c r="D7" s="37" t="s">
        <v>185</v>
      </c>
      <c r="E7" s="38"/>
      <c r="F7" s="39">
        <v>155988.961392809</v>
      </c>
      <c r="G7" s="39">
        <v>155988.96139280891</v>
      </c>
    </row>
    <row r="8" spans="2:10" x14ac:dyDescent="0.2">
      <c r="B8" s="40"/>
      <c r="D8" s="52" t="s">
        <v>203</v>
      </c>
      <c r="E8" s="52"/>
      <c r="F8" s="41">
        <v>105988.961392809</v>
      </c>
      <c r="G8" s="41">
        <v>105988.96139280892</v>
      </c>
    </row>
    <row r="9" spans="2:10" x14ac:dyDescent="0.2">
      <c r="B9" s="42"/>
      <c r="C9" s="43"/>
      <c r="D9" s="53" t="s">
        <v>204</v>
      </c>
      <c r="E9" s="53"/>
      <c r="F9" s="46">
        <v>50000</v>
      </c>
      <c r="G9" s="46">
        <v>50000</v>
      </c>
    </row>
    <row r="10" spans="2:10" ht="7.25" customHeight="1" x14ac:dyDescent="0.2">
      <c r="D10" s="6"/>
      <c r="E10" s="4"/>
      <c r="F10" s="7"/>
      <c r="G10" s="7"/>
    </row>
    <row r="11" spans="2:10" x14ac:dyDescent="0.2">
      <c r="B11" s="35"/>
      <c r="C11" s="36"/>
      <c r="D11" s="37" t="s">
        <v>50</v>
      </c>
      <c r="E11" s="38"/>
      <c r="F11" s="39">
        <f>+F12+F15</f>
        <v>25335.934295971896</v>
      </c>
      <c r="G11" s="39">
        <f>+G12+G15</f>
        <v>0</v>
      </c>
    </row>
    <row r="12" spans="2:10" x14ac:dyDescent="0.2">
      <c r="B12" s="40"/>
      <c r="D12" s="50" t="s">
        <v>49</v>
      </c>
      <c r="E12" s="50"/>
      <c r="F12" s="41">
        <f t="shared" ref="F12:G13" si="0">+F22</f>
        <v>23711.072278561784</v>
      </c>
      <c r="G12" s="41">
        <f t="shared" si="0"/>
        <v>0</v>
      </c>
    </row>
    <row r="13" spans="2:10" x14ac:dyDescent="0.2">
      <c r="B13" s="40"/>
      <c r="D13" s="50"/>
      <c r="E13" s="50" t="s">
        <v>190</v>
      </c>
      <c r="F13" s="41">
        <f t="shared" si="0"/>
        <v>21197.792278561785</v>
      </c>
      <c r="G13" s="41">
        <f t="shared" si="0"/>
        <v>0</v>
      </c>
    </row>
    <row r="14" spans="2:10" x14ac:dyDescent="0.2">
      <c r="B14" s="40"/>
      <c r="D14" s="50"/>
      <c r="E14" s="50" t="s">
        <v>189</v>
      </c>
      <c r="F14" s="41">
        <f>+F97</f>
        <v>2513.2800000000002</v>
      </c>
      <c r="G14" s="41">
        <f>+G97</f>
        <v>0</v>
      </c>
    </row>
    <row r="15" spans="2:10" x14ac:dyDescent="0.2">
      <c r="B15" s="42"/>
      <c r="C15" s="43"/>
      <c r="D15" s="51" t="s">
        <v>191</v>
      </c>
      <c r="E15" s="51"/>
      <c r="F15" s="46">
        <f>+F107</f>
        <v>1624.8620174101125</v>
      </c>
      <c r="G15" s="46">
        <f>+G107</f>
        <v>0</v>
      </c>
      <c r="I15" s="27"/>
    </row>
    <row r="16" spans="2:10" x14ac:dyDescent="0.2">
      <c r="D16" s="6"/>
      <c r="E16" s="4"/>
      <c r="F16" s="7"/>
      <c r="G16" s="7"/>
      <c r="I16" s="27"/>
      <c r="J16" s="27"/>
    </row>
    <row r="17" spans="2:10" x14ac:dyDescent="0.2">
      <c r="B17" s="35"/>
      <c r="C17" s="36"/>
      <c r="D17" s="37" t="s">
        <v>186</v>
      </c>
      <c r="E17" s="38"/>
      <c r="F17" s="47">
        <f>+F23/F7</f>
        <v>0.1358928996596229</v>
      </c>
      <c r="G17" s="47">
        <f>+G23/G7</f>
        <v>0</v>
      </c>
    </row>
    <row r="18" spans="2:10" x14ac:dyDescent="0.2">
      <c r="B18" s="40"/>
      <c r="D18" s="6" t="s">
        <v>192</v>
      </c>
      <c r="E18" s="4"/>
      <c r="F18" s="48">
        <f>+F12/F7</f>
        <v>0.15200480897396917</v>
      </c>
      <c r="G18" s="48">
        <f>+G12/G7</f>
        <v>0</v>
      </c>
      <c r="J18" s="27"/>
    </row>
    <row r="19" spans="2:10" x14ac:dyDescent="0.2">
      <c r="B19" s="42"/>
      <c r="C19" s="43"/>
      <c r="D19" s="44" t="s">
        <v>193</v>
      </c>
      <c r="E19" s="45"/>
      <c r="F19" s="49">
        <f>+F11/F7</f>
        <v>0.16242132821290692</v>
      </c>
      <c r="G19" s="49">
        <f>+G11/G7</f>
        <v>0</v>
      </c>
      <c r="J19" s="81"/>
    </row>
    <row r="20" spans="2:10" x14ac:dyDescent="0.2">
      <c r="F20" s="8"/>
      <c r="G20" s="8"/>
    </row>
    <row r="21" spans="2:10" x14ac:dyDescent="0.2">
      <c r="B21" s="9"/>
      <c r="C21" s="10"/>
      <c r="D21" s="9" t="s">
        <v>52</v>
      </c>
      <c r="E21" s="9"/>
      <c r="F21" s="11">
        <v>41274</v>
      </c>
      <c r="G21" s="11">
        <v>45688</v>
      </c>
    </row>
    <row r="22" spans="2:10" x14ac:dyDescent="0.2">
      <c r="B22" s="54"/>
      <c r="C22" s="55" t="s">
        <v>53</v>
      </c>
      <c r="D22" s="56"/>
      <c r="E22" s="56"/>
      <c r="F22" s="57">
        <f>+F23+F97</f>
        <v>23711.072278561784</v>
      </c>
      <c r="G22" s="57">
        <f>+G23+G97</f>
        <v>0</v>
      </c>
    </row>
    <row r="23" spans="2:10" s="4" customFormat="1" x14ac:dyDescent="0.2">
      <c r="B23" s="76" t="s">
        <v>149</v>
      </c>
      <c r="C23" s="58" t="s">
        <v>78</v>
      </c>
      <c r="D23" s="59"/>
      <c r="E23" s="59"/>
      <c r="F23" s="60">
        <f>+F24+F28-F35-F39-F59-F65-F69-F77-F87-F90-F93</f>
        <v>21197.792278561785</v>
      </c>
      <c r="G23" s="60">
        <f>+G24+G28-G35-G39-G59-G65-G69-G77-G87-G90-G93</f>
        <v>0</v>
      </c>
    </row>
    <row r="24" spans="2:10" x14ac:dyDescent="0.2">
      <c r="B24" s="61" t="s">
        <v>58</v>
      </c>
      <c r="C24" s="6"/>
      <c r="D24" s="4" t="s">
        <v>55</v>
      </c>
      <c r="E24" s="4"/>
      <c r="F24" s="62">
        <f>SUM(F25:F27)</f>
        <v>6528.6842752824004</v>
      </c>
      <c r="G24" s="62">
        <f>SUM(G25:G27)</f>
        <v>0</v>
      </c>
    </row>
    <row r="25" spans="2:10" x14ac:dyDescent="0.2">
      <c r="B25" s="40" t="s">
        <v>56</v>
      </c>
      <c r="C25" s="3">
        <v>95005</v>
      </c>
      <c r="D25" s="2" t="s">
        <v>79</v>
      </c>
      <c r="E25" s="2" t="s">
        <v>0</v>
      </c>
      <c r="F25" s="30">
        <f>SUMIFS(datos!$C:$C,datos!$B:$B,plantilla!$C25,datos!$A:$A,plantilla!$F$6)</f>
        <v>5560.0466490769204</v>
      </c>
      <c r="G25" s="30">
        <f>SUMIFS(datos!$C:$C,datos!$B:$B,plantilla!$C25,datos!$A:$A,plantilla!G$6)</f>
        <v>0</v>
      </c>
    </row>
    <row r="26" spans="2:10" x14ac:dyDescent="0.2">
      <c r="B26" s="40" t="s">
        <v>56</v>
      </c>
      <c r="C26" s="3">
        <v>95010</v>
      </c>
      <c r="D26" s="2" t="s">
        <v>79</v>
      </c>
      <c r="E26" s="2" t="s">
        <v>194</v>
      </c>
      <c r="F26" s="30">
        <f>SUMIFS(datos!$C:$C,datos!$B:$B,plantilla!$C26,datos!$A:$A,plantilla!$F$6)</f>
        <v>403.14962620547999</v>
      </c>
      <c r="G26" s="30">
        <f>SUMIFS(datos!$C:$C,datos!$B:$B,plantilla!$C26,datos!$A:$A,plantilla!G$6)</f>
        <v>0</v>
      </c>
    </row>
    <row r="27" spans="2:10" s="4" customFormat="1" x14ac:dyDescent="0.2">
      <c r="B27" s="40" t="s">
        <v>56</v>
      </c>
      <c r="C27" s="3">
        <v>95035</v>
      </c>
      <c r="D27" s="2" t="s">
        <v>80</v>
      </c>
      <c r="E27" s="2" t="s">
        <v>195</v>
      </c>
      <c r="F27" s="30">
        <f>SUMIFS(datos!$C:$C,datos!$B:$B,plantilla!$C27,datos!$A:$A,plantilla!$F$6)</f>
        <v>565.48800000000006</v>
      </c>
      <c r="G27" s="30">
        <f>SUMIFS(datos!$C:$C,datos!$B:$B,plantilla!$C27,datos!$A:$A,plantilla!G$6)</f>
        <v>0</v>
      </c>
    </row>
    <row r="28" spans="2:10" x14ac:dyDescent="0.2">
      <c r="B28" s="61" t="s">
        <v>59</v>
      </c>
      <c r="C28" s="6"/>
      <c r="D28" s="4" t="s">
        <v>57</v>
      </c>
      <c r="E28" s="4"/>
      <c r="F28" s="62">
        <f>SUM(F29:F34)</f>
        <v>29877.547610064001</v>
      </c>
      <c r="G28" s="62">
        <f>SUM(G29:G34)</f>
        <v>0</v>
      </c>
    </row>
    <row r="29" spans="2:10" x14ac:dyDescent="0.2">
      <c r="B29" s="40" t="s">
        <v>56</v>
      </c>
      <c r="C29" s="3">
        <v>95045</v>
      </c>
      <c r="D29" s="2" t="s">
        <v>81</v>
      </c>
      <c r="E29" s="2" t="s">
        <v>1</v>
      </c>
      <c r="F29" s="30">
        <f>SUMIFS(datos!$C:$C,datos!$B:$B,plantilla!$C29,datos!$A:$A,plantilla!$F$6)</f>
        <v>3641.1235640472</v>
      </c>
      <c r="G29" s="30">
        <f>SUMIFS(datos!$C:$C,datos!$B:$B,plantilla!$C29,datos!$A:$A,plantilla!G$6)</f>
        <v>0</v>
      </c>
    </row>
    <row r="30" spans="2:10" x14ac:dyDescent="0.2">
      <c r="B30" s="40" t="s">
        <v>56</v>
      </c>
      <c r="C30" s="3">
        <v>95050</v>
      </c>
      <c r="D30" s="2" t="s">
        <v>82</v>
      </c>
      <c r="E30" s="2" t="s">
        <v>2</v>
      </c>
      <c r="F30" s="30">
        <f>SUMIFS(datos!$C:$C,datos!$B:$B,plantilla!$C30,datos!$A:$A,plantilla!$F$6)</f>
        <v>25931.114043486959</v>
      </c>
      <c r="G30" s="30">
        <f>SUMIFS(datos!$C:$C,datos!$B:$B,plantilla!$C30,datos!$A:$A,plantilla!G$6)</f>
        <v>0</v>
      </c>
    </row>
    <row r="31" spans="2:10" x14ac:dyDescent="0.2">
      <c r="B31" s="40" t="s">
        <v>56</v>
      </c>
      <c r="C31" s="3">
        <v>95055</v>
      </c>
      <c r="D31" s="2" t="s">
        <v>83</v>
      </c>
      <c r="E31" s="2" t="s">
        <v>3</v>
      </c>
      <c r="F31" s="30">
        <f>SUMIFS(datos!$C:$C,datos!$B:$B,plantilla!$C31,datos!$A:$A,plantilla!$F$6)</f>
        <v>2830.2287161671602</v>
      </c>
      <c r="G31" s="30">
        <f>SUMIFS(datos!$C:$C,datos!$B:$B,plantilla!$C31,datos!$A:$A,plantilla!G$6)</f>
        <v>0</v>
      </c>
    </row>
    <row r="32" spans="2:10" x14ac:dyDescent="0.2">
      <c r="B32" s="40" t="s">
        <v>56</v>
      </c>
      <c r="C32" s="3">
        <v>95060</v>
      </c>
      <c r="D32" s="2" t="s">
        <v>84</v>
      </c>
      <c r="E32" s="2" t="s">
        <v>196</v>
      </c>
      <c r="F32" s="30">
        <f>SUMIFS(datos!$C:$C,datos!$B:$B,plantilla!$C32,datos!$A:$A,plantilla!$F$6)</f>
        <v>231.12230621172</v>
      </c>
      <c r="G32" s="30">
        <f>SUMIFS(datos!$C:$C,datos!$B:$B,plantilla!$C32,datos!$A:$A,plantilla!G$6)</f>
        <v>0</v>
      </c>
    </row>
    <row r="33" spans="2:7" x14ac:dyDescent="0.2">
      <c r="B33" s="40" t="s">
        <v>56</v>
      </c>
      <c r="C33" s="3">
        <v>95066</v>
      </c>
      <c r="D33" s="2" t="s">
        <v>85</v>
      </c>
      <c r="E33" s="2" t="s">
        <v>4</v>
      </c>
      <c r="F33" s="30">
        <f>SUMIFS(datos!$C:$C,datos!$B:$B,plantilla!$C33,datos!$A:$A,plantilla!$F$6)</f>
        <v>-22.7579852346</v>
      </c>
      <c r="G33" s="30">
        <f>SUMIFS(datos!$C:$C,datos!$B:$B,plantilla!$C33,datos!$A:$A,plantilla!G$6)</f>
        <v>0</v>
      </c>
    </row>
    <row r="34" spans="2:7" s="4" customFormat="1" x14ac:dyDescent="0.2">
      <c r="B34" s="40" t="s">
        <v>56</v>
      </c>
      <c r="C34" s="3">
        <v>95068</v>
      </c>
      <c r="D34" s="2" t="s">
        <v>86</v>
      </c>
      <c r="E34" s="2" t="s">
        <v>5</v>
      </c>
      <c r="F34" s="30">
        <f>SUMIFS(datos!$C:$C,datos!$B:$B,plantilla!$C34,datos!$A:$A,plantilla!$F$6)</f>
        <v>-2733.2830346144401</v>
      </c>
      <c r="G34" s="30">
        <f>SUMIFS(datos!$C:$C,datos!$B:$B,plantilla!$C34,datos!$A:$A,plantilla!G$6)</f>
        <v>0</v>
      </c>
    </row>
    <row r="35" spans="2:7" x14ac:dyDescent="0.2">
      <c r="B35" s="61" t="s">
        <v>60</v>
      </c>
      <c r="C35" s="6"/>
      <c r="D35" s="4" t="s">
        <v>64</v>
      </c>
      <c r="E35" s="4"/>
      <c r="F35" s="62">
        <f>SUM(F36:F38)</f>
        <v>0</v>
      </c>
      <c r="G35" s="62">
        <f>SUM(G36:G38)</f>
        <v>0</v>
      </c>
    </row>
    <row r="36" spans="2:7" x14ac:dyDescent="0.2">
      <c r="B36" s="40" t="s">
        <v>63</v>
      </c>
      <c r="C36" s="3">
        <v>95185</v>
      </c>
      <c r="D36" s="2" t="s">
        <v>87</v>
      </c>
      <c r="E36" s="2" t="s">
        <v>16</v>
      </c>
      <c r="F36" s="30">
        <f>SUMIFS(datos!$C:$C,datos!$B:$B,plantilla!$C36,datos!$A:$A,plantilla!$F$6)</f>
        <v>0</v>
      </c>
      <c r="G36" s="30">
        <f>SUMIFS(datos!$C:$C,datos!$B:$B,plantilla!$C36,datos!$A:$A,plantilla!G$6)</f>
        <v>0</v>
      </c>
    </row>
    <row r="37" spans="2:7" x14ac:dyDescent="0.2">
      <c r="B37" s="40" t="s">
        <v>63</v>
      </c>
      <c r="C37" s="3">
        <v>95195</v>
      </c>
      <c r="D37" s="2" t="s">
        <v>89</v>
      </c>
      <c r="E37" s="2" t="s">
        <v>17</v>
      </c>
      <c r="F37" s="30">
        <f>SUMIFS(datos!$C:$C,datos!$B:$B,plantilla!$C37,datos!$A:$A,plantilla!$F$6)</f>
        <v>0</v>
      </c>
      <c r="G37" s="30">
        <f>SUMIFS(datos!$C:$C,datos!$B:$B,plantilla!$C37,datos!$A:$A,plantilla!G$6)</f>
        <v>0</v>
      </c>
    </row>
    <row r="38" spans="2:7" s="4" customFormat="1" x14ac:dyDescent="0.2">
      <c r="B38" s="40" t="s">
        <v>63</v>
      </c>
      <c r="C38" s="3">
        <v>95200</v>
      </c>
      <c r="D38" s="2" t="s">
        <v>89</v>
      </c>
      <c r="E38" s="2" t="s">
        <v>18</v>
      </c>
      <c r="F38" s="30">
        <f>SUMIFS(datos!$C:$C,datos!$B:$B,plantilla!$C38,datos!$A:$A,plantilla!$F$6)</f>
        <v>0</v>
      </c>
      <c r="G38" s="30">
        <f>SUMIFS(datos!$C:$C,datos!$B:$B,plantilla!$C38,datos!$A:$A,plantilla!G$6)</f>
        <v>0</v>
      </c>
    </row>
    <row r="39" spans="2:7" s="4" customFormat="1" x14ac:dyDescent="0.2">
      <c r="B39" s="61" t="s">
        <v>67</v>
      </c>
      <c r="C39" s="6"/>
      <c r="D39" s="4" t="s">
        <v>61</v>
      </c>
      <c r="F39" s="62">
        <f>+F40+F52+F54</f>
        <v>6558.7976906390404</v>
      </c>
      <c r="G39" s="62">
        <f>+G40+G52+G54</f>
        <v>0</v>
      </c>
    </row>
    <row r="40" spans="2:7" x14ac:dyDescent="0.2">
      <c r="B40" s="61" t="s">
        <v>181</v>
      </c>
      <c r="C40" s="6"/>
      <c r="D40" s="4" t="s">
        <v>62</v>
      </c>
      <c r="E40" s="4"/>
      <c r="F40" s="62">
        <f>SUM(F41:F51)</f>
        <v>6558.7976906390404</v>
      </c>
      <c r="G40" s="62">
        <f>SUM(G41:G51)</f>
        <v>0</v>
      </c>
    </row>
    <row r="41" spans="2:7" x14ac:dyDescent="0.2">
      <c r="B41" s="40" t="s">
        <v>63</v>
      </c>
      <c r="C41" s="3">
        <v>95130</v>
      </c>
      <c r="D41" s="2" t="s">
        <v>92</v>
      </c>
      <c r="E41" s="2" t="s">
        <v>6</v>
      </c>
      <c r="F41" s="30">
        <f>SUMIFS(datos!$C:$C,datos!$B:$B,plantilla!$C41,datos!$A:$A,plantilla!$F$6)</f>
        <v>0</v>
      </c>
      <c r="G41" s="30">
        <f>SUMIFS(datos!$C:$C,datos!$B:$B,plantilla!$C41,datos!$A:$A,plantilla!G$6)</f>
        <v>0</v>
      </c>
    </row>
    <row r="42" spans="2:7" x14ac:dyDescent="0.2">
      <c r="B42" s="40" t="s">
        <v>63</v>
      </c>
      <c r="C42" s="3">
        <v>95135</v>
      </c>
      <c r="D42" s="2" t="s">
        <v>94</v>
      </c>
      <c r="E42" s="2" t="s">
        <v>7</v>
      </c>
      <c r="F42" s="30">
        <f>SUMIFS(datos!$C:$C,datos!$B:$B,plantilla!$C42,datos!$A:$A,plantilla!$F$6)</f>
        <v>0</v>
      </c>
      <c r="G42" s="30">
        <f>SUMIFS(datos!$C:$C,datos!$B:$B,plantilla!$C42,datos!$A:$A,plantilla!G$6)</f>
        <v>0</v>
      </c>
    </row>
    <row r="43" spans="2:7" x14ac:dyDescent="0.2">
      <c r="B43" s="40" t="s">
        <v>63</v>
      </c>
      <c r="C43" s="3">
        <v>95146</v>
      </c>
      <c r="D43" s="2" t="s">
        <v>94</v>
      </c>
      <c r="E43" s="2" t="s">
        <v>8</v>
      </c>
      <c r="F43" s="30">
        <f>SUMIFS(datos!$C:$C,datos!$B:$B,plantilla!$C43,datos!$A:$A,plantilla!$F$6)</f>
        <v>0</v>
      </c>
      <c r="G43" s="30">
        <f>SUMIFS(datos!$C:$C,datos!$B:$B,plantilla!$C43,datos!$A:$A,plantilla!G$6)</f>
        <v>0</v>
      </c>
    </row>
    <row r="44" spans="2:7" x14ac:dyDescent="0.2">
      <c r="B44" s="40" t="s">
        <v>63</v>
      </c>
      <c r="C44" s="3">
        <v>95150</v>
      </c>
      <c r="D44" s="2" t="s">
        <v>94</v>
      </c>
      <c r="E44" s="2" t="s">
        <v>9</v>
      </c>
      <c r="F44" s="30">
        <f>SUMIFS(datos!$C:$C,datos!$B:$B,plantilla!$C44,datos!$A:$A,plantilla!$F$6)</f>
        <v>6558.0536165020803</v>
      </c>
      <c r="G44" s="30">
        <f>SUMIFS(datos!$C:$C,datos!$B:$B,plantilla!$C44,datos!$A:$A,plantilla!G$6)</f>
        <v>0</v>
      </c>
    </row>
    <row r="45" spans="2:7" x14ac:dyDescent="0.2">
      <c r="B45" s="40" t="s">
        <v>63</v>
      </c>
      <c r="C45" s="3">
        <v>95151</v>
      </c>
      <c r="D45" s="2" t="s">
        <v>94</v>
      </c>
      <c r="E45" s="2" t="s">
        <v>10</v>
      </c>
      <c r="F45" s="30">
        <f>SUMIFS(datos!$C:$C,datos!$B:$B,plantilla!$C45,datos!$A:$A,plantilla!$F$6)</f>
        <v>0</v>
      </c>
      <c r="G45" s="30">
        <f>SUMIFS(datos!$C:$C,datos!$B:$B,plantilla!$C45,datos!$A:$A,plantilla!G$6)</f>
        <v>0</v>
      </c>
    </row>
    <row r="46" spans="2:7" x14ac:dyDescent="0.2">
      <c r="B46" s="40" t="s">
        <v>63</v>
      </c>
      <c r="C46" s="3">
        <v>92350</v>
      </c>
      <c r="D46" s="2" t="s">
        <v>94</v>
      </c>
      <c r="E46" s="2" t="s">
        <v>197</v>
      </c>
      <c r="F46" s="30">
        <f>SUMIFS(datos!$C:$C,datos!$B:$B,plantilla!$C46,datos!$A:$A,plantilla!$F$6)</f>
        <v>0</v>
      </c>
      <c r="G46" s="30">
        <f>SUMIFS(datos!$C:$C,datos!$B:$B,plantilla!$C46,datos!$A:$A,plantilla!G$6)</f>
        <v>0</v>
      </c>
    </row>
    <row r="47" spans="2:7" x14ac:dyDescent="0.2">
      <c r="B47" s="40" t="s">
        <v>63</v>
      </c>
      <c r="C47" s="3">
        <v>95152</v>
      </c>
      <c r="D47" s="2" t="s">
        <v>94</v>
      </c>
      <c r="E47" s="2" t="s">
        <v>11</v>
      </c>
      <c r="F47" s="30">
        <f>SUMIFS(datos!$C:$C,datos!$B:$B,plantilla!$C47,datos!$A:$A,plantilla!$F$6)</f>
        <v>0</v>
      </c>
      <c r="G47" s="30">
        <f>SUMIFS(datos!$C:$C,datos!$B:$B,plantilla!$C47,datos!$A:$A,plantilla!G$6)</f>
        <v>0</v>
      </c>
    </row>
    <row r="48" spans="2:7" x14ac:dyDescent="0.2">
      <c r="B48" s="40" t="s">
        <v>63</v>
      </c>
      <c r="C48" s="3">
        <v>92792</v>
      </c>
      <c r="D48" s="2" t="s">
        <v>93</v>
      </c>
      <c r="E48" s="2" t="s">
        <v>12</v>
      </c>
      <c r="F48" s="30">
        <f>SUMIFS(datos!$C:$C,datos!$B:$B,plantilla!$C48,datos!$A:$A,plantilla!$F$6)</f>
        <v>0</v>
      </c>
      <c r="G48" s="30">
        <f>SUMIFS(datos!$C:$C,datos!$B:$B,plantilla!$C48,datos!$A:$A,plantilla!G$6)</f>
        <v>0</v>
      </c>
    </row>
    <row r="49" spans="2:10" x14ac:dyDescent="0.2">
      <c r="B49" s="40" t="s">
        <v>63</v>
      </c>
      <c r="C49" s="3">
        <v>95160</v>
      </c>
      <c r="D49" s="2" t="s">
        <v>93</v>
      </c>
      <c r="E49" s="2" t="s">
        <v>13</v>
      </c>
      <c r="F49" s="30">
        <f>SUMIFS(datos!$C:$C,datos!$B:$B,plantilla!$C49,datos!$A:$A,plantilla!$F$6)</f>
        <v>0</v>
      </c>
      <c r="G49" s="30">
        <f>SUMIFS(datos!$C:$C,datos!$B:$B,plantilla!$C49,datos!$A:$A,plantilla!G$6)</f>
        <v>0</v>
      </c>
    </row>
    <row r="50" spans="2:10" x14ac:dyDescent="0.2">
      <c r="B50" s="40" t="s">
        <v>63</v>
      </c>
      <c r="C50" s="3">
        <v>95175</v>
      </c>
      <c r="D50" s="2" t="s">
        <v>97</v>
      </c>
      <c r="E50" s="2" t="s">
        <v>14</v>
      </c>
      <c r="F50" s="30">
        <f>SUMIFS(datos!$C:$C,datos!$B:$B,plantilla!$C50,datos!$A:$A,plantilla!$F$6)</f>
        <v>0.20695902612</v>
      </c>
      <c r="G50" s="30">
        <f>SUMIFS(datos!$C:$C,datos!$B:$B,plantilla!$C50,datos!$A:$A,plantilla!G$6)</f>
        <v>0</v>
      </c>
    </row>
    <row r="51" spans="2:10" s="4" customFormat="1" x14ac:dyDescent="0.2">
      <c r="B51" s="40" t="s">
        <v>63</v>
      </c>
      <c r="C51" s="3">
        <v>95176</v>
      </c>
      <c r="D51" s="2" t="s">
        <v>97</v>
      </c>
      <c r="E51" s="2" t="s">
        <v>15</v>
      </c>
      <c r="F51" s="30">
        <f>SUMIFS(datos!$C:$C,datos!$B:$B,plantilla!$C51,datos!$A:$A,plantilla!$F$6)</f>
        <v>0.53711511083999997</v>
      </c>
      <c r="G51" s="30">
        <f>SUMIFS(datos!$C:$C,datos!$B:$B,plantilla!$C51,datos!$A:$A,plantilla!G$6)</f>
        <v>0</v>
      </c>
    </row>
    <row r="52" spans="2:10" x14ac:dyDescent="0.2">
      <c r="B52" s="61" t="s">
        <v>183</v>
      </c>
      <c r="C52" s="6"/>
      <c r="D52" s="4" t="s">
        <v>65</v>
      </c>
      <c r="E52" s="4"/>
      <c r="F52" s="62">
        <f>+F53</f>
        <v>0</v>
      </c>
      <c r="G52" s="62">
        <f>+G53</f>
        <v>0</v>
      </c>
    </row>
    <row r="53" spans="2:10" s="4" customFormat="1" x14ac:dyDescent="0.2">
      <c r="B53" s="40" t="s">
        <v>63</v>
      </c>
      <c r="C53" s="3">
        <v>95215</v>
      </c>
      <c r="D53" s="2" t="s">
        <v>88</v>
      </c>
      <c r="E53" s="2" t="s">
        <v>91</v>
      </c>
      <c r="F53" s="30">
        <f>SUMIFS(datos!$C:$C,datos!$B:$B,plantilla!$C53,datos!$A:$A,plantilla!$F$6)</f>
        <v>0</v>
      </c>
      <c r="G53" s="30">
        <f>SUMIFS(datos!$C:$C,datos!$B:$B,plantilla!$C53,datos!$A:$A,plantilla!G$6)</f>
        <v>0</v>
      </c>
    </row>
    <row r="54" spans="2:10" x14ac:dyDescent="0.2">
      <c r="B54" s="61" t="s">
        <v>182</v>
      </c>
      <c r="C54" s="6"/>
      <c r="D54" s="4" t="s">
        <v>66</v>
      </c>
      <c r="E54" s="4"/>
      <c r="F54" s="62">
        <f>SUM(F55:F58)</f>
        <v>0</v>
      </c>
      <c r="G54" s="62">
        <f>SUM(G55:G58)</f>
        <v>0</v>
      </c>
    </row>
    <row r="55" spans="2:10" x14ac:dyDescent="0.2">
      <c r="B55" s="40"/>
      <c r="C55" s="3">
        <v>95251</v>
      </c>
      <c r="D55" s="2" t="s">
        <v>96</v>
      </c>
      <c r="E55" s="2" t="s">
        <v>22</v>
      </c>
      <c r="F55" s="30">
        <f>SUMIFS(datos!$C:$C,datos!$B:$B,plantilla!$C55,datos!$A:$A,plantilla!$F$6)</f>
        <v>0</v>
      </c>
      <c r="G55" s="30">
        <f>SUMIFS(datos!$C:$C,datos!$B:$B,plantilla!$C55,datos!$A:$A,plantilla!G$6)</f>
        <v>0</v>
      </c>
    </row>
    <row r="56" spans="2:10" x14ac:dyDescent="0.2">
      <c r="B56" s="40"/>
      <c r="C56" s="3">
        <v>92375</v>
      </c>
      <c r="D56" s="2" t="s">
        <v>97</v>
      </c>
      <c r="E56" s="2" t="s">
        <v>19</v>
      </c>
      <c r="F56" s="30">
        <f>SUMIFS(datos!$C:$C,datos!$B:$B,plantilla!$C56,datos!$A:$A,plantilla!$F$6)</f>
        <v>0</v>
      </c>
      <c r="G56" s="30">
        <f>SUMIFS(datos!$C:$C,datos!$B:$B,plantilla!$C56,datos!$A:$A,plantilla!G$6)</f>
        <v>0</v>
      </c>
    </row>
    <row r="57" spans="2:10" x14ac:dyDescent="0.2">
      <c r="B57" s="40"/>
      <c r="C57" s="3">
        <v>92389</v>
      </c>
      <c r="D57" s="2" t="s">
        <v>95</v>
      </c>
      <c r="E57" s="2" t="s">
        <v>20</v>
      </c>
      <c r="F57" s="30">
        <f>SUMIFS(datos!$C:$C,datos!$B:$B,plantilla!$C57,datos!$A:$A,plantilla!$F$6)</f>
        <v>0</v>
      </c>
      <c r="G57" s="30">
        <f>SUMIFS(datos!$C:$C,datos!$B:$B,plantilla!$C57,datos!$A:$A,plantilla!G$6)</f>
        <v>0</v>
      </c>
    </row>
    <row r="58" spans="2:10" s="4" customFormat="1" x14ac:dyDescent="0.2">
      <c r="B58" s="40"/>
      <c r="C58" s="3">
        <v>92385</v>
      </c>
      <c r="D58" s="2" t="s">
        <v>95</v>
      </c>
      <c r="E58" s="2" t="s">
        <v>21</v>
      </c>
      <c r="F58" s="30">
        <f>SUMIFS(datos!$C:$C,datos!$B:$B,plantilla!$C58,datos!$A:$A,plantilla!$F$6)</f>
        <v>0</v>
      </c>
      <c r="G58" s="30">
        <f>SUMIFS(datos!$C:$C,datos!$B:$B,plantilla!$C58,datos!$A:$A,plantilla!G$6)</f>
        <v>0</v>
      </c>
    </row>
    <row r="59" spans="2:10" x14ac:dyDescent="0.2">
      <c r="B59" s="61" t="s">
        <v>73</v>
      </c>
      <c r="C59" s="6"/>
      <c r="D59" s="4" t="s">
        <v>68</v>
      </c>
      <c r="E59" s="4"/>
      <c r="F59" s="41">
        <f>+SUM(F60:F62)</f>
        <v>0</v>
      </c>
      <c r="G59" s="62">
        <f>+SUM(G60:G62)</f>
        <v>0</v>
      </c>
    </row>
    <row r="60" spans="2:10" x14ac:dyDescent="0.2">
      <c r="B60" s="40" t="s">
        <v>63</v>
      </c>
      <c r="C60" s="3" t="s">
        <v>69</v>
      </c>
      <c r="D60" s="2" t="s">
        <v>98</v>
      </c>
      <c r="E60" s="2" t="s">
        <v>23</v>
      </c>
      <c r="F60" s="30">
        <f>SUMIFS(datos!$C:$C,datos!$B:$B,plantilla!$C60,datos!$A:$A,plantilla!$F$6)</f>
        <v>0</v>
      </c>
      <c r="G60" s="30">
        <f>SUMIFS(datos!$C:$C,datos!$B:$B,plantilla!$C60,datos!$A:$A,plantilla!G$6)</f>
        <v>0</v>
      </c>
      <c r="H60" s="4"/>
    </row>
    <row r="61" spans="2:10" ht="16" thickBot="1" x14ac:dyDescent="0.25">
      <c r="B61" s="40" t="s">
        <v>63</v>
      </c>
      <c r="C61" s="3" t="s">
        <v>70</v>
      </c>
      <c r="D61" s="2" t="s">
        <v>99</v>
      </c>
      <c r="E61" s="2" t="s">
        <v>24</v>
      </c>
      <c r="F61" s="30">
        <f>SUMIFS(datos!$C:$C,datos!$B:$B,plantilla!$C61,datos!$A:$A,plantilla!$F$6)</f>
        <v>0</v>
      </c>
      <c r="G61" s="30">
        <f>SUMIFS(datos!$C:$C,datos!$B:$B,plantilla!$C61,datos!$A:$A,plantilla!G$6)</f>
        <v>0</v>
      </c>
      <c r="H61" s="4"/>
    </row>
    <row r="62" spans="2:10" ht="16" thickBot="1" x14ac:dyDescent="0.25">
      <c r="B62" s="40" t="s">
        <v>63</v>
      </c>
      <c r="C62" s="3" t="s">
        <v>198</v>
      </c>
      <c r="D62" s="12" t="s">
        <v>99</v>
      </c>
      <c r="E62" s="14" t="s">
        <v>72</v>
      </c>
      <c r="F62" s="13">
        <f>MAX(0,F63-F64)</f>
        <v>0</v>
      </c>
      <c r="G62" s="13">
        <f>MAX(0,G63-G64)</f>
        <v>0</v>
      </c>
      <c r="H62" s="4"/>
    </row>
    <row r="63" spans="2:10" x14ac:dyDescent="0.2">
      <c r="B63" s="40"/>
      <c r="C63" s="3">
        <v>95295</v>
      </c>
      <c r="E63" s="20" t="s">
        <v>71</v>
      </c>
      <c r="F63" s="30">
        <f>SUMIFS(datos!$C:$C,datos!$B:$B,plantilla!$C63,datos!$A:$A,plantilla!$F$6)</f>
        <v>0</v>
      </c>
      <c r="G63" s="30">
        <f>SUMIFS(datos!$C:$C,datos!$B:$B,plantilla!$C63,datos!$A:$A,plantilla!G$6)</f>
        <v>0</v>
      </c>
    </row>
    <row r="64" spans="2:10" s="4" customFormat="1" x14ac:dyDescent="0.2">
      <c r="B64" s="40"/>
      <c r="C64" s="3">
        <v>95290</v>
      </c>
      <c r="D64" s="2"/>
      <c r="E64" s="20" t="s">
        <v>184</v>
      </c>
      <c r="F64" s="30">
        <f>SUMIFS(datos!$C:$C,datos!$B:$B,plantilla!$C64,datos!$A:$A,plantilla!$F$6)</f>
        <v>0</v>
      </c>
      <c r="G64" s="30">
        <f>SUMIFS(datos!$C:$C,datos!$B:$B,plantilla!$C64,datos!$A:$A,plantilla!G$6)</f>
        <v>0</v>
      </c>
      <c r="J64" s="82"/>
    </row>
    <row r="65" spans="2:8" x14ac:dyDescent="0.2">
      <c r="B65" s="61" t="s">
        <v>74</v>
      </c>
      <c r="C65" s="6"/>
      <c r="D65" s="4" t="s">
        <v>75</v>
      </c>
      <c r="E65" s="4"/>
      <c r="F65" s="62">
        <f>SUM(F66:F68)</f>
        <v>0</v>
      </c>
      <c r="G65" s="62">
        <f>SUM(G66:G68)</f>
        <v>0</v>
      </c>
    </row>
    <row r="66" spans="2:8" x14ac:dyDescent="0.2">
      <c r="B66" s="40" t="s">
        <v>63</v>
      </c>
      <c r="C66" s="3">
        <v>95300</v>
      </c>
      <c r="D66" s="2" t="s">
        <v>100</v>
      </c>
      <c r="E66" s="2" t="s">
        <v>25</v>
      </c>
      <c r="F66" s="30">
        <f>SUMIFS(datos!$C:$C,datos!$B:$B,plantilla!$C66,datos!$A:$A,plantilla!$F$6)</f>
        <v>0</v>
      </c>
      <c r="G66" s="30">
        <f>SUMIFS(datos!$C:$C,datos!$B:$B,plantilla!$C66,datos!$A:$A,plantilla!G$6)</f>
        <v>0</v>
      </c>
    </row>
    <row r="67" spans="2:8" x14ac:dyDescent="0.2">
      <c r="B67" s="40" t="s">
        <v>63</v>
      </c>
      <c r="C67" s="3">
        <v>95305</v>
      </c>
      <c r="D67" s="2" t="s">
        <v>100</v>
      </c>
      <c r="E67" s="2" t="s">
        <v>199</v>
      </c>
      <c r="F67" s="30">
        <f>SUMIFS(datos!$C:$C,datos!$B:$B,plantilla!$C67,datos!$A:$A,plantilla!$F$6)</f>
        <v>0</v>
      </c>
      <c r="G67" s="30">
        <f>SUMIFS(datos!$C:$C,datos!$B:$B,plantilla!$C67,datos!$A:$A,plantilla!G$6)</f>
        <v>0</v>
      </c>
    </row>
    <row r="68" spans="2:8" s="4" customFormat="1" x14ac:dyDescent="0.2">
      <c r="B68" s="40" t="s">
        <v>63</v>
      </c>
      <c r="C68" s="3">
        <v>93910</v>
      </c>
      <c r="D68" s="2" t="s">
        <v>101</v>
      </c>
      <c r="E68" s="2" t="s">
        <v>26</v>
      </c>
      <c r="F68" s="30">
        <f>SUMIFS(datos!$C:$C,datos!$B:$B,plantilla!$C68,datos!$A:$A,plantilla!$F$6)</f>
        <v>0</v>
      </c>
      <c r="G68" s="30">
        <f>SUMIFS(datos!$C:$C,datos!$B:$B,plantilla!$C68,datos!$A:$A,plantilla!G$6)</f>
        <v>0</v>
      </c>
    </row>
    <row r="69" spans="2:8" x14ac:dyDescent="0.2">
      <c r="B69" s="61" t="s">
        <v>76</v>
      </c>
      <c r="C69" s="6"/>
      <c r="D69" s="4" t="s">
        <v>77</v>
      </c>
      <c r="E69" s="4"/>
      <c r="F69" s="62">
        <f>+SUM(F70:F71)+F74</f>
        <v>4781.6900548586409</v>
      </c>
      <c r="G69" s="62">
        <f>+SUM(G70:G71)+G74</f>
        <v>0</v>
      </c>
      <c r="H69" s="27"/>
    </row>
    <row r="70" spans="2:8" x14ac:dyDescent="0.2">
      <c r="B70" s="40" t="s">
        <v>63</v>
      </c>
      <c r="C70" s="3">
        <v>95315</v>
      </c>
      <c r="D70" s="2" t="s">
        <v>102</v>
      </c>
      <c r="E70" s="2" t="s">
        <v>27</v>
      </c>
      <c r="F70" s="30">
        <f>SUMIFS(datos!$C:$C,datos!$B:$B,plantilla!$C70,datos!$A:$A,plantilla!$F$6)</f>
        <v>4227.9655358833206</v>
      </c>
      <c r="G70" s="30">
        <f>SUMIFS(datos!$C:$C,datos!$B:$B,plantilla!$C70,datos!$A:$A,plantilla!G$6)</f>
        <v>0</v>
      </c>
    </row>
    <row r="71" spans="2:8" x14ac:dyDescent="0.2">
      <c r="B71" s="40" t="s">
        <v>63</v>
      </c>
      <c r="C71" s="3">
        <v>95320</v>
      </c>
      <c r="D71" s="2" t="s">
        <v>102</v>
      </c>
      <c r="E71" s="2" t="s">
        <v>28</v>
      </c>
      <c r="F71" s="30">
        <f>SUMIFS(datos!$C:$C,datos!$B:$B,plantilla!$C71,datos!$A:$A,plantilla!$F$6)</f>
        <v>0</v>
      </c>
      <c r="G71" s="30">
        <f>SUMIFS(datos!$C:$C,datos!$B:$B,plantilla!$C71,datos!$A:$A,plantilla!G$6)</f>
        <v>0</v>
      </c>
    </row>
    <row r="72" spans="2:8" x14ac:dyDescent="0.2">
      <c r="B72" s="40"/>
      <c r="C72" s="3">
        <v>95325</v>
      </c>
      <c r="E72" s="63" t="s">
        <v>29</v>
      </c>
      <c r="F72" s="30">
        <f>SUMIFS(datos!$C:$C,datos!$B:$B,plantilla!$C72,datos!$A:$A,plantilla!$F$6)</f>
        <v>0</v>
      </c>
      <c r="G72" s="30">
        <f>SUMIFS(datos!$C:$C,datos!$B:$B,plantilla!$C72,datos!$A:$A,plantilla!G$6)</f>
        <v>0</v>
      </c>
    </row>
    <row r="73" spans="2:8" x14ac:dyDescent="0.2">
      <c r="B73" s="40"/>
      <c r="C73" s="3">
        <v>95330</v>
      </c>
      <c r="E73" s="63" t="s">
        <v>30</v>
      </c>
      <c r="F73" s="30">
        <f>SUMIFS(datos!$C:$C,datos!$B:$B,plantilla!$C73,datos!$A:$A,plantilla!$F$6)</f>
        <v>0</v>
      </c>
      <c r="G73" s="30">
        <f>SUMIFS(datos!$C:$C,datos!$B:$B,plantilla!$C73,datos!$A:$A,plantilla!G$6)</f>
        <v>0</v>
      </c>
    </row>
    <row r="74" spans="2:8" x14ac:dyDescent="0.2">
      <c r="B74" s="40" t="s">
        <v>63</v>
      </c>
      <c r="C74" s="3">
        <v>95345</v>
      </c>
      <c r="D74" s="2" t="s">
        <v>104</v>
      </c>
      <c r="E74" s="2" t="s">
        <v>31</v>
      </c>
      <c r="F74" s="30">
        <f>SUMIFS(datos!$C:$C,datos!$B:$B,plantilla!$C74,datos!$A:$A,plantilla!$F$6)</f>
        <v>553.72451897532005</v>
      </c>
      <c r="G74" s="30">
        <f>SUMIFS(datos!$C:$C,datos!$B:$B,plantilla!$C74,datos!$A:$A,plantilla!G$6)</f>
        <v>0</v>
      </c>
    </row>
    <row r="75" spans="2:8" x14ac:dyDescent="0.2">
      <c r="B75" s="40"/>
      <c r="C75" s="3">
        <v>95341</v>
      </c>
      <c r="E75" s="20" t="s">
        <v>32</v>
      </c>
      <c r="F75" s="30">
        <f>SUMIFS(datos!$C:$C,datos!$B:$B,plantilla!$C75,datos!$A:$A,plantilla!$F$6)</f>
        <v>398.59408001028004</v>
      </c>
      <c r="G75" s="30">
        <f>SUMIFS(datos!$C:$C,datos!$B:$B,plantilla!$C75,datos!$A:$A,plantilla!G$6)</f>
        <v>0</v>
      </c>
    </row>
    <row r="76" spans="2:8" s="4" customFormat="1" x14ac:dyDescent="0.2">
      <c r="B76" s="40"/>
      <c r="C76" s="3">
        <v>95342</v>
      </c>
      <c r="D76" s="2"/>
      <c r="E76" s="20" t="s">
        <v>33</v>
      </c>
      <c r="F76" s="30">
        <f>SUMIFS(datos!$C:$C,datos!$B:$B,plantilla!$C76,datos!$A:$A,plantilla!$F$6)</f>
        <v>155.13043896503999</v>
      </c>
      <c r="G76" s="30">
        <f>SUMIFS(datos!$C:$C,datos!$B:$B,plantilla!$C76,datos!$A:$A,plantilla!G$6)</f>
        <v>0</v>
      </c>
    </row>
    <row r="77" spans="2:8" s="4" customFormat="1" x14ac:dyDescent="0.2">
      <c r="B77" s="61" t="s">
        <v>106</v>
      </c>
      <c r="C77" s="6"/>
      <c r="D77" s="4" t="s">
        <v>107</v>
      </c>
      <c r="F77" s="62">
        <f>+F78+F82</f>
        <v>3868.451861286936</v>
      </c>
      <c r="G77" s="62">
        <f>+G78+G82</f>
        <v>0</v>
      </c>
    </row>
    <row r="78" spans="2:8" x14ac:dyDescent="0.2">
      <c r="B78" s="61" t="s">
        <v>109</v>
      </c>
      <c r="C78" s="6"/>
      <c r="D78" s="4" t="s">
        <v>108</v>
      </c>
      <c r="E78" s="4"/>
      <c r="F78" s="62">
        <f>+SUM(F79:F81)</f>
        <v>1666.2246668020798</v>
      </c>
      <c r="G78" s="62">
        <f>+SUM(G79:G81)</f>
        <v>0</v>
      </c>
    </row>
    <row r="79" spans="2:8" x14ac:dyDescent="0.2">
      <c r="B79" s="40" t="s">
        <v>63</v>
      </c>
      <c r="C79" s="3">
        <v>95360</v>
      </c>
      <c r="D79" s="2" t="s">
        <v>105</v>
      </c>
      <c r="E79" s="2" t="s">
        <v>34</v>
      </c>
      <c r="F79" s="30">
        <f>SUMIFS(datos!$C:$C,datos!$B:$B,plantilla!$C79,datos!$A:$A,plantilla!$F$6)</f>
        <v>0</v>
      </c>
      <c r="G79" s="30">
        <f>SUMIFS(datos!$C:$C,datos!$B:$B,plantilla!$C79,datos!$A:$A,plantilla!G$6)</f>
        <v>0</v>
      </c>
    </row>
    <row r="80" spans="2:8" x14ac:dyDescent="0.2">
      <c r="B80" s="40" t="s">
        <v>63</v>
      </c>
      <c r="C80" s="3">
        <v>95375</v>
      </c>
      <c r="D80" s="2" t="s">
        <v>105</v>
      </c>
      <c r="E80" s="2" t="s">
        <v>35</v>
      </c>
      <c r="F80" s="30">
        <f>SUMIFS(datos!$C:$C,datos!$B:$B,plantilla!$C80,datos!$A:$A,plantilla!$F$6)</f>
        <v>0</v>
      </c>
      <c r="G80" s="30">
        <f>SUMIFS(datos!$C:$C,datos!$B:$B,plantilla!$C80,datos!$A:$A,plantilla!G$6)</f>
        <v>0</v>
      </c>
    </row>
    <row r="81" spans="2:7" s="4" customFormat="1" ht="16" thickBot="1" x14ac:dyDescent="0.25">
      <c r="B81" s="40" t="s">
        <v>63</v>
      </c>
      <c r="C81" s="3">
        <v>95376</v>
      </c>
      <c r="D81" s="2" t="s">
        <v>105</v>
      </c>
      <c r="E81" s="2" t="s">
        <v>36</v>
      </c>
      <c r="F81" s="30">
        <f>SUMIFS(datos!$C:$C,datos!$B:$B,plantilla!$C81,datos!$A:$A,plantilla!$F$6)</f>
        <v>1666.2246668020798</v>
      </c>
      <c r="G81" s="30">
        <f>SUMIFS(datos!$C:$C,datos!$B:$B,plantilla!$C81,datos!$A:$A,plantilla!G$6)</f>
        <v>0</v>
      </c>
    </row>
    <row r="82" spans="2:7" x14ac:dyDescent="0.2">
      <c r="B82" s="61" t="s">
        <v>111</v>
      </c>
      <c r="C82" s="6" t="s">
        <v>115</v>
      </c>
      <c r="D82" s="15" t="s">
        <v>110</v>
      </c>
      <c r="E82" s="16"/>
      <c r="F82" s="17">
        <f>MAX(0,F83-F86)</f>
        <v>2202.2271944848562</v>
      </c>
      <c r="G82" s="17">
        <f>MAX(0,G83-G86)</f>
        <v>0</v>
      </c>
    </row>
    <row r="83" spans="2:7" x14ac:dyDescent="0.2">
      <c r="B83" s="40"/>
      <c r="C83" s="3" t="s">
        <v>114</v>
      </c>
      <c r="D83" s="18" t="s">
        <v>116</v>
      </c>
      <c r="E83" s="2" t="s">
        <v>37</v>
      </c>
      <c r="F83" s="19">
        <f>+MAX(0,F84-F85)</f>
        <v>4542.1791417895201</v>
      </c>
      <c r="G83" s="19">
        <f>+MAX(0,G84-G85)</f>
        <v>0</v>
      </c>
    </row>
    <row r="84" spans="2:7" x14ac:dyDescent="0.2">
      <c r="B84" s="40"/>
      <c r="C84" s="3">
        <v>95380</v>
      </c>
      <c r="D84" s="18"/>
      <c r="E84" s="20" t="s">
        <v>112</v>
      </c>
      <c r="F84" s="30">
        <f>SUMIFS(datos!$C:$C,datos!$B:$B,plantilla!$C84,datos!$A:$A,plantilla!$F$6)</f>
        <v>4543.8020434976397</v>
      </c>
      <c r="G84" s="30">
        <f>SUMIFS(datos!$C:$C,datos!$B:$B,plantilla!$C84,datos!$A:$A,plantilla!G$6)</f>
        <v>0</v>
      </c>
    </row>
    <row r="85" spans="2:7" x14ac:dyDescent="0.2">
      <c r="B85" s="40"/>
      <c r="C85" s="3">
        <v>95390</v>
      </c>
      <c r="D85" s="18"/>
      <c r="E85" s="20" t="s">
        <v>113</v>
      </c>
      <c r="F85" s="30">
        <f>SUMIFS(datos!$C:$C,datos!$B:$B,plantilla!$C85,datos!$A:$A,plantilla!$F$6)</f>
        <v>1.6229017081199999</v>
      </c>
      <c r="G85" s="30">
        <f>SUMIFS(datos!$C:$C,datos!$B:$B,plantilla!$C85,datos!$A:$A,plantilla!G$6)</f>
        <v>0</v>
      </c>
    </row>
    <row r="86" spans="2:7" s="4" customFormat="1" ht="33" thickBot="1" x14ac:dyDescent="0.25">
      <c r="B86" s="40"/>
      <c r="C86" s="80" t="s">
        <v>126</v>
      </c>
      <c r="D86" s="21" t="s">
        <v>117</v>
      </c>
      <c r="E86" s="22" t="s">
        <v>38</v>
      </c>
      <c r="F86" s="23">
        <f>+MAX(0,0.1*(F24+F28-F35-F39-F59-F65-F69-F78))</f>
        <v>2339.9519473046639</v>
      </c>
      <c r="G86" s="23">
        <f>+MAX(0,0.1*(G24+G28-G35-G39-G59-G65-G69-G78))</f>
        <v>0</v>
      </c>
    </row>
    <row r="87" spans="2:7" x14ac:dyDescent="0.2">
      <c r="B87" s="61" t="s">
        <v>118</v>
      </c>
      <c r="C87" s="6"/>
      <c r="D87" s="4" t="s">
        <v>121</v>
      </c>
      <c r="E87" s="4"/>
      <c r="F87" s="41">
        <f>+SUM(F88:F89)</f>
        <v>-0.5</v>
      </c>
      <c r="G87" s="41">
        <f>+SUM(G88:G89)</f>
        <v>0</v>
      </c>
    </row>
    <row r="88" spans="2:7" x14ac:dyDescent="0.2">
      <c r="B88" s="40" t="s">
        <v>63</v>
      </c>
      <c r="C88" s="3">
        <v>95398</v>
      </c>
      <c r="D88" s="2" t="s">
        <v>103</v>
      </c>
      <c r="E88" s="2" t="s">
        <v>119</v>
      </c>
      <c r="F88" s="19">
        <f>IF(SUMIFS(datos!$C:$C,datos!$B:$B,plantilla!$C88,datos!$A:$A,plantilla!F$6)&lt;0,SUMIFS(datos!$C:$C,datos!$B:$B,plantilla!$C88,datos!$A:$A,plantilla!F$6),0)</f>
        <v>-0.5</v>
      </c>
      <c r="G88" s="19">
        <f>IF(SUMIFS(datos!$C:$C,datos!$B:$B,plantilla!$C88,datos!$A:$A,plantilla!G$6)&lt;0,SUMIFS(datos!$C:$C,datos!$B:$B,plantilla!$C88,datos!$A:$A,plantilla!G$6),0)</f>
        <v>0</v>
      </c>
    </row>
    <row r="89" spans="2:7" s="4" customFormat="1" ht="16" thickBot="1" x14ac:dyDescent="0.25">
      <c r="B89" s="40" t="s">
        <v>56</v>
      </c>
      <c r="C89" s="3">
        <v>95398</v>
      </c>
      <c r="D89" s="2" t="s">
        <v>132</v>
      </c>
      <c r="E89" s="2" t="s">
        <v>120</v>
      </c>
      <c r="F89" s="19">
        <f>IF(SUMIFS(datos!$C:$C,datos!$B:$B,plantilla!$C89,datos!$A:$A,plantilla!F$6)&gt;=0,SUMIFS(datos!$C:$C,datos!$B:$B,plantilla!$C89,datos!$A:$A,plantilla!F$6),0)</f>
        <v>0</v>
      </c>
      <c r="G89" s="19">
        <f>IF(SUMIFS(datos!$C:$C,datos!$B:$B,plantilla!$C89,datos!$A:$A,plantilla!G$6)&gt;=0,SUMIFS(datos!$C:$C,datos!$B:$B,plantilla!$C89,datos!$A:$A,plantilla!G$6),0)</f>
        <v>0</v>
      </c>
    </row>
    <row r="90" spans="2:7" x14ac:dyDescent="0.2">
      <c r="B90" s="61" t="s">
        <v>122</v>
      </c>
      <c r="C90" s="6" t="s">
        <v>135</v>
      </c>
      <c r="D90" s="15" t="s">
        <v>123</v>
      </c>
      <c r="E90" s="16"/>
      <c r="F90" s="17">
        <f>+MAX(0,F91-F92)</f>
        <v>0</v>
      </c>
      <c r="G90" s="17">
        <f>+MAX(0,G91-G92)</f>
        <v>0</v>
      </c>
    </row>
    <row r="91" spans="2:7" x14ac:dyDescent="0.2">
      <c r="B91" s="40"/>
      <c r="C91" s="3">
        <v>93916</v>
      </c>
      <c r="D91" s="18" t="s">
        <v>133</v>
      </c>
      <c r="E91" s="2" t="s">
        <v>39</v>
      </c>
      <c r="F91" s="30">
        <f>SUMIFS(datos!$C:$C,datos!$B:$B,plantilla!$C91,datos!$A:$A,plantilla!$F$6)</f>
        <v>1614.28976931684</v>
      </c>
      <c r="G91" s="30">
        <f>SUMIFS(datos!$C:$C,datos!$B:$B,plantilla!$C91,datos!$A:$A,plantilla!G$6)</f>
        <v>0</v>
      </c>
    </row>
    <row r="92" spans="2:7" s="4" customFormat="1" ht="16" thickBot="1" x14ac:dyDescent="0.25">
      <c r="B92" s="40"/>
      <c r="C92" s="3" t="s">
        <v>125</v>
      </c>
      <c r="D92" s="21" t="s">
        <v>134</v>
      </c>
      <c r="E92" s="22" t="s">
        <v>124</v>
      </c>
      <c r="F92" s="23">
        <f>+MAX(0,0.25*(F24+F28-F35-F39-F59-F65-F69-F78-F82-F87))</f>
        <v>5299.4480696404462</v>
      </c>
      <c r="G92" s="23">
        <f>+MAX(0,0.25*(G24+G28-G35-G39-G59-G65-G69-G78-G82-G87))</f>
        <v>0</v>
      </c>
    </row>
    <row r="93" spans="2:7" x14ac:dyDescent="0.2">
      <c r="B93" s="61" t="s">
        <v>127</v>
      </c>
      <c r="C93" s="6"/>
      <c r="D93" s="4" t="s">
        <v>128</v>
      </c>
      <c r="E93" s="4"/>
      <c r="F93" s="62">
        <f>SUM(F94:F96)</f>
        <v>0</v>
      </c>
      <c r="G93" s="62">
        <f>SUM(G94:G96)</f>
        <v>0</v>
      </c>
    </row>
    <row r="94" spans="2:7" x14ac:dyDescent="0.2">
      <c r="B94" s="40" t="s">
        <v>63</v>
      </c>
      <c r="C94" s="3">
        <v>96510</v>
      </c>
      <c r="D94" s="2" t="s">
        <v>136</v>
      </c>
      <c r="E94" s="2" t="s">
        <v>129</v>
      </c>
      <c r="F94" s="30">
        <f>SUMIFS(datos!$C:$C,datos!$B:$B,plantilla!$C94,datos!$A:$A,plantilla!$F$6)</f>
        <v>0</v>
      </c>
      <c r="G94" s="30">
        <f>SUMIFS(datos!$C:$C,datos!$B:$B,plantilla!$C94,datos!$A:$A,plantilla!G$6)</f>
        <v>0</v>
      </c>
    </row>
    <row r="95" spans="2:7" x14ac:dyDescent="0.2">
      <c r="B95" s="40" t="s">
        <v>63</v>
      </c>
      <c r="C95" s="3">
        <v>96520</v>
      </c>
      <c r="D95" s="2" t="s">
        <v>137</v>
      </c>
      <c r="E95" s="2" t="s">
        <v>130</v>
      </c>
      <c r="F95" s="30">
        <f>SUMIFS(datos!$C:$C,datos!$B:$B,plantilla!$C95,datos!$A:$A,plantilla!$F$6)</f>
        <v>0</v>
      </c>
      <c r="G95" s="30">
        <f>SUMIFS(datos!$C:$C,datos!$B:$B,plantilla!$C95,datos!$A:$A,plantilla!G$6)</f>
        <v>0</v>
      </c>
    </row>
    <row r="96" spans="2:7" x14ac:dyDescent="0.2">
      <c r="B96" s="40" t="s">
        <v>63</v>
      </c>
      <c r="C96" s="3">
        <v>96530</v>
      </c>
      <c r="D96" s="2" t="s">
        <v>138</v>
      </c>
      <c r="E96" s="2" t="s">
        <v>131</v>
      </c>
      <c r="F96" s="30">
        <f>SUMIFS(datos!$C:$C,datos!$B:$B,plantilla!$C96,datos!$A:$A,plantilla!$F$6)</f>
        <v>0</v>
      </c>
      <c r="G96" s="30">
        <f>SUMIFS(datos!$C:$C,datos!$B:$B,plantilla!$C96,datos!$A:$A,plantilla!G$6)</f>
        <v>0</v>
      </c>
    </row>
    <row r="97" spans="2:7" s="4" customFormat="1" x14ac:dyDescent="0.2">
      <c r="B97" s="64" t="s">
        <v>150</v>
      </c>
      <c r="C97" s="65" t="s">
        <v>139</v>
      </c>
      <c r="D97" s="66"/>
      <c r="E97" s="66"/>
      <c r="F97" s="79">
        <f>+F98+F101+ F105</f>
        <v>2513.2800000000002</v>
      </c>
      <c r="G97" s="79">
        <f>+G98+G101+G105</f>
        <v>0</v>
      </c>
    </row>
    <row r="98" spans="2:7" x14ac:dyDescent="0.2">
      <c r="B98" s="61" t="s">
        <v>140</v>
      </c>
      <c r="C98" s="6"/>
      <c r="D98" s="6" t="s">
        <v>142</v>
      </c>
      <c r="E98" s="4"/>
      <c r="F98" s="77">
        <f>+SUM(F99:F100)</f>
        <v>0</v>
      </c>
      <c r="G98" s="77">
        <f>+SUM(G99:G100)</f>
        <v>0</v>
      </c>
    </row>
    <row r="99" spans="2:7" x14ac:dyDescent="0.2">
      <c r="B99" s="40" t="s">
        <v>56</v>
      </c>
      <c r="C99" s="3">
        <v>95015</v>
      </c>
      <c r="D99" s="2" t="s">
        <v>90</v>
      </c>
      <c r="E99" s="2" t="s">
        <v>40</v>
      </c>
      <c r="F99" s="30">
        <f>SUMIFS(datos!$C:$C,datos!$B:$B,plantilla!$C99,datos!$A:$A,plantilla!$F$6)</f>
        <v>0</v>
      </c>
      <c r="G99" s="30">
        <f>SUMIFS(datos!$C:$C,datos!$B:$B,plantilla!$C99,datos!$A:$A,plantilla!G$6)</f>
        <v>0</v>
      </c>
    </row>
    <row r="100" spans="2:7" s="4" customFormat="1" ht="16" thickBot="1" x14ac:dyDescent="0.25">
      <c r="B100" s="40" t="s">
        <v>56</v>
      </c>
      <c r="C100" s="3">
        <v>95020</v>
      </c>
      <c r="D100" s="2" t="s">
        <v>90</v>
      </c>
      <c r="E100" s="2" t="s">
        <v>41</v>
      </c>
      <c r="F100" s="30">
        <f>SUMIFS(datos!$C:$C,datos!$B:$B,plantilla!$C100,datos!$A:$A,plantilla!$F$6)</f>
        <v>0</v>
      </c>
      <c r="G100" s="30">
        <f>SUMIFS(datos!$C:$C,datos!$B:$B,plantilla!$C100,datos!$A:$A,plantilla!G$6)</f>
        <v>0</v>
      </c>
    </row>
    <row r="101" spans="2:7" x14ac:dyDescent="0.2">
      <c r="B101" s="61" t="s">
        <v>141</v>
      </c>
      <c r="C101" s="24"/>
      <c r="D101" s="25" t="s">
        <v>143</v>
      </c>
      <c r="E101" s="16"/>
      <c r="F101" s="78">
        <f>+F102</f>
        <v>2513.2800000000002</v>
      </c>
      <c r="G101" s="78">
        <f>+G102</f>
        <v>0</v>
      </c>
    </row>
    <row r="102" spans="2:7" x14ac:dyDescent="0.2">
      <c r="B102" s="40" t="s">
        <v>56</v>
      </c>
      <c r="C102" s="26" t="s">
        <v>148</v>
      </c>
      <c r="E102" s="2" t="s">
        <v>200</v>
      </c>
      <c r="F102" s="27">
        <f>+MAX(0,MIN(F103,F104))</f>
        <v>2513.2800000000002</v>
      </c>
      <c r="G102" s="27">
        <f>+MAX(0,MIN(G103,G104))</f>
        <v>0</v>
      </c>
    </row>
    <row r="103" spans="2:7" ht="43.5" customHeight="1" x14ac:dyDescent="0.2">
      <c r="B103" s="40"/>
      <c r="C103" s="26">
        <v>95075</v>
      </c>
      <c r="D103" s="2" t="s">
        <v>147</v>
      </c>
      <c r="E103" s="20" t="s">
        <v>42</v>
      </c>
      <c r="F103" s="19">
        <f>SUMIFS(datos!$C:$C,datos!$B:$B,plantilla!$C103,datos!$A:$A,plantilla!$F$6)</f>
        <v>2513.2800000000002</v>
      </c>
      <c r="G103" s="19">
        <f>SUMIFS(datos!$C:$C,datos!$B:$B,plantilla!$C103,datos!$A:$A,plantilla!G$6)</f>
        <v>0</v>
      </c>
    </row>
    <row r="104" spans="2:7" s="4" customFormat="1" ht="33" thickBot="1" x14ac:dyDescent="0.25">
      <c r="B104" s="40"/>
      <c r="C104" s="28" t="s">
        <v>188</v>
      </c>
      <c r="D104" s="22" t="s">
        <v>146</v>
      </c>
      <c r="E104" s="29" t="s">
        <v>43</v>
      </c>
      <c r="F104" s="84">
        <f>IF(F17&gt;=0.1,F103,0.5*F23)</f>
        <v>2513.2800000000002</v>
      </c>
      <c r="G104" s="23">
        <f>IF(G17&gt;=0.1,G103,0.5*G23)</f>
        <v>0</v>
      </c>
    </row>
    <row r="105" spans="2:7" x14ac:dyDescent="0.2">
      <c r="B105" s="61" t="s">
        <v>144</v>
      </c>
      <c r="C105" s="6"/>
      <c r="D105" s="6" t="s">
        <v>145</v>
      </c>
      <c r="E105" s="4"/>
      <c r="F105" s="85">
        <f>+F106</f>
        <v>0</v>
      </c>
      <c r="G105" s="62">
        <f>+G106</f>
        <v>0</v>
      </c>
    </row>
    <row r="106" spans="2:7" x14ac:dyDescent="0.2">
      <c r="B106" s="42" t="s">
        <v>56</v>
      </c>
      <c r="C106" s="43">
        <v>95550</v>
      </c>
      <c r="D106" s="67" t="s">
        <v>44</v>
      </c>
      <c r="E106" s="67"/>
      <c r="F106" s="68">
        <f>SUMIFS(datos!$C:$C,datos!$B:$B,plantilla!$C106,datos!$A:$A,plantilla!$F$6)</f>
        <v>0</v>
      </c>
      <c r="G106" s="68">
        <f>SUMIFS(datos!$C:$C,datos!$B:$B,plantilla!$C106,datos!$A:$A,plantilla!G$6)</f>
        <v>0</v>
      </c>
    </row>
    <row r="107" spans="2:7" s="4" customFormat="1" x14ac:dyDescent="0.2">
      <c r="B107" s="69"/>
      <c r="C107" s="70" t="s">
        <v>151</v>
      </c>
      <c r="D107" s="71"/>
      <c r="E107" s="71"/>
      <c r="F107" s="72">
        <f>+F108+F111+F115+F117</f>
        <v>1624.8620174101125</v>
      </c>
      <c r="G107" s="72">
        <f>+G108+G111+G115+G117</f>
        <v>0</v>
      </c>
    </row>
    <row r="108" spans="2:7" x14ac:dyDescent="0.2">
      <c r="B108" s="61" t="s">
        <v>153</v>
      </c>
      <c r="C108" s="6"/>
      <c r="D108" s="6" t="s">
        <v>142</v>
      </c>
      <c r="E108" s="4"/>
      <c r="F108" s="62">
        <f>SUMIFS(datos!$C:$C,datos!$B:$B,plantilla!$C108)</f>
        <v>0</v>
      </c>
      <c r="G108" s="62">
        <f>SUMIFS(datos!$C:$C,datos!$B:$B,plantilla!$C108)</f>
        <v>0</v>
      </c>
    </row>
    <row r="109" spans="2:7" x14ac:dyDescent="0.2">
      <c r="B109" s="40" t="s">
        <v>56</v>
      </c>
      <c r="C109" s="3">
        <v>95025</v>
      </c>
      <c r="D109" s="2" t="s">
        <v>58</v>
      </c>
      <c r="E109" s="2" t="s">
        <v>45</v>
      </c>
      <c r="F109" s="30">
        <f>SUMIFS(datos!$C:$C,datos!$B:$B,plantilla!$C109,datos!$A:$A,plantilla!$F$6)</f>
        <v>0</v>
      </c>
      <c r="G109" s="30">
        <f>SUMIFS(datos!$C:$C,datos!$B:$B,plantilla!$C109,datos!$A:$A,plantilla!G$6)</f>
        <v>0</v>
      </c>
    </row>
    <row r="110" spans="2:7" s="4" customFormat="1" ht="16" thickBot="1" x14ac:dyDescent="0.25">
      <c r="B110" s="40" t="s">
        <v>56</v>
      </c>
      <c r="C110" s="3">
        <v>95030</v>
      </c>
      <c r="D110" s="2" t="s">
        <v>58</v>
      </c>
      <c r="E110" s="2" t="s">
        <v>46</v>
      </c>
      <c r="F110" s="30">
        <f>SUMIFS(datos!$C:$C,datos!$B:$B,plantilla!$C110,datos!$A:$A,plantilla!$F$6)</f>
        <v>0</v>
      </c>
      <c r="G110" s="30">
        <f>SUMIFS(datos!$C:$C,datos!$B:$B,plantilla!$C110,datos!$A:$A,plantilla!G$6)</f>
        <v>0</v>
      </c>
    </row>
    <row r="111" spans="2:7" x14ac:dyDescent="0.2">
      <c r="B111" s="61" t="s">
        <v>152</v>
      </c>
      <c r="C111" s="24"/>
      <c r="D111" s="25" t="s">
        <v>154</v>
      </c>
      <c r="E111" s="16"/>
      <c r="F111" s="17">
        <f>SUMIFS(datos!$C:$C,datos!$B:$B,plantilla!$C111)</f>
        <v>0</v>
      </c>
      <c r="G111" s="17">
        <f>SUMIFS(datos!$C:$C,datos!$B:$B,plantilla!$C111)</f>
        <v>0</v>
      </c>
    </row>
    <row r="112" spans="2:7" x14ac:dyDescent="0.2">
      <c r="B112" s="40" t="s">
        <v>56</v>
      </c>
      <c r="C112" s="26" t="s">
        <v>157</v>
      </c>
      <c r="D112" s="2" t="s">
        <v>59</v>
      </c>
      <c r="E112" s="2" t="s">
        <v>201</v>
      </c>
      <c r="F112" s="19">
        <f>MAX(0,MIN(F113,F114))</f>
        <v>0</v>
      </c>
      <c r="G112" s="19">
        <f>MAX(0,MIN(G113,G114))</f>
        <v>0</v>
      </c>
    </row>
    <row r="113" spans="2:8" x14ac:dyDescent="0.2">
      <c r="B113" s="40"/>
      <c r="C113" s="26">
        <v>95080</v>
      </c>
      <c r="D113" s="2" t="s">
        <v>155</v>
      </c>
      <c r="E113" s="20" t="s">
        <v>202</v>
      </c>
      <c r="F113" s="19">
        <f>SUMIFS(datos!$C:$C,datos!$B:$B,plantilla!$C113,datos!$A:$A,plantilla!$F$6)</f>
        <v>0</v>
      </c>
      <c r="G113" s="19">
        <f>SUMIFS(datos!$C:$C,datos!$B:$B,plantilla!$C113,datos!$A:$A,plantilla!G$6)</f>
        <v>0</v>
      </c>
    </row>
    <row r="114" spans="2:8" s="4" customFormat="1" ht="61" thickBot="1" x14ac:dyDescent="0.25">
      <c r="B114" s="40"/>
      <c r="C114" s="28" t="s">
        <v>187</v>
      </c>
      <c r="D114" s="22" t="s">
        <v>156</v>
      </c>
      <c r="E114" s="29" t="s">
        <v>47</v>
      </c>
      <c r="F114" s="23">
        <f>IF(F17&gt;=0.1,F113,0.5*F23-F103)</f>
        <v>0</v>
      </c>
      <c r="G114" s="23">
        <f>IF(G17&gt;=0.1,G113,0.5*G23-G103)</f>
        <v>0</v>
      </c>
    </row>
    <row r="115" spans="2:8" x14ac:dyDescent="0.2">
      <c r="B115" s="61" t="s">
        <v>159</v>
      </c>
      <c r="C115" s="6"/>
      <c r="D115" s="6" t="s">
        <v>158</v>
      </c>
      <c r="E115" s="4"/>
      <c r="F115" s="85">
        <f>SUMIFS(datos!$C:$C,datos!$B:$B,plantilla!$C115)</f>
        <v>0</v>
      </c>
      <c r="G115" s="62">
        <f>SUMIFS(datos!$C:$C,datos!$B:$B,plantilla!$C115)</f>
        <v>0</v>
      </c>
    </row>
    <row r="116" spans="2:8" s="4" customFormat="1" x14ac:dyDescent="0.2">
      <c r="B116" s="40" t="s">
        <v>56</v>
      </c>
      <c r="C116" s="3">
        <v>95555</v>
      </c>
      <c r="D116" s="2"/>
      <c r="E116" s="2" t="s">
        <v>48</v>
      </c>
      <c r="F116" s="30">
        <f>SUMIFS(datos!$C:$C,datos!$B:$B,plantilla!$C116)</f>
        <v>0</v>
      </c>
      <c r="G116" s="30">
        <f>SUMIFS(datos!$C:$C,datos!$B:$B,plantilla!$C116)</f>
        <v>0</v>
      </c>
    </row>
    <row r="117" spans="2:8" ht="16" thickBot="1" x14ac:dyDescent="0.25">
      <c r="B117" s="61" t="s">
        <v>160</v>
      </c>
      <c r="C117" s="6"/>
      <c r="D117" s="4" t="s">
        <v>68</v>
      </c>
      <c r="E117" s="4"/>
      <c r="F117" s="62">
        <f>+F118+F122</f>
        <v>1624.8620174101125</v>
      </c>
      <c r="G117" s="62">
        <f>+G118+G122</f>
        <v>0</v>
      </c>
    </row>
    <row r="118" spans="2:8" x14ac:dyDescent="0.2">
      <c r="B118" s="40" t="s">
        <v>56</v>
      </c>
      <c r="C118" s="31" t="s">
        <v>176</v>
      </c>
      <c r="D118" s="32"/>
      <c r="E118" s="32" t="s">
        <v>169</v>
      </c>
      <c r="F118" s="33">
        <f>MIN(MAX(0,F119-F120),F121)</f>
        <v>300</v>
      </c>
      <c r="G118" s="33">
        <f>MIN(MAX(0,G119-G120),G121)</f>
        <v>0</v>
      </c>
    </row>
    <row r="119" spans="2:8" x14ac:dyDescent="0.2">
      <c r="B119" s="40"/>
      <c r="C119" s="26">
        <v>95691</v>
      </c>
      <c r="D119" s="2" t="s">
        <v>172</v>
      </c>
      <c r="E119" s="34" t="s">
        <v>162</v>
      </c>
      <c r="F119" s="19">
        <f>SUMIFS(datos!$C:$C,datos!$B:$B,plantilla!$C119,datos!$A:$A,plantilla!$F$6)</f>
        <v>2741.06229271232</v>
      </c>
      <c r="G119" s="19">
        <f>SUMIFS(datos!$C:$C,datos!$B:$B,plantilla!$C119,datos!$A:$A,plantilla!G$6)</f>
        <v>0</v>
      </c>
      <c r="H119" s="27"/>
    </row>
    <row r="120" spans="2:8" x14ac:dyDescent="0.2">
      <c r="B120" s="40"/>
      <c r="C120" s="26" t="s">
        <v>163</v>
      </c>
      <c r="D120" s="2" t="s">
        <v>173</v>
      </c>
      <c r="E120" s="34" t="s">
        <v>164</v>
      </c>
      <c r="F120" s="19">
        <f>SUMIFS(datos!$C:$C,datos!$B:$B,plantilla!$C120,datos!$A:$A,plantilla!$F$6)</f>
        <v>2241.06229271232</v>
      </c>
      <c r="G120" s="19">
        <f>SUMIFS(datos!$C:$C,datos!$B:$B,plantilla!$C120,datos!$A:$A,plantilla!G$6)</f>
        <v>0</v>
      </c>
    </row>
    <row r="121" spans="2:8" x14ac:dyDescent="0.2">
      <c r="B121" s="40"/>
      <c r="C121" s="26" t="s">
        <v>170</v>
      </c>
      <c r="D121" s="2" t="s">
        <v>174</v>
      </c>
      <c r="E121" s="34" t="s">
        <v>168</v>
      </c>
      <c r="F121" s="19">
        <f>0.006*F9</f>
        <v>300</v>
      </c>
      <c r="G121" s="19">
        <f>0.006*G9</f>
        <v>300</v>
      </c>
    </row>
    <row r="122" spans="2:8" x14ac:dyDescent="0.2">
      <c r="B122" s="40" t="s">
        <v>56</v>
      </c>
      <c r="C122" s="26" t="s">
        <v>177</v>
      </c>
      <c r="E122" s="2" t="s">
        <v>165</v>
      </c>
      <c r="F122" s="19">
        <f>MIN(MAX(0,F123-F124),F125)</f>
        <v>1324.8620174101125</v>
      </c>
      <c r="G122" s="19">
        <f>MIN(MAX(0,G123-G124),G125)</f>
        <v>0</v>
      </c>
    </row>
    <row r="123" spans="2:8" x14ac:dyDescent="0.2">
      <c r="B123" s="40"/>
      <c r="C123" s="26">
        <v>95704</v>
      </c>
      <c r="D123" s="2" t="s">
        <v>147</v>
      </c>
      <c r="E123" s="2" t="s">
        <v>166</v>
      </c>
      <c r="F123" s="19">
        <f>SUMIFS(datos!$C:$C,datos!$B:$B,plantilla!$C123,datos!$A:$A,plantilla!$F$6)</f>
        <v>7500</v>
      </c>
      <c r="G123" s="19">
        <f>SUMIFS(datos!$C:$C,datos!$B:$B,plantilla!$C123,datos!$A:$A,plantilla!G$6)</f>
        <v>0</v>
      </c>
    </row>
    <row r="124" spans="2:8" x14ac:dyDescent="0.2">
      <c r="B124" s="40"/>
      <c r="C124" s="26" t="s">
        <v>167</v>
      </c>
      <c r="D124" s="2" t="s">
        <v>146</v>
      </c>
      <c r="E124" s="2" t="s">
        <v>164</v>
      </c>
      <c r="F124" s="19">
        <f>SUMIFS(datos!$C:$C,datos!$B:$B,plantilla!$C124,datos!$A:$A,plantilla!$F$6)</f>
        <v>5500</v>
      </c>
      <c r="G124" s="19">
        <f>SUMIFS(datos!$C:$C,datos!$B:$B,plantilla!$C124,datos!$A:$A,plantilla!G$6)</f>
        <v>0</v>
      </c>
    </row>
    <row r="125" spans="2:8" x14ac:dyDescent="0.2">
      <c r="B125" s="42"/>
      <c r="C125" s="73" t="s">
        <v>171</v>
      </c>
      <c r="D125" s="67" t="s">
        <v>175</v>
      </c>
      <c r="E125" s="74" t="s">
        <v>161</v>
      </c>
      <c r="F125" s="75">
        <f>0.0125*F8</f>
        <v>1324.8620174101125</v>
      </c>
      <c r="G125" s="75">
        <f>0.0125*G8</f>
        <v>1324.8620174101115</v>
      </c>
    </row>
  </sheetData>
  <mergeCells count="3">
    <mergeCell ref="B2:G2"/>
    <mergeCell ref="B3:G3"/>
    <mergeCell ref="B4:G4"/>
  </mergeCells>
  <pageMargins left="0.7" right="0.7" top="0.75" bottom="0.75" header="0.3" footer="0.3"/>
  <pageSetup orientation="portrait" r:id="rId1"/>
  <headerFooter>
    <oddFooter>&amp;C&amp;"Calibri,Regular"&amp;12&amp;KFF8000Uso General
&amp;"Arial,Regular"&amp;06&amp;K000000Información cuyo acceso está restringido a cualquier persona empleada por el Banco de México y, en su caso, personas ajenas al mismo.</oddFooter>
    <evenFooter>&amp;C&amp;"Calibri,Regular"&amp;12&amp;KFF8000Uso General
&amp;"Arial,Regular"&amp;06&amp;K000000Información cuyo acceso está restringido a cualquier persona empleada por el Banco de México y, en su caso, personas ajenas al mismo.</evenFooter>
    <firstFooter>&amp;C&amp;"Calibri,Regular"&amp;12&amp;KFF8000Uso General
&amp;"Arial,Regular"&amp;06&amp;K000000Información cuyo acceso está restringido a cualquier persona empleada por el Banco de México y, en su caso, personas ajenas al mismo.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470D-5C15-4284-931E-C9D55975CDE8}">
  <sheetPr codeName="Hoja3">
    <pageSetUpPr autoPageBreaks="0"/>
  </sheetPr>
  <dimension ref="A1:C69"/>
  <sheetViews>
    <sheetView topLeftCell="A14" workbookViewId="0">
      <selection activeCell="B67" sqref="B67"/>
    </sheetView>
  </sheetViews>
  <sheetFormatPr baseColWidth="10" defaultRowHeight="15" x14ac:dyDescent="0.2"/>
  <sheetData>
    <row r="1" spans="1:3" x14ac:dyDescent="0.2">
      <c r="A1" t="s">
        <v>178</v>
      </c>
      <c r="B1" t="s">
        <v>179</v>
      </c>
      <c r="C1" t="s">
        <v>180</v>
      </c>
    </row>
    <row r="2" spans="1:3" x14ac:dyDescent="0.2">
      <c r="A2" s="1">
        <v>41274</v>
      </c>
      <c r="B2">
        <v>93916</v>
      </c>
      <c r="C2">
        <v>1614.28976931684</v>
      </c>
    </row>
    <row r="3" spans="1:3" x14ac:dyDescent="0.2">
      <c r="A3" s="1">
        <v>41274</v>
      </c>
      <c r="B3">
        <v>95005</v>
      </c>
      <c r="C3">
        <v>5560.0466490769204</v>
      </c>
    </row>
    <row r="4" spans="1:3" x14ac:dyDescent="0.2">
      <c r="A4" s="1">
        <v>41274</v>
      </c>
      <c r="B4">
        <v>95010</v>
      </c>
      <c r="C4">
        <v>403.14962620547999</v>
      </c>
    </row>
    <row r="5" spans="1:3" x14ac:dyDescent="0.2">
      <c r="A5" s="1">
        <v>41274</v>
      </c>
      <c r="B5">
        <v>95035</v>
      </c>
      <c r="C5">
        <v>565.48800000000006</v>
      </c>
    </row>
    <row r="6" spans="1:3" x14ac:dyDescent="0.2">
      <c r="A6" s="1">
        <v>41274</v>
      </c>
      <c r="B6">
        <v>95045</v>
      </c>
      <c r="C6">
        <v>3641.1235640472</v>
      </c>
    </row>
    <row r="7" spans="1:3" x14ac:dyDescent="0.2">
      <c r="A7" s="1">
        <v>41274</v>
      </c>
      <c r="B7">
        <v>95050</v>
      </c>
      <c r="C7">
        <v>25931.114043486959</v>
      </c>
    </row>
    <row r="8" spans="1:3" x14ac:dyDescent="0.2">
      <c r="A8" s="1">
        <v>41274</v>
      </c>
      <c r="B8">
        <v>95055</v>
      </c>
      <c r="C8">
        <v>2830.2287161671602</v>
      </c>
    </row>
    <row r="9" spans="1:3" x14ac:dyDescent="0.2">
      <c r="A9" s="1">
        <v>41274</v>
      </c>
      <c r="B9">
        <v>95060</v>
      </c>
      <c r="C9">
        <v>231.12230621172</v>
      </c>
    </row>
    <row r="10" spans="1:3" x14ac:dyDescent="0.2">
      <c r="A10" s="1">
        <v>41274</v>
      </c>
      <c r="B10">
        <v>95066</v>
      </c>
      <c r="C10">
        <v>-22.7579852346</v>
      </c>
    </row>
    <row r="11" spans="1:3" x14ac:dyDescent="0.2">
      <c r="A11" s="1">
        <v>41274</v>
      </c>
      <c r="B11">
        <v>95068</v>
      </c>
      <c r="C11">
        <v>-2733.2830346144401</v>
      </c>
    </row>
    <row r="12" spans="1:3" x14ac:dyDescent="0.2">
      <c r="A12" s="1">
        <v>41274</v>
      </c>
      <c r="B12">
        <v>95075</v>
      </c>
      <c r="C12">
        <v>2513.2800000000002</v>
      </c>
    </row>
    <row r="13" spans="1:3" x14ac:dyDescent="0.2">
      <c r="A13" s="1">
        <v>41274</v>
      </c>
      <c r="B13">
        <v>95150</v>
      </c>
      <c r="C13">
        <v>6558.0536165020803</v>
      </c>
    </row>
    <row r="14" spans="1:3" x14ac:dyDescent="0.2">
      <c r="A14" s="1">
        <v>41274</v>
      </c>
      <c r="B14">
        <v>95175</v>
      </c>
      <c r="C14">
        <v>0.20695902612</v>
      </c>
    </row>
    <row r="15" spans="1:3" x14ac:dyDescent="0.2">
      <c r="A15" s="1">
        <v>41274</v>
      </c>
      <c r="B15">
        <v>95176</v>
      </c>
      <c r="C15">
        <v>0.53711511083999997</v>
      </c>
    </row>
    <row r="16" spans="1:3" x14ac:dyDescent="0.2">
      <c r="A16" s="1">
        <v>41274</v>
      </c>
      <c r="B16">
        <v>95177</v>
      </c>
      <c r="C16">
        <v>6558.0536165020803</v>
      </c>
    </row>
    <row r="17" spans="1:3" x14ac:dyDescent="0.2">
      <c r="A17" s="1">
        <v>41274</v>
      </c>
      <c r="B17">
        <v>95310</v>
      </c>
      <c r="C17">
        <v>5004.5853010969204</v>
      </c>
    </row>
    <row r="18" spans="1:3" x14ac:dyDescent="0.2">
      <c r="A18" s="1">
        <v>41274</v>
      </c>
      <c r="B18">
        <v>95315</v>
      </c>
      <c r="C18">
        <v>4227.9655358833206</v>
      </c>
    </row>
    <row r="19" spans="1:3" x14ac:dyDescent="0.2">
      <c r="A19" s="1">
        <v>41274</v>
      </c>
      <c r="B19">
        <v>95335</v>
      </c>
      <c r="C19">
        <v>776.61976505652001</v>
      </c>
    </row>
    <row r="20" spans="1:3" x14ac:dyDescent="0.2">
      <c r="A20" s="1">
        <v>41274</v>
      </c>
      <c r="B20">
        <v>95337</v>
      </c>
      <c r="C20">
        <v>5.4088627177199999</v>
      </c>
    </row>
    <row r="21" spans="1:3" x14ac:dyDescent="0.2">
      <c r="A21" s="1">
        <v>41274</v>
      </c>
      <c r="B21">
        <v>95338</v>
      </c>
      <c r="C21">
        <v>217.48638336348</v>
      </c>
    </row>
    <row r="22" spans="1:3" x14ac:dyDescent="0.2">
      <c r="A22" s="1">
        <v>41274</v>
      </c>
      <c r="B22">
        <v>95340</v>
      </c>
      <c r="C22">
        <v>222.89524608119999</v>
      </c>
    </row>
    <row r="23" spans="1:3" x14ac:dyDescent="0.2">
      <c r="A23" s="1">
        <v>41274</v>
      </c>
      <c r="B23">
        <v>95341</v>
      </c>
      <c r="C23">
        <v>398.59408001028004</v>
      </c>
    </row>
    <row r="24" spans="1:3" x14ac:dyDescent="0.2">
      <c r="A24" s="1">
        <v>41274</v>
      </c>
      <c r="B24">
        <v>95342</v>
      </c>
      <c r="C24">
        <v>155.13043896503999</v>
      </c>
    </row>
    <row r="25" spans="1:3" x14ac:dyDescent="0.2">
      <c r="A25" s="1">
        <v>41274</v>
      </c>
      <c r="B25">
        <v>95345</v>
      </c>
      <c r="C25">
        <v>553.72451897532005</v>
      </c>
    </row>
    <row r="26" spans="1:3" x14ac:dyDescent="0.2">
      <c r="A26" s="1">
        <v>41274</v>
      </c>
      <c r="B26">
        <v>95355</v>
      </c>
      <c r="C26">
        <v>6210.0267102997204</v>
      </c>
    </row>
    <row r="27" spans="1:3" x14ac:dyDescent="0.2">
      <c r="A27" s="1">
        <v>41274</v>
      </c>
      <c r="B27">
        <v>95376</v>
      </c>
      <c r="C27">
        <v>1666.2246668020798</v>
      </c>
    </row>
    <row r="28" spans="1:3" x14ac:dyDescent="0.2">
      <c r="A28" s="1">
        <v>41274</v>
      </c>
      <c r="B28">
        <v>95380</v>
      </c>
      <c r="C28">
        <v>4543.8020434976397</v>
      </c>
    </row>
    <row r="29" spans="1:3" x14ac:dyDescent="0.2">
      <c r="A29" s="1">
        <v>41274</v>
      </c>
      <c r="B29">
        <v>95385</v>
      </c>
      <c r="C29">
        <v>1.6229017081199999</v>
      </c>
    </row>
    <row r="30" spans="1:3" x14ac:dyDescent="0.2">
      <c r="A30" s="1">
        <v>41274</v>
      </c>
      <c r="B30">
        <v>95390</v>
      </c>
      <c r="C30">
        <v>1.6229017081199999</v>
      </c>
    </row>
    <row r="31" spans="1:3" x14ac:dyDescent="0.2">
      <c r="A31" s="1">
        <v>41274</v>
      </c>
      <c r="B31">
        <v>95650</v>
      </c>
      <c r="C31">
        <v>23710.572233040002</v>
      </c>
    </row>
    <row r="32" spans="1:3" x14ac:dyDescent="0.2">
      <c r="A32" s="1">
        <v>41274</v>
      </c>
      <c r="B32">
        <v>95655</v>
      </c>
      <c r="C32">
        <v>23710.572233040002</v>
      </c>
    </row>
    <row r="33" spans="1:3" x14ac:dyDescent="0.2">
      <c r="A33" s="1">
        <v>41274</v>
      </c>
      <c r="B33">
        <v>95661</v>
      </c>
      <c r="C33">
        <v>2.9678695199999998E-3</v>
      </c>
    </row>
    <row r="34" spans="1:3" x14ac:dyDescent="0.2">
      <c r="A34" s="1">
        <v>41274</v>
      </c>
      <c r="B34">
        <v>95662</v>
      </c>
      <c r="C34">
        <v>0.31415999999999999</v>
      </c>
    </row>
    <row r="35" spans="1:3" x14ac:dyDescent="0.2">
      <c r="A35" s="1">
        <v>41274</v>
      </c>
      <c r="B35">
        <v>95669</v>
      </c>
      <c r="C35">
        <v>25065.744118800001</v>
      </c>
    </row>
    <row r="36" spans="1:3" x14ac:dyDescent="0.2">
      <c r="A36" s="1">
        <v>41274</v>
      </c>
      <c r="B36">
        <v>95670</v>
      </c>
      <c r="C36">
        <v>21197.29223304</v>
      </c>
    </row>
    <row r="37" spans="1:3" x14ac:dyDescent="0.2">
      <c r="A37" s="1">
        <v>41274</v>
      </c>
      <c r="B37">
        <v>95671</v>
      </c>
      <c r="C37">
        <v>21197.29223304</v>
      </c>
    </row>
    <row r="38" spans="1:3" x14ac:dyDescent="0.2">
      <c r="A38" s="1">
        <v>41274</v>
      </c>
      <c r="B38">
        <v>95672</v>
      </c>
      <c r="C38">
        <v>2513.2800000000002</v>
      </c>
    </row>
    <row r="39" spans="1:3" x14ac:dyDescent="0.2">
      <c r="A39" s="1">
        <v>41274</v>
      </c>
      <c r="B39">
        <v>95673</v>
      </c>
      <c r="C39">
        <v>2513.2800000000002</v>
      </c>
    </row>
    <row r="40" spans="1:3" x14ac:dyDescent="0.2">
      <c r="A40" s="1">
        <v>41274</v>
      </c>
      <c r="B40">
        <v>95674</v>
      </c>
      <c r="C40">
        <v>2.9678695199999998E-3</v>
      </c>
    </row>
    <row r="41" spans="1:3" x14ac:dyDescent="0.2">
      <c r="A41" s="1">
        <v>41274</v>
      </c>
      <c r="B41">
        <v>95675</v>
      </c>
      <c r="C41">
        <v>2.6532382799999998E-3</v>
      </c>
    </row>
    <row r="42" spans="1:3" x14ac:dyDescent="0.2">
      <c r="A42" s="1">
        <v>41274</v>
      </c>
      <c r="B42">
        <v>95677</v>
      </c>
      <c r="C42">
        <v>23710.572233040002</v>
      </c>
    </row>
    <row r="43" spans="1:3" x14ac:dyDescent="0.2">
      <c r="A43" s="1">
        <v>41274</v>
      </c>
      <c r="B43">
        <v>95678</v>
      </c>
      <c r="C43">
        <v>5647.1777534172006</v>
      </c>
    </row>
    <row r="44" spans="1:3" x14ac:dyDescent="0.2">
      <c r="A44" s="1">
        <v>41274</v>
      </c>
      <c r="B44">
        <v>95679</v>
      </c>
      <c r="C44">
        <v>3137.3209742952004</v>
      </c>
    </row>
    <row r="45" spans="1:3" x14ac:dyDescent="0.2">
      <c r="A45" s="1">
        <v>41274</v>
      </c>
      <c r="B45">
        <v>95680</v>
      </c>
      <c r="C45">
        <v>1505.9140674732</v>
      </c>
    </row>
    <row r="46" spans="1:3" x14ac:dyDescent="0.2">
      <c r="A46" s="1">
        <v>41274</v>
      </c>
      <c r="B46">
        <v>95681</v>
      </c>
      <c r="C46">
        <v>10906.7706096888</v>
      </c>
    </row>
    <row r="47" spans="1:3" x14ac:dyDescent="0.2">
      <c r="A47" s="1">
        <v>41274</v>
      </c>
      <c r="B47">
        <v>95682</v>
      </c>
      <c r="C47">
        <v>7.0686000000000002E-4</v>
      </c>
    </row>
    <row r="48" spans="1:3" x14ac:dyDescent="0.2">
      <c r="A48" s="1">
        <v>41274</v>
      </c>
      <c r="B48">
        <v>95683</v>
      </c>
      <c r="C48">
        <v>1.3650251999999998E-3</v>
      </c>
    </row>
    <row r="49" spans="1:3" x14ac:dyDescent="0.2">
      <c r="A49" s="1">
        <v>41274</v>
      </c>
      <c r="B49">
        <v>95684</v>
      </c>
      <c r="C49">
        <v>0.10885644</v>
      </c>
    </row>
    <row r="50" spans="1:3" x14ac:dyDescent="0.2">
      <c r="A50" s="1">
        <v>41274</v>
      </c>
      <c r="B50">
        <v>95685</v>
      </c>
      <c r="C50">
        <v>1.5708000000000001E-4</v>
      </c>
    </row>
    <row r="51" spans="1:3" x14ac:dyDescent="0.2">
      <c r="A51" s="1">
        <v>41274</v>
      </c>
      <c r="B51">
        <v>95691</v>
      </c>
      <c r="C51">
        <v>2741.06229271232</v>
      </c>
    </row>
    <row r="52" spans="1:3" x14ac:dyDescent="0.2">
      <c r="A52" s="1">
        <v>41274</v>
      </c>
      <c r="B52">
        <v>95692</v>
      </c>
      <c r="C52">
        <v>1172.69064090948</v>
      </c>
    </row>
    <row r="53" spans="1:3" x14ac:dyDescent="0.2">
      <c r="A53" s="1">
        <v>41274</v>
      </c>
      <c r="B53">
        <v>95693</v>
      </c>
      <c r="C53">
        <v>115.97144504483998</v>
      </c>
    </row>
    <row r="54" spans="1:3" x14ac:dyDescent="0.2">
      <c r="A54" s="1">
        <v>41274</v>
      </c>
      <c r="B54">
        <v>95694</v>
      </c>
      <c r="C54">
        <v>952.40020675799997</v>
      </c>
    </row>
    <row r="55" spans="1:3" x14ac:dyDescent="0.2">
      <c r="A55" s="1">
        <v>41274</v>
      </c>
      <c r="B55">
        <v>95695</v>
      </c>
      <c r="C55">
        <v>2241.06229271232</v>
      </c>
    </row>
    <row r="56" spans="1:3" x14ac:dyDescent="0.2">
      <c r="A56" s="1">
        <v>41274</v>
      </c>
      <c r="B56">
        <v>95696</v>
      </c>
      <c r="C56">
        <v>1172.69064090948</v>
      </c>
    </row>
    <row r="57" spans="1:3" x14ac:dyDescent="0.2">
      <c r="A57" s="1">
        <v>41274</v>
      </c>
      <c r="B57">
        <v>95697</v>
      </c>
      <c r="C57">
        <v>115.97144504483998</v>
      </c>
    </row>
    <row r="58" spans="1:3" x14ac:dyDescent="0.2">
      <c r="A58" s="1">
        <v>41274</v>
      </c>
      <c r="B58">
        <v>95698</v>
      </c>
      <c r="C58">
        <v>952.40020675799997</v>
      </c>
    </row>
    <row r="59" spans="1:3" x14ac:dyDescent="0.2">
      <c r="A59" s="1">
        <v>41274</v>
      </c>
      <c r="B59">
        <v>96540</v>
      </c>
      <c r="C59">
        <v>76388.571229860114</v>
      </c>
    </row>
    <row r="60" spans="1:3" x14ac:dyDescent="0.2">
      <c r="A60" s="1">
        <v>41274</v>
      </c>
      <c r="B60">
        <v>96541</v>
      </c>
      <c r="C60">
        <v>50537.857581103206</v>
      </c>
    </row>
    <row r="61" spans="1:3" x14ac:dyDescent="0.2">
      <c r="A61" s="1">
        <v>41274</v>
      </c>
      <c r="B61">
        <v>96542</v>
      </c>
      <c r="C61">
        <v>4238.9046316940394</v>
      </c>
    </row>
    <row r="62" spans="1:3" x14ac:dyDescent="0.2">
      <c r="A62" s="1">
        <v>41274</v>
      </c>
      <c r="B62">
        <v>96543</v>
      </c>
      <c r="C62">
        <v>3696.65880157728</v>
      </c>
    </row>
    <row r="63" spans="1:3" x14ac:dyDescent="0.2">
      <c r="A63" s="1">
        <v>41274</v>
      </c>
      <c r="B63">
        <v>96545</v>
      </c>
      <c r="C63">
        <v>5919.7897467416406</v>
      </c>
    </row>
    <row r="64" spans="1:3" x14ac:dyDescent="0.2">
      <c r="A64" s="1">
        <v>41274</v>
      </c>
      <c r="B64">
        <v>96546</v>
      </c>
      <c r="C64">
        <v>10357.6403750358</v>
      </c>
    </row>
    <row r="65" spans="1:3" x14ac:dyDescent="0.2">
      <c r="A65" s="1">
        <v>41274</v>
      </c>
      <c r="B65">
        <v>96547</v>
      </c>
      <c r="C65">
        <v>93.961636248480005</v>
      </c>
    </row>
    <row r="66" spans="1:3" x14ac:dyDescent="0.2">
      <c r="A66" s="1">
        <v>41274</v>
      </c>
      <c r="B66">
        <v>96550</v>
      </c>
      <c r="C66">
        <v>1543.7584574596801</v>
      </c>
    </row>
    <row r="67" spans="1:3" x14ac:dyDescent="0.2">
      <c r="A67" s="1">
        <v>41274</v>
      </c>
      <c r="B67">
        <v>95398</v>
      </c>
      <c r="C67">
        <v>-0.5</v>
      </c>
    </row>
    <row r="68" spans="1:3" x14ac:dyDescent="0.2">
      <c r="A68" s="1">
        <v>41274</v>
      </c>
      <c r="B68">
        <v>95704</v>
      </c>
      <c r="C68">
        <v>7500</v>
      </c>
    </row>
    <row r="69" spans="1:3" x14ac:dyDescent="0.2">
      <c r="A69" s="1">
        <v>41274</v>
      </c>
      <c r="B69">
        <v>95708</v>
      </c>
      <c r="C69">
        <v>5500</v>
      </c>
    </row>
  </sheetData>
  <pageMargins left="0.7" right="0.7" top="0.75" bottom="0.75" header="0.3" footer="0.3"/>
  <pageSetup orientation="portrait" r:id="rId1"/>
  <headerFooter>
    <oddFooter>&amp;C&amp;"Calibri,Regular"&amp;12&amp;KFF8000Uso General
&amp;"Arial,Regular"&amp;06&amp;K000000Información cuyo acceso está restringido a cualquier persona empleada por el Banco de México y, en su caso, personas ajenas al mismo.</oddFooter>
    <evenFooter>&amp;C&amp;"Calibri,Regular"&amp;12&amp;KFF8000Uso General
&amp;"Arial,Regular"&amp;06&amp;K000000Información cuyo acceso está restringido a cualquier persona empleada por el Banco de México y, en su caso, personas ajenas al mismo.</evenFooter>
    <firstFooter>&amp;C&amp;"Calibri,Regular"&amp;12&amp;KFF8000Uso General
&amp;"Arial,Regular"&amp;06&amp;K000000Información cuyo acceso está restringido a cualquier persona empleada por el Banco de México y, en su caso, personas ajenas al mismo.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2c673f97-f704-441a-a1be-26277c273d44" origin="defaultValue">
  <element uid="b04b1e10-2360-4e24-8a1c-5434988754d3" value=""/>
</sisl>
</file>

<file path=customXml/itemProps1.xml><?xml version="1.0" encoding="utf-8"?>
<ds:datastoreItem xmlns:ds="http://schemas.openxmlformats.org/officeDocument/2006/customXml" ds:itemID="{E909D8A8-3EF8-4A22-86AB-F0E4FD619AE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OICCA</dc:creator>
  <cp:keywords>Uso General</cp:keywords>
  <cp:lastModifiedBy>GRECIA IDALID ARELLANO EMBRIZ</cp:lastModifiedBy>
  <dcterms:created xsi:type="dcterms:W3CDTF">2025-02-23T01:04:22Z</dcterms:created>
  <dcterms:modified xsi:type="dcterms:W3CDTF">2025-10-14T05:46:17Z</dcterms:modified>
  <cp:category>Uso General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3d420dae-b23e-4042-bb16-10cd6b54295c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policy="2c673f97-f704-441a-a1be-26277c273d44" origin="defaultValue" xmlns="http://www.boldonj</vt:lpwstr>
  </property>
  <property fmtid="{D5CDD505-2E9C-101B-9397-08002B2CF9AE}" pid="4" name="bjDocumentLabelXML-0">
    <vt:lpwstr>ames.com/2008/01/sie/internal/label"&gt;&lt;element uid="b04b1e10-2360-4e24-8a1c-5434988754d3" value="" /&gt;&lt;/sisl&gt;</vt:lpwstr>
  </property>
  <property fmtid="{D5CDD505-2E9C-101B-9397-08002B2CF9AE}" pid="5" name="bjDocumentSecurityLabel">
    <vt:lpwstr>Uso General</vt:lpwstr>
  </property>
  <property fmtid="{D5CDD505-2E9C-101B-9397-08002B2CF9AE}" pid="6" name="X-Metadata 2">
    <vt:lpwstr>db69d|||9843a5c6-c895-4b3a-967c-e56e4fe43fee</vt:lpwstr>
  </property>
  <property fmtid="{D5CDD505-2E9C-101B-9397-08002B2CF9AE}" pid="7" name="bjSaver">
    <vt:lpwstr>4nQpYqU7qHQNUaz9EUMXY9w4sDe/b5f/</vt:lpwstr>
  </property>
  <property fmtid="{D5CDD505-2E9C-101B-9397-08002B2CF9AE}" pid="8" name="bjClsUserRVM">
    <vt:lpwstr>[]</vt:lpwstr>
  </property>
  <property fmtid="{D5CDD505-2E9C-101B-9397-08002B2CF9AE}" pid="9" name="bjCentreFooterLabel-first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0" name="bjCentreFooterLabel-even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1" name="bjCentreFooterLabel">
    <vt:lpwstr>&amp;"Calibri,Regular"&amp;12&amp;KFF8000Uso General
&amp;"Arial,Regular"&amp;06&amp;K000000Información cuyo acceso está restringido a cualquier persona empleada por el Banco de México y, en su caso, personas ajenas al mismo.</vt:lpwstr>
  </property>
  <property fmtid="{D5CDD505-2E9C-101B-9397-08002B2CF9AE}" pid="12" name="X-Metadata 1">
    <vt:lpwstr>001: A10205 - 002: 170.70.9.26 - 003: 22/02/2025 09:56:04 p. m.</vt:lpwstr>
  </property>
</Properties>
</file>