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270" activeTab="7"/>
  </bookViews>
  <sheets>
    <sheet name="Ressources" sheetId="1" r:id="rId1"/>
    <sheet name="Trophées" sheetId="2" r:id="rId2"/>
    <sheet name="Comparatifs" sheetId="3" r:id="rId3"/>
    <sheet name="Ressources Idoles" sheetId="6" r:id="rId4"/>
    <sheet name="Idoles" sheetId="4" r:id="rId5"/>
    <sheet name="Comparatifs Idoles" sheetId="5" r:id="rId6"/>
    <sheet name="Taverne" sheetId="7" r:id="rId7"/>
    <sheet name="Runes" sheetId="8" r:id="rId8"/>
    <sheet name="Raw" sheetId="12" r:id="rId9"/>
    <sheet name="rose" sheetId="11" r:id="rId10"/>
  </sheets>
  <calcPr calcId="145621"/>
</workbook>
</file>

<file path=xl/calcChain.xml><?xml version="1.0" encoding="utf-8"?>
<calcChain xmlns="http://schemas.openxmlformats.org/spreadsheetml/2006/main">
  <c r="C38" i="8" l="1"/>
  <c r="C37" i="8"/>
  <c r="C36" i="8"/>
  <c r="C35" i="8"/>
  <c r="C34" i="8"/>
  <c r="C33" i="8"/>
  <c r="C32" i="8"/>
  <c r="C30" i="8"/>
  <c r="C29" i="8"/>
  <c r="C28" i="8"/>
  <c r="C27" i="8"/>
  <c r="C26" i="8"/>
  <c r="I12" i="8" s="1"/>
  <c r="C25" i="8"/>
  <c r="C24" i="8"/>
  <c r="C23" i="8"/>
  <c r="C22" i="8"/>
  <c r="C21" i="8"/>
  <c r="C20" i="8"/>
  <c r="C19" i="8"/>
  <c r="C18" i="8"/>
  <c r="C16" i="8"/>
  <c r="C15" i="8"/>
  <c r="C14" i="8"/>
  <c r="C13" i="8"/>
  <c r="C12" i="8"/>
  <c r="F12" i="8" s="1"/>
  <c r="G12" i="8" s="1"/>
  <c r="H12" i="8" s="1"/>
  <c r="C10" i="8"/>
  <c r="C9" i="8"/>
  <c r="C8" i="8"/>
  <c r="C7" i="8"/>
  <c r="C6" i="8"/>
  <c r="C5" i="8"/>
  <c r="C4" i="8"/>
  <c r="K12" i="8" l="1"/>
  <c r="L12" i="8"/>
  <c r="I10" i="11"/>
  <c r="H10" i="11"/>
  <c r="G10" i="11"/>
  <c r="F10" i="11"/>
  <c r="E10" i="11"/>
  <c r="D10" i="11"/>
  <c r="E6" i="11"/>
  <c r="C6" i="11"/>
  <c r="D5" i="11"/>
  <c r="J4" i="11"/>
  <c r="J5" i="11" s="1"/>
  <c r="I4" i="11"/>
  <c r="I5" i="11" s="1"/>
  <c r="H4" i="11"/>
  <c r="H5" i="11" s="1"/>
  <c r="G4" i="11"/>
  <c r="G5" i="11" s="1"/>
  <c r="F4" i="11"/>
  <c r="F5" i="11" s="1"/>
  <c r="E4" i="11"/>
  <c r="E5" i="11" s="1"/>
  <c r="D4" i="11"/>
  <c r="J5" i="8" l="1"/>
  <c r="J6" i="8"/>
  <c r="J7" i="8"/>
  <c r="J8" i="8"/>
  <c r="J9" i="8"/>
  <c r="J10" i="8"/>
  <c r="J11" i="8"/>
  <c r="J4" i="8"/>
  <c r="I5" i="8"/>
  <c r="I6" i="8"/>
  <c r="I7" i="8"/>
  <c r="I8" i="8"/>
  <c r="I9" i="8"/>
  <c r="I10" i="8"/>
  <c r="I11" i="8"/>
  <c r="I13" i="8"/>
  <c r="I14" i="8"/>
  <c r="I15" i="8"/>
  <c r="I16" i="8"/>
  <c r="I4" i="8"/>
  <c r="F6" i="8"/>
  <c r="G6" i="8" s="1"/>
  <c r="F7" i="8"/>
  <c r="G7" i="8" s="1"/>
  <c r="F8" i="8"/>
  <c r="G8" i="8" s="1"/>
  <c r="F9" i="8"/>
  <c r="G9" i="8" s="1"/>
  <c r="H9" i="8" s="1"/>
  <c r="F10" i="8"/>
  <c r="G10" i="8" s="1"/>
  <c r="H10" i="8" s="1"/>
  <c r="F11" i="8"/>
  <c r="G11" i="8" s="1"/>
  <c r="H11" i="8" s="1"/>
  <c r="F13" i="8"/>
  <c r="G13" i="8" s="1"/>
  <c r="H13" i="8" s="1"/>
  <c r="F14" i="8"/>
  <c r="G14" i="8" s="1"/>
  <c r="H14" i="8" s="1"/>
  <c r="F15" i="8"/>
  <c r="G15" i="8" s="1"/>
  <c r="F16" i="8"/>
  <c r="G16" i="8" s="1"/>
  <c r="F5" i="8"/>
  <c r="G5" i="8" s="1"/>
  <c r="F4" i="8"/>
  <c r="G4" i="8" s="1"/>
  <c r="N10" i="8" l="1"/>
  <c r="N11" i="8"/>
  <c r="K11" i="8"/>
  <c r="M11" i="8"/>
  <c r="M9" i="8"/>
  <c r="L11" i="8"/>
  <c r="H16" i="8"/>
  <c r="K16" i="8"/>
  <c r="L16" i="8"/>
  <c r="H15" i="8"/>
  <c r="K15" i="8"/>
  <c r="L15" i="8"/>
  <c r="L14" i="8"/>
  <c r="K14" i="8"/>
  <c r="L13" i="8"/>
  <c r="K13" i="8"/>
  <c r="M10" i="8"/>
  <c r="L10" i="8"/>
  <c r="K10" i="8"/>
  <c r="N9" i="8"/>
  <c r="L9" i="8"/>
  <c r="K9" i="8"/>
  <c r="H8" i="8"/>
  <c r="K8" i="8"/>
  <c r="L8" i="8"/>
  <c r="H7" i="8"/>
  <c r="K7" i="8"/>
  <c r="L7" i="8"/>
  <c r="H6" i="8"/>
  <c r="K6" i="8"/>
  <c r="L6" i="8"/>
  <c r="H5" i="8"/>
  <c r="K5" i="8"/>
  <c r="L5" i="8"/>
  <c r="H4" i="8"/>
  <c r="K4" i="8"/>
  <c r="L4" i="8"/>
  <c r="J36" i="3"/>
  <c r="J37" i="3"/>
  <c r="J38" i="3"/>
  <c r="B90" i="2"/>
  <c r="B93" i="2" s="1"/>
  <c r="O96" i="2"/>
  <c r="O95" i="2"/>
  <c r="J96" i="2"/>
  <c r="E96" i="2"/>
  <c r="J95" i="2"/>
  <c r="E97" i="2"/>
  <c r="N96" i="2"/>
  <c r="N95" i="2"/>
  <c r="I96" i="2"/>
  <c r="I95" i="2"/>
  <c r="D97" i="2"/>
  <c r="D96" i="2"/>
  <c r="C38" i="3"/>
  <c r="C37" i="3"/>
  <c r="C36" i="3"/>
  <c r="D98" i="2"/>
  <c r="I97" i="2"/>
  <c r="N8" i="8" l="1"/>
  <c r="M8" i="8"/>
  <c r="N7" i="8"/>
  <c r="M7" i="8"/>
  <c r="N6" i="8"/>
  <c r="M6" i="8"/>
  <c r="N5" i="8"/>
  <c r="M5" i="8"/>
  <c r="N4" i="8"/>
  <c r="M4" i="8"/>
  <c r="B92" i="2"/>
  <c r="B94" i="2"/>
  <c r="B95" i="2"/>
  <c r="B98" i="2"/>
  <c r="G90" i="2" s="1"/>
  <c r="B91" i="2"/>
  <c r="B96" i="2"/>
  <c r="B70" i="1" s="1"/>
  <c r="B97" i="2"/>
  <c r="B71" i="1" s="1"/>
  <c r="D64" i="1"/>
  <c r="E85" i="2" s="1"/>
  <c r="D68" i="1"/>
  <c r="O84" i="2" s="1"/>
  <c r="D67" i="1"/>
  <c r="J85" i="2" s="1"/>
  <c r="J33" i="3"/>
  <c r="J34" i="3"/>
  <c r="J35" i="3"/>
  <c r="B79" i="2"/>
  <c r="B81" i="2" s="1"/>
  <c r="C35" i="3"/>
  <c r="C34" i="3"/>
  <c r="C33" i="3"/>
  <c r="O85" i="2"/>
  <c r="J84" i="2"/>
  <c r="E86" i="2"/>
  <c r="N85" i="2"/>
  <c r="N84" i="2"/>
  <c r="I85" i="2"/>
  <c r="I84" i="2"/>
  <c r="D86" i="2"/>
  <c r="D85" i="2"/>
  <c r="D87" i="2"/>
  <c r="I86" i="2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2" i="3"/>
  <c r="B68" i="2"/>
  <c r="B70" i="2" s="1"/>
  <c r="C32" i="3"/>
  <c r="C31" i="3"/>
  <c r="C30" i="3"/>
  <c r="O74" i="2"/>
  <c r="O73" i="2"/>
  <c r="J74" i="2"/>
  <c r="J73" i="2"/>
  <c r="E75" i="2"/>
  <c r="E74" i="2"/>
  <c r="N74" i="2"/>
  <c r="N73" i="2"/>
  <c r="I74" i="2"/>
  <c r="I73" i="2"/>
  <c r="D75" i="2"/>
  <c r="D74" i="2"/>
  <c r="D76" i="2"/>
  <c r="I75" i="2"/>
  <c r="D51" i="1"/>
  <c r="D50" i="1"/>
  <c r="D37" i="1"/>
  <c r="D36" i="1"/>
  <c r="D33" i="1"/>
  <c r="D28" i="1"/>
  <c r="G97" i="2" l="1"/>
  <c r="L90" i="2" s="1"/>
  <c r="G96" i="2"/>
  <c r="B16" i="1" s="1"/>
  <c r="G94" i="2"/>
  <c r="G95" i="2"/>
  <c r="B72" i="1" s="1"/>
  <c r="G93" i="2"/>
  <c r="G92" i="2"/>
  <c r="G91" i="2"/>
  <c r="B82" i="2"/>
  <c r="B83" i="2"/>
  <c r="B85" i="2"/>
  <c r="B64" i="1" s="1"/>
  <c r="B84" i="2"/>
  <c r="B87" i="2"/>
  <c r="G79" i="2" s="1"/>
  <c r="B80" i="2"/>
  <c r="B86" i="2"/>
  <c r="B65" i="1" s="1"/>
  <c r="B71" i="2"/>
  <c r="B72" i="2"/>
  <c r="B73" i="2"/>
  <c r="B76" i="2"/>
  <c r="G68" i="2" s="1"/>
  <c r="B75" i="2"/>
  <c r="B59" i="1" s="1"/>
  <c r="B69" i="2"/>
  <c r="B74" i="2"/>
  <c r="B26" i="1" s="1"/>
  <c r="E28" i="7"/>
  <c r="E27" i="7"/>
  <c r="E26" i="7"/>
  <c r="E25" i="7"/>
  <c r="E24" i="7"/>
  <c r="E23" i="7"/>
  <c r="E22" i="7"/>
  <c r="E21" i="7"/>
  <c r="B20" i="7"/>
  <c r="B23" i="7" s="1"/>
  <c r="C36" i="7" s="1"/>
  <c r="H11" i="7"/>
  <c r="D28" i="7"/>
  <c r="D27" i="7"/>
  <c r="D26" i="7"/>
  <c r="D25" i="7"/>
  <c r="D24" i="7"/>
  <c r="D23" i="7"/>
  <c r="D22" i="7"/>
  <c r="D21" i="7"/>
  <c r="H10" i="7"/>
  <c r="L94" i="2" l="1"/>
  <c r="L93" i="2"/>
  <c r="L92" i="2"/>
  <c r="L91" i="2"/>
  <c r="L95" i="2"/>
  <c r="B73" i="1" s="1"/>
  <c r="L96" i="2"/>
  <c r="B74" i="1" s="1"/>
  <c r="G86" i="2"/>
  <c r="L79" i="2" s="1"/>
  <c r="G84" i="2"/>
  <c r="B66" i="1" s="1"/>
  <c r="G83" i="2"/>
  <c r="G85" i="2"/>
  <c r="B67" i="1" s="1"/>
  <c r="G81" i="2"/>
  <c r="G80" i="2"/>
  <c r="G82" i="2"/>
  <c r="G75" i="2"/>
  <c r="L68" i="2" s="1"/>
  <c r="G73" i="2"/>
  <c r="B60" i="1" s="1"/>
  <c r="G74" i="2"/>
  <c r="B61" i="1" s="1"/>
  <c r="G72" i="2"/>
  <c r="G71" i="2"/>
  <c r="G70" i="2"/>
  <c r="G69" i="2"/>
  <c r="B28" i="7"/>
  <c r="C45" i="7" s="1"/>
  <c r="E29" i="7"/>
  <c r="I11" i="7" s="1"/>
  <c r="K11" i="7" s="1"/>
  <c r="B24" i="7"/>
  <c r="C38" i="7" s="1"/>
  <c r="B27" i="7"/>
  <c r="C44" i="7" s="1"/>
  <c r="B26" i="7"/>
  <c r="C43" i="7" s="1"/>
  <c r="B22" i="7"/>
  <c r="C34" i="7" s="1"/>
  <c r="B25" i="7"/>
  <c r="C42" i="7" s="1"/>
  <c r="B21" i="7"/>
  <c r="D4" i="7"/>
  <c r="B10" i="7"/>
  <c r="E35" i="7"/>
  <c r="E12" i="7" s="1"/>
  <c r="E10" i="7"/>
  <c r="E13" i="7"/>
  <c r="E14" i="7"/>
  <c r="E15" i="7"/>
  <c r="E16" i="7"/>
  <c r="E17" i="7"/>
  <c r="E11" i="7"/>
  <c r="D16" i="7"/>
  <c r="D15" i="7"/>
  <c r="D14" i="7"/>
  <c r="D13" i="7"/>
  <c r="D12" i="7"/>
  <c r="D11" i="7"/>
  <c r="D10" i="7"/>
  <c r="L83" i="2" l="1"/>
  <c r="L81" i="2"/>
  <c r="L80" i="2"/>
  <c r="L82" i="2"/>
  <c r="L85" i="2"/>
  <c r="B69" i="1" s="1"/>
  <c r="L84" i="2"/>
  <c r="B68" i="1" s="1"/>
  <c r="L72" i="2"/>
  <c r="L71" i="2"/>
  <c r="L70" i="2"/>
  <c r="L69" i="2"/>
  <c r="L74" i="2"/>
  <c r="B63" i="1" s="1"/>
  <c r="L73" i="2"/>
  <c r="B62" i="1" s="1"/>
  <c r="C32" i="7"/>
  <c r="B14" i="7"/>
  <c r="C39" i="7" s="1"/>
  <c r="B11" i="7"/>
  <c r="C33" i="7" s="1"/>
  <c r="B12" i="7"/>
  <c r="C35" i="7" s="1"/>
  <c r="B13" i="7"/>
  <c r="C37" i="7" s="1"/>
  <c r="B16" i="7"/>
  <c r="C41" i="7" s="1"/>
  <c r="E18" i="7"/>
  <c r="I10" i="7" s="1"/>
  <c r="I8" i="7" s="1"/>
  <c r="B15" i="7"/>
  <c r="C40" i="7" s="1"/>
  <c r="B2" i="2"/>
  <c r="O8" i="2"/>
  <c r="O7" i="2"/>
  <c r="O6" i="2"/>
  <c r="N8" i="2"/>
  <c r="N7" i="2"/>
  <c r="N6" i="2"/>
  <c r="J8" i="2"/>
  <c r="J7" i="2"/>
  <c r="J6" i="2"/>
  <c r="I8" i="2"/>
  <c r="I7" i="2"/>
  <c r="I6" i="2"/>
  <c r="E8" i="2"/>
  <c r="D8" i="2"/>
  <c r="K10" i="7" l="1"/>
  <c r="K8" i="7" s="1"/>
  <c r="D5" i="7"/>
  <c r="E9" i="2"/>
  <c r="E7" i="2"/>
  <c r="E6" i="2"/>
  <c r="D9" i="2"/>
  <c r="D7" i="2"/>
  <c r="D6" i="2"/>
  <c r="B7" i="2"/>
  <c r="B55" i="1" s="1"/>
  <c r="B3" i="2"/>
  <c r="C29" i="3"/>
  <c r="C28" i="3"/>
  <c r="C27" i="3"/>
  <c r="D10" i="2"/>
  <c r="I9" i="2"/>
  <c r="B10" i="2"/>
  <c r="D6" i="7" l="1"/>
  <c r="G2" i="2"/>
  <c r="G4" i="2" s="1"/>
  <c r="B4" i="2"/>
  <c r="B5" i="2"/>
  <c r="B6" i="2"/>
  <c r="B54" i="1" s="1"/>
  <c r="B8" i="2"/>
  <c r="B7" i="1" s="1"/>
  <c r="B9" i="2"/>
  <c r="B56" i="1" s="1"/>
  <c r="G2" i="4"/>
  <c r="G10" i="4" s="1"/>
  <c r="B18" i="6" s="1"/>
  <c r="D5" i="6"/>
  <c r="D4" i="6"/>
  <c r="D7" i="6"/>
  <c r="D2" i="6"/>
  <c r="G9" i="2" l="1"/>
  <c r="L2" i="2" s="1"/>
  <c r="L5" i="2" s="1"/>
  <c r="G5" i="2"/>
  <c r="G6" i="2"/>
  <c r="B57" i="1" s="1"/>
  <c r="G7" i="2"/>
  <c r="B8" i="1" s="1"/>
  <c r="G8" i="2"/>
  <c r="B9" i="1" s="1"/>
  <c r="G3" i="2"/>
  <c r="L8" i="2"/>
  <c r="B58" i="1" s="1"/>
  <c r="L7" i="2"/>
  <c r="L6" i="2"/>
  <c r="E9" i="4"/>
  <c r="E8" i="4"/>
  <c r="E7" i="4"/>
  <c r="E6" i="4"/>
  <c r="E5" i="4"/>
  <c r="E4" i="4"/>
  <c r="E3" i="4"/>
  <c r="D9" i="4"/>
  <c r="D8" i="4"/>
  <c r="D7" i="4"/>
  <c r="D6" i="4"/>
  <c r="D5" i="4"/>
  <c r="D4" i="4"/>
  <c r="D3" i="4"/>
  <c r="B2" i="4"/>
  <c r="B4" i="4" s="1"/>
  <c r="B11" i="6" s="1"/>
  <c r="C12" i="5"/>
  <c r="D4" i="5"/>
  <c r="B57" i="2"/>
  <c r="B59" i="2" s="1"/>
  <c r="C26" i="3"/>
  <c r="C25" i="3"/>
  <c r="C24" i="3"/>
  <c r="E64" i="2"/>
  <c r="E63" i="2"/>
  <c r="D64" i="2"/>
  <c r="D63" i="2"/>
  <c r="J63" i="2"/>
  <c r="J62" i="2"/>
  <c r="I62" i="2"/>
  <c r="I63" i="2"/>
  <c r="O63" i="2"/>
  <c r="O62" i="2"/>
  <c r="N63" i="2"/>
  <c r="N62" i="2"/>
  <c r="I64" i="2"/>
  <c r="D65" i="2"/>
  <c r="L3" i="2" l="1"/>
  <c r="L4" i="2"/>
  <c r="B10" i="1"/>
  <c r="B11" i="1"/>
  <c r="B8" i="4"/>
  <c r="B14" i="6" s="1"/>
  <c r="B9" i="4"/>
  <c r="B15" i="6" s="1"/>
  <c r="B3" i="4"/>
  <c r="E11" i="4"/>
  <c r="D12" i="5" s="1"/>
  <c r="H12" i="5" s="1"/>
  <c r="O11" i="4"/>
  <c r="J11" i="4" s="1"/>
  <c r="B5" i="4"/>
  <c r="B6" i="4"/>
  <c r="B3" i="6" s="1"/>
  <c r="B7" i="4"/>
  <c r="B9" i="6" s="1"/>
  <c r="B63" i="2"/>
  <c r="B49" i="1" s="1"/>
  <c r="B60" i="2"/>
  <c r="B61" i="2"/>
  <c r="B62" i="2"/>
  <c r="B65" i="2"/>
  <c r="G57" i="2" s="1"/>
  <c r="B58" i="2"/>
  <c r="B64" i="2"/>
  <c r="B50" i="1" s="1"/>
  <c r="D4" i="3"/>
  <c r="B46" i="2"/>
  <c r="B48" i="2" s="1"/>
  <c r="O52" i="2"/>
  <c r="O51" i="2"/>
  <c r="N52" i="2"/>
  <c r="N51" i="2"/>
  <c r="J52" i="2"/>
  <c r="J51" i="2"/>
  <c r="I52" i="2"/>
  <c r="I51" i="2"/>
  <c r="I53" i="2"/>
  <c r="D54" i="2"/>
  <c r="E53" i="2"/>
  <c r="E52" i="2"/>
  <c r="D53" i="2"/>
  <c r="D52" i="2"/>
  <c r="C23" i="3"/>
  <c r="C22" i="3"/>
  <c r="C21" i="3"/>
  <c r="B35" i="2"/>
  <c r="B38" i="2" s="1"/>
  <c r="E42" i="2"/>
  <c r="E41" i="2"/>
  <c r="J41" i="2"/>
  <c r="J40" i="2"/>
  <c r="O41" i="2"/>
  <c r="O40" i="2"/>
  <c r="N41" i="2"/>
  <c r="N40" i="2"/>
  <c r="I41" i="2"/>
  <c r="I40" i="2"/>
  <c r="D42" i="2"/>
  <c r="D41" i="2"/>
  <c r="I42" i="2"/>
  <c r="D43" i="2"/>
  <c r="C20" i="3"/>
  <c r="C19" i="3"/>
  <c r="C18" i="3"/>
  <c r="F12" i="5" l="1"/>
  <c r="G12" i="5"/>
  <c r="I12" i="5" s="1"/>
  <c r="B49" i="2"/>
  <c r="G5" i="4"/>
  <c r="B4" i="6" s="1"/>
  <c r="G4" i="4"/>
  <c r="B2" i="6" s="1"/>
  <c r="G7" i="4"/>
  <c r="B12" i="6" s="1"/>
  <c r="G3" i="4"/>
  <c r="B7" i="6" s="1"/>
  <c r="G8" i="4"/>
  <c r="B16" i="6" s="1"/>
  <c r="G9" i="4"/>
  <c r="G6" i="4"/>
  <c r="B5" i="6" s="1"/>
  <c r="B51" i="2"/>
  <c r="G64" i="2"/>
  <c r="L57" i="2" s="1"/>
  <c r="G61" i="2"/>
  <c r="G63" i="2"/>
  <c r="B51" i="1" s="1"/>
  <c r="G62" i="2"/>
  <c r="B53" i="1" s="1"/>
  <c r="G60" i="2"/>
  <c r="G59" i="2"/>
  <c r="G58" i="2"/>
  <c r="B53" i="2"/>
  <c r="B48" i="1" s="1"/>
  <c r="B37" i="2"/>
  <c r="B54" i="2"/>
  <c r="G46" i="2" s="1"/>
  <c r="G49" i="2" s="1"/>
  <c r="B47" i="2"/>
  <c r="B52" i="2"/>
  <c r="B47" i="1" s="1"/>
  <c r="B50" i="2"/>
  <c r="B40" i="2"/>
  <c r="B43" i="2"/>
  <c r="B39" i="2"/>
  <c r="B42" i="2"/>
  <c r="B43" i="1" s="1"/>
  <c r="B36" i="2"/>
  <c r="B41" i="2"/>
  <c r="B44" i="1" s="1"/>
  <c r="E31" i="2"/>
  <c r="E30" i="2"/>
  <c r="E29" i="2"/>
  <c r="E40" i="2" s="1"/>
  <c r="E51" i="2" s="1"/>
  <c r="E62" i="2" s="1"/>
  <c r="E28" i="2"/>
  <c r="E39" i="2" s="1"/>
  <c r="E50" i="2" s="1"/>
  <c r="E61" i="2" s="1"/>
  <c r="E72" i="2" s="1"/>
  <c r="E83" i="2" s="1"/>
  <c r="E94" i="2" s="1"/>
  <c r="E27" i="2"/>
  <c r="E38" i="2" s="1"/>
  <c r="E49" i="2" s="1"/>
  <c r="E60" i="2" s="1"/>
  <c r="E26" i="2"/>
  <c r="E37" i="2" s="1"/>
  <c r="E48" i="2" s="1"/>
  <c r="E59" i="2" s="1"/>
  <c r="E25" i="2"/>
  <c r="D32" i="2"/>
  <c r="D31" i="2"/>
  <c r="D30" i="2"/>
  <c r="D29" i="2"/>
  <c r="D40" i="2" s="1"/>
  <c r="D51" i="2" s="1"/>
  <c r="D62" i="2" s="1"/>
  <c r="D28" i="2"/>
  <c r="D39" i="2" s="1"/>
  <c r="D50" i="2" s="1"/>
  <c r="D61" i="2" s="1"/>
  <c r="D72" i="2" s="1"/>
  <c r="D83" i="2" s="1"/>
  <c r="D94" i="2" s="1"/>
  <c r="D27" i="2"/>
  <c r="D38" i="2" s="1"/>
  <c r="D49" i="2" s="1"/>
  <c r="D60" i="2" s="1"/>
  <c r="D26" i="2"/>
  <c r="D37" i="2" s="1"/>
  <c r="D48" i="2" s="1"/>
  <c r="D59" i="2" s="1"/>
  <c r="D25" i="2"/>
  <c r="D36" i="2" s="1"/>
  <c r="D47" i="2" s="1"/>
  <c r="D58" i="2" s="1"/>
  <c r="D69" i="2" s="1"/>
  <c r="D80" i="2" s="1"/>
  <c r="D91" i="2" s="1"/>
  <c r="I31" i="2"/>
  <c r="J30" i="2"/>
  <c r="J29" i="2"/>
  <c r="I30" i="2"/>
  <c r="I29" i="2"/>
  <c r="J28" i="2"/>
  <c r="J39" i="2" s="1"/>
  <c r="J50" i="2" s="1"/>
  <c r="J61" i="2" s="1"/>
  <c r="J72" i="2" s="1"/>
  <c r="J83" i="2" s="1"/>
  <c r="J94" i="2" s="1"/>
  <c r="I28" i="2"/>
  <c r="I39" i="2" s="1"/>
  <c r="I50" i="2" s="1"/>
  <c r="I61" i="2" s="1"/>
  <c r="I72" i="2" s="1"/>
  <c r="I83" i="2" s="1"/>
  <c r="I94" i="2" s="1"/>
  <c r="J27" i="2"/>
  <c r="J38" i="2" s="1"/>
  <c r="J49" i="2" s="1"/>
  <c r="J60" i="2" s="1"/>
  <c r="J26" i="2"/>
  <c r="J37" i="2" s="1"/>
  <c r="J48" i="2" s="1"/>
  <c r="J59" i="2" s="1"/>
  <c r="J25" i="2"/>
  <c r="J36" i="2" s="1"/>
  <c r="J47" i="2" s="1"/>
  <c r="J58" i="2" s="1"/>
  <c r="I27" i="2"/>
  <c r="I38" i="2" s="1"/>
  <c r="I49" i="2" s="1"/>
  <c r="I60" i="2" s="1"/>
  <c r="I26" i="2"/>
  <c r="I37" i="2" s="1"/>
  <c r="I48" i="2" s="1"/>
  <c r="I59" i="2" s="1"/>
  <c r="I25" i="2"/>
  <c r="I36" i="2" s="1"/>
  <c r="I47" i="2" s="1"/>
  <c r="I58" i="2" s="1"/>
  <c r="B24" i="2"/>
  <c r="B32" i="2" s="1"/>
  <c r="G24" i="2" s="1"/>
  <c r="C17" i="3"/>
  <c r="C16" i="3"/>
  <c r="C15" i="3"/>
  <c r="O30" i="2"/>
  <c r="O29" i="2"/>
  <c r="O28" i="2"/>
  <c r="O39" i="2" s="1"/>
  <c r="O50" i="2" s="1"/>
  <c r="O61" i="2" s="1"/>
  <c r="O72" i="2" s="1"/>
  <c r="O83" i="2" s="1"/>
  <c r="O94" i="2" s="1"/>
  <c r="O27" i="2"/>
  <c r="O38" i="2" s="1"/>
  <c r="O49" i="2" s="1"/>
  <c r="O60" i="2" s="1"/>
  <c r="O26" i="2"/>
  <c r="O37" i="2" s="1"/>
  <c r="O48" i="2" s="1"/>
  <c r="O59" i="2" s="1"/>
  <c r="O25" i="2"/>
  <c r="O36" i="2" s="1"/>
  <c r="O47" i="2" s="1"/>
  <c r="O58" i="2" s="1"/>
  <c r="N30" i="2"/>
  <c r="N29" i="2"/>
  <c r="N28" i="2"/>
  <c r="N39" i="2" s="1"/>
  <c r="N50" i="2" s="1"/>
  <c r="N61" i="2" s="1"/>
  <c r="N72" i="2" s="1"/>
  <c r="N83" i="2" s="1"/>
  <c r="N94" i="2" s="1"/>
  <c r="N27" i="2"/>
  <c r="N38" i="2" s="1"/>
  <c r="N49" i="2" s="1"/>
  <c r="N60" i="2" s="1"/>
  <c r="N26" i="2"/>
  <c r="N37" i="2" s="1"/>
  <c r="N48" i="2" s="1"/>
  <c r="N59" i="2" s="1"/>
  <c r="N25" i="2"/>
  <c r="N36" i="2" s="1"/>
  <c r="N47" i="2" s="1"/>
  <c r="N58" i="2" s="1"/>
  <c r="N5" i="2" l="1"/>
  <c r="N71" i="2"/>
  <c r="N82" i="2" s="1"/>
  <c r="N93" i="2" s="1"/>
  <c r="J5" i="2"/>
  <c r="J71" i="2"/>
  <c r="J82" i="2" s="1"/>
  <c r="J93" i="2" s="1"/>
  <c r="J4" i="2"/>
  <c r="J70" i="2"/>
  <c r="J81" i="2" s="1"/>
  <c r="J92" i="2" s="1"/>
  <c r="E3" i="2"/>
  <c r="E70" i="2"/>
  <c r="E81" i="2" s="1"/>
  <c r="E92" i="2" s="1"/>
  <c r="O4" i="2"/>
  <c r="O70" i="2"/>
  <c r="O81" i="2" s="1"/>
  <c r="O92" i="2" s="1"/>
  <c r="D4" i="2"/>
  <c r="D71" i="2"/>
  <c r="D82" i="2" s="1"/>
  <c r="D93" i="2" s="1"/>
  <c r="E4" i="2"/>
  <c r="E71" i="2"/>
  <c r="E82" i="2" s="1"/>
  <c r="E93" i="2" s="1"/>
  <c r="O3" i="2"/>
  <c r="O69" i="2"/>
  <c r="O80" i="2" s="1"/>
  <c r="O91" i="2" s="1"/>
  <c r="D3" i="2"/>
  <c r="D70" i="2"/>
  <c r="D81" i="2" s="1"/>
  <c r="D92" i="2" s="1"/>
  <c r="N3" i="2"/>
  <c r="N69" i="2"/>
  <c r="N80" i="2" s="1"/>
  <c r="N91" i="2" s="1"/>
  <c r="O5" i="2"/>
  <c r="O71" i="2"/>
  <c r="O82" i="2" s="1"/>
  <c r="O93" i="2" s="1"/>
  <c r="I3" i="2"/>
  <c r="I69" i="2"/>
  <c r="I80" i="2" s="1"/>
  <c r="I91" i="2" s="1"/>
  <c r="I5" i="2"/>
  <c r="I71" i="2"/>
  <c r="I82" i="2" s="1"/>
  <c r="I93" i="2" s="1"/>
  <c r="J3" i="2"/>
  <c r="J69" i="2"/>
  <c r="J80" i="2" s="1"/>
  <c r="J91" i="2" s="1"/>
  <c r="N4" i="2"/>
  <c r="N70" i="2"/>
  <c r="N81" i="2" s="1"/>
  <c r="N92" i="2" s="1"/>
  <c r="I4" i="2"/>
  <c r="I70" i="2"/>
  <c r="I81" i="2" s="1"/>
  <c r="I92" i="2" s="1"/>
  <c r="D5" i="2"/>
  <c r="D73" i="2"/>
  <c r="D84" i="2" s="1"/>
  <c r="D95" i="2" s="1"/>
  <c r="E5" i="2"/>
  <c r="E73" i="2"/>
  <c r="E84" i="2" s="1"/>
  <c r="E95" i="2" s="1"/>
  <c r="G52" i="2"/>
  <c r="B46" i="1" s="1"/>
  <c r="E36" i="2"/>
  <c r="L2" i="4"/>
  <c r="L6" i="4" s="1"/>
  <c r="B17" i="6"/>
  <c r="F10" i="5"/>
  <c r="D5" i="5" s="1"/>
  <c r="I10" i="5"/>
  <c r="G51" i="2"/>
  <c r="B24" i="1" s="1"/>
  <c r="O66" i="2"/>
  <c r="D26" i="3" s="1"/>
  <c r="G26" i="3" s="1"/>
  <c r="L61" i="2"/>
  <c r="L59" i="2"/>
  <c r="L60" i="2"/>
  <c r="L58" i="2"/>
  <c r="L63" i="2"/>
  <c r="B25" i="1" s="1"/>
  <c r="L62" i="2"/>
  <c r="B52" i="1" s="1"/>
  <c r="G53" i="2"/>
  <c r="L46" i="2" s="1"/>
  <c r="L50" i="2" s="1"/>
  <c r="G48" i="2"/>
  <c r="G47" i="2"/>
  <c r="G50" i="2"/>
  <c r="O55" i="2"/>
  <c r="J53" i="2" s="1"/>
  <c r="O44" i="2"/>
  <c r="J42" i="2" s="1"/>
  <c r="J44" i="2" s="1"/>
  <c r="G35" i="2"/>
  <c r="G40" i="2" s="1"/>
  <c r="B42" i="1" s="1"/>
  <c r="B27" i="2"/>
  <c r="B28" i="2"/>
  <c r="B29" i="2"/>
  <c r="B26" i="2"/>
  <c r="O33" i="2"/>
  <c r="D17" i="3" s="1"/>
  <c r="G17" i="3" s="1"/>
  <c r="G31" i="2"/>
  <c r="L24" i="2" s="1"/>
  <c r="G26" i="2"/>
  <c r="G30" i="2"/>
  <c r="B36" i="1" s="1"/>
  <c r="G29" i="2"/>
  <c r="B35" i="1" s="1"/>
  <c r="G28" i="2"/>
  <c r="G27" i="2"/>
  <c r="G25" i="2"/>
  <c r="B30" i="2"/>
  <c r="B37" i="1" s="1"/>
  <c r="B31" i="2"/>
  <c r="B38" i="1" s="1"/>
  <c r="B25" i="2"/>
  <c r="N18" i="2"/>
  <c r="O18" i="2"/>
  <c r="O19" i="2"/>
  <c r="O17" i="2"/>
  <c r="O16" i="2"/>
  <c r="O15" i="2"/>
  <c r="O14" i="2"/>
  <c r="J19" i="2"/>
  <c r="J18" i="2"/>
  <c r="J17" i="2"/>
  <c r="J16" i="2"/>
  <c r="J15" i="2"/>
  <c r="J14" i="2"/>
  <c r="C14" i="3"/>
  <c r="I19" i="2"/>
  <c r="I18" i="2"/>
  <c r="I17" i="2"/>
  <c r="I16" i="2"/>
  <c r="I15" i="2"/>
  <c r="I14" i="2"/>
  <c r="D21" i="2"/>
  <c r="I20" i="2"/>
  <c r="C13" i="3"/>
  <c r="N19" i="2"/>
  <c r="N17" i="2"/>
  <c r="N16" i="2"/>
  <c r="N15" i="2"/>
  <c r="N14" i="2"/>
  <c r="B13" i="2"/>
  <c r="B20" i="2" s="1"/>
  <c r="B13" i="1" s="1"/>
  <c r="L7" i="4" l="1"/>
  <c r="O99" i="2"/>
  <c r="O88" i="2"/>
  <c r="J86" i="2" s="1"/>
  <c r="J88" i="2" s="1"/>
  <c r="O77" i="2"/>
  <c r="O11" i="2"/>
  <c r="J9" i="2" s="1"/>
  <c r="J11" i="2" s="1"/>
  <c r="L4" i="4"/>
  <c r="L5" i="4"/>
  <c r="L3" i="4"/>
  <c r="E47" i="2"/>
  <c r="L8" i="4"/>
  <c r="D6" i="5"/>
  <c r="L49" i="2"/>
  <c r="L52" i="2"/>
  <c r="B45" i="1" s="1"/>
  <c r="I26" i="3"/>
  <c r="F26" i="3"/>
  <c r="H26" i="3"/>
  <c r="J64" i="2"/>
  <c r="J66" i="2" s="1"/>
  <c r="L47" i="2"/>
  <c r="L48" i="2"/>
  <c r="L51" i="2"/>
  <c r="B23" i="1" s="1"/>
  <c r="H17" i="3"/>
  <c r="F17" i="3"/>
  <c r="J55" i="2"/>
  <c r="D23" i="3"/>
  <c r="D20" i="3"/>
  <c r="E43" i="2"/>
  <c r="E44" i="2" s="1"/>
  <c r="D18" i="3" s="1"/>
  <c r="G18" i="3" s="1"/>
  <c r="D19" i="3"/>
  <c r="G41" i="2"/>
  <c r="B41" i="1" s="1"/>
  <c r="G37" i="2"/>
  <c r="G39" i="2"/>
  <c r="G36" i="2"/>
  <c r="G42" i="2"/>
  <c r="L35" i="2" s="1"/>
  <c r="G38" i="2"/>
  <c r="J31" i="2"/>
  <c r="J33" i="2" s="1"/>
  <c r="D16" i="3" s="1"/>
  <c r="G16" i="3" s="1"/>
  <c r="I17" i="3"/>
  <c r="L28" i="2"/>
  <c r="L27" i="2"/>
  <c r="L25" i="2"/>
  <c r="L29" i="2"/>
  <c r="B33" i="1" s="1"/>
  <c r="L26" i="2"/>
  <c r="L30" i="2"/>
  <c r="B34" i="1" s="1"/>
  <c r="B21" i="2"/>
  <c r="O22" i="2"/>
  <c r="D13" i="3" s="1"/>
  <c r="G13" i="3" s="1"/>
  <c r="B14" i="2"/>
  <c r="B3" i="1" s="1"/>
  <c r="B15" i="2"/>
  <c r="B4" i="1" s="1"/>
  <c r="B16" i="2"/>
  <c r="B18" i="1" s="1"/>
  <c r="B17" i="2"/>
  <c r="B18" i="2"/>
  <c r="B28" i="1" s="1"/>
  <c r="B19" i="2"/>
  <c r="B29" i="1" s="1"/>
  <c r="C12" i="3"/>
  <c r="E20" i="2"/>
  <c r="E19" i="2"/>
  <c r="E18" i="2"/>
  <c r="E17" i="2"/>
  <c r="E16" i="2"/>
  <c r="E15" i="2"/>
  <c r="E14" i="2"/>
  <c r="D20" i="2"/>
  <c r="D19" i="2"/>
  <c r="D18" i="2"/>
  <c r="D17" i="2"/>
  <c r="D16" i="2"/>
  <c r="D15" i="2"/>
  <c r="D14" i="2"/>
  <c r="J97" i="2" l="1"/>
  <c r="J99" i="2" s="1"/>
  <c r="E98" i="2" s="1"/>
  <c r="D38" i="3"/>
  <c r="D35" i="3"/>
  <c r="H35" i="3" s="1"/>
  <c r="D29" i="3"/>
  <c r="G29" i="3" s="1"/>
  <c r="I29" i="3" s="1"/>
  <c r="F35" i="3"/>
  <c r="G35" i="3"/>
  <c r="I35" i="3" s="1"/>
  <c r="E87" i="2"/>
  <c r="D34" i="3"/>
  <c r="F23" i="3"/>
  <c r="G23" i="3"/>
  <c r="I23" i="3" s="1"/>
  <c r="F19" i="3"/>
  <c r="G19" i="3"/>
  <c r="I19" i="3" s="1"/>
  <c r="F20" i="3"/>
  <c r="G20" i="3"/>
  <c r="I20" i="3" s="1"/>
  <c r="J75" i="2"/>
  <c r="J77" i="2" s="1"/>
  <c r="D32" i="3"/>
  <c r="G32" i="3" s="1"/>
  <c r="E10" i="2"/>
  <c r="D28" i="3"/>
  <c r="G28" i="3" s="1"/>
  <c r="F18" i="3"/>
  <c r="H18" i="3"/>
  <c r="I18" i="3"/>
  <c r="E58" i="2"/>
  <c r="E69" i="2" s="1"/>
  <c r="E80" i="2" s="1"/>
  <c r="E91" i="2" s="1"/>
  <c r="D25" i="3"/>
  <c r="G25" i="3" s="1"/>
  <c r="E65" i="2"/>
  <c r="H13" i="3"/>
  <c r="F13" i="3"/>
  <c r="H16" i="3"/>
  <c r="F16" i="3"/>
  <c r="H23" i="3"/>
  <c r="D22" i="3"/>
  <c r="E54" i="2"/>
  <c r="E55" i="2" s="1"/>
  <c r="D21" i="3" s="1"/>
  <c r="G21" i="3" s="1"/>
  <c r="H19" i="3"/>
  <c r="H20" i="3"/>
  <c r="L40" i="2"/>
  <c r="B39" i="1" s="1"/>
  <c r="L39" i="2"/>
  <c r="L36" i="2"/>
  <c r="L38" i="2"/>
  <c r="L37" i="2"/>
  <c r="L41" i="2"/>
  <c r="B40" i="1" s="1"/>
  <c r="I16" i="3"/>
  <c r="E32" i="2"/>
  <c r="E33" i="2" s="1"/>
  <c r="D15" i="3" s="1"/>
  <c r="G15" i="3" s="1"/>
  <c r="G13" i="2"/>
  <c r="G17" i="2" s="1"/>
  <c r="J20" i="2"/>
  <c r="J22" i="2" s="1"/>
  <c r="D14" i="3" s="1"/>
  <c r="G14" i="3" s="1"/>
  <c r="I13" i="3"/>
  <c r="D37" i="3" l="1"/>
  <c r="F29" i="3"/>
  <c r="E99" i="2"/>
  <c r="D36" i="3" s="1"/>
  <c r="F36" i="3" s="1"/>
  <c r="F38" i="3"/>
  <c r="H38" i="3"/>
  <c r="G38" i="3"/>
  <c r="I38" i="3" s="1"/>
  <c r="F37" i="3"/>
  <c r="H37" i="3"/>
  <c r="G37" i="3"/>
  <c r="I37" i="3" s="1"/>
  <c r="H29" i="3"/>
  <c r="E88" i="2"/>
  <c r="D33" i="3" s="1"/>
  <c r="H33" i="3" s="1"/>
  <c r="H34" i="3"/>
  <c r="F34" i="3"/>
  <c r="G34" i="3"/>
  <c r="I34" i="3" s="1"/>
  <c r="F22" i="3"/>
  <c r="G22" i="3"/>
  <c r="I22" i="3" s="1"/>
  <c r="H32" i="3"/>
  <c r="F32" i="3"/>
  <c r="I32" i="3"/>
  <c r="E76" i="2"/>
  <c r="E77" i="2" s="1"/>
  <c r="D30" i="3" s="1"/>
  <c r="G30" i="3" s="1"/>
  <c r="D31" i="3"/>
  <c r="G31" i="3" s="1"/>
  <c r="E11" i="2"/>
  <c r="D27" i="3" s="1"/>
  <c r="F28" i="3"/>
  <c r="I28" i="3"/>
  <c r="H28" i="3"/>
  <c r="E66" i="2"/>
  <c r="D24" i="3" s="1"/>
  <c r="F21" i="3"/>
  <c r="H21" i="3"/>
  <c r="I21" i="3"/>
  <c r="F15" i="3"/>
  <c r="I15" i="3"/>
  <c r="H15" i="3"/>
  <c r="F25" i="3"/>
  <c r="H25" i="3"/>
  <c r="I25" i="3"/>
  <c r="H14" i="3"/>
  <c r="F14" i="3"/>
  <c r="H22" i="3"/>
  <c r="G16" i="2"/>
  <c r="B20" i="1" s="1"/>
  <c r="G19" i="2"/>
  <c r="B32" i="1" s="1"/>
  <c r="G18" i="2"/>
  <c r="B31" i="1" s="1"/>
  <c r="G20" i="2"/>
  <c r="L13" i="2" s="1"/>
  <c r="G14" i="2"/>
  <c r="B6" i="1" s="1"/>
  <c r="G15" i="2"/>
  <c r="B15" i="1" s="1"/>
  <c r="E21" i="2"/>
  <c r="E22" i="2" s="1"/>
  <c r="D12" i="3" s="1"/>
  <c r="I14" i="3"/>
  <c r="H36" i="3" l="1"/>
  <c r="G36" i="3"/>
  <c r="I36" i="3" s="1"/>
  <c r="G33" i="3"/>
  <c r="I33" i="3" s="1"/>
  <c r="F33" i="3"/>
  <c r="H24" i="3"/>
  <c r="G24" i="3"/>
  <c r="I24" i="3" s="1"/>
  <c r="F12" i="3"/>
  <c r="G12" i="3"/>
  <c r="G27" i="3"/>
  <c r="I27" i="3" s="1"/>
  <c r="I30" i="3"/>
  <c r="F30" i="3"/>
  <c r="H30" i="3"/>
  <c r="H31" i="3"/>
  <c r="I31" i="3"/>
  <c r="F31" i="3"/>
  <c r="F27" i="3"/>
  <c r="H27" i="3"/>
  <c r="F24" i="3"/>
  <c r="H12" i="3"/>
  <c r="L17" i="2"/>
  <c r="B30" i="1" s="1"/>
  <c r="L16" i="2"/>
  <c r="B14" i="1" s="1"/>
  <c r="L19" i="2"/>
  <c r="B2" i="1" s="1"/>
  <c r="L18" i="2"/>
  <c r="B22" i="1" s="1"/>
  <c r="L14" i="2"/>
  <c r="B5" i="1" s="1"/>
  <c r="L15" i="2"/>
  <c r="B19" i="1" s="1"/>
  <c r="F10" i="3" l="1"/>
  <c r="D5" i="3" s="1"/>
  <c r="I12" i="3"/>
  <c r="I10" i="3" s="1"/>
  <c r="D6" i="3" l="1"/>
</calcChain>
</file>

<file path=xl/sharedStrings.xml><?xml version="1.0" encoding="utf-8"?>
<sst xmlns="http://schemas.openxmlformats.org/spreadsheetml/2006/main" count="313" uniqueCount="240">
  <si>
    <t>Ardonite</t>
  </si>
  <si>
    <t>Substrat de forêt</t>
  </si>
  <si>
    <t>Galet brasillant</t>
  </si>
  <si>
    <t>pépite</t>
  </si>
  <si>
    <t>Tourmaline</t>
  </si>
  <si>
    <t>Langue de truchmuche</t>
  </si>
  <si>
    <t>étoffe de yokai firefoux</t>
  </si>
  <si>
    <t>érudit majeur</t>
  </si>
  <si>
    <t>Nom</t>
  </si>
  <si>
    <t>Cout</t>
  </si>
  <si>
    <t>hdv</t>
  </si>
  <si>
    <t>benef</t>
  </si>
  <si>
    <t>érudit</t>
  </si>
  <si>
    <t>érudit mineur</t>
  </si>
  <si>
    <t>Rutile</t>
  </si>
  <si>
    <t>Substrat de bocage</t>
  </si>
  <si>
    <t>Galet cramoisi</t>
  </si>
  <si>
    <t>Lamelle de champa vert</t>
  </si>
  <si>
    <t>Fleur de gloutovore</t>
  </si>
  <si>
    <t>Pyrute</t>
  </si>
  <si>
    <t>Galet rutilant</t>
  </si>
  <si>
    <t>Substrat de bosquet</t>
  </si>
  <si>
    <t>Protection de la dragueuse</t>
  </si>
  <si>
    <t>Cuir de porsalu</t>
  </si>
  <si>
    <t>Vigoureux Mineur</t>
  </si>
  <si>
    <t>Vigoureux</t>
  </si>
  <si>
    <t>Vigoureux majeur</t>
  </si>
  <si>
    <t>Langue de craquelope</t>
  </si>
  <si>
    <t>Grelot</t>
  </si>
  <si>
    <t>Foulard du sparo</t>
  </si>
  <si>
    <t>Broderie de malléfisk</t>
  </si>
  <si>
    <t>Cheveux d'Alhyène</t>
  </si>
  <si>
    <t>Queue du boufmouth légendaire</t>
  </si>
  <si>
    <t>benef total</t>
  </si>
  <si>
    <t>Chanceux</t>
  </si>
  <si>
    <t>Chanceux Mineur</t>
  </si>
  <si>
    <t>Chanceux Majeur</t>
  </si>
  <si>
    <t>Antennes de vilinsekt</t>
  </si>
  <si>
    <t>Œuf d'arakne majeure</t>
  </si>
  <si>
    <t>Laine du boufcoul</t>
  </si>
  <si>
    <t>Chicot du flib</t>
  </si>
  <si>
    <t>Bec de truchon</t>
  </si>
  <si>
    <t>étoffe de vigie pirate</t>
  </si>
  <si>
    <t>% benef</t>
  </si>
  <si>
    <t>Cascadeur</t>
  </si>
  <si>
    <t>Cascadeur Mineur</t>
  </si>
  <si>
    <t>Cascadeur Majeur</t>
  </si>
  <si>
    <t>Fleur de blopignon</t>
  </si>
  <si>
    <t>Œuf pourri</t>
  </si>
  <si>
    <t>étoffe de dok alako</t>
  </si>
  <si>
    <t>Fleur de gloutoblop</t>
  </si>
  <si>
    <t>Duvet de truchon</t>
  </si>
  <si>
    <t>étoffe de kaniglou</t>
  </si>
  <si>
    <t>Cout total</t>
  </si>
  <si>
    <t>Argent avant</t>
  </si>
  <si>
    <t>Argent après</t>
  </si>
  <si>
    <t>Dépense total</t>
  </si>
  <si>
    <t>Benef</t>
  </si>
  <si>
    <t>différence réel</t>
  </si>
  <si>
    <t>Enragé</t>
  </si>
  <si>
    <t>Enragé majeur</t>
  </si>
  <si>
    <t>Enragé mineur</t>
  </si>
  <si>
    <t>Croupion de truchmuche</t>
  </si>
  <si>
    <t>étoffe zoth</t>
  </si>
  <si>
    <t>Coco du bitouf des plaines</t>
  </si>
  <si>
    <t>Lamelle de champa rouge</t>
  </si>
  <si>
    <t>Fleur de bulbiflore</t>
  </si>
  <si>
    <t>Carapace de scaratos</t>
  </si>
  <si>
    <t>Trophées</t>
  </si>
  <si>
    <t>Idoles</t>
  </si>
  <si>
    <t>Pého Magistrale</t>
  </si>
  <si>
    <t>Essence de chêne mou</t>
  </si>
  <si>
    <t>Kobalite</t>
  </si>
  <si>
    <t>écorce de floribonde</t>
  </si>
  <si>
    <t>Corde du fancrôme</t>
  </si>
  <si>
    <t>Patte de gruche</t>
  </si>
  <si>
    <t>arakne majeure</t>
  </si>
  <si>
    <t>pourri</t>
  </si>
  <si>
    <t>Porteur</t>
  </si>
  <si>
    <t>Porteur Majeur</t>
  </si>
  <si>
    <t>Porteur Mineur</t>
  </si>
  <si>
    <t>Os de fantôme Maho firefoux</t>
  </si>
  <si>
    <t>peau de pandule</t>
  </si>
  <si>
    <t>Bec du kwak de glace</t>
  </si>
  <si>
    <t>Ambre de bambouto</t>
  </si>
  <si>
    <t>Ambre</t>
  </si>
  <si>
    <t>Pierre de granit</t>
  </si>
  <si>
    <t>Fragment de pierre polie</t>
  </si>
  <si>
    <t>Fragment de cerveau poli</t>
  </si>
  <si>
    <t>couteau de roukouto</t>
  </si>
  <si>
    <t>cuir du sanglacier</t>
  </si>
  <si>
    <t>Bouclier taverne</t>
  </si>
  <si>
    <t>Essence de ben le ripate</t>
  </si>
  <si>
    <t>Bouée de Fantomalamère</t>
  </si>
  <si>
    <t>Défense de gliglicérin</t>
  </si>
  <si>
    <t>oreille de kaniblou</t>
  </si>
  <si>
    <t>Hdv</t>
  </si>
  <si>
    <t>Quatre-feuilles</t>
  </si>
  <si>
    <t>Substrat de forêt vierge</t>
  </si>
  <si>
    <t>Essence de missiz frizz</t>
  </si>
  <si>
    <t>étoffe de fantôme pandore</t>
  </si>
  <si>
    <t>Pédoncule de fongeur</t>
  </si>
  <si>
    <t>Stapes de Frimar</t>
  </si>
  <si>
    <t>Cuir de glouragan</t>
  </si>
  <si>
    <t>Fonceur</t>
  </si>
  <si>
    <t>Fonceur majeur</t>
  </si>
  <si>
    <t>Fonceur Mineur</t>
  </si>
  <si>
    <t>Calice de fécorce</t>
  </si>
  <si>
    <t>Sang d'oni</t>
  </si>
  <si>
    <t>Boulon wabbit</t>
  </si>
  <si>
    <t>Queue de rat d'hyoactif</t>
  </si>
  <si>
    <t>Paupière d'étoile</t>
  </si>
  <si>
    <t>Plume du timansot</t>
  </si>
  <si>
    <t>taxe</t>
  </si>
  <si>
    <t>Miraculé</t>
  </si>
  <si>
    <t>Miraculé Majeur</t>
  </si>
  <si>
    <t>Miraculé Mineur</t>
  </si>
  <si>
    <t>morpion de truchideur</t>
  </si>
  <si>
    <t>coquille de harpirate</t>
  </si>
  <si>
    <t>toile d'abrakne sombre</t>
  </si>
  <si>
    <t>Aile de dragoeuf volant</t>
  </si>
  <si>
    <t>lamelle de champa marron</t>
  </si>
  <si>
    <t>dent de wabbit</t>
  </si>
  <si>
    <t>Guérisseur</t>
  </si>
  <si>
    <t>Guérisseur Majeur</t>
  </si>
  <si>
    <t>Guérisseur mineur</t>
  </si>
  <si>
    <t>Plume de truchideur</t>
  </si>
  <si>
    <t>coco du bitouf sombre</t>
  </si>
  <si>
    <t>arakne écrabouillée</t>
  </si>
  <si>
    <t>écorce d'abrakne sombre</t>
  </si>
  <si>
    <t>lamelle de champa bleu</t>
  </si>
  <si>
    <t>Moustaches de tiwabbit</t>
  </si>
  <si>
    <t>Rune Cha</t>
  </si>
  <si>
    <t>Rune Age</t>
  </si>
  <si>
    <t>Rune Fo</t>
  </si>
  <si>
    <t>Rune Ine</t>
  </si>
  <si>
    <t>Rune Pod</t>
  </si>
  <si>
    <t>Rune Vi</t>
  </si>
  <si>
    <t>Rune Sa</t>
  </si>
  <si>
    <t>Rune pui</t>
  </si>
  <si>
    <t>Rune do air</t>
  </si>
  <si>
    <t>Rune do eau</t>
  </si>
  <si>
    <t>Rune do feu</t>
  </si>
  <si>
    <t>Rune do terre</t>
  </si>
  <si>
    <t>Rune Pa Age</t>
  </si>
  <si>
    <t>Rune Pa Cha</t>
  </si>
  <si>
    <t>Rune Pa Fo</t>
  </si>
  <si>
    <t>Rune Pa Ine</t>
  </si>
  <si>
    <t>Rune Pa Pod</t>
  </si>
  <si>
    <t>Rune Pa Vi</t>
  </si>
  <si>
    <t>Rune Pa Sa</t>
  </si>
  <si>
    <t>Rune Pa Pui</t>
  </si>
  <si>
    <t>Rune Pa Do Air</t>
  </si>
  <si>
    <t>Rune Pa Do Eau</t>
  </si>
  <si>
    <t>Rune Pa Do Feu</t>
  </si>
  <si>
    <t>Rune Pa Do Terre</t>
  </si>
  <si>
    <t>Rune Ra Age</t>
  </si>
  <si>
    <t>Rune Ra Cha</t>
  </si>
  <si>
    <t>Rune Ra Fo</t>
  </si>
  <si>
    <t>Rune Ra Ine</t>
  </si>
  <si>
    <t>Rune Ra Pod</t>
  </si>
  <si>
    <t>Rune Ra Vi</t>
  </si>
  <si>
    <t>Rune Ra Sa</t>
  </si>
  <si>
    <t>Rune Ra Pui</t>
  </si>
  <si>
    <t>Age</t>
  </si>
  <si>
    <t>Cha</t>
  </si>
  <si>
    <t>Fo</t>
  </si>
  <si>
    <t>Ine</t>
  </si>
  <si>
    <t>Pod</t>
  </si>
  <si>
    <t>Vi</t>
  </si>
  <si>
    <t>Sa</t>
  </si>
  <si>
    <t>Pui</t>
  </si>
  <si>
    <t>Do Air</t>
  </si>
  <si>
    <t>Do Eau</t>
  </si>
  <si>
    <t>Do Feu</t>
  </si>
  <si>
    <t>Do Terre</t>
  </si>
  <si>
    <t>Benef Pa</t>
  </si>
  <si>
    <t>Benef Ra</t>
  </si>
  <si>
    <t>Achat Normal</t>
  </si>
  <si>
    <t>Normal Pa</t>
  </si>
  <si>
    <t>Normal Ra</t>
  </si>
  <si>
    <t>Vente Pa</t>
  </si>
  <si>
    <t>Vente Ra</t>
  </si>
  <si>
    <t>Prix</t>
  </si>
  <si>
    <t>manque 8</t>
  </si>
  <si>
    <t>Rose</t>
  </si>
  <si>
    <t>galet boucané</t>
  </si>
  <si>
    <t>libération</t>
  </si>
  <si>
    <t>foudroiement</t>
  </si>
  <si>
    <t>galet acajou</t>
  </si>
  <si>
    <t>galet bistré</t>
  </si>
  <si>
    <t>10 galets bistré</t>
  </si>
  <si>
    <t>flamiche</t>
  </si>
  <si>
    <t>brûlih</t>
  </si>
  <si>
    <t>dehluge</t>
  </si>
  <si>
    <t>kompost</t>
  </si>
  <si>
    <t>siroko</t>
  </si>
  <si>
    <t>kwaltess</t>
  </si>
  <si>
    <t>unité</t>
  </si>
  <si>
    <t>Rune Pa So</t>
  </si>
  <si>
    <t>So</t>
  </si>
  <si>
    <t>Rune Pui</t>
  </si>
  <si>
    <t>Rune So</t>
  </si>
  <si>
    <t>Rune Do Air</t>
  </si>
  <si>
    <t>Rune Do Eau</t>
  </si>
  <si>
    <t>Rune Do Feu</t>
  </si>
  <si>
    <t>Rune Do Terre</t>
  </si>
  <si>
    <t>210998</t>
  </si>
  <si>
    <t>11196</t>
  </si>
  <si>
    <t>9893</t>
  </si>
  <si>
    <t>3770</t>
  </si>
  <si>
    <t>7493</t>
  </si>
  <si>
    <t>14993</t>
  </si>
  <si>
    <t>17977</t>
  </si>
  <si>
    <t>11991</t>
  </si>
  <si>
    <t>27597</t>
  </si>
  <si>
    <t>37996</t>
  </si>
  <si>
    <t>99996</t>
  </si>
  <si>
    <t>129757</t>
  </si>
  <si>
    <t>92571</t>
  </si>
  <si>
    <t>76654</t>
  </si>
  <si>
    <t>39980</t>
  </si>
  <si>
    <t>28761</t>
  </si>
  <si>
    <t>12595</t>
  </si>
  <si>
    <t>25299</t>
  </si>
  <si>
    <t>56437</t>
  </si>
  <si>
    <t>54453</t>
  </si>
  <si>
    <t>38897</t>
  </si>
  <si>
    <t>92985</t>
  </si>
  <si>
    <t>129788</t>
  </si>
  <si>
    <t>335997</t>
  </si>
  <si>
    <t>399982</t>
  </si>
  <si>
    <t>338973</t>
  </si>
  <si>
    <t>228999</t>
  </si>
  <si>
    <t>110797</t>
  </si>
  <si>
    <t>37333</t>
  </si>
  <si>
    <t>77788</t>
  </si>
  <si>
    <t>147880</t>
  </si>
  <si>
    <t>156996</t>
  </si>
  <si>
    <t>97495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</si>
</sst>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2" fillId="0" borderId="37" xfId="0" applyFon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8" borderId="12" xfId="0" applyFill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/>
    <xf numFmtId="0" fontId="5" fillId="2" borderId="1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5" fillId="2" borderId="33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28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4"/>
  <sheetViews>
    <sheetView workbookViewId="0">
      <selection activeCell="C33" sqref="C33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4" width="11.42578125" style="1"/>
    <col min="5" max="5" width="22.85546875" style="1" customWidth="1"/>
    <col min="6" max="6" width="11.42578125" style="1"/>
    <col min="7" max="7" width="27.85546875" style="1" customWidth="1"/>
    <col min="8" max="16384" width="11.42578125" style="1"/>
  </cols>
  <sheetData>
    <row r="2" spans="2:4" x14ac:dyDescent="0.25">
      <c r="B2" s="2">
        <f>Trophées!B17+Trophées!G17+Trophées!L19+Trophées!B28+Trophées!G28+Trophées!L28+Trophées!L39+Trophées!G39+Trophées!B39+Trophées!B50+Trophées!G50+Trophées!L50+Trophées!L61+Trophées!G61+Trophées!B61+Trophées!B72+Trophées!G72+Trophées!L72+Trophées!B83+Trophées!G83+Trophées!L83+Trophées!B94+Trophées!G94+Trophées!L94</f>
        <v>22200</v>
      </c>
      <c r="C2" s="2" t="s">
        <v>3</v>
      </c>
      <c r="D2" s="2">
        <v>274</v>
      </c>
    </row>
    <row r="3" spans="2:4" x14ac:dyDescent="0.25">
      <c r="B3" s="2">
        <f>Trophées!B14+Trophées!B25+Trophées!B36+Trophées!B47+Trophées!B58+Trophées!B69+Trophées!B80+Trophées!B91</f>
        <v>20</v>
      </c>
      <c r="C3" s="2" t="s">
        <v>4</v>
      </c>
      <c r="D3" s="2">
        <v>80000</v>
      </c>
    </row>
    <row r="4" spans="2:4" x14ac:dyDescent="0.25">
      <c r="B4" s="2">
        <f>Trophées!B15+Trophées!B26+Trophées!B37+Trophées!B48+Trophées!B59+Trophées!B3+Trophées!B70+Trophées!B81+Trophées!B92</f>
        <v>20</v>
      </c>
      <c r="C4" s="2" t="s">
        <v>0</v>
      </c>
      <c r="D4" s="2">
        <v>146000</v>
      </c>
    </row>
    <row r="5" spans="2:4" x14ac:dyDescent="0.25">
      <c r="B5" s="2">
        <f>Trophées!L14+Trophées!L25+Trophées!L36+Trophées!L47+Trophées!L58+Trophées!L3+Trophées!L69+Trophées!L80+Trophées!L91</f>
        <v>20</v>
      </c>
      <c r="C5" s="2" t="s">
        <v>14</v>
      </c>
      <c r="D5" s="2">
        <v>42000</v>
      </c>
    </row>
    <row r="6" spans="2:4" x14ac:dyDescent="0.25">
      <c r="B6" s="2">
        <f>Trophées!G14+Trophées!G25+Trophées!G36+Trophées!G47+Trophées!G58+Trophées!G3+Trophées!G69+Trophées!G80+Trophées!G91</f>
        <v>20</v>
      </c>
      <c r="C6" s="2" t="s">
        <v>19</v>
      </c>
      <c r="D6" s="2">
        <v>125000</v>
      </c>
    </row>
    <row r="7" spans="2:4" x14ac:dyDescent="0.25">
      <c r="B7" s="2">
        <f>Trophées!B8</f>
        <v>0</v>
      </c>
      <c r="C7" s="2" t="s">
        <v>84</v>
      </c>
      <c r="D7" s="2">
        <v>2000</v>
      </c>
    </row>
    <row r="8" spans="2:4" x14ac:dyDescent="0.25">
      <c r="B8" s="2">
        <f>Trophées!G7</f>
        <v>0</v>
      </c>
      <c r="C8" s="2" t="s">
        <v>85</v>
      </c>
      <c r="D8" s="2">
        <v>100</v>
      </c>
    </row>
    <row r="9" spans="2:4" x14ac:dyDescent="0.25">
      <c r="B9" s="2">
        <f>Trophées!G8</f>
        <v>0</v>
      </c>
      <c r="C9" s="2" t="s">
        <v>86</v>
      </c>
      <c r="D9" s="2">
        <v>400</v>
      </c>
    </row>
    <row r="10" spans="2:4" x14ac:dyDescent="0.25">
      <c r="B10" s="2">
        <f>Trophées!L7</f>
        <v>0</v>
      </c>
      <c r="C10" s="2" t="s">
        <v>87</v>
      </c>
      <c r="D10" s="2">
        <v>300</v>
      </c>
    </row>
    <row r="11" spans="2:4" x14ac:dyDescent="0.25">
      <c r="B11" s="2">
        <f>Trophées!L7</f>
        <v>0</v>
      </c>
      <c r="C11" s="2" t="s">
        <v>88</v>
      </c>
      <c r="D11" s="2">
        <v>2000</v>
      </c>
    </row>
    <row r="12" spans="2:4" x14ac:dyDescent="0.25">
      <c r="B12" s="2"/>
      <c r="C12" s="2"/>
      <c r="D12" s="2"/>
    </row>
    <row r="13" spans="2:4" x14ac:dyDescent="0.25">
      <c r="B13" s="2">
        <f>Trophées!B20+Trophées!B29+Trophées!B40+Trophées!B51+Trophées!B62+Trophées!B5+Trophées!B73+Trophées!B84+Trophées!B95</f>
        <v>20</v>
      </c>
      <c r="C13" s="2" t="s">
        <v>1</v>
      </c>
      <c r="D13" s="2">
        <v>30000</v>
      </c>
    </row>
    <row r="14" spans="2:4" x14ac:dyDescent="0.25">
      <c r="B14" s="2">
        <f>Trophées!L16+Trophées!L27+Trophées!L38+Trophées!L49+Trophées!L60+Trophées!L5+Trophées!L71+Trophées!L82+Trophées!L93</f>
        <v>20</v>
      </c>
      <c r="C14" s="2" t="s">
        <v>15</v>
      </c>
      <c r="D14" s="2">
        <v>6000</v>
      </c>
    </row>
    <row r="15" spans="2:4" x14ac:dyDescent="0.25">
      <c r="B15" s="2">
        <f>Trophées!G15+Trophées!G27+Trophées!G38+Trophées!G49+Trophées!G60+Trophées!G5+Trophées!G71+Trophées!G82+Trophées!G93</f>
        <v>20</v>
      </c>
      <c r="C15" s="2" t="s">
        <v>21</v>
      </c>
      <c r="D15" s="2">
        <v>12000</v>
      </c>
    </row>
    <row r="16" spans="2:4" x14ac:dyDescent="0.25">
      <c r="B16" s="2">
        <f>Trophées!G96</f>
        <v>0</v>
      </c>
      <c r="C16" s="2" t="s">
        <v>129</v>
      </c>
      <c r="D16" s="2">
        <v>100</v>
      </c>
    </row>
    <row r="17" spans="2:8" x14ac:dyDescent="0.25">
      <c r="B17" s="2"/>
      <c r="C17" s="2"/>
      <c r="D17" s="2"/>
    </row>
    <row r="18" spans="2:8" x14ac:dyDescent="0.25">
      <c r="B18" s="2">
        <f>Trophées!B16+Trophées!B27+Trophées!B38+Trophées!B49+Trophées!B60+Trophées!B4+Trophées!B71+Trophées!B82+Trophées!B93</f>
        <v>40</v>
      </c>
      <c r="C18" s="2" t="s">
        <v>2</v>
      </c>
      <c r="D18" s="2">
        <v>250000</v>
      </c>
    </row>
    <row r="19" spans="2:8" x14ac:dyDescent="0.25">
      <c r="B19" s="2">
        <f>Trophées!L15+Trophées!L26+Trophées!L37+Trophées!L48+Trophées!L59+Trophées!L4+Trophées!L70+Trophées!L81+Trophées!L92</f>
        <v>40</v>
      </c>
      <c r="C19" s="2" t="s">
        <v>16</v>
      </c>
      <c r="D19" s="2">
        <v>3000</v>
      </c>
    </row>
    <row r="20" spans="2:8" x14ac:dyDescent="0.25">
      <c r="B20" s="2">
        <f>Trophées!G16+Trophées!G26+Trophées!G37+Trophées!G48+Trophées!G59+Trophées!G4+Trophées!G70+Trophées!G81+Trophées!G92</f>
        <v>40</v>
      </c>
      <c r="C20" s="2" t="s">
        <v>20</v>
      </c>
      <c r="D20" s="2">
        <v>27000</v>
      </c>
    </row>
    <row r="21" spans="2:8" x14ac:dyDescent="0.25">
      <c r="B21" s="2"/>
      <c r="C21" s="2"/>
      <c r="D21" s="2"/>
    </row>
    <row r="22" spans="2:8" x14ac:dyDescent="0.25">
      <c r="B22" s="2">
        <f>Trophées!L18</f>
        <v>0</v>
      </c>
      <c r="C22" s="2" t="s">
        <v>18</v>
      </c>
      <c r="D22" s="2">
        <v>1700</v>
      </c>
    </row>
    <row r="23" spans="2:8" x14ac:dyDescent="0.25">
      <c r="B23" s="2">
        <f>Trophées!L51</f>
        <v>0</v>
      </c>
      <c r="C23" s="2" t="s">
        <v>47</v>
      </c>
      <c r="D23" s="2">
        <v>600</v>
      </c>
    </row>
    <row r="24" spans="2:8" x14ac:dyDescent="0.25">
      <c r="B24" s="2">
        <f>Trophées!G51</f>
        <v>0</v>
      </c>
      <c r="C24" s="2" t="s">
        <v>50</v>
      </c>
      <c r="D24" s="2">
        <v>7200</v>
      </c>
    </row>
    <row r="25" spans="2:8" x14ac:dyDescent="0.25">
      <c r="B25" s="2">
        <f>Trophées!L63</f>
        <v>50</v>
      </c>
      <c r="C25" s="2" t="s">
        <v>66</v>
      </c>
      <c r="D25" s="2">
        <v>350</v>
      </c>
    </row>
    <row r="26" spans="2:8" x14ac:dyDescent="0.25">
      <c r="B26" s="2">
        <f>Trophées!B74</f>
        <v>50</v>
      </c>
      <c r="C26" s="2" t="s">
        <v>107</v>
      </c>
      <c r="D26" s="2">
        <v>200</v>
      </c>
    </row>
    <row r="27" spans="2:8" x14ac:dyDescent="0.25">
      <c r="B27" s="2"/>
      <c r="C27" s="2"/>
      <c r="D27" s="2"/>
    </row>
    <row r="28" spans="2:8" x14ac:dyDescent="0.25">
      <c r="B28" s="2">
        <f>Trophées!B18</f>
        <v>0</v>
      </c>
      <c r="C28" s="41" t="s">
        <v>5</v>
      </c>
      <c r="D28" s="41">
        <f>H28</f>
        <v>25000</v>
      </c>
      <c r="G28" s="41" t="s">
        <v>5</v>
      </c>
      <c r="H28" s="2">
        <v>25000</v>
      </c>
    </row>
    <row r="29" spans="2:8" x14ac:dyDescent="0.25">
      <c r="B29" s="2">
        <f>Trophées!B19</f>
        <v>0</v>
      </c>
      <c r="C29" s="2" t="s">
        <v>6</v>
      </c>
      <c r="D29" s="2">
        <v>2900</v>
      </c>
      <c r="G29" s="41" t="s">
        <v>27</v>
      </c>
      <c r="H29" s="2">
        <v>35000</v>
      </c>
    </row>
    <row r="30" spans="2:8" x14ac:dyDescent="0.25">
      <c r="B30" s="2">
        <f>Trophées!L17</f>
        <v>0</v>
      </c>
      <c r="C30" s="2" t="s">
        <v>17</v>
      </c>
      <c r="D30" s="2">
        <v>1200</v>
      </c>
      <c r="G30" s="41" t="s">
        <v>30</v>
      </c>
      <c r="H30" s="2">
        <v>4500</v>
      </c>
    </row>
    <row r="31" spans="2:8" x14ac:dyDescent="0.25">
      <c r="B31" s="2">
        <f>Trophées!G18</f>
        <v>0</v>
      </c>
      <c r="C31" s="2" t="s">
        <v>22</v>
      </c>
      <c r="D31" s="2">
        <v>2000</v>
      </c>
      <c r="G31" s="41" t="s">
        <v>31</v>
      </c>
      <c r="H31" s="2">
        <v>7500</v>
      </c>
    </row>
    <row r="32" spans="2:8" x14ac:dyDescent="0.25">
      <c r="B32" s="2">
        <f>Trophées!G19</f>
        <v>0</v>
      </c>
      <c r="C32" s="2" t="s">
        <v>23</v>
      </c>
      <c r="D32" s="2">
        <v>300</v>
      </c>
      <c r="G32" s="41" t="s">
        <v>63</v>
      </c>
      <c r="H32" s="2">
        <v>1000</v>
      </c>
    </row>
    <row r="33" spans="1:8" x14ac:dyDescent="0.25">
      <c r="A33" s="1" t="s">
        <v>184</v>
      </c>
      <c r="B33" s="2">
        <f>Trophées!L29</f>
        <v>50</v>
      </c>
      <c r="C33" s="41" t="s">
        <v>27</v>
      </c>
      <c r="D33" s="41">
        <f>H29</f>
        <v>35000</v>
      </c>
      <c r="G33" s="41" t="s">
        <v>64</v>
      </c>
      <c r="H33" s="2">
        <v>6500</v>
      </c>
    </row>
    <row r="34" spans="1:8" x14ac:dyDescent="0.25">
      <c r="B34" s="2">
        <f>Trophées!L30</f>
        <v>5</v>
      </c>
      <c r="C34" s="2" t="s">
        <v>28</v>
      </c>
      <c r="D34" s="2">
        <v>700</v>
      </c>
      <c r="G34" s="41" t="s">
        <v>120</v>
      </c>
      <c r="H34" s="2">
        <v>3500</v>
      </c>
    </row>
    <row r="35" spans="1:8" x14ac:dyDescent="0.25">
      <c r="B35" s="2">
        <f>Trophées!G29</f>
        <v>50</v>
      </c>
      <c r="C35" s="2" t="s">
        <v>29</v>
      </c>
      <c r="D35" s="2">
        <v>2000</v>
      </c>
      <c r="G35" s="41" t="s">
        <v>121</v>
      </c>
      <c r="H35" s="2">
        <v>3500</v>
      </c>
    </row>
    <row r="36" spans="1:8" x14ac:dyDescent="0.25">
      <c r="B36" s="2">
        <f>Trophées!G30</f>
        <v>50</v>
      </c>
      <c r="C36" s="41" t="s">
        <v>30</v>
      </c>
      <c r="D36" s="41">
        <f>H30</f>
        <v>4500</v>
      </c>
      <c r="G36" s="41" t="s">
        <v>117</v>
      </c>
      <c r="H36" s="65">
        <v>17000</v>
      </c>
    </row>
    <row r="37" spans="1:8" x14ac:dyDescent="0.25">
      <c r="B37" s="2">
        <f>Trophées!B30</f>
        <v>50</v>
      </c>
      <c r="C37" s="41" t="s">
        <v>31</v>
      </c>
      <c r="D37" s="41">
        <f>H31</f>
        <v>7500</v>
      </c>
    </row>
    <row r="38" spans="1:8" x14ac:dyDescent="0.25">
      <c r="B38" s="2">
        <f>Trophées!B31</f>
        <v>5</v>
      </c>
      <c r="C38" s="2" t="s">
        <v>32</v>
      </c>
      <c r="D38" s="2">
        <v>1600</v>
      </c>
    </row>
    <row r="39" spans="1:8" x14ac:dyDescent="0.25">
      <c r="B39" s="2">
        <f>Trophées!L40</f>
        <v>0</v>
      </c>
      <c r="C39" s="2" t="s">
        <v>37</v>
      </c>
      <c r="D39" s="2">
        <v>1900</v>
      </c>
    </row>
    <row r="40" spans="1:8" x14ac:dyDescent="0.25">
      <c r="B40" s="2">
        <f>Trophées!L41</f>
        <v>0</v>
      </c>
      <c r="C40" s="2" t="s">
        <v>38</v>
      </c>
      <c r="D40" s="2">
        <v>400</v>
      </c>
      <c r="E40" s="37" t="s">
        <v>76</v>
      </c>
    </row>
    <row r="41" spans="1:8" x14ac:dyDescent="0.25">
      <c r="B41" s="2">
        <f>Trophées!G41</f>
        <v>0</v>
      </c>
      <c r="C41" s="2" t="s">
        <v>39</v>
      </c>
      <c r="D41" s="2">
        <v>200</v>
      </c>
    </row>
    <row r="42" spans="1:8" x14ac:dyDescent="0.25">
      <c r="B42" s="2">
        <f>Trophées!G40</f>
        <v>0</v>
      </c>
      <c r="C42" s="2" t="s">
        <v>40</v>
      </c>
      <c r="D42" s="2">
        <v>400</v>
      </c>
    </row>
    <row r="43" spans="1:8" x14ac:dyDescent="0.25">
      <c r="B43" s="2">
        <f>Trophées!B42</f>
        <v>0</v>
      </c>
      <c r="C43" s="2" t="s">
        <v>41</v>
      </c>
      <c r="D43" s="2">
        <v>2200</v>
      </c>
    </row>
    <row r="44" spans="1:8" x14ac:dyDescent="0.25">
      <c r="B44" s="2">
        <f>Trophées!B41</f>
        <v>0</v>
      </c>
      <c r="C44" s="2" t="s">
        <v>42</v>
      </c>
      <c r="D44" s="2">
        <v>200</v>
      </c>
    </row>
    <row r="45" spans="1:8" x14ac:dyDescent="0.25">
      <c r="B45" s="2">
        <f>Trophées!L52</f>
        <v>0</v>
      </c>
      <c r="C45" s="2" t="s">
        <v>48</v>
      </c>
      <c r="D45" s="2">
        <v>100</v>
      </c>
      <c r="E45" s="37" t="s">
        <v>77</v>
      </c>
    </row>
    <row r="46" spans="1:8" x14ac:dyDescent="0.25">
      <c r="B46" s="2">
        <f>Trophées!G52</f>
        <v>0</v>
      </c>
      <c r="C46" s="2" t="s">
        <v>49</v>
      </c>
      <c r="D46" s="2">
        <v>600</v>
      </c>
    </row>
    <row r="47" spans="1:8" x14ac:dyDescent="0.25">
      <c r="B47" s="2">
        <f>Trophées!B52</f>
        <v>0</v>
      </c>
      <c r="C47" s="2" t="s">
        <v>51</v>
      </c>
      <c r="D47" s="2">
        <v>500</v>
      </c>
    </row>
    <row r="48" spans="1:8" x14ac:dyDescent="0.25">
      <c r="B48" s="2">
        <f>Trophées!B53</f>
        <v>0</v>
      </c>
      <c r="C48" s="2" t="s">
        <v>52</v>
      </c>
      <c r="D48" s="2">
        <v>1000</v>
      </c>
    </row>
    <row r="49" spans="2:4" x14ac:dyDescent="0.25">
      <c r="B49" s="2">
        <f>Trophées!B63</f>
        <v>50</v>
      </c>
      <c r="C49" s="2" t="s">
        <v>62</v>
      </c>
      <c r="D49" s="2">
        <v>200</v>
      </c>
    </row>
    <row r="50" spans="2:4" x14ac:dyDescent="0.25">
      <c r="B50" s="2">
        <f>Trophées!B64</f>
        <v>50</v>
      </c>
      <c r="C50" s="41" t="s">
        <v>63</v>
      </c>
      <c r="D50" s="41">
        <f>H32</f>
        <v>1000</v>
      </c>
    </row>
    <row r="51" spans="2:4" x14ac:dyDescent="0.25">
      <c r="B51" s="2">
        <f>Trophées!G63</f>
        <v>5</v>
      </c>
      <c r="C51" s="41" t="s">
        <v>64</v>
      </c>
      <c r="D51" s="41">
        <f>H33</f>
        <v>6500</v>
      </c>
    </row>
    <row r="52" spans="2:4" x14ac:dyDescent="0.25">
      <c r="B52" s="2">
        <f>Trophées!L62</f>
        <v>50</v>
      </c>
      <c r="C52" s="2" t="s">
        <v>65</v>
      </c>
      <c r="D52" s="2">
        <v>500</v>
      </c>
    </row>
    <row r="53" spans="2:4" x14ac:dyDescent="0.25">
      <c r="B53" s="2">
        <f>Trophées!G62</f>
        <v>50</v>
      </c>
      <c r="C53" s="2" t="s">
        <v>67</v>
      </c>
      <c r="D53" s="2">
        <v>200</v>
      </c>
    </row>
    <row r="54" spans="2:4" x14ac:dyDescent="0.25">
      <c r="B54" s="2">
        <f>Trophées!B6</f>
        <v>0</v>
      </c>
      <c r="C54" s="2" t="s">
        <v>81</v>
      </c>
      <c r="D54" s="2">
        <v>800</v>
      </c>
    </row>
    <row r="55" spans="2:4" x14ac:dyDescent="0.25">
      <c r="B55" s="2">
        <f>Trophées!B7</f>
        <v>0</v>
      </c>
      <c r="C55" s="2" t="s">
        <v>90</v>
      </c>
      <c r="D55" s="2">
        <v>100</v>
      </c>
    </row>
    <row r="56" spans="2:4" x14ac:dyDescent="0.25">
      <c r="B56" s="2">
        <f>Trophées!B9</f>
        <v>0</v>
      </c>
      <c r="C56" s="2" t="s">
        <v>82</v>
      </c>
      <c r="D56" s="2">
        <v>1000</v>
      </c>
    </row>
    <row r="57" spans="2:4" x14ac:dyDescent="0.25">
      <c r="B57" s="2">
        <f>Trophées!G6</f>
        <v>0</v>
      </c>
      <c r="C57" s="2" t="s">
        <v>83</v>
      </c>
      <c r="D57" s="2">
        <v>500</v>
      </c>
    </row>
    <row r="58" spans="2:4" x14ac:dyDescent="0.25">
      <c r="B58" s="2">
        <f>Trophées!L8</f>
        <v>0</v>
      </c>
      <c r="C58" s="2" t="s">
        <v>89</v>
      </c>
      <c r="D58" s="2">
        <v>1300</v>
      </c>
    </row>
    <row r="59" spans="2:4" x14ac:dyDescent="0.25">
      <c r="B59" s="2">
        <f>Trophées!B75</f>
        <v>50</v>
      </c>
      <c r="C59" s="2" t="s">
        <v>112</v>
      </c>
      <c r="D59" s="2">
        <v>200</v>
      </c>
    </row>
    <row r="60" spans="2:4" x14ac:dyDescent="0.25">
      <c r="B60" s="2">
        <f>Trophées!G73</f>
        <v>50</v>
      </c>
      <c r="C60" s="2" t="s">
        <v>108</v>
      </c>
      <c r="D60" s="2">
        <v>350</v>
      </c>
    </row>
    <row r="61" spans="2:4" x14ac:dyDescent="0.25">
      <c r="B61" s="2">
        <f>Trophées!G74</f>
        <v>50</v>
      </c>
      <c r="C61" s="2" t="s">
        <v>109</v>
      </c>
      <c r="D61" s="2">
        <v>120</v>
      </c>
    </row>
    <row r="62" spans="2:4" x14ac:dyDescent="0.25">
      <c r="B62" s="2">
        <f>Trophées!L73</f>
        <v>50</v>
      </c>
      <c r="C62" s="2" t="s">
        <v>110</v>
      </c>
      <c r="D62" s="2">
        <v>1100</v>
      </c>
    </row>
    <row r="63" spans="2:4" x14ac:dyDescent="0.25">
      <c r="B63" s="2">
        <f>Trophées!L74</f>
        <v>50</v>
      </c>
      <c r="C63" s="2" t="s">
        <v>111</v>
      </c>
      <c r="D63" s="2">
        <v>300</v>
      </c>
    </row>
    <row r="64" spans="2:4" x14ac:dyDescent="0.25">
      <c r="B64" s="2">
        <f>Trophées!B85</f>
        <v>5</v>
      </c>
      <c r="C64" s="41" t="s">
        <v>117</v>
      </c>
      <c r="D64" s="41">
        <f>H36</f>
        <v>17000</v>
      </c>
    </row>
    <row r="65" spans="2:4" x14ac:dyDescent="0.25">
      <c r="B65" s="2">
        <f>Trophées!B86</f>
        <v>5</v>
      </c>
      <c r="C65" s="2" t="s">
        <v>118</v>
      </c>
      <c r="D65" s="2">
        <v>2400</v>
      </c>
    </row>
    <row r="66" spans="2:4" x14ac:dyDescent="0.25">
      <c r="B66" s="2">
        <f>Trophées!G84</f>
        <v>5</v>
      </c>
      <c r="C66" s="2" t="s">
        <v>119</v>
      </c>
      <c r="D66" s="2">
        <v>2000</v>
      </c>
    </row>
    <row r="67" spans="2:4" x14ac:dyDescent="0.25">
      <c r="B67" s="2">
        <f>Trophées!G85</f>
        <v>50</v>
      </c>
      <c r="C67" s="41" t="s">
        <v>120</v>
      </c>
      <c r="D67" s="41">
        <f>H34</f>
        <v>3500</v>
      </c>
    </row>
    <row r="68" spans="2:4" x14ac:dyDescent="0.25">
      <c r="B68" s="2">
        <f>Trophées!L84</f>
        <v>50</v>
      </c>
      <c r="C68" s="41" t="s">
        <v>121</v>
      </c>
      <c r="D68" s="41">
        <f>H35</f>
        <v>3500</v>
      </c>
    </row>
    <row r="69" spans="2:4" x14ac:dyDescent="0.25">
      <c r="B69" s="2">
        <f>Trophées!L85</f>
        <v>50</v>
      </c>
      <c r="C69" s="2" t="s">
        <v>122</v>
      </c>
      <c r="D69" s="2">
        <v>5</v>
      </c>
    </row>
    <row r="70" spans="2:4" x14ac:dyDescent="0.25">
      <c r="B70" s="2">
        <f>Trophées!B96</f>
        <v>0</v>
      </c>
      <c r="C70" s="2" t="s">
        <v>126</v>
      </c>
      <c r="D70" s="2">
        <v>400</v>
      </c>
    </row>
    <row r="71" spans="2:4" x14ac:dyDescent="0.25">
      <c r="B71" s="2">
        <f>Trophées!B97</f>
        <v>0</v>
      </c>
      <c r="C71" s="2" t="s">
        <v>127</v>
      </c>
      <c r="D71" s="2">
        <v>4000</v>
      </c>
    </row>
    <row r="72" spans="2:4" x14ac:dyDescent="0.25">
      <c r="B72" s="2">
        <f>Trophées!G95</f>
        <v>0</v>
      </c>
      <c r="C72" s="2" t="s">
        <v>128</v>
      </c>
      <c r="D72" s="2">
        <v>27000</v>
      </c>
    </row>
    <row r="73" spans="2:4" x14ac:dyDescent="0.25">
      <c r="B73" s="2">
        <f>Trophées!L95</f>
        <v>0</v>
      </c>
      <c r="C73" s="2" t="s">
        <v>130</v>
      </c>
      <c r="D73" s="2">
        <v>200</v>
      </c>
    </row>
    <row r="74" spans="2:4" x14ac:dyDescent="0.25">
      <c r="B74" s="2">
        <f>Trophées!L96</f>
        <v>0</v>
      </c>
      <c r="C74" s="2" t="s">
        <v>131</v>
      </c>
      <c r="D74" s="2">
        <v>150</v>
      </c>
    </row>
  </sheetData>
  <conditionalFormatting sqref="B1:B1048576">
    <cfRule type="cellIs" dxfId="27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topLeftCell="A4" workbookViewId="0">
      <selection activeCell="B41" sqref="B41:B42"/>
    </sheetView>
  </sheetViews>
  <sheetFormatPr baseColWidth="10" defaultRowHeight="15" x14ac:dyDescent="0.25"/>
  <cols>
    <col min="4" max="4" width="13.140625" customWidth="1"/>
    <col min="10" max="10" width="14.42578125" customWidth="1"/>
  </cols>
  <sheetData>
    <row r="1" spans="2:10" ht="15.75" thickBot="1" x14ac:dyDescent="0.3"/>
    <row r="2" spans="2:10" x14ac:dyDescent="0.25">
      <c r="B2" s="10"/>
      <c r="C2" s="11" t="s">
        <v>185</v>
      </c>
      <c r="D2" s="11" t="s">
        <v>186</v>
      </c>
      <c r="E2" s="11" t="s">
        <v>4</v>
      </c>
      <c r="F2" s="11" t="s">
        <v>187</v>
      </c>
      <c r="G2" s="11" t="s">
        <v>188</v>
      </c>
      <c r="H2" s="11" t="s">
        <v>189</v>
      </c>
      <c r="I2" s="11" t="s">
        <v>190</v>
      </c>
      <c r="J2" s="12" t="s">
        <v>191</v>
      </c>
    </row>
    <row r="3" spans="2:10" x14ac:dyDescent="0.25">
      <c r="B3" s="5" t="s">
        <v>183</v>
      </c>
      <c r="C3" s="85">
        <v>37500</v>
      </c>
      <c r="D3" s="2">
        <v>40500</v>
      </c>
      <c r="E3" s="2">
        <v>81100</v>
      </c>
      <c r="F3" s="2">
        <v>289920</v>
      </c>
      <c r="G3" s="2">
        <v>68999</v>
      </c>
      <c r="H3" s="2">
        <v>364987</v>
      </c>
      <c r="I3" s="2">
        <v>3977</v>
      </c>
      <c r="J3" s="3">
        <v>39999</v>
      </c>
    </row>
    <row r="4" spans="2:10" ht="15.75" thickBot="1" x14ac:dyDescent="0.3">
      <c r="B4" s="6" t="s">
        <v>57</v>
      </c>
      <c r="C4" s="7"/>
      <c r="D4" s="7">
        <f>D3-C3</f>
        <v>3000</v>
      </c>
      <c r="E4" s="7">
        <f>E3-C3*2</f>
        <v>6100</v>
      </c>
      <c r="F4" s="7">
        <f>F3-C3*5</f>
        <v>102420</v>
      </c>
      <c r="G4" s="7">
        <f>G3-5*C3</f>
        <v>-118501</v>
      </c>
      <c r="H4" s="7">
        <f>H3-C3*10</f>
        <v>-10013</v>
      </c>
      <c r="I4" s="7">
        <f>I3-C3/10</f>
        <v>227</v>
      </c>
      <c r="J4" s="4">
        <f>J3-C3</f>
        <v>2499</v>
      </c>
    </row>
    <row r="5" spans="2:10" x14ac:dyDescent="0.25">
      <c r="B5" s="47"/>
      <c r="C5" s="47"/>
      <c r="D5" s="84">
        <f t="shared" ref="D5:I5" si="0">(D4/D3)</f>
        <v>7.407407407407407E-2</v>
      </c>
      <c r="E5" s="84">
        <f t="shared" si="0"/>
        <v>7.52157829839704E-2</v>
      </c>
      <c r="F5" s="84">
        <f t="shared" si="0"/>
        <v>0.35326986754966888</v>
      </c>
      <c r="G5" s="84">
        <f t="shared" si="0"/>
        <v>-1.7174306874012666</v>
      </c>
      <c r="H5" s="84">
        <f t="shared" si="0"/>
        <v>-2.7433853808491809E-2</v>
      </c>
      <c r="I5" s="84">
        <f t="shared" si="0"/>
        <v>5.7078199647975864E-2</v>
      </c>
      <c r="J5" s="84">
        <f>(J4/J3)</f>
        <v>6.2476561914047851E-2</v>
      </c>
    </row>
    <row r="6" spans="2:10" x14ac:dyDescent="0.25">
      <c r="B6" s="47" t="s">
        <v>198</v>
      </c>
      <c r="C6" s="47">
        <f>C3/100</f>
        <v>375</v>
      </c>
      <c r="D6" s="47"/>
      <c r="E6" s="47">
        <f>E3/200</f>
        <v>405.5</v>
      </c>
      <c r="F6" s="47"/>
      <c r="G6" s="47"/>
      <c r="H6" s="47"/>
      <c r="I6" s="47"/>
      <c r="J6" s="47"/>
    </row>
    <row r="7" spans="2:10" ht="15.75" thickBot="1" x14ac:dyDescent="0.3">
      <c r="B7" s="1"/>
      <c r="C7" s="1"/>
      <c r="D7" s="1"/>
      <c r="E7" s="1"/>
      <c r="F7" s="1"/>
      <c r="G7" s="1"/>
      <c r="H7" s="1"/>
      <c r="I7" s="1"/>
      <c r="J7" s="1"/>
    </row>
    <row r="8" spans="2:10" ht="15.75" thickBot="1" x14ac:dyDescent="0.3">
      <c r="B8" s="1"/>
      <c r="C8" s="80" t="s">
        <v>3</v>
      </c>
      <c r="D8" s="81" t="s">
        <v>192</v>
      </c>
      <c r="E8" s="81" t="s">
        <v>193</v>
      </c>
      <c r="F8" s="81" t="s">
        <v>194</v>
      </c>
      <c r="G8" s="81" t="s">
        <v>195</v>
      </c>
      <c r="H8" s="81" t="s">
        <v>196</v>
      </c>
      <c r="I8" s="82" t="s">
        <v>197</v>
      </c>
      <c r="J8" s="1"/>
    </row>
    <row r="9" spans="2:10" x14ac:dyDescent="0.25">
      <c r="B9" s="1"/>
      <c r="C9" s="86">
        <v>27384</v>
      </c>
      <c r="D9" s="18">
        <v>274996</v>
      </c>
      <c r="E9" s="18">
        <v>695000</v>
      </c>
      <c r="F9" s="18">
        <v>1286965</v>
      </c>
      <c r="G9" s="18">
        <v>1199998</v>
      </c>
      <c r="H9" s="18">
        <v>1298999</v>
      </c>
      <c r="I9" s="83">
        <v>5500000</v>
      </c>
      <c r="J9" s="1"/>
    </row>
    <row r="10" spans="2:10" ht="15.75" thickBot="1" x14ac:dyDescent="0.3">
      <c r="B10" s="1"/>
      <c r="C10" s="6"/>
      <c r="D10" s="7">
        <f>D9-10*C9</f>
        <v>1156</v>
      </c>
      <c r="E10" s="7">
        <f>E9-50*C9</f>
        <v>-674200</v>
      </c>
      <c r="F10" s="7">
        <f>F9-50*C9</f>
        <v>-82235</v>
      </c>
      <c r="G10" s="7">
        <f>G9-50*C9</f>
        <v>-169202</v>
      </c>
      <c r="H10" s="7">
        <f>H9-50*C9</f>
        <v>-70201</v>
      </c>
      <c r="I10" s="4">
        <f>I9-200*C9</f>
        <v>23200</v>
      </c>
      <c r="J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9"/>
  <sheetViews>
    <sheetView workbookViewId="0">
      <selection activeCell="N63" sqref="N63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style="1" customWidth="1"/>
    <col min="5" max="5" width="11.42578125" style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Comparatifs!B27</f>
        <v>0</v>
      </c>
      <c r="C2" s="98" t="s">
        <v>79</v>
      </c>
      <c r="D2" s="98"/>
      <c r="E2" s="99"/>
      <c r="G2" s="8">
        <f>Comparatifs!B28+B10</f>
        <v>0</v>
      </c>
      <c r="H2" s="98" t="s">
        <v>78</v>
      </c>
      <c r="I2" s="98"/>
      <c r="J2" s="99"/>
      <c r="L2" s="8">
        <f>Comparatifs!B29+G9</f>
        <v>0</v>
      </c>
      <c r="M2" s="98" t="s">
        <v>80</v>
      </c>
      <c r="N2" s="98"/>
      <c r="O2" s="99"/>
    </row>
    <row r="3" spans="2:15" x14ac:dyDescent="0.25">
      <c r="B3" s="10">
        <f>C3*B2</f>
        <v>0</v>
      </c>
      <c r="C3" s="11">
        <v>1</v>
      </c>
      <c r="D3" s="11" t="str">
        <f>D59</f>
        <v>Ardonite</v>
      </c>
      <c r="E3" s="12">
        <f>E59</f>
        <v>146000</v>
      </c>
      <c r="G3" s="10">
        <f>H3*G2</f>
        <v>0</v>
      </c>
      <c r="H3" s="11">
        <v>1</v>
      </c>
      <c r="I3" s="11" t="str">
        <f t="shared" ref="I3:J5" si="0">I58</f>
        <v>Pyrute</v>
      </c>
      <c r="J3" s="12">
        <f t="shared" si="0"/>
        <v>125000</v>
      </c>
      <c r="L3" s="10">
        <f>M3*L2</f>
        <v>0</v>
      </c>
      <c r="M3" s="11">
        <v>1</v>
      </c>
      <c r="N3" s="11" t="str">
        <f t="shared" ref="N3:O5" si="1">N58</f>
        <v>Rutile</v>
      </c>
      <c r="O3" s="12">
        <f t="shared" si="1"/>
        <v>42000</v>
      </c>
    </row>
    <row r="4" spans="2:15" x14ac:dyDescent="0.25">
      <c r="B4" s="5">
        <f>C4*B2</f>
        <v>0</v>
      </c>
      <c r="C4" s="2">
        <v>2</v>
      </c>
      <c r="D4" s="2" t="str">
        <f>D60</f>
        <v>Galet brasillant</v>
      </c>
      <c r="E4" s="3">
        <f>E60</f>
        <v>500000</v>
      </c>
      <c r="G4" s="5">
        <f>H4*G2</f>
        <v>0</v>
      </c>
      <c r="H4" s="2">
        <v>2</v>
      </c>
      <c r="I4" s="2" t="str">
        <f t="shared" si="0"/>
        <v>Galet rutilant</v>
      </c>
      <c r="J4" s="3">
        <f t="shared" si="0"/>
        <v>54000</v>
      </c>
      <c r="L4" s="5">
        <f>M4*L2</f>
        <v>0</v>
      </c>
      <c r="M4" s="2">
        <v>2</v>
      </c>
      <c r="N4" s="2" t="str">
        <f t="shared" si="1"/>
        <v>Galet cramoisi</v>
      </c>
      <c r="O4" s="3">
        <f t="shared" si="1"/>
        <v>6000</v>
      </c>
    </row>
    <row r="5" spans="2:15" x14ac:dyDescent="0.25">
      <c r="B5" s="5">
        <f>C5*B2</f>
        <v>0</v>
      </c>
      <c r="C5" s="2">
        <v>1</v>
      </c>
      <c r="D5" s="2" t="str">
        <f>D62</f>
        <v>Substrat de forêt</v>
      </c>
      <c r="E5" s="3">
        <f>E62</f>
        <v>30000</v>
      </c>
      <c r="G5" s="5">
        <f>H5*G2</f>
        <v>0</v>
      </c>
      <c r="H5" s="2">
        <v>1</v>
      </c>
      <c r="I5" s="2" t="str">
        <f t="shared" si="0"/>
        <v>Substrat de bosquet</v>
      </c>
      <c r="J5" s="3">
        <f t="shared" si="0"/>
        <v>12000</v>
      </c>
      <c r="L5" s="5">
        <f>M5*L2</f>
        <v>0</v>
      </c>
      <c r="M5" s="2">
        <v>1</v>
      </c>
      <c r="N5" s="2" t="str">
        <f t="shared" si="1"/>
        <v>Substrat de bocage</v>
      </c>
      <c r="O5" s="3">
        <f t="shared" si="1"/>
        <v>6000</v>
      </c>
    </row>
    <row r="6" spans="2:15" x14ac:dyDescent="0.25">
      <c r="B6" s="5">
        <f>C6*B2</f>
        <v>0</v>
      </c>
      <c r="C6" s="2">
        <v>2</v>
      </c>
      <c r="D6" s="2" t="str">
        <f>Ressources!C54</f>
        <v>Os de fantôme Maho firefoux</v>
      </c>
      <c r="E6" s="3">
        <f>C6*Ressources!D54</f>
        <v>1600</v>
      </c>
      <c r="G6" s="5">
        <f>H6*G2</f>
        <v>0</v>
      </c>
      <c r="H6" s="2">
        <v>3</v>
      </c>
      <c r="I6" s="2" t="str">
        <f>Ressources!C57</f>
        <v>Bec du kwak de glace</v>
      </c>
      <c r="J6" s="3">
        <f>H6*Ressources!D57</f>
        <v>1500</v>
      </c>
      <c r="L6" s="5">
        <f>M6*L2</f>
        <v>0</v>
      </c>
      <c r="M6" s="2">
        <v>1</v>
      </c>
      <c r="N6" s="2" t="str">
        <f>Ressources!C10</f>
        <v>Fragment de pierre polie</v>
      </c>
      <c r="O6" s="3">
        <f>Ressources!D10</f>
        <v>300</v>
      </c>
    </row>
    <row r="7" spans="2:15" x14ac:dyDescent="0.25">
      <c r="B7" s="5">
        <f>C7*B2</f>
        <v>0</v>
      </c>
      <c r="C7" s="2">
        <v>1</v>
      </c>
      <c r="D7" s="2" t="str">
        <f>Ressources!C55</f>
        <v>cuir du sanglacier</v>
      </c>
      <c r="E7" s="3">
        <f>Ressources!D55</f>
        <v>100</v>
      </c>
      <c r="G7" s="5">
        <f>H7*G2</f>
        <v>0</v>
      </c>
      <c r="H7" s="2">
        <v>1</v>
      </c>
      <c r="I7" s="2" t="str">
        <f>Ressources!C8</f>
        <v>Ambre</v>
      </c>
      <c r="J7" s="3">
        <f>Ressources!D8</f>
        <v>100</v>
      </c>
      <c r="L7" s="5">
        <f>M7*L2</f>
        <v>0</v>
      </c>
      <c r="M7" s="2">
        <v>1</v>
      </c>
      <c r="N7" s="2" t="str">
        <f>Ressources!C11</f>
        <v>Fragment de cerveau poli</v>
      </c>
      <c r="O7" s="3">
        <f>Ressources!D11</f>
        <v>2000</v>
      </c>
    </row>
    <row r="8" spans="2:15" x14ac:dyDescent="0.25">
      <c r="B8" s="5">
        <f>C8*B2</f>
        <v>0</v>
      </c>
      <c r="C8" s="2">
        <v>1</v>
      </c>
      <c r="D8" s="2" t="str">
        <f>Ressources!C7</f>
        <v>Ambre de bambouto</v>
      </c>
      <c r="E8" s="3">
        <f>Ressources!D7</f>
        <v>2000</v>
      </c>
      <c r="G8" s="5">
        <f>H8*G2</f>
        <v>0</v>
      </c>
      <c r="H8" s="2">
        <v>1</v>
      </c>
      <c r="I8" s="2" t="str">
        <f>Ressources!C9</f>
        <v>Pierre de granit</v>
      </c>
      <c r="J8" s="3">
        <f>Ressources!D9</f>
        <v>400</v>
      </c>
      <c r="L8" s="5">
        <f>M8*L2</f>
        <v>0</v>
      </c>
      <c r="M8" s="2">
        <v>3</v>
      </c>
      <c r="N8" s="2" t="str">
        <f>Ressources!C58</f>
        <v>couteau de roukouto</v>
      </c>
      <c r="O8" s="3">
        <f>M8*Ressources!D58</f>
        <v>3900</v>
      </c>
    </row>
    <row r="9" spans="2:15" x14ac:dyDescent="0.25">
      <c r="B9" s="5">
        <f>C9*B2</f>
        <v>0</v>
      </c>
      <c r="C9" s="2">
        <v>1</v>
      </c>
      <c r="D9" s="2" t="str">
        <f>Ressources!C56</f>
        <v>peau de pandule</v>
      </c>
      <c r="E9" s="3">
        <f>Ressources!D56</f>
        <v>1000</v>
      </c>
      <c r="G9" s="5">
        <f>H9*G2</f>
        <v>0</v>
      </c>
      <c r="H9" s="2">
        <v>1</v>
      </c>
      <c r="I9" s="2" t="str">
        <f>M2</f>
        <v>Porteur Mineur</v>
      </c>
      <c r="J9" s="3">
        <f>O11</f>
        <v>60200</v>
      </c>
      <c r="L9" s="5"/>
      <c r="M9" s="2"/>
      <c r="N9" s="2"/>
      <c r="O9" s="46"/>
    </row>
    <row r="10" spans="2:15" ht="15.75" thickBot="1" x14ac:dyDescent="0.3">
      <c r="B10" s="6">
        <f>B2*C10</f>
        <v>0</v>
      </c>
      <c r="C10" s="7">
        <v>1</v>
      </c>
      <c r="D10" s="7" t="str">
        <f>H2</f>
        <v>Porteur</v>
      </c>
      <c r="E10" s="4">
        <f>J11</f>
        <v>253200</v>
      </c>
      <c r="G10" s="6"/>
      <c r="H10" s="7"/>
      <c r="I10" s="7"/>
      <c r="J10" s="4"/>
      <c r="L10" s="6"/>
      <c r="M10" s="7"/>
      <c r="N10" s="7"/>
      <c r="O10" s="4"/>
    </row>
    <row r="11" spans="2:15" ht="15.75" thickBot="1" x14ac:dyDescent="0.3">
      <c r="E11" s="9">
        <f>SUM(E3:E10)</f>
        <v>933900</v>
      </c>
      <c r="I11" s="1"/>
      <c r="J11" s="9">
        <f>SUM(J3:J9)</f>
        <v>253200</v>
      </c>
      <c r="N11" s="1"/>
      <c r="O11" s="9">
        <f>SUM(O3:O9)</f>
        <v>60200</v>
      </c>
    </row>
    <row r="12" spans="2:15" ht="15.75" thickBot="1" x14ac:dyDescent="0.3"/>
    <row r="13" spans="2:15" ht="15.75" thickBot="1" x14ac:dyDescent="0.3">
      <c r="B13" s="8">
        <f>Comparatifs!B12</f>
        <v>0</v>
      </c>
      <c r="C13" s="98" t="s">
        <v>7</v>
      </c>
      <c r="D13" s="98"/>
      <c r="E13" s="99"/>
      <c r="G13" s="8">
        <f>Comparatifs!B14+B21</f>
        <v>0</v>
      </c>
      <c r="H13" s="98" t="s">
        <v>12</v>
      </c>
      <c r="I13" s="98"/>
      <c r="J13" s="99"/>
      <c r="L13" s="8">
        <f>Comparatifs!B13+G20</f>
        <v>0</v>
      </c>
      <c r="M13" s="98" t="s">
        <v>13</v>
      </c>
      <c r="N13" s="98"/>
      <c r="O13" s="99"/>
    </row>
    <row r="14" spans="2:15" x14ac:dyDescent="0.25">
      <c r="B14" s="10">
        <f>C14*B13</f>
        <v>0</v>
      </c>
      <c r="C14" s="11">
        <v>1</v>
      </c>
      <c r="D14" s="11" t="str">
        <f>Ressources!C3</f>
        <v>Tourmaline</v>
      </c>
      <c r="E14" s="12">
        <f>C14*Ressources!D3</f>
        <v>80000</v>
      </c>
      <c r="G14" s="10">
        <f>H14*G13</f>
        <v>0</v>
      </c>
      <c r="H14" s="11">
        <v>1</v>
      </c>
      <c r="I14" s="11" t="str">
        <f>Ressources!C6</f>
        <v>Pyrute</v>
      </c>
      <c r="J14" s="12">
        <f>Ressources!D6</f>
        <v>125000</v>
      </c>
      <c r="L14" s="10">
        <f>M14*L13</f>
        <v>0</v>
      </c>
      <c r="M14" s="11">
        <v>1</v>
      </c>
      <c r="N14" s="11" t="str">
        <f>Ressources!C5</f>
        <v>Rutile</v>
      </c>
      <c r="O14" s="12">
        <f>Ressources!D5</f>
        <v>42000</v>
      </c>
    </row>
    <row r="15" spans="2:15" x14ac:dyDescent="0.25">
      <c r="B15" s="5">
        <f>C15*B13</f>
        <v>0</v>
      </c>
      <c r="C15" s="2">
        <v>1</v>
      </c>
      <c r="D15" s="2" t="str">
        <f>Ressources!C4</f>
        <v>Ardonite</v>
      </c>
      <c r="E15" s="3">
        <f>C15*Ressources!D4</f>
        <v>146000</v>
      </c>
      <c r="G15" s="5">
        <f>H15*G13</f>
        <v>0</v>
      </c>
      <c r="H15" s="2">
        <v>1</v>
      </c>
      <c r="I15" s="2" t="str">
        <f>Ressources!C15</f>
        <v>Substrat de bosquet</v>
      </c>
      <c r="J15" s="3">
        <f>Ressources!D15</f>
        <v>12000</v>
      </c>
      <c r="L15" s="5">
        <f>M15*L13</f>
        <v>0</v>
      </c>
      <c r="M15" s="2">
        <v>2</v>
      </c>
      <c r="N15" s="2" t="str">
        <f>Ressources!C19</f>
        <v>Galet cramoisi</v>
      </c>
      <c r="O15" s="3">
        <f>M15*Ressources!D19</f>
        <v>6000</v>
      </c>
    </row>
    <row r="16" spans="2:15" x14ac:dyDescent="0.25">
      <c r="B16" s="5">
        <f>C16*B13</f>
        <v>0</v>
      </c>
      <c r="C16" s="2">
        <v>2</v>
      </c>
      <c r="D16" s="2" t="str">
        <f>Ressources!C18</f>
        <v>Galet brasillant</v>
      </c>
      <c r="E16" s="3">
        <f>C16*Ressources!D18</f>
        <v>500000</v>
      </c>
      <c r="G16" s="5">
        <f>H16*G13</f>
        <v>0</v>
      </c>
      <c r="H16" s="2">
        <v>2</v>
      </c>
      <c r="I16" s="2" t="str">
        <f>Ressources!C20</f>
        <v>Galet rutilant</v>
      </c>
      <c r="J16" s="3">
        <f>H16*Ressources!D20</f>
        <v>54000</v>
      </c>
      <c r="L16" s="5">
        <f>M16*L13</f>
        <v>0</v>
      </c>
      <c r="M16" s="2">
        <v>1</v>
      </c>
      <c r="N16" s="2" t="str">
        <f>Ressources!C14</f>
        <v>Substrat de bocage</v>
      </c>
      <c r="O16" s="3">
        <f>Ressources!D14</f>
        <v>6000</v>
      </c>
    </row>
    <row r="17" spans="2:15" x14ac:dyDescent="0.25">
      <c r="B17" s="5">
        <f>C17*B13</f>
        <v>0</v>
      </c>
      <c r="C17" s="2">
        <v>1000</v>
      </c>
      <c r="D17" s="2" t="str">
        <f>Ressources!C2</f>
        <v>pépite</v>
      </c>
      <c r="E17" s="3">
        <f>C17*Ressources!D2</f>
        <v>274000</v>
      </c>
      <c r="G17" s="5">
        <f>H17*G13</f>
        <v>0</v>
      </c>
      <c r="H17" s="2">
        <v>100</v>
      </c>
      <c r="I17" s="2" t="str">
        <f>Ressources!C2</f>
        <v>pépite</v>
      </c>
      <c r="J17" s="3">
        <f>H17*Ressources!D2</f>
        <v>27400</v>
      </c>
      <c r="L17" s="5">
        <f>M17*L13</f>
        <v>0</v>
      </c>
      <c r="M17" s="2">
        <v>10</v>
      </c>
      <c r="N17" s="2" t="str">
        <f>Ressources!C30</f>
        <v>Lamelle de champa vert</v>
      </c>
      <c r="O17" s="3">
        <f>M17*Ressources!D30</f>
        <v>12000</v>
      </c>
    </row>
    <row r="18" spans="2:15" x14ac:dyDescent="0.25">
      <c r="B18" s="5">
        <f>C18*B13</f>
        <v>0</v>
      </c>
      <c r="C18" s="2">
        <v>1</v>
      </c>
      <c r="D18" s="2" t="str">
        <f>Ressources!C28</f>
        <v>Langue de truchmuche</v>
      </c>
      <c r="E18" s="3">
        <f>C18*Ressources!D28</f>
        <v>25000</v>
      </c>
      <c r="G18" s="5">
        <f>H18*G13</f>
        <v>0</v>
      </c>
      <c r="H18" s="2">
        <v>1</v>
      </c>
      <c r="I18" s="2" t="str">
        <f>Ressources!C31</f>
        <v>Protection de la dragueuse</v>
      </c>
      <c r="J18" s="3">
        <f>Ressources!D31</f>
        <v>2000</v>
      </c>
      <c r="L18" s="5">
        <f>M18*L13</f>
        <v>0</v>
      </c>
      <c r="M18" s="2">
        <v>10</v>
      </c>
      <c r="N18" s="2" t="str">
        <f>Ressources!C22</f>
        <v>Fleur de gloutovore</v>
      </c>
      <c r="O18" s="3">
        <f>M18*Ressources!D22</f>
        <v>17000</v>
      </c>
    </row>
    <row r="19" spans="2:15" x14ac:dyDescent="0.25">
      <c r="B19" s="5">
        <f>C19*B13</f>
        <v>0</v>
      </c>
      <c r="C19" s="2">
        <v>1</v>
      </c>
      <c r="D19" s="2" t="str">
        <f>Ressources!C29</f>
        <v>étoffe de yokai firefoux</v>
      </c>
      <c r="E19" s="3">
        <f>C19*Ressources!D29</f>
        <v>2900</v>
      </c>
      <c r="G19" s="5">
        <f>H19*G13</f>
        <v>0</v>
      </c>
      <c r="H19" s="2">
        <v>10</v>
      </c>
      <c r="I19" s="2" t="str">
        <f>Ressources!C32</f>
        <v>Cuir de porsalu</v>
      </c>
      <c r="J19" s="3">
        <f>H19*Ressources!D32</f>
        <v>3000</v>
      </c>
      <c r="L19" s="5">
        <f>M19*L13</f>
        <v>0</v>
      </c>
      <c r="M19" s="2">
        <v>10</v>
      </c>
      <c r="N19" s="2" t="str">
        <f>Ressources!C2</f>
        <v>pépite</v>
      </c>
      <c r="O19" s="3">
        <f>M19*Ressources!D2</f>
        <v>2740</v>
      </c>
    </row>
    <row r="20" spans="2:15" x14ac:dyDescent="0.25">
      <c r="B20" s="5">
        <f>C20*B13</f>
        <v>0</v>
      </c>
      <c r="C20" s="2">
        <v>1</v>
      </c>
      <c r="D20" s="2" t="str">
        <f>Ressources!C13</f>
        <v>Substrat de forêt</v>
      </c>
      <c r="E20" s="3">
        <f>C20*Ressources!D29</f>
        <v>2900</v>
      </c>
      <c r="G20" s="5">
        <f>H20*G13</f>
        <v>0</v>
      </c>
      <c r="H20" s="2">
        <v>1</v>
      </c>
      <c r="I20" s="2" t="str">
        <f>M13</f>
        <v>érudit mineur</v>
      </c>
      <c r="J20" s="3">
        <f>O22</f>
        <v>85740</v>
      </c>
      <c r="L20" s="5"/>
      <c r="M20" s="2"/>
      <c r="N20" s="2"/>
      <c r="O20" s="3"/>
    </row>
    <row r="21" spans="2:15" ht="15.75" thickBot="1" x14ac:dyDescent="0.3">
      <c r="B21" s="6">
        <f>B13*C21</f>
        <v>0</v>
      </c>
      <c r="C21" s="7">
        <v>1</v>
      </c>
      <c r="D21" s="7" t="str">
        <f>H13</f>
        <v>érudit</v>
      </c>
      <c r="E21" s="4">
        <f>J22</f>
        <v>309140</v>
      </c>
      <c r="G21" s="6"/>
      <c r="H21" s="7"/>
      <c r="I21" s="7"/>
      <c r="J21" s="4"/>
      <c r="L21" s="6"/>
      <c r="M21" s="7"/>
      <c r="N21" s="7"/>
      <c r="O21" s="4"/>
    </row>
    <row r="22" spans="2:15" ht="15.75" thickBot="1" x14ac:dyDescent="0.3">
      <c r="E22" s="9">
        <f>SUM(E14:E21)</f>
        <v>1339940</v>
      </c>
      <c r="I22" s="1"/>
      <c r="J22" s="9">
        <f>SUM(J14:J20)</f>
        <v>309140</v>
      </c>
      <c r="N22" s="1"/>
      <c r="O22" s="9">
        <f>SUM(O14:O20)</f>
        <v>85740</v>
      </c>
    </row>
    <row r="23" spans="2:15" ht="15.75" thickBot="1" x14ac:dyDescent="0.3"/>
    <row r="24" spans="2:15" ht="15.75" thickBot="1" x14ac:dyDescent="0.3">
      <c r="B24" s="8">
        <f>Comparatifs!B15</f>
        <v>5</v>
      </c>
      <c r="C24" s="98" t="s">
        <v>26</v>
      </c>
      <c r="D24" s="98"/>
      <c r="E24" s="99"/>
      <c r="G24" s="8">
        <f>Comparatifs!B16+B32</f>
        <v>5</v>
      </c>
      <c r="H24" s="98" t="s">
        <v>25</v>
      </c>
      <c r="I24" s="98"/>
      <c r="J24" s="99"/>
      <c r="L24" s="8">
        <f>Comparatifs!B17+G31</f>
        <v>5</v>
      </c>
      <c r="M24" s="98" t="s">
        <v>24</v>
      </c>
      <c r="N24" s="98"/>
      <c r="O24" s="99"/>
    </row>
    <row r="25" spans="2:15" x14ac:dyDescent="0.25">
      <c r="B25" s="10">
        <f>C25*B24</f>
        <v>5</v>
      </c>
      <c r="C25" s="11">
        <v>1</v>
      </c>
      <c r="D25" s="11" t="str">
        <f>Ressources!C3</f>
        <v>Tourmaline</v>
      </c>
      <c r="E25" s="12">
        <f>Ressources!D3</f>
        <v>80000</v>
      </c>
      <c r="G25" s="10">
        <f>H25*G24</f>
        <v>5</v>
      </c>
      <c r="H25" s="11">
        <v>1</v>
      </c>
      <c r="I25" s="11" t="str">
        <f>Ressources!C6</f>
        <v>Pyrute</v>
      </c>
      <c r="J25" s="12">
        <f>Ressources!D6</f>
        <v>125000</v>
      </c>
      <c r="L25" s="10">
        <f>M25*L24</f>
        <v>5</v>
      </c>
      <c r="M25" s="11">
        <v>1</v>
      </c>
      <c r="N25" s="11" t="str">
        <f>Ressources!C5</f>
        <v>Rutile</v>
      </c>
      <c r="O25" s="12">
        <f>Ressources!D5</f>
        <v>42000</v>
      </c>
    </row>
    <row r="26" spans="2:15" x14ac:dyDescent="0.25">
      <c r="B26" s="5">
        <f>C26*B24</f>
        <v>5</v>
      </c>
      <c r="C26" s="2">
        <v>1</v>
      </c>
      <c r="D26" s="2" t="str">
        <f>Ressources!C4</f>
        <v>Ardonite</v>
      </c>
      <c r="E26" s="3">
        <f>Ressources!D4</f>
        <v>146000</v>
      </c>
      <c r="G26" s="5">
        <f>H26*G24</f>
        <v>10</v>
      </c>
      <c r="H26" s="2">
        <v>2</v>
      </c>
      <c r="I26" s="2" t="str">
        <f>Ressources!C20</f>
        <v>Galet rutilant</v>
      </c>
      <c r="J26" s="3">
        <f>H26*Ressources!D20</f>
        <v>54000</v>
      </c>
      <c r="L26" s="5">
        <f>M26*L24</f>
        <v>10</v>
      </c>
      <c r="M26" s="2">
        <v>2</v>
      </c>
      <c r="N26" s="2" t="str">
        <f>Ressources!C19</f>
        <v>Galet cramoisi</v>
      </c>
      <c r="O26" s="3">
        <f>M26*Ressources!D19</f>
        <v>6000</v>
      </c>
    </row>
    <row r="27" spans="2:15" x14ac:dyDescent="0.25">
      <c r="B27" s="5">
        <f>C27*B24</f>
        <v>10</v>
      </c>
      <c r="C27" s="2">
        <v>2</v>
      </c>
      <c r="D27" s="2" t="str">
        <f>Ressources!C18</f>
        <v>Galet brasillant</v>
      </c>
      <c r="E27" s="3">
        <f>C27*Ressources!D18</f>
        <v>500000</v>
      </c>
      <c r="G27" s="5">
        <f>H27*G24</f>
        <v>5</v>
      </c>
      <c r="H27" s="2">
        <v>1</v>
      </c>
      <c r="I27" s="2" t="str">
        <f>Ressources!C15</f>
        <v>Substrat de bosquet</v>
      </c>
      <c r="J27" s="3">
        <f>Ressources!D15</f>
        <v>12000</v>
      </c>
      <c r="L27" s="5">
        <f>M27*L24</f>
        <v>5</v>
      </c>
      <c r="M27" s="2">
        <v>1</v>
      </c>
      <c r="N27" s="2" t="str">
        <f>Ressources!C14</f>
        <v>Substrat de bocage</v>
      </c>
      <c r="O27" s="3">
        <f>Ressources!D14</f>
        <v>6000</v>
      </c>
    </row>
    <row r="28" spans="2:15" x14ac:dyDescent="0.25">
      <c r="B28" s="5">
        <f>C28*B24</f>
        <v>5000</v>
      </c>
      <c r="C28" s="2">
        <v>1000</v>
      </c>
      <c r="D28" s="2" t="str">
        <f>Ressources!C2</f>
        <v>pépite</v>
      </c>
      <c r="E28" s="3">
        <f>C28*Ressources!D2</f>
        <v>274000</v>
      </c>
      <c r="G28" s="5">
        <f>H28*G24</f>
        <v>500</v>
      </c>
      <c r="H28" s="2">
        <v>100</v>
      </c>
      <c r="I28" s="2" t="str">
        <f>Ressources!C2</f>
        <v>pépite</v>
      </c>
      <c r="J28" s="3">
        <f>H28*Ressources!D2</f>
        <v>27400</v>
      </c>
      <c r="L28" s="5">
        <f>M28*L24</f>
        <v>50</v>
      </c>
      <c r="M28" s="2">
        <v>10</v>
      </c>
      <c r="N28" s="2" t="str">
        <f>Ressources!C2</f>
        <v>pépite</v>
      </c>
      <c r="O28" s="3">
        <f>M28*Ressources!D2</f>
        <v>2740</v>
      </c>
    </row>
    <row r="29" spans="2:15" x14ac:dyDescent="0.25">
      <c r="B29" s="5">
        <f>C29*B24</f>
        <v>5</v>
      </c>
      <c r="C29" s="2">
        <v>1</v>
      </c>
      <c r="D29" s="2" t="str">
        <f>Ressources!C13</f>
        <v>Substrat de forêt</v>
      </c>
      <c r="E29" s="3">
        <f>Ressources!D13</f>
        <v>30000</v>
      </c>
      <c r="G29" s="5">
        <f>H29*G24</f>
        <v>50</v>
      </c>
      <c r="H29" s="2">
        <v>10</v>
      </c>
      <c r="I29" s="2" t="str">
        <f>Ressources!C35</f>
        <v>Foulard du sparo</v>
      </c>
      <c r="J29" s="3">
        <f>H29*Ressources!D35</f>
        <v>20000</v>
      </c>
      <c r="L29" s="5">
        <f>M29*L24</f>
        <v>50</v>
      </c>
      <c r="M29" s="2">
        <v>10</v>
      </c>
      <c r="N29" s="2" t="str">
        <f>Ressources!C33</f>
        <v>Langue de craquelope</v>
      </c>
      <c r="O29" s="3">
        <f>M29*Ressources!D33</f>
        <v>350000</v>
      </c>
    </row>
    <row r="30" spans="2:15" x14ac:dyDescent="0.25">
      <c r="B30" s="5">
        <f>C30*B24</f>
        <v>50</v>
      </c>
      <c r="C30" s="2">
        <v>10</v>
      </c>
      <c r="D30" s="2" t="str">
        <f>Ressources!C37</f>
        <v>Cheveux d'Alhyène</v>
      </c>
      <c r="E30" s="3">
        <f>C30*Ressources!D37</f>
        <v>75000</v>
      </c>
      <c r="G30" s="5">
        <f>H30*G24</f>
        <v>50</v>
      </c>
      <c r="H30" s="2">
        <v>10</v>
      </c>
      <c r="I30" s="2" t="str">
        <f>Ressources!C36</f>
        <v>Broderie de malléfisk</v>
      </c>
      <c r="J30" s="3">
        <f>H30*Ressources!D36</f>
        <v>45000</v>
      </c>
      <c r="L30" s="5">
        <f>M30*L24</f>
        <v>5</v>
      </c>
      <c r="M30" s="2">
        <v>1</v>
      </c>
      <c r="N30" s="2" t="str">
        <f>Ressources!C34</f>
        <v>Grelot</v>
      </c>
      <c r="O30" s="3">
        <f>Ressources!D34</f>
        <v>700</v>
      </c>
    </row>
    <row r="31" spans="2:15" x14ac:dyDescent="0.25">
      <c r="B31" s="5">
        <f>C31*B24</f>
        <v>5</v>
      </c>
      <c r="C31" s="2">
        <v>1</v>
      </c>
      <c r="D31" s="2" t="str">
        <f>Ressources!C38</f>
        <v>Queue du boufmouth légendaire</v>
      </c>
      <c r="E31" s="3">
        <f>Ressources!D38</f>
        <v>1600</v>
      </c>
      <c r="G31" s="5">
        <f>H31*G24</f>
        <v>5</v>
      </c>
      <c r="H31" s="2">
        <v>1</v>
      </c>
      <c r="I31" s="2" t="str">
        <f>M24</f>
        <v>Vigoureux Mineur</v>
      </c>
      <c r="J31" s="3">
        <f>O33</f>
        <v>407440</v>
      </c>
      <c r="L31" s="5"/>
      <c r="M31" s="2"/>
      <c r="N31" s="2"/>
      <c r="O31" s="3"/>
    </row>
    <row r="32" spans="2:15" ht="15.75" thickBot="1" x14ac:dyDescent="0.3">
      <c r="B32" s="6">
        <f>B24*C32</f>
        <v>5</v>
      </c>
      <c r="C32" s="7">
        <v>1</v>
      </c>
      <c r="D32" s="7" t="str">
        <f>H24</f>
        <v>Vigoureux</v>
      </c>
      <c r="E32" s="4">
        <f>J33</f>
        <v>690840</v>
      </c>
      <c r="G32" s="6"/>
      <c r="H32" s="7"/>
      <c r="I32" s="7"/>
      <c r="J32" s="4"/>
      <c r="L32" s="6"/>
      <c r="M32" s="7"/>
      <c r="N32" s="7"/>
      <c r="O32" s="4"/>
    </row>
    <row r="33" spans="2:15" ht="15.75" thickBot="1" x14ac:dyDescent="0.3">
      <c r="E33" s="9">
        <f>SUM(E25:E32)</f>
        <v>1797440</v>
      </c>
      <c r="I33" s="1"/>
      <c r="J33" s="9">
        <f>SUM(J25:J31)</f>
        <v>690840</v>
      </c>
      <c r="N33" s="1"/>
      <c r="O33" s="9">
        <f>SUM(O25:O31)</f>
        <v>407440</v>
      </c>
    </row>
    <row r="34" spans="2:15" ht="15.75" thickBot="1" x14ac:dyDescent="0.3"/>
    <row r="35" spans="2:15" ht="15.75" thickBot="1" x14ac:dyDescent="0.3">
      <c r="B35" s="8">
        <f>Comparatifs!B18</f>
        <v>0</v>
      </c>
      <c r="C35" s="98" t="s">
        <v>36</v>
      </c>
      <c r="D35" s="98"/>
      <c r="E35" s="99"/>
      <c r="G35" s="8">
        <f>Comparatifs!B19+B43</f>
        <v>0</v>
      </c>
      <c r="H35" s="98" t="s">
        <v>34</v>
      </c>
      <c r="I35" s="98"/>
      <c r="J35" s="99"/>
      <c r="L35" s="8">
        <f>Comparatifs!B20+G42</f>
        <v>0</v>
      </c>
      <c r="M35" s="98" t="s">
        <v>35</v>
      </c>
      <c r="N35" s="98"/>
      <c r="O35" s="99"/>
    </row>
    <row r="36" spans="2:15" x14ac:dyDescent="0.25">
      <c r="B36" s="10">
        <f>C36*B35</f>
        <v>0</v>
      </c>
      <c r="C36" s="11">
        <v>1</v>
      </c>
      <c r="D36" s="11" t="str">
        <f t="shared" ref="D36:E40" si="2">D25</f>
        <v>Tourmaline</v>
      </c>
      <c r="E36" s="12">
        <f t="shared" si="2"/>
        <v>80000</v>
      </c>
      <c r="G36" s="10">
        <f>H36*G35</f>
        <v>0</v>
      </c>
      <c r="H36" s="11">
        <v>1</v>
      </c>
      <c r="I36" s="11" t="str">
        <f t="shared" ref="I36:J39" si="3">I25</f>
        <v>Pyrute</v>
      </c>
      <c r="J36" s="12">
        <f t="shared" si="3"/>
        <v>125000</v>
      </c>
      <c r="L36" s="10">
        <f>M36*L35</f>
        <v>0</v>
      </c>
      <c r="M36" s="11">
        <v>1</v>
      </c>
      <c r="N36" s="11" t="str">
        <f t="shared" ref="N36:O39" si="4">N25</f>
        <v>Rutile</v>
      </c>
      <c r="O36" s="12">
        <f t="shared" si="4"/>
        <v>42000</v>
      </c>
    </row>
    <row r="37" spans="2:15" x14ac:dyDescent="0.25">
      <c r="B37" s="5">
        <f>C37*B35</f>
        <v>0</v>
      </c>
      <c r="C37" s="2">
        <v>1</v>
      </c>
      <c r="D37" s="2" t="str">
        <f t="shared" si="2"/>
        <v>Ardonite</v>
      </c>
      <c r="E37" s="3">
        <f t="shared" si="2"/>
        <v>146000</v>
      </c>
      <c r="G37" s="5">
        <f>H37*G35</f>
        <v>0</v>
      </c>
      <c r="H37" s="2">
        <v>2</v>
      </c>
      <c r="I37" s="2" t="str">
        <f t="shared" si="3"/>
        <v>Galet rutilant</v>
      </c>
      <c r="J37" s="3">
        <f t="shared" si="3"/>
        <v>54000</v>
      </c>
      <c r="L37" s="5">
        <f>M37*L35</f>
        <v>0</v>
      </c>
      <c r="M37" s="2">
        <v>2</v>
      </c>
      <c r="N37" s="2" t="str">
        <f t="shared" si="4"/>
        <v>Galet cramoisi</v>
      </c>
      <c r="O37" s="3">
        <f t="shared" si="4"/>
        <v>6000</v>
      </c>
    </row>
    <row r="38" spans="2:15" x14ac:dyDescent="0.25">
      <c r="B38" s="5">
        <f>C38*B35</f>
        <v>0</v>
      </c>
      <c r="C38" s="2">
        <v>2</v>
      </c>
      <c r="D38" s="2" t="str">
        <f t="shared" si="2"/>
        <v>Galet brasillant</v>
      </c>
      <c r="E38" s="3">
        <f t="shared" si="2"/>
        <v>500000</v>
      </c>
      <c r="G38" s="5">
        <f>H38*G35</f>
        <v>0</v>
      </c>
      <c r="H38" s="2">
        <v>1</v>
      </c>
      <c r="I38" s="2" t="str">
        <f t="shared" si="3"/>
        <v>Substrat de bosquet</v>
      </c>
      <c r="J38" s="3">
        <f t="shared" si="3"/>
        <v>12000</v>
      </c>
      <c r="L38" s="5">
        <f>M38*L35</f>
        <v>0</v>
      </c>
      <c r="M38" s="2">
        <v>1</v>
      </c>
      <c r="N38" s="2" t="str">
        <f t="shared" si="4"/>
        <v>Substrat de bocage</v>
      </c>
      <c r="O38" s="3">
        <f t="shared" si="4"/>
        <v>6000</v>
      </c>
    </row>
    <row r="39" spans="2:15" x14ac:dyDescent="0.25">
      <c r="B39" s="5">
        <f>C39*B35</f>
        <v>0</v>
      </c>
      <c r="C39" s="2">
        <v>1000</v>
      </c>
      <c r="D39" s="2" t="str">
        <f t="shared" si="2"/>
        <v>pépite</v>
      </c>
      <c r="E39" s="3">
        <f t="shared" si="2"/>
        <v>274000</v>
      </c>
      <c r="G39" s="5">
        <f>H39*G35</f>
        <v>0</v>
      </c>
      <c r="H39" s="2">
        <v>100</v>
      </c>
      <c r="I39" s="2" t="str">
        <f t="shared" si="3"/>
        <v>pépite</v>
      </c>
      <c r="J39" s="3">
        <f t="shared" si="3"/>
        <v>27400</v>
      </c>
      <c r="L39" s="5">
        <f>M39*L35</f>
        <v>0</v>
      </c>
      <c r="M39" s="2">
        <v>10</v>
      </c>
      <c r="N39" s="2" t="str">
        <f t="shared" si="4"/>
        <v>pépite</v>
      </c>
      <c r="O39" s="3">
        <f t="shared" si="4"/>
        <v>2740</v>
      </c>
    </row>
    <row r="40" spans="2:15" x14ac:dyDescent="0.25">
      <c r="B40" s="5">
        <f>C40*B35</f>
        <v>0</v>
      </c>
      <c r="C40" s="2">
        <v>1</v>
      </c>
      <c r="D40" s="2" t="str">
        <f t="shared" si="2"/>
        <v>Substrat de forêt</v>
      </c>
      <c r="E40" s="3">
        <f t="shared" si="2"/>
        <v>30000</v>
      </c>
      <c r="G40" s="5">
        <f>H40*G35</f>
        <v>0</v>
      </c>
      <c r="H40" s="2">
        <v>10</v>
      </c>
      <c r="I40" s="2" t="str">
        <f>Ressources!C42</f>
        <v>Chicot du flib</v>
      </c>
      <c r="J40" s="3">
        <f>H40*Ressources!D42</f>
        <v>4000</v>
      </c>
      <c r="L40" s="5">
        <f>M40*L35</f>
        <v>0</v>
      </c>
      <c r="M40" s="2">
        <v>10</v>
      </c>
      <c r="N40" s="2" t="str">
        <f>Ressources!C39</f>
        <v>Antennes de vilinsekt</v>
      </c>
      <c r="O40" s="3">
        <f>M40*Ressources!D39</f>
        <v>19000</v>
      </c>
    </row>
    <row r="41" spans="2:15" x14ac:dyDescent="0.25">
      <c r="B41" s="5">
        <f>C41*B35</f>
        <v>0</v>
      </c>
      <c r="C41" s="2">
        <v>10</v>
      </c>
      <c r="D41" s="2" t="str">
        <f>Ressources!C44</f>
        <v>étoffe de vigie pirate</v>
      </c>
      <c r="E41" s="3">
        <f>C41*Ressources!D44</f>
        <v>2000</v>
      </c>
      <c r="G41" s="5">
        <f>H41*G35</f>
        <v>0</v>
      </c>
      <c r="H41" s="2">
        <v>10</v>
      </c>
      <c r="I41" s="2" t="str">
        <f>Ressources!C41</f>
        <v>Laine du boufcoul</v>
      </c>
      <c r="J41" s="3">
        <f>H41*Ressources!D41</f>
        <v>2000</v>
      </c>
      <c r="L41" s="5">
        <f>M41*L35</f>
        <v>0</v>
      </c>
      <c r="M41" s="2">
        <v>1</v>
      </c>
      <c r="N41" s="2" t="str">
        <f>Ressources!C40</f>
        <v>Œuf d'arakne majeure</v>
      </c>
      <c r="O41" s="3">
        <f>Ressources!D40</f>
        <v>400</v>
      </c>
    </row>
    <row r="42" spans="2:15" x14ac:dyDescent="0.25">
      <c r="B42" s="5">
        <f>C42*B35</f>
        <v>0</v>
      </c>
      <c r="C42" s="2">
        <v>1</v>
      </c>
      <c r="D42" s="2" t="str">
        <f>Ressources!C43</f>
        <v>Bec de truchon</v>
      </c>
      <c r="E42" s="3">
        <f>Ressources!D43</f>
        <v>2200</v>
      </c>
      <c r="G42" s="5">
        <f>H42*G35</f>
        <v>0</v>
      </c>
      <c r="H42" s="2">
        <v>1</v>
      </c>
      <c r="I42" s="2" t="str">
        <f>M35</f>
        <v>Chanceux Mineur</v>
      </c>
      <c r="J42" s="3">
        <f>O44</f>
        <v>76140</v>
      </c>
      <c r="L42" s="5"/>
      <c r="M42" s="2"/>
      <c r="N42" s="2"/>
      <c r="O42" s="3"/>
    </row>
    <row r="43" spans="2:15" ht="15.75" thickBot="1" x14ac:dyDescent="0.3">
      <c r="B43" s="6">
        <f>B35*C43</f>
        <v>0</v>
      </c>
      <c r="C43" s="7">
        <v>1</v>
      </c>
      <c r="D43" s="7" t="str">
        <f>H35</f>
        <v>Chanceux</v>
      </c>
      <c r="E43" s="4">
        <f>J44</f>
        <v>300540</v>
      </c>
      <c r="G43" s="6"/>
      <c r="H43" s="7"/>
      <c r="I43" s="7"/>
      <c r="J43" s="4"/>
      <c r="L43" s="6"/>
      <c r="M43" s="7"/>
      <c r="N43" s="7"/>
      <c r="O43" s="4"/>
    </row>
    <row r="44" spans="2:15" ht="15.75" thickBot="1" x14ac:dyDescent="0.3">
      <c r="E44" s="9">
        <f>SUM(E36:E43)</f>
        <v>1334740</v>
      </c>
      <c r="I44" s="1"/>
      <c r="J44" s="9">
        <f>SUM(J36:J42)</f>
        <v>300540</v>
      </c>
      <c r="N44" s="1"/>
      <c r="O44" s="9">
        <f>SUM(O36:O42)</f>
        <v>76140</v>
      </c>
    </row>
    <row r="45" spans="2:15" ht="15.75" thickBot="1" x14ac:dyDescent="0.3"/>
    <row r="46" spans="2:15" ht="15.75" thickBot="1" x14ac:dyDescent="0.3">
      <c r="B46" s="8">
        <f>Comparatifs!B21</f>
        <v>0</v>
      </c>
      <c r="C46" s="98" t="s">
        <v>46</v>
      </c>
      <c r="D46" s="98"/>
      <c r="E46" s="99"/>
      <c r="G46" s="8">
        <f>Comparatifs!B22+B54</f>
        <v>0</v>
      </c>
      <c r="H46" s="98" t="s">
        <v>44</v>
      </c>
      <c r="I46" s="98"/>
      <c r="J46" s="99"/>
      <c r="L46" s="8">
        <f>Comparatifs!B23+G53</f>
        <v>0</v>
      </c>
      <c r="M46" s="98" t="s">
        <v>45</v>
      </c>
      <c r="N46" s="98"/>
      <c r="O46" s="99"/>
    </row>
    <row r="47" spans="2:15" x14ac:dyDescent="0.25">
      <c r="B47" s="10">
        <f>C47*B46</f>
        <v>0</v>
      </c>
      <c r="C47" s="11">
        <v>1</v>
      </c>
      <c r="D47" s="11" t="str">
        <f t="shared" ref="D47:E51" si="5">D36</f>
        <v>Tourmaline</v>
      </c>
      <c r="E47" s="12">
        <f t="shared" si="5"/>
        <v>80000</v>
      </c>
      <c r="G47" s="10">
        <f>H47*G46</f>
        <v>0</v>
      </c>
      <c r="H47" s="11">
        <v>1</v>
      </c>
      <c r="I47" s="11" t="str">
        <f t="shared" ref="I47:J50" si="6">I36</f>
        <v>Pyrute</v>
      </c>
      <c r="J47" s="12">
        <f t="shared" si="6"/>
        <v>125000</v>
      </c>
      <c r="L47" s="10">
        <f>M47*L46</f>
        <v>0</v>
      </c>
      <c r="M47" s="11">
        <v>1</v>
      </c>
      <c r="N47" s="11" t="str">
        <f t="shared" ref="N47:O50" si="7">N36</f>
        <v>Rutile</v>
      </c>
      <c r="O47" s="12">
        <f t="shared" si="7"/>
        <v>42000</v>
      </c>
    </row>
    <row r="48" spans="2:15" x14ac:dyDescent="0.25">
      <c r="B48" s="5">
        <f>C48*B46</f>
        <v>0</v>
      </c>
      <c r="C48" s="2">
        <v>1</v>
      </c>
      <c r="D48" s="2" t="str">
        <f t="shared" si="5"/>
        <v>Ardonite</v>
      </c>
      <c r="E48" s="3">
        <f t="shared" si="5"/>
        <v>146000</v>
      </c>
      <c r="G48" s="5">
        <f>H48*G46</f>
        <v>0</v>
      </c>
      <c r="H48" s="2">
        <v>2</v>
      </c>
      <c r="I48" s="2" t="str">
        <f t="shared" si="6"/>
        <v>Galet rutilant</v>
      </c>
      <c r="J48" s="3">
        <f t="shared" si="6"/>
        <v>54000</v>
      </c>
      <c r="L48" s="5">
        <f>M48*L46</f>
        <v>0</v>
      </c>
      <c r="M48" s="2">
        <v>2</v>
      </c>
      <c r="N48" s="2" t="str">
        <f t="shared" si="7"/>
        <v>Galet cramoisi</v>
      </c>
      <c r="O48" s="3">
        <f t="shared" si="7"/>
        <v>6000</v>
      </c>
    </row>
    <row r="49" spans="2:15" x14ac:dyDescent="0.25">
      <c r="B49" s="5">
        <f>C49*B46</f>
        <v>0</v>
      </c>
      <c r="C49" s="2">
        <v>2</v>
      </c>
      <c r="D49" s="2" t="str">
        <f t="shared" si="5"/>
        <v>Galet brasillant</v>
      </c>
      <c r="E49" s="3">
        <f t="shared" si="5"/>
        <v>500000</v>
      </c>
      <c r="G49" s="5">
        <f>H49*G46</f>
        <v>0</v>
      </c>
      <c r="H49" s="2">
        <v>1</v>
      </c>
      <c r="I49" s="2" t="str">
        <f t="shared" si="6"/>
        <v>Substrat de bosquet</v>
      </c>
      <c r="J49" s="3">
        <f t="shared" si="6"/>
        <v>12000</v>
      </c>
      <c r="L49" s="5">
        <f>M49*L46</f>
        <v>0</v>
      </c>
      <c r="M49" s="2">
        <v>1</v>
      </c>
      <c r="N49" s="2" t="str">
        <f t="shared" si="7"/>
        <v>Substrat de bocage</v>
      </c>
      <c r="O49" s="3">
        <f t="shared" si="7"/>
        <v>6000</v>
      </c>
    </row>
    <row r="50" spans="2:15" x14ac:dyDescent="0.25">
      <c r="B50" s="5">
        <f>C50*B46</f>
        <v>0</v>
      </c>
      <c r="C50" s="2">
        <v>1000</v>
      </c>
      <c r="D50" s="2" t="str">
        <f t="shared" si="5"/>
        <v>pépite</v>
      </c>
      <c r="E50" s="3">
        <f t="shared" si="5"/>
        <v>274000</v>
      </c>
      <c r="G50" s="5">
        <f>H50*G46</f>
        <v>0</v>
      </c>
      <c r="H50" s="2">
        <v>100</v>
      </c>
      <c r="I50" s="2" t="str">
        <f t="shared" si="6"/>
        <v>pépite</v>
      </c>
      <c r="J50" s="3">
        <f t="shared" si="6"/>
        <v>27400</v>
      </c>
      <c r="L50" s="5">
        <f>M50*L46</f>
        <v>0</v>
      </c>
      <c r="M50" s="2">
        <v>10</v>
      </c>
      <c r="N50" s="2" t="str">
        <f t="shared" si="7"/>
        <v>pépite</v>
      </c>
      <c r="O50" s="3">
        <f t="shared" si="7"/>
        <v>2740</v>
      </c>
    </row>
    <row r="51" spans="2:15" x14ac:dyDescent="0.25">
      <c r="B51" s="5">
        <f>C51*B46</f>
        <v>0</v>
      </c>
      <c r="C51" s="2">
        <v>1</v>
      </c>
      <c r="D51" s="2" t="str">
        <f t="shared" si="5"/>
        <v>Substrat de forêt</v>
      </c>
      <c r="E51" s="3">
        <f t="shared" si="5"/>
        <v>30000</v>
      </c>
      <c r="G51" s="5">
        <f>H51*G46</f>
        <v>0</v>
      </c>
      <c r="H51" s="2">
        <v>10</v>
      </c>
      <c r="I51" s="2" t="str">
        <f>Ressources!C24</f>
        <v>Fleur de gloutoblop</v>
      </c>
      <c r="J51" s="3">
        <f>H51*Ressources!D24</f>
        <v>72000</v>
      </c>
      <c r="L51" s="5">
        <f>M51*L46</f>
        <v>0</v>
      </c>
      <c r="M51" s="2">
        <v>10</v>
      </c>
      <c r="N51" s="2" t="str">
        <f>Ressources!C23</f>
        <v>Fleur de blopignon</v>
      </c>
      <c r="O51" s="3">
        <f>M51*Ressources!D23</f>
        <v>6000</v>
      </c>
    </row>
    <row r="52" spans="2:15" x14ac:dyDescent="0.25">
      <c r="B52" s="5">
        <f>C52*B46</f>
        <v>0</v>
      </c>
      <c r="C52" s="2">
        <v>10</v>
      </c>
      <c r="D52" s="2" t="str">
        <f>Ressources!C47</f>
        <v>Duvet de truchon</v>
      </c>
      <c r="E52" s="3">
        <f>C52*Ressources!D47</f>
        <v>5000</v>
      </c>
      <c r="G52" s="5">
        <f>H52*G46</f>
        <v>0</v>
      </c>
      <c r="H52" s="2">
        <v>10</v>
      </c>
      <c r="I52" s="2" t="str">
        <f>Ressources!C46</f>
        <v>étoffe de dok alako</v>
      </c>
      <c r="J52" s="3">
        <f>H52*Ressources!D46</f>
        <v>6000</v>
      </c>
      <c r="L52" s="5">
        <f>M52*L46</f>
        <v>0</v>
      </c>
      <c r="M52" s="2">
        <v>1</v>
      </c>
      <c r="N52" s="2" t="str">
        <f>Ressources!C45</f>
        <v>Œuf pourri</v>
      </c>
      <c r="O52" s="3">
        <f>Ressources!D45</f>
        <v>100</v>
      </c>
    </row>
    <row r="53" spans="2:15" x14ac:dyDescent="0.25">
      <c r="B53" s="5">
        <f>C53*B46</f>
        <v>0</v>
      </c>
      <c r="C53" s="2">
        <v>1</v>
      </c>
      <c r="D53" s="2" t="str">
        <f>Ressources!C48</f>
        <v>étoffe de kaniglou</v>
      </c>
      <c r="E53" s="3">
        <f>Ressources!D48</f>
        <v>1000</v>
      </c>
      <c r="G53" s="5">
        <f>H53*G46</f>
        <v>0</v>
      </c>
      <c r="H53" s="2">
        <v>1</v>
      </c>
      <c r="I53" s="2" t="str">
        <f>M46</f>
        <v>Cascadeur Mineur</v>
      </c>
      <c r="J53" s="3">
        <f>O55</f>
        <v>62840</v>
      </c>
      <c r="L53" s="5"/>
      <c r="M53" s="2"/>
      <c r="N53" s="2"/>
      <c r="O53" s="3"/>
    </row>
    <row r="54" spans="2:15" ht="15.75" thickBot="1" x14ac:dyDescent="0.3">
      <c r="B54" s="6">
        <f>B46*C54</f>
        <v>0</v>
      </c>
      <c r="C54" s="7">
        <v>1</v>
      </c>
      <c r="D54" s="7" t="str">
        <f>H46</f>
        <v>Cascadeur</v>
      </c>
      <c r="E54" s="4">
        <f>J55</f>
        <v>359240</v>
      </c>
      <c r="G54" s="6"/>
      <c r="H54" s="7"/>
      <c r="I54" s="7"/>
      <c r="J54" s="4"/>
      <c r="L54" s="6"/>
      <c r="M54" s="7"/>
      <c r="N54" s="7"/>
      <c r="O54" s="4"/>
    </row>
    <row r="55" spans="2:15" ht="15.75" thickBot="1" x14ac:dyDescent="0.3">
      <c r="E55" s="9">
        <f>SUM(E47:E54)</f>
        <v>1395240</v>
      </c>
      <c r="I55" s="1"/>
      <c r="J55" s="9">
        <f>SUM(J47:J53)</f>
        <v>359240</v>
      </c>
      <c r="N55" s="1"/>
      <c r="O55" s="9">
        <f>SUM(O47:O53)</f>
        <v>62840</v>
      </c>
    </row>
    <row r="56" spans="2:15" ht="15.75" thickBot="1" x14ac:dyDescent="0.3"/>
    <row r="57" spans="2:15" ht="15.75" thickBot="1" x14ac:dyDescent="0.3">
      <c r="B57" s="8">
        <f>Comparatifs!B24</f>
        <v>5</v>
      </c>
      <c r="C57" s="98" t="s">
        <v>60</v>
      </c>
      <c r="D57" s="98"/>
      <c r="E57" s="99"/>
      <c r="G57" s="8">
        <f>Comparatifs!B25+B65</f>
        <v>5</v>
      </c>
      <c r="H57" s="98" t="s">
        <v>59</v>
      </c>
      <c r="I57" s="98"/>
      <c r="J57" s="99"/>
      <c r="L57" s="8">
        <f>Comparatifs!B26+G64</f>
        <v>5</v>
      </c>
      <c r="M57" s="98" t="s">
        <v>61</v>
      </c>
      <c r="N57" s="98"/>
      <c r="O57" s="99"/>
    </row>
    <row r="58" spans="2:15" x14ac:dyDescent="0.25">
      <c r="B58" s="10">
        <f>C58*B57</f>
        <v>5</v>
      </c>
      <c r="C58" s="11">
        <v>1</v>
      </c>
      <c r="D58" s="11" t="str">
        <f t="shared" ref="D58:E58" si="8">D47</f>
        <v>Tourmaline</v>
      </c>
      <c r="E58" s="12">
        <f t="shared" si="8"/>
        <v>80000</v>
      </c>
      <c r="G58" s="10">
        <f>H58*G57</f>
        <v>5</v>
      </c>
      <c r="H58" s="11">
        <v>1</v>
      </c>
      <c r="I58" s="11" t="str">
        <f t="shared" ref="I58:J58" si="9">I47</f>
        <v>Pyrute</v>
      </c>
      <c r="J58" s="12">
        <f t="shared" si="9"/>
        <v>125000</v>
      </c>
      <c r="L58" s="10">
        <f>M58*L57</f>
        <v>5</v>
      </c>
      <c r="M58" s="11">
        <v>1</v>
      </c>
      <c r="N58" s="11" t="str">
        <f t="shared" ref="N58:O58" si="10">N47</f>
        <v>Rutile</v>
      </c>
      <c r="O58" s="12">
        <f t="shared" si="10"/>
        <v>42000</v>
      </c>
    </row>
    <row r="59" spans="2:15" x14ac:dyDescent="0.25">
      <c r="B59" s="5">
        <f>C59*B57</f>
        <v>5</v>
      </c>
      <c r="C59" s="2">
        <v>1</v>
      </c>
      <c r="D59" s="2" t="str">
        <f t="shared" ref="D59:E59" si="11">D48</f>
        <v>Ardonite</v>
      </c>
      <c r="E59" s="3">
        <f t="shared" si="11"/>
        <v>146000</v>
      </c>
      <c r="G59" s="5">
        <f>H59*G57</f>
        <v>10</v>
      </c>
      <c r="H59" s="2">
        <v>2</v>
      </c>
      <c r="I59" s="2" t="str">
        <f t="shared" ref="I59:J59" si="12">I48</f>
        <v>Galet rutilant</v>
      </c>
      <c r="J59" s="3">
        <f t="shared" si="12"/>
        <v>54000</v>
      </c>
      <c r="L59" s="5">
        <f>M59*L57</f>
        <v>10</v>
      </c>
      <c r="M59" s="2">
        <v>2</v>
      </c>
      <c r="N59" s="2" t="str">
        <f t="shared" ref="N59:O59" si="13">N48</f>
        <v>Galet cramoisi</v>
      </c>
      <c r="O59" s="3">
        <f t="shared" si="13"/>
        <v>6000</v>
      </c>
    </row>
    <row r="60" spans="2:15" x14ac:dyDescent="0.25">
      <c r="B60" s="5">
        <f>C60*B57</f>
        <v>10</v>
      </c>
      <c r="C60" s="2">
        <v>2</v>
      </c>
      <c r="D60" s="2" t="str">
        <f t="shared" ref="D60:E60" si="14">D49</f>
        <v>Galet brasillant</v>
      </c>
      <c r="E60" s="3">
        <f t="shared" si="14"/>
        <v>500000</v>
      </c>
      <c r="G60" s="5">
        <f>H60*G57</f>
        <v>5</v>
      </c>
      <c r="H60" s="2">
        <v>1</v>
      </c>
      <c r="I60" s="2" t="str">
        <f t="shared" ref="I60:J60" si="15">I49</f>
        <v>Substrat de bosquet</v>
      </c>
      <c r="J60" s="3">
        <f t="shared" si="15"/>
        <v>12000</v>
      </c>
      <c r="L60" s="5">
        <f>M60*L57</f>
        <v>5</v>
      </c>
      <c r="M60" s="2">
        <v>1</v>
      </c>
      <c r="N60" s="2" t="str">
        <f t="shared" ref="N60:O60" si="16">N49</f>
        <v>Substrat de bocage</v>
      </c>
      <c r="O60" s="3">
        <f t="shared" si="16"/>
        <v>6000</v>
      </c>
    </row>
    <row r="61" spans="2:15" x14ac:dyDescent="0.25">
      <c r="B61" s="5">
        <f>C61*B57</f>
        <v>5000</v>
      </c>
      <c r="C61" s="2">
        <v>1000</v>
      </c>
      <c r="D61" s="2" t="str">
        <f t="shared" ref="D61:E61" si="17">D50</f>
        <v>pépite</v>
      </c>
      <c r="E61" s="3">
        <f t="shared" si="17"/>
        <v>274000</v>
      </c>
      <c r="G61" s="5">
        <f>H61*G57</f>
        <v>500</v>
      </c>
      <c r="H61" s="2">
        <v>100</v>
      </c>
      <c r="I61" s="2" t="str">
        <f t="shared" ref="I61:J61" si="18">I50</f>
        <v>pépite</v>
      </c>
      <c r="J61" s="3">
        <f t="shared" si="18"/>
        <v>27400</v>
      </c>
      <c r="L61" s="5">
        <f>M61*L57</f>
        <v>50</v>
      </c>
      <c r="M61" s="2">
        <v>10</v>
      </c>
      <c r="N61" s="2" t="str">
        <f t="shared" ref="N61:O61" si="19">N50</f>
        <v>pépite</v>
      </c>
      <c r="O61" s="3">
        <f t="shared" si="19"/>
        <v>2740</v>
      </c>
    </row>
    <row r="62" spans="2:15" x14ac:dyDescent="0.25">
      <c r="B62" s="5">
        <f>C62*B57</f>
        <v>5</v>
      </c>
      <c r="C62" s="2">
        <v>1</v>
      </c>
      <c r="D62" s="2" t="str">
        <f t="shared" ref="D62:E62" si="20">D51</f>
        <v>Substrat de forêt</v>
      </c>
      <c r="E62" s="3">
        <f t="shared" si="20"/>
        <v>30000</v>
      </c>
      <c r="G62" s="5">
        <f>H62*G57</f>
        <v>50</v>
      </c>
      <c r="H62" s="2">
        <v>10</v>
      </c>
      <c r="I62" s="2" t="str">
        <f>Ressources!C53</f>
        <v>Carapace de scaratos</v>
      </c>
      <c r="J62" s="3">
        <f>H62*Ressources!D53</f>
        <v>2000</v>
      </c>
      <c r="L62" s="5">
        <f>M62*L57</f>
        <v>50</v>
      </c>
      <c r="M62" s="2">
        <v>10</v>
      </c>
      <c r="N62" s="2" t="str">
        <f>Ressources!C52</f>
        <v>Lamelle de champa rouge</v>
      </c>
      <c r="O62" s="3">
        <f>M62*Ressources!D52</f>
        <v>5000</v>
      </c>
    </row>
    <row r="63" spans="2:15" x14ac:dyDescent="0.25">
      <c r="B63" s="5">
        <f>C63*B57</f>
        <v>50</v>
      </c>
      <c r="C63" s="2">
        <v>10</v>
      </c>
      <c r="D63" s="2" t="str">
        <f>Ressources!C49</f>
        <v>Croupion de truchmuche</v>
      </c>
      <c r="E63" s="3">
        <f>C63*Ressources!D49</f>
        <v>2000</v>
      </c>
      <c r="G63" s="5">
        <f>H63*G57</f>
        <v>5</v>
      </c>
      <c r="H63" s="2">
        <v>1</v>
      </c>
      <c r="I63" s="2" t="str">
        <f>Ressources!C51</f>
        <v>Coco du bitouf des plaines</v>
      </c>
      <c r="J63" s="3">
        <f>Ressources!D51</f>
        <v>6500</v>
      </c>
      <c r="L63" s="5">
        <f>M63*L57</f>
        <v>50</v>
      </c>
      <c r="M63" s="2">
        <v>10</v>
      </c>
      <c r="N63" s="2" t="str">
        <f>Ressources!C25</f>
        <v>Fleur de bulbiflore</v>
      </c>
      <c r="O63" s="3">
        <f>M63*Ressources!D25</f>
        <v>3500</v>
      </c>
    </row>
    <row r="64" spans="2:15" x14ac:dyDescent="0.25">
      <c r="B64" s="5">
        <f>C64*B57</f>
        <v>50</v>
      </c>
      <c r="C64" s="2">
        <v>10</v>
      </c>
      <c r="D64" s="2" t="str">
        <f>Ressources!C50</f>
        <v>étoffe zoth</v>
      </c>
      <c r="E64" s="3">
        <f>C64*Ressources!D50</f>
        <v>10000</v>
      </c>
      <c r="G64" s="5">
        <f>H64*G57</f>
        <v>5</v>
      </c>
      <c r="H64" s="2">
        <v>1</v>
      </c>
      <c r="I64" s="2" t="str">
        <f>M57</f>
        <v>Enragé mineur</v>
      </c>
      <c r="J64" s="3">
        <f>O66</f>
        <v>65240</v>
      </c>
      <c r="L64" s="5"/>
      <c r="M64" s="2"/>
      <c r="N64" s="2"/>
      <c r="O64" s="3"/>
    </row>
    <row r="65" spans="2:15" ht="15.75" thickBot="1" x14ac:dyDescent="0.3">
      <c r="B65" s="6">
        <f>B57*C65</f>
        <v>5</v>
      </c>
      <c r="C65" s="7">
        <v>1</v>
      </c>
      <c r="D65" s="7" t="str">
        <f>H57</f>
        <v>Enragé</v>
      </c>
      <c r="E65" s="4">
        <f>J66</f>
        <v>292140</v>
      </c>
      <c r="G65" s="6"/>
      <c r="H65" s="7"/>
      <c r="I65" s="7"/>
      <c r="J65" s="4"/>
      <c r="L65" s="6"/>
      <c r="M65" s="7"/>
      <c r="N65" s="7"/>
      <c r="O65" s="4"/>
    </row>
    <row r="66" spans="2:15" ht="15.75" thickBot="1" x14ac:dyDescent="0.3">
      <c r="E66" s="9">
        <f>SUM(E58:E65)</f>
        <v>1334140</v>
      </c>
      <c r="I66" s="1"/>
      <c r="J66" s="9">
        <f>SUM(J58:J64)</f>
        <v>292140</v>
      </c>
      <c r="N66" s="1"/>
      <c r="O66" s="9">
        <f>SUM(O58:O64)</f>
        <v>65240</v>
      </c>
    </row>
    <row r="67" spans="2:15" ht="15.75" thickBot="1" x14ac:dyDescent="0.3"/>
    <row r="68" spans="2:15" ht="15.75" thickBot="1" x14ac:dyDescent="0.3">
      <c r="B68" s="8">
        <f>Comparatifs!B30</f>
        <v>5</v>
      </c>
      <c r="C68" s="98" t="s">
        <v>105</v>
      </c>
      <c r="D68" s="98"/>
      <c r="E68" s="99"/>
      <c r="G68" s="8">
        <f>Comparatifs!B31+B76</f>
        <v>5</v>
      </c>
      <c r="H68" s="98" t="s">
        <v>104</v>
      </c>
      <c r="I68" s="98"/>
      <c r="J68" s="99"/>
      <c r="L68" s="8">
        <f>Comparatifs!B32+G75</f>
        <v>5</v>
      </c>
      <c r="M68" s="98" t="s">
        <v>106</v>
      </c>
      <c r="N68" s="98"/>
      <c r="O68" s="99"/>
    </row>
    <row r="69" spans="2:15" x14ac:dyDescent="0.25">
      <c r="B69" s="10">
        <f>C69*B68</f>
        <v>5</v>
      </c>
      <c r="C69" s="11">
        <v>1</v>
      </c>
      <c r="D69" s="11" t="str">
        <f t="shared" ref="D69:E69" si="21">D58</f>
        <v>Tourmaline</v>
      </c>
      <c r="E69" s="12">
        <f t="shared" si="21"/>
        <v>80000</v>
      </c>
      <c r="G69" s="10">
        <f>H69*G68</f>
        <v>5</v>
      </c>
      <c r="H69" s="11">
        <v>1</v>
      </c>
      <c r="I69" s="11" t="str">
        <f t="shared" ref="I69:J69" si="22">I58</f>
        <v>Pyrute</v>
      </c>
      <c r="J69" s="12">
        <f t="shared" si="22"/>
        <v>125000</v>
      </c>
      <c r="L69" s="10">
        <f>M69*L68</f>
        <v>5</v>
      </c>
      <c r="M69" s="11">
        <v>1</v>
      </c>
      <c r="N69" s="11" t="str">
        <f t="shared" ref="N69:O69" si="23">N58</f>
        <v>Rutile</v>
      </c>
      <c r="O69" s="12">
        <f t="shared" si="23"/>
        <v>42000</v>
      </c>
    </row>
    <row r="70" spans="2:15" x14ac:dyDescent="0.25">
      <c r="B70" s="5">
        <f>C70*B68</f>
        <v>5</v>
      </c>
      <c r="C70" s="2">
        <v>1</v>
      </c>
      <c r="D70" s="2" t="str">
        <f t="shared" ref="D70:E70" si="24">D59</f>
        <v>Ardonite</v>
      </c>
      <c r="E70" s="3">
        <f t="shared" si="24"/>
        <v>146000</v>
      </c>
      <c r="G70" s="5">
        <f>H70*G68</f>
        <v>10</v>
      </c>
      <c r="H70" s="2">
        <v>2</v>
      </c>
      <c r="I70" s="2" t="str">
        <f t="shared" ref="I70:J70" si="25">I59</f>
        <v>Galet rutilant</v>
      </c>
      <c r="J70" s="3">
        <f t="shared" si="25"/>
        <v>54000</v>
      </c>
      <c r="L70" s="5">
        <f>M70*L68</f>
        <v>10</v>
      </c>
      <c r="M70" s="2">
        <v>2</v>
      </c>
      <c r="N70" s="2" t="str">
        <f t="shared" ref="N70:O70" si="26">N59</f>
        <v>Galet cramoisi</v>
      </c>
      <c r="O70" s="3">
        <f t="shared" si="26"/>
        <v>6000</v>
      </c>
    </row>
    <row r="71" spans="2:15" x14ac:dyDescent="0.25">
      <c r="B71" s="5">
        <f>C71*B68</f>
        <v>10</v>
      </c>
      <c r="C71" s="2">
        <v>2</v>
      </c>
      <c r="D71" s="2" t="str">
        <f t="shared" ref="D71:E71" si="27">D60</f>
        <v>Galet brasillant</v>
      </c>
      <c r="E71" s="3">
        <f t="shared" si="27"/>
        <v>500000</v>
      </c>
      <c r="G71" s="5">
        <f>H71*G68</f>
        <v>5</v>
      </c>
      <c r="H71" s="2">
        <v>1</v>
      </c>
      <c r="I71" s="2" t="str">
        <f t="shared" ref="I71:J71" si="28">I60</f>
        <v>Substrat de bosquet</v>
      </c>
      <c r="J71" s="3">
        <f t="shared" si="28"/>
        <v>12000</v>
      </c>
      <c r="L71" s="5">
        <f>M71*L68</f>
        <v>5</v>
      </c>
      <c r="M71" s="2">
        <v>1</v>
      </c>
      <c r="N71" s="2" t="str">
        <f t="shared" ref="N71:O71" si="29">N60</f>
        <v>Substrat de bocage</v>
      </c>
      <c r="O71" s="3">
        <f t="shared" si="29"/>
        <v>6000</v>
      </c>
    </row>
    <row r="72" spans="2:15" x14ac:dyDescent="0.25">
      <c r="B72" s="5">
        <f>C72*B68</f>
        <v>5000</v>
      </c>
      <c r="C72" s="2">
        <v>1000</v>
      </c>
      <c r="D72" s="2" t="str">
        <f t="shared" ref="D72:E72" si="30">D61</f>
        <v>pépite</v>
      </c>
      <c r="E72" s="3">
        <f t="shared" si="30"/>
        <v>274000</v>
      </c>
      <c r="G72" s="5">
        <f>H72*G68</f>
        <v>500</v>
      </c>
      <c r="H72" s="2">
        <v>100</v>
      </c>
      <c r="I72" s="2" t="str">
        <f t="shared" ref="I72:J72" si="31">I61</f>
        <v>pépite</v>
      </c>
      <c r="J72" s="3">
        <f t="shared" si="31"/>
        <v>27400</v>
      </c>
      <c r="L72" s="5">
        <f>M72*L68</f>
        <v>50</v>
      </c>
      <c r="M72" s="2">
        <v>10</v>
      </c>
      <c r="N72" s="2" t="str">
        <f t="shared" ref="N72:O72" si="32">N61</f>
        <v>pépite</v>
      </c>
      <c r="O72" s="3">
        <f t="shared" si="32"/>
        <v>2740</v>
      </c>
    </row>
    <row r="73" spans="2:15" x14ac:dyDescent="0.25">
      <c r="B73" s="5">
        <f>C73*B68</f>
        <v>5</v>
      </c>
      <c r="C73" s="2">
        <v>1</v>
      </c>
      <c r="D73" s="2" t="str">
        <f t="shared" ref="D73:E73" si="33">D62</f>
        <v>Substrat de forêt</v>
      </c>
      <c r="E73" s="3">
        <f t="shared" si="33"/>
        <v>30000</v>
      </c>
      <c r="G73" s="5">
        <f>H73*G68</f>
        <v>50</v>
      </c>
      <c r="H73" s="2">
        <v>10</v>
      </c>
      <c r="I73" s="2" t="str">
        <f>Ressources!C60</f>
        <v>Sang d'oni</v>
      </c>
      <c r="J73" s="3">
        <f>Ressources!D60*H73</f>
        <v>3500</v>
      </c>
      <c r="L73" s="5">
        <f>M73*L68</f>
        <v>50</v>
      </c>
      <c r="M73" s="2">
        <v>10</v>
      </c>
      <c r="N73" s="2" t="str">
        <f>Ressources!C62</f>
        <v>Queue de rat d'hyoactif</v>
      </c>
      <c r="O73" s="3">
        <f>Ressources!D62*M73</f>
        <v>11000</v>
      </c>
    </row>
    <row r="74" spans="2:15" x14ac:dyDescent="0.25">
      <c r="B74" s="5">
        <f>C74*B68</f>
        <v>50</v>
      </c>
      <c r="C74" s="2">
        <v>10</v>
      </c>
      <c r="D74" s="2" t="str">
        <f>Ressources!C26</f>
        <v>Calice de fécorce</v>
      </c>
      <c r="E74" s="3">
        <f>Ressources!D26*C74</f>
        <v>2000</v>
      </c>
      <c r="G74" s="5">
        <f>H74*G68</f>
        <v>50</v>
      </c>
      <c r="H74" s="2">
        <v>10</v>
      </c>
      <c r="I74" s="2" t="str">
        <f>Ressources!C61</f>
        <v>Boulon wabbit</v>
      </c>
      <c r="J74" s="3">
        <f>Ressources!D61*H74</f>
        <v>1200</v>
      </c>
      <c r="L74" s="5">
        <f>M74*L68</f>
        <v>50</v>
      </c>
      <c r="M74" s="2">
        <v>10</v>
      </c>
      <c r="N74" s="2" t="str">
        <f>Ressources!C63</f>
        <v>Paupière d'étoile</v>
      </c>
      <c r="O74" s="3">
        <f>Ressources!D63*M74</f>
        <v>3000</v>
      </c>
    </row>
    <row r="75" spans="2:15" x14ac:dyDescent="0.25">
      <c r="B75" s="5">
        <f>C75*B68</f>
        <v>50</v>
      </c>
      <c r="C75" s="2">
        <v>10</v>
      </c>
      <c r="D75" s="2" t="str">
        <f>Ressources!C59</f>
        <v>Plume du timansot</v>
      </c>
      <c r="E75" s="3">
        <f>Ressources!D59*C75</f>
        <v>2000</v>
      </c>
      <c r="G75" s="5">
        <f>H75*G68</f>
        <v>5</v>
      </c>
      <c r="H75" s="2">
        <v>1</v>
      </c>
      <c r="I75" s="2" t="str">
        <f>M68</f>
        <v>Fonceur Mineur</v>
      </c>
      <c r="J75" s="3">
        <f>O77</f>
        <v>70740</v>
      </c>
      <c r="L75" s="5"/>
      <c r="M75" s="2"/>
      <c r="N75" s="2"/>
      <c r="O75" s="3"/>
    </row>
    <row r="76" spans="2:15" ht="15.75" thickBot="1" x14ac:dyDescent="0.3">
      <c r="B76" s="6">
        <f>B68*C76</f>
        <v>5</v>
      </c>
      <c r="C76" s="7">
        <v>1</v>
      </c>
      <c r="D76" s="7" t="str">
        <f>H68</f>
        <v>Fonceur</v>
      </c>
      <c r="E76" s="4">
        <f>J77</f>
        <v>293840</v>
      </c>
      <c r="G76" s="6"/>
      <c r="H76" s="7"/>
      <c r="I76" s="7"/>
      <c r="J76" s="4"/>
      <c r="L76" s="6"/>
      <c r="M76" s="7"/>
      <c r="N76" s="7"/>
      <c r="O76" s="4"/>
    </row>
    <row r="77" spans="2:15" ht="15.75" thickBot="1" x14ac:dyDescent="0.3">
      <c r="E77" s="9">
        <f>SUM(E69:E76)</f>
        <v>1327840</v>
      </c>
      <c r="I77" s="1"/>
      <c r="J77" s="9">
        <f>SUM(J69:J75)</f>
        <v>293840</v>
      </c>
      <c r="N77" s="1"/>
      <c r="O77" s="9">
        <f>SUM(O69:O75)</f>
        <v>70740</v>
      </c>
    </row>
    <row r="78" spans="2:15" ht="15.75" thickBot="1" x14ac:dyDescent="0.3"/>
    <row r="79" spans="2:15" ht="15.75" thickBot="1" x14ac:dyDescent="0.3">
      <c r="B79" s="8">
        <f>Comparatifs!B33</f>
        <v>5</v>
      </c>
      <c r="C79" s="98" t="s">
        <v>115</v>
      </c>
      <c r="D79" s="98"/>
      <c r="E79" s="99"/>
      <c r="G79" s="8">
        <f>Comparatifs!B34+B87</f>
        <v>5</v>
      </c>
      <c r="H79" s="98" t="s">
        <v>114</v>
      </c>
      <c r="I79" s="98"/>
      <c r="J79" s="99"/>
      <c r="L79" s="8">
        <f>Comparatifs!B35+G86</f>
        <v>5</v>
      </c>
      <c r="M79" s="98" t="s">
        <v>116</v>
      </c>
      <c r="N79" s="98"/>
      <c r="O79" s="99"/>
    </row>
    <row r="80" spans="2:15" x14ac:dyDescent="0.25">
      <c r="B80" s="10">
        <f>C80*B79</f>
        <v>5</v>
      </c>
      <c r="C80" s="11">
        <v>1</v>
      </c>
      <c r="D80" s="11" t="str">
        <f t="shared" ref="D80:E80" si="34">D69</f>
        <v>Tourmaline</v>
      </c>
      <c r="E80" s="12">
        <f t="shared" si="34"/>
        <v>80000</v>
      </c>
      <c r="G80" s="10">
        <f>H80*G79</f>
        <v>5</v>
      </c>
      <c r="H80" s="11">
        <v>1</v>
      </c>
      <c r="I80" s="11" t="str">
        <f t="shared" ref="I80:J80" si="35">I69</f>
        <v>Pyrute</v>
      </c>
      <c r="J80" s="12">
        <f t="shared" si="35"/>
        <v>125000</v>
      </c>
      <c r="L80" s="10">
        <f>M80*L79</f>
        <v>5</v>
      </c>
      <c r="M80" s="11">
        <v>1</v>
      </c>
      <c r="N80" s="11" t="str">
        <f t="shared" ref="N80:O80" si="36">N69</f>
        <v>Rutile</v>
      </c>
      <c r="O80" s="12">
        <f t="shared" si="36"/>
        <v>42000</v>
      </c>
    </row>
    <row r="81" spans="2:15" x14ac:dyDescent="0.25">
      <c r="B81" s="5">
        <f>C81*B79</f>
        <v>5</v>
      </c>
      <c r="C81" s="2">
        <v>1</v>
      </c>
      <c r="D81" s="2" t="str">
        <f t="shared" ref="D81:E81" si="37">D70</f>
        <v>Ardonite</v>
      </c>
      <c r="E81" s="3">
        <f t="shared" si="37"/>
        <v>146000</v>
      </c>
      <c r="G81" s="5">
        <f>H81*G79</f>
        <v>10</v>
      </c>
      <c r="H81" s="2">
        <v>2</v>
      </c>
      <c r="I81" s="2" t="str">
        <f t="shared" ref="I81:J81" si="38">I70</f>
        <v>Galet rutilant</v>
      </c>
      <c r="J81" s="3">
        <f t="shared" si="38"/>
        <v>54000</v>
      </c>
      <c r="L81" s="5">
        <f>M81*L79</f>
        <v>10</v>
      </c>
      <c r="M81" s="2">
        <v>2</v>
      </c>
      <c r="N81" s="2" t="str">
        <f t="shared" ref="N81:O81" si="39">N70</f>
        <v>Galet cramoisi</v>
      </c>
      <c r="O81" s="3">
        <f t="shared" si="39"/>
        <v>6000</v>
      </c>
    </row>
    <row r="82" spans="2:15" x14ac:dyDescent="0.25">
      <c r="B82" s="5">
        <f>C82*B79</f>
        <v>10</v>
      </c>
      <c r="C82" s="2">
        <v>2</v>
      </c>
      <c r="D82" s="2" t="str">
        <f t="shared" ref="D82:E82" si="40">D71</f>
        <v>Galet brasillant</v>
      </c>
      <c r="E82" s="3">
        <f t="shared" si="40"/>
        <v>500000</v>
      </c>
      <c r="G82" s="5">
        <f>H82*G79</f>
        <v>5</v>
      </c>
      <c r="H82" s="2">
        <v>1</v>
      </c>
      <c r="I82" s="2" t="str">
        <f t="shared" ref="I82:J82" si="41">I71</f>
        <v>Substrat de bosquet</v>
      </c>
      <c r="J82" s="3">
        <f t="shared" si="41"/>
        <v>12000</v>
      </c>
      <c r="L82" s="5">
        <f>M82*L79</f>
        <v>5</v>
      </c>
      <c r="M82" s="2">
        <v>1</v>
      </c>
      <c r="N82" s="2" t="str">
        <f t="shared" ref="N82:O82" si="42">N71</f>
        <v>Substrat de bocage</v>
      </c>
      <c r="O82" s="3">
        <f t="shared" si="42"/>
        <v>6000</v>
      </c>
    </row>
    <row r="83" spans="2:15" x14ac:dyDescent="0.25">
      <c r="B83" s="5">
        <f>C83*B79</f>
        <v>5000</v>
      </c>
      <c r="C83" s="2">
        <v>1000</v>
      </c>
      <c r="D83" s="2" t="str">
        <f t="shared" ref="D83:E83" si="43">D72</f>
        <v>pépite</v>
      </c>
      <c r="E83" s="3">
        <f t="shared" si="43"/>
        <v>274000</v>
      </c>
      <c r="G83" s="5">
        <f>H83*G79</f>
        <v>500</v>
      </c>
      <c r="H83" s="2">
        <v>100</v>
      </c>
      <c r="I83" s="2" t="str">
        <f t="shared" ref="I83:J83" si="44">I72</f>
        <v>pépite</v>
      </c>
      <c r="J83" s="3">
        <f t="shared" si="44"/>
        <v>27400</v>
      </c>
      <c r="L83" s="5">
        <f>M83*L79</f>
        <v>50</v>
      </c>
      <c r="M83" s="2">
        <v>10</v>
      </c>
      <c r="N83" s="2" t="str">
        <f t="shared" ref="N83:O83" si="45">N72</f>
        <v>pépite</v>
      </c>
      <c r="O83" s="3">
        <f t="shared" si="45"/>
        <v>2740</v>
      </c>
    </row>
    <row r="84" spans="2:15" x14ac:dyDescent="0.25">
      <c r="B84" s="5">
        <f>C84*B79</f>
        <v>5</v>
      </c>
      <c r="C84" s="2">
        <v>1</v>
      </c>
      <c r="D84" s="2" t="str">
        <f t="shared" ref="D84:E84" si="46">D73</f>
        <v>Substrat de forêt</v>
      </c>
      <c r="E84" s="3">
        <f t="shared" si="46"/>
        <v>30000</v>
      </c>
      <c r="G84" s="5">
        <f>H84*G79</f>
        <v>5</v>
      </c>
      <c r="H84" s="2">
        <v>1</v>
      </c>
      <c r="I84" s="2" t="str">
        <f>Ressources!C66</f>
        <v>toile d'abrakne sombre</v>
      </c>
      <c r="J84" s="3">
        <f>Ressources!D66</f>
        <v>2000</v>
      </c>
      <c r="L84" s="5">
        <f>M84*L79</f>
        <v>50</v>
      </c>
      <c r="M84" s="2">
        <v>10</v>
      </c>
      <c r="N84" s="2" t="str">
        <f>Ressources!C68</f>
        <v>lamelle de champa marron</v>
      </c>
      <c r="O84" s="3">
        <f>Ressources!D68*M84</f>
        <v>35000</v>
      </c>
    </row>
    <row r="85" spans="2:15" x14ac:dyDescent="0.25">
      <c r="B85" s="5">
        <f>C85*B79</f>
        <v>5</v>
      </c>
      <c r="C85" s="2">
        <v>1</v>
      </c>
      <c r="D85" s="2" t="str">
        <f>Ressources!C64</f>
        <v>morpion de truchideur</v>
      </c>
      <c r="E85" s="3">
        <f>Ressources!D64</f>
        <v>17000</v>
      </c>
      <c r="G85" s="5">
        <f>H85*G79</f>
        <v>50</v>
      </c>
      <c r="H85" s="2">
        <v>10</v>
      </c>
      <c r="I85" s="2" t="str">
        <f>Ressources!C67</f>
        <v>Aile de dragoeuf volant</v>
      </c>
      <c r="J85" s="3">
        <f>Ressources!D67*H85</f>
        <v>35000</v>
      </c>
      <c r="L85" s="5">
        <f>M85*L79</f>
        <v>50</v>
      </c>
      <c r="M85" s="2">
        <v>10</v>
      </c>
      <c r="N85" s="2" t="str">
        <f>Ressources!C69</f>
        <v>dent de wabbit</v>
      </c>
      <c r="O85" s="3">
        <f>Ressources!D69*M85</f>
        <v>50</v>
      </c>
    </row>
    <row r="86" spans="2:15" x14ac:dyDescent="0.25">
      <c r="B86" s="5">
        <f>C86*B79</f>
        <v>5</v>
      </c>
      <c r="C86" s="2">
        <v>1</v>
      </c>
      <c r="D86" s="2" t="str">
        <f>Ressources!C65</f>
        <v>coquille de harpirate</v>
      </c>
      <c r="E86" s="3">
        <f>Ressources!D65</f>
        <v>2400</v>
      </c>
      <c r="G86" s="5">
        <f>H86*G79</f>
        <v>5</v>
      </c>
      <c r="H86" s="2">
        <v>1</v>
      </c>
      <c r="I86" s="2" t="str">
        <f>M79</f>
        <v>Miraculé Mineur</v>
      </c>
      <c r="J86" s="3">
        <f>O88</f>
        <v>91790</v>
      </c>
      <c r="L86" s="5"/>
      <c r="M86" s="2"/>
      <c r="N86" s="2"/>
      <c r="O86" s="3"/>
    </row>
    <row r="87" spans="2:15" ht="15.75" thickBot="1" x14ac:dyDescent="0.3">
      <c r="B87" s="6">
        <f>B79*C87</f>
        <v>5</v>
      </c>
      <c r="C87" s="7">
        <v>1</v>
      </c>
      <c r="D87" s="7" t="str">
        <f>H79</f>
        <v>Miraculé</v>
      </c>
      <c r="E87" s="4">
        <f>J88</f>
        <v>347190</v>
      </c>
      <c r="G87" s="6"/>
      <c r="H87" s="7"/>
      <c r="I87" s="7"/>
      <c r="J87" s="4"/>
      <c r="L87" s="6"/>
      <c r="M87" s="7"/>
      <c r="N87" s="7"/>
      <c r="O87" s="4"/>
    </row>
    <row r="88" spans="2:15" ht="15.75" thickBot="1" x14ac:dyDescent="0.3">
      <c r="E88" s="9">
        <f>SUM(E80:E87)</f>
        <v>1396590</v>
      </c>
      <c r="I88" s="1"/>
      <c r="J88" s="9">
        <f>SUM(J80:J86)</f>
        <v>347190</v>
      </c>
      <c r="N88" s="1"/>
      <c r="O88" s="9">
        <f>SUM(O80:O86)</f>
        <v>91790</v>
      </c>
    </row>
    <row r="89" spans="2:15" ht="15.75" thickBot="1" x14ac:dyDescent="0.3"/>
    <row r="90" spans="2:15" ht="15.75" thickBot="1" x14ac:dyDescent="0.3">
      <c r="B90" s="8">
        <f>Comparatifs!B36</f>
        <v>0</v>
      </c>
      <c r="C90" s="98" t="s">
        <v>124</v>
      </c>
      <c r="D90" s="98"/>
      <c r="E90" s="99"/>
      <c r="G90" s="8">
        <f>Comparatifs!B37+B98</f>
        <v>0</v>
      </c>
      <c r="H90" s="98" t="s">
        <v>123</v>
      </c>
      <c r="I90" s="98"/>
      <c r="J90" s="99"/>
      <c r="L90" s="8">
        <f>Comparatifs!B38+G97</f>
        <v>0</v>
      </c>
      <c r="M90" s="98" t="s">
        <v>125</v>
      </c>
      <c r="N90" s="98"/>
      <c r="O90" s="99"/>
    </row>
    <row r="91" spans="2:15" x14ac:dyDescent="0.25">
      <c r="B91" s="10">
        <f>C91*B90</f>
        <v>0</v>
      </c>
      <c r="C91" s="11">
        <v>1</v>
      </c>
      <c r="D91" s="11" t="str">
        <f t="shared" ref="D91:E91" si="47">D80</f>
        <v>Tourmaline</v>
      </c>
      <c r="E91" s="12">
        <f t="shared" si="47"/>
        <v>80000</v>
      </c>
      <c r="G91" s="10">
        <f>H91*G90</f>
        <v>0</v>
      </c>
      <c r="H91" s="11">
        <v>1</v>
      </c>
      <c r="I91" s="11" t="str">
        <f t="shared" ref="I91:J91" si="48">I80</f>
        <v>Pyrute</v>
      </c>
      <c r="J91" s="12">
        <f t="shared" si="48"/>
        <v>125000</v>
      </c>
      <c r="L91" s="10">
        <f>M91*L90</f>
        <v>0</v>
      </c>
      <c r="M91" s="11">
        <v>1</v>
      </c>
      <c r="N91" s="11" t="str">
        <f t="shared" ref="N91:O91" si="49">N80</f>
        <v>Rutile</v>
      </c>
      <c r="O91" s="12">
        <f t="shared" si="49"/>
        <v>42000</v>
      </c>
    </row>
    <row r="92" spans="2:15" x14ac:dyDescent="0.25">
      <c r="B92" s="5">
        <f>C92*B90</f>
        <v>0</v>
      </c>
      <c r="C92" s="2">
        <v>1</v>
      </c>
      <c r="D92" s="2" t="str">
        <f t="shared" ref="D92:E92" si="50">D81</f>
        <v>Ardonite</v>
      </c>
      <c r="E92" s="3">
        <f t="shared" si="50"/>
        <v>146000</v>
      </c>
      <c r="G92" s="5">
        <f>H92*G90</f>
        <v>0</v>
      </c>
      <c r="H92" s="2">
        <v>2</v>
      </c>
      <c r="I92" s="2" t="str">
        <f t="shared" ref="I92:J92" si="51">I81</f>
        <v>Galet rutilant</v>
      </c>
      <c r="J92" s="3">
        <f t="shared" si="51"/>
        <v>54000</v>
      </c>
      <c r="L92" s="5">
        <f>M92*L90</f>
        <v>0</v>
      </c>
      <c r="M92" s="2">
        <v>2</v>
      </c>
      <c r="N92" s="2" t="str">
        <f t="shared" ref="N92:O92" si="52">N81</f>
        <v>Galet cramoisi</v>
      </c>
      <c r="O92" s="3">
        <f t="shared" si="52"/>
        <v>6000</v>
      </c>
    </row>
    <row r="93" spans="2:15" x14ac:dyDescent="0.25">
      <c r="B93" s="5">
        <f>C93*B90</f>
        <v>0</v>
      </c>
      <c r="C93" s="2">
        <v>2</v>
      </c>
      <c r="D93" s="2" t="str">
        <f t="shared" ref="D93:E93" si="53">D82</f>
        <v>Galet brasillant</v>
      </c>
      <c r="E93" s="3">
        <f t="shared" si="53"/>
        <v>500000</v>
      </c>
      <c r="G93" s="5">
        <f>H93*G90</f>
        <v>0</v>
      </c>
      <c r="H93" s="2">
        <v>1</v>
      </c>
      <c r="I93" s="2" t="str">
        <f t="shared" ref="I93:J93" si="54">I82</f>
        <v>Substrat de bosquet</v>
      </c>
      <c r="J93" s="3">
        <f t="shared" si="54"/>
        <v>12000</v>
      </c>
      <c r="L93" s="5">
        <f>M93*L90</f>
        <v>0</v>
      </c>
      <c r="M93" s="2">
        <v>1</v>
      </c>
      <c r="N93" s="2" t="str">
        <f t="shared" ref="N93:O93" si="55">N82</f>
        <v>Substrat de bocage</v>
      </c>
      <c r="O93" s="3">
        <f t="shared" si="55"/>
        <v>6000</v>
      </c>
    </row>
    <row r="94" spans="2:15" x14ac:dyDescent="0.25">
      <c r="B94" s="5">
        <f>C94*B90</f>
        <v>0</v>
      </c>
      <c r="C94" s="2">
        <v>1000</v>
      </c>
      <c r="D94" s="2" t="str">
        <f t="shared" ref="D94:E94" si="56">D83</f>
        <v>pépite</v>
      </c>
      <c r="E94" s="3">
        <f t="shared" si="56"/>
        <v>274000</v>
      </c>
      <c r="G94" s="5">
        <f>H94*G90</f>
        <v>0</v>
      </c>
      <c r="H94" s="2">
        <v>100</v>
      </c>
      <c r="I94" s="2" t="str">
        <f t="shared" ref="I94:J94" si="57">I83</f>
        <v>pépite</v>
      </c>
      <c r="J94" s="3">
        <f t="shared" si="57"/>
        <v>27400</v>
      </c>
      <c r="L94" s="5">
        <f>M94*L90</f>
        <v>0</v>
      </c>
      <c r="M94" s="2">
        <v>10</v>
      </c>
      <c r="N94" s="2" t="str">
        <f t="shared" ref="N94:O94" si="58">N83</f>
        <v>pépite</v>
      </c>
      <c r="O94" s="3">
        <f t="shared" si="58"/>
        <v>2740</v>
      </c>
    </row>
    <row r="95" spans="2:15" x14ac:dyDescent="0.25">
      <c r="B95" s="5">
        <f>C95*B90</f>
        <v>0</v>
      </c>
      <c r="C95" s="2">
        <v>1</v>
      </c>
      <c r="D95" s="2" t="str">
        <f t="shared" ref="D95:E95" si="59">D84</f>
        <v>Substrat de forêt</v>
      </c>
      <c r="E95" s="3">
        <f t="shared" si="59"/>
        <v>30000</v>
      </c>
      <c r="G95" s="5">
        <f>H95*G90</f>
        <v>0</v>
      </c>
      <c r="H95" s="2">
        <v>1</v>
      </c>
      <c r="I95" s="2" t="str">
        <f>Ressources!C72</f>
        <v>arakne écrabouillée</v>
      </c>
      <c r="J95" s="3">
        <f>Ressources!D72</f>
        <v>27000</v>
      </c>
      <c r="L95" s="5">
        <f>M95*L90</f>
        <v>0</v>
      </c>
      <c r="M95" s="2">
        <v>10</v>
      </c>
      <c r="N95" s="2" t="str">
        <f>Ressources!C73</f>
        <v>lamelle de champa bleu</v>
      </c>
      <c r="O95" s="3">
        <f>Ressources!D73*M95</f>
        <v>2000</v>
      </c>
    </row>
    <row r="96" spans="2:15" x14ac:dyDescent="0.25">
      <c r="B96" s="5">
        <f>C96*B90</f>
        <v>0</v>
      </c>
      <c r="C96" s="2">
        <v>10</v>
      </c>
      <c r="D96" s="2" t="str">
        <f>Ressources!C70</f>
        <v>Plume de truchideur</v>
      </c>
      <c r="E96" s="3">
        <f>Ressources!D70*C96</f>
        <v>4000</v>
      </c>
      <c r="G96" s="5">
        <f>H96*G90</f>
        <v>0</v>
      </c>
      <c r="H96" s="2">
        <v>10</v>
      </c>
      <c r="I96" s="2" t="str">
        <f>Ressources!C16</f>
        <v>écorce d'abrakne sombre</v>
      </c>
      <c r="J96" s="3">
        <f>Ressources!D16*H96</f>
        <v>1000</v>
      </c>
      <c r="L96" s="5">
        <f>M96*L90</f>
        <v>0</v>
      </c>
      <c r="M96" s="2">
        <v>10</v>
      </c>
      <c r="N96" s="2" t="str">
        <f>Ressources!C74</f>
        <v>Moustaches de tiwabbit</v>
      </c>
      <c r="O96" s="3">
        <f>Ressources!D74*M96</f>
        <v>1500</v>
      </c>
    </row>
    <row r="97" spans="2:15" x14ac:dyDescent="0.25">
      <c r="B97" s="5">
        <f>C97*B90</f>
        <v>0</v>
      </c>
      <c r="C97" s="2">
        <v>1</v>
      </c>
      <c r="D97" s="2" t="str">
        <f>Ressources!C71</f>
        <v>coco du bitouf sombre</v>
      </c>
      <c r="E97" s="3">
        <f>Ressources!D71</f>
        <v>4000</v>
      </c>
      <c r="G97" s="5">
        <f>H97*G90</f>
        <v>0</v>
      </c>
      <c r="H97" s="2">
        <v>1</v>
      </c>
      <c r="I97" s="2" t="str">
        <f>M90</f>
        <v>Guérisseur mineur</v>
      </c>
      <c r="J97" s="3">
        <f>O99</f>
        <v>60240</v>
      </c>
      <c r="L97" s="5"/>
      <c r="M97" s="2"/>
      <c r="N97" s="2"/>
      <c r="O97" s="3"/>
    </row>
    <row r="98" spans="2:15" ht="15.75" thickBot="1" x14ac:dyDescent="0.3">
      <c r="B98" s="6">
        <f>B90*C98</f>
        <v>0</v>
      </c>
      <c r="C98" s="7">
        <v>1</v>
      </c>
      <c r="D98" s="7" t="str">
        <f>H90</f>
        <v>Guérisseur</v>
      </c>
      <c r="E98" s="4">
        <f>J99</f>
        <v>306640</v>
      </c>
      <c r="G98" s="6"/>
      <c r="H98" s="7"/>
      <c r="I98" s="7"/>
      <c r="J98" s="4"/>
      <c r="L98" s="6"/>
      <c r="M98" s="7"/>
      <c r="N98" s="7"/>
      <c r="O98" s="4"/>
    </row>
    <row r="99" spans="2:15" ht="15.75" thickBot="1" x14ac:dyDescent="0.3">
      <c r="E99" s="9">
        <f>SUM(E91:E98)</f>
        <v>1344640</v>
      </c>
      <c r="I99" s="1"/>
      <c r="J99" s="9">
        <f>SUM(J91:J97)</f>
        <v>306640</v>
      </c>
      <c r="N99" s="1"/>
      <c r="O99" s="9">
        <f>SUM(O91:O97)</f>
        <v>60240</v>
      </c>
    </row>
  </sheetData>
  <mergeCells count="27">
    <mergeCell ref="H35:J35"/>
    <mergeCell ref="M35:O35"/>
    <mergeCell ref="C46:E46"/>
    <mergeCell ref="C79:E79"/>
    <mergeCell ref="H79:J79"/>
    <mergeCell ref="M79:O79"/>
    <mergeCell ref="H46:J46"/>
    <mergeCell ref="M46:O46"/>
    <mergeCell ref="C68:E68"/>
    <mergeCell ref="H68:J68"/>
    <mergeCell ref="M68:O68"/>
    <mergeCell ref="C90:E90"/>
    <mergeCell ref="H90:J90"/>
    <mergeCell ref="M90:O90"/>
    <mergeCell ref="C2:E2"/>
    <mergeCell ref="H2:J2"/>
    <mergeCell ref="M2:O2"/>
    <mergeCell ref="C57:E57"/>
    <mergeCell ref="H57:J57"/>
    <mergeCell ref="M57:O57"/>
    <mergeCell ref="C13:E13"/>
    <mergeCell ref="H13:J13"/>
    <mergeCell ref="M13:O13"/>
    <mergeCell ref="C24:E24"/>
    <mergeCell ref="H24:J24"/>
    <mergeCell ref="M24:O24"/>
    <mergeCell ref="C35:E3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workbookViewId="0">
      <selection activeCell="F5" sqref="F5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10" ht="15.75" thickBot="1" x14ac:dyDescent="0.3"/>
    <row r="2" spans="2:10" x14ac:dyDescent="0.25">
      <c r="C2" s="24" t="s">
        <v>54</v>
      </c>
      <c r="D2" s="12">
        <v>56245740</v>
      </c>
    </row>
    <row r="3" spans="2:10" ht="15.75" thickBot="1" x14ac:dyDescent="0.3">
      <c r="C3" s="25" t="s">
        <v>55</v>
      </c>
      <c r="D3" s="4">
        <v>28362646</v>
      </c>
    </row>
    <row r="4" spans="2:10" x14ac:dyDescent="0.25">
      <c r="C4" s="26" t="s">
        <v>56</v>
      </c>
      <c r="D4" s="27">
        <f>D2-D3</f>
        <v>27883094</v>
      </c>
    </row>
    <row r="5" spans="2:10" x14ac:dyDescent="0.25">
      <c r="C5" s="28" t="s">
        <v>58</v>
      </c>
      <c r="D5" s="29">
        <f>D4-F10</f>
        <v>-1396956</v>
      </c>
    </row>
    <row r="6" spans="2:10" ht="15.75" thickBot="1" x14ac:dyDescent="0.3">
      <c r="C6" s="25" t="s">
        <v>57</v>
      </c>
      <c r="D6" s="30">
        <f>I10-D5</f>
        <v>5353223.3999999994</v>
      </c>
    </row>
    <row r="7" spans="2:10" ht="15.75" thickBot="1" x14ac:dyDescent="0.3">
      <c r="C7" s="39"/>
      <c r="D7" s="40"/>
    </row>
    <row r="8" spans="2:10" ht="15.75" thickBot="1" x14ac:dyDescent="0.3">
      <c r="B8" s="100" t="s">
        <v>68</v>
      </c>
      <c r="C8" s="101"/>
      <c r="D8" s="101"/>
      <c r="E8" s="101"/>
      <c r="F8" s="101"/>
      <c r="G8" s="101"/>
      <c r="H8" s="101"/>
      <c r="I8" s="102"/>
    </row>
    <row r="9" spans="2:10" ht="15.75" thickBot="1" x14ac:dyDescent="0.3">
      <c r="C9" s="39"/>
      <c r="D9" s="40"/>
    </row>
    <row r="10" spans="2:10" ht="15.75" thickBot="1" x14ac:dyDescent="0.3">
      <c r="F10" s="23">
        <f>SUM(F12:F663)</f>
        <v>29280050</v>
      </c>
      <c r="I10" s="23">
        <f>SUM(I12:I324)</f>
        <v>3956267.3999999994</v>
      </c>
    </row>
    <row r="11" spans="2:10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54" t="s">
        <v>33</v>
      </c>
      <c r="J11" s="44" t="s">
        <v>113</v>
      </c>
    </row>
    <row r="12" spans="2:10" x14ac:dyDescent="0.25">
      <c r="B12" s="14"/>
      <c r="C12" s="14" t="str">
        <f>Trophées!C13</f>
        <v>érudit majeur</v>
      </c>
      <c r="D12" s="10">
        <f>Trophées!E22</f>
        <v>1339940</v>
      </c>
      <c r="E12" s="11">
        <v>1329999</v>
      </c>
      <c r="F12" s="11">
        <f>B12*D12</f>
        <v>0</v>
      </c>
      <c r="G12" s="51">
        <f>E12-D12-J12</f>
        <v>-36541.979999999996</v>
      </c>
      <c r="H12" s="34">
        <f t="shared" ref="H12:H17" si="0">(E12/D12*100)-100</f>
        <v>-0.74189889099511674</v>
      </c>
      <c r="I12" s="11">
        <f>G12*B12</f>
        <v>0</v>
      </c>
      <c r="J12" s="55">
        <f>((E12/100)*2)+1</f>
        <v>26600.98</v>
      </c>
    </row>
    <row r="13" spans="2:10" x14ac:dyDescent="0.25">
      <c r="B13" s="15"/>
      <c r="C13" s="15" t="str">
        <f>Trophées!M13</f>
        <v>érudit mineur</v>
      </c>
      <c r="D13" s="5">
        <f>Trophées!O22</f>
        <v>85740</v>
      </c>
      <c r="E13" s="2">
        <v>140000</v>
      </c>
      <c r="F13" s="2">
        <f t="shared" ref="F13:F38" si="1">B13*D13</f>
        <v>0</v>
      </c>
      <c r="G13" s="52">
        <f t="shared" ref="G13:G38" si="2">E13-D13-J13</f>
        <v>51459</v>
      </c>
      <c r="H13" s="33">
        <f t="shared" si="0"/>
        <v>63.284348028924654</v>
      </c>
      <c r="I13" s="2">
        <f t="shared" ref="I13:I38" si="3">G13*B13</f>
        <v>0</v>
      </c>
      <c r="J13" s="56">
        <f t="shared" ref="J13:J38" si="4">((E13/100)*2)+1</f>
        <v>2801</v>
      </c>
    </row>
    <row r="14" spans="2:10" ht="15.75" thickBot="1" x14ac:dyDescent="0.3">
      <c r="B14" s="16"/>
      <c r="C14" s="17" t="str">
        <f>Trophées!H13</f>
        <v>érudit</v>
      </c>
      <c r="D14" s="6">
        <f>Trophées!J22</f>
        <v>309140</v>
      </c>
      <c r="E14" s="7">
        <v>299797</v>
      </c>
      <c r="F14" s="7">
        <f t="shared" si="1"/>
        <v>0</v>
      </c>
      <c r="G14" s="53">
        <f t="shared" si="2"/>
        <v>-15339.939999999999</v>
      </c>
      <c r="H14" s="35">
        <f t="shared" si="0"/>
        <v>-3.0222552888658782</v>
      </c>
      <c r="I14" s="7">
        <f t="shared" si="3"/>
        <v>0</v>
      </c>
      <c r="J14" s="57">
        <f t="shared" si="4"/>
        <v>5996.94</v>
      </c>
    </row>
    <row r="15" spans="2:10" x14ac:dyDescent="0.25">
      <c r="B15" s="14">
        <v>5</v>
      </c>
      <c r="C15" s="14" t="str">
        <f>Trophées!C24</f>
        <v>Vigoureux majeur</v>
      </c>
      <c r="D15" s="10">
        <f>Trophées!E33</f>
        <v>1797440</v>
      </c>
      <c r="E15" s="11">
        <v>1976998</v>
      </c>
      <c r="F15" s="11">
        <f t="shared" si="1"/>
        <v>8987200</v>
      </c>
      <c r="G15" s="51">
        <f t="shared" si="2"/>
        <v>140017.04</v>
      </c>
      <c r="H15" s="34">
        <f t="shared" si="0"/>
        <v>9.9896519494391924</v>
      </c>
      <c r="I15" s="11">
        <f t="shared" si="3"/>
        <v>700085.20000000007</v>
      </c>
      <c r="J15" s="55">
        <f t="shared" si="4"/>
        <v>39540.959999999999</v>
      </c>
    </row>
    <row r="16" spans="2:10" x14ac:dyDescent="0.25">
      <c r="B16" s="15"/>
      <c r="C16" s="15" t="str">
        <f>Trophées!H24</f>
        <v>Vigoureux</v>
      </c>
      <c r="D16" s="5">
        <f>Trophées!J33</f>
        <v>690840</v>
      </c>
      <c r="E16" s="2">
        <v>687999</v>
      </c>
      <c r="F16" s="2">
        <f t="shared" si="1"/>
        <v>0</v>
      </c>
      <c r="G16" s="52">
        <f t="shared" si="2"/>
        <v>-16601.98</v>
      </c>
      <c r="H16" s="33">
        <f t="shared" si="0"/>
        <v>-0.41123849227028586</v>
      </c>
      <c r="I16" s="2">
        <f t="shared" si="3"/>
        <v>0</v>
      </c>
      <c r="J16" s="56">
        <f t="shared" si="4"/>
        <v>13760.98</v>
      </c>
    </row>
    <row r="17" spans="2:10" ht="15.75" thickBot="1" x14ac:dyDescent="0.3">
      <c r="B17" s="16"/>
      <c r="C17" s="17" t="str">
        <f>Trophées!M24</f>
        <v>Vigoureux Mineur</v>
      </c>
      <c r="D17" s="6">
        <f>Trophées!O33</f>
        <v>407440</v>
      </c>
      <c r="E17" s="7">
        <v>443456</v>
      </c>
      <c r="F17" s="7">
        <f t="shared" si="1"/>
        <v>0</v>
      </c>
      <c r="G17" s="53">
        <f t="shared" si="2"/>
        <v>27145.879999999997</v>
      </c>
      <c r="H17" s="35">
        <f t="shared" si="0"/>
        <v>8.8395837423915111</v>
      </c>
      <c r="I17" s="7">
        <f t="shared" si="3"/>
        <v>0</v>
      </c>
      <c r="J17" s="57">
        <f t="shared" si="4"/>
        <v>8870.1200000000008</v>
      </c>
    </row>
    <row r="18" spans="2:10" x14ac:dyDescent="0.25">
      <c r="B18" s="14"/>
      <c r="C18" s="58" t="str">
        <f>Trophées!C35</f>
        <v>Chanceux Majeur</v>
      </c>
      <c r="D18" s="59">
        <f>Trophées!E44</f>
        <v>1334740</v>
      </c>
      <c r="E18" s="18">
        <v>1399986</v>
      </c>
      <c r="F18" s="18">
        <f t="shared" si="1"/>
        <v>0</v>
      </c>
      <c r="G18" s="60">
        <f t="shared" si="2"/>
        <v>37245.279999999999</v>
      </c>
      <c r="H18" s="61">
        <f>(E18/D18*100)-100</f>
        <v>4.8882928510421522</v>
      </c>
      <c r="I18" s="18">
        <f t="shared" si="3"/>
        <v>0</v>
      </c>
      <c r="J18" s="62">
        <f t="shared" si="4"/>
        <v>28000.720000000001</v>
      </c>
    </row>
    <row r="19" spans="2:10" x14ac:dyDescent="0.25">
      <c r="B19" s="15"/>
      <c r="C19" s="15" t="str">
        <f>Trophées!H35</f>
        <v>Chanceux</v>
      </c>
      <c r="D19" s="5">
        <f>Trophées!J44</f>
        <v>300540</v>
      </c>
      <c r="E19" s="2">
        <v>199991</v>
      </c>
      <c r="F19" s="2">
        <f t="shared" si="1"/>
        <v>0</v>
      </c>
      <c r="G19" s="52">
        <f t="shared" si="2"/>
        <v>-104549.82</v>
      </c>
      <c r="H19" s="33">
        <f t="shared" ref="H19:H38" si="5">(E19/D19*100)-100</f>
        <v>-33.456112331137291</v>
      </c>
      <c r="I19" s="2">
        <f t="shared" si="3"/>
        <v>0</v>
      </c>
      <c r="J19" s="56">
        <f t="shared" si="4"/>
        <v>4000.82</v>
      </c>
    </row>
    <row r="20" spans="2:10" ht="15.75" thickBot="1" x14ac:dyDescent="0.3">
      <c r="B20" s="16"/>
      <c r="C20" s="16" t="str">
        <f>Trophées!M35</f>
        <v>Chanceux Mineur</v>
      </c>
      <c r="D20" s="31">
        <f>Trophées!O44</f>
        <v>76140</v>
      </c>
      <c r="E20" s="32">
        <v>89997</v>
      </c>
      <c r="F20" s="32">
        <f t="shared" si="1"/>
        <v>0</v>
      </c>
      <c r="G20" s="63">
        <f t="shared" si="2"/>
        <v>12056.06</v>
      </c>
      <c r="H20" s="45">
        <f t="shared" si="5"/>
        <v>18.199369582348311</v>
      </c>
      <c r="I20" s="32">
        <f t="shared" si="3"/>
        <v>0</v>
      </c>
      <c r="J20" s="64">
        <f t="shared" si="4"/>
        <v>1800.94</v>
      </c>
    </row>
    <row r="21" spans="2:10" x14ac:dyDescent="0.25">
      <c r="B21" s="14"/>
      <c r="C21" s="14" t="str">
        <f>Trophées!C46</f>
        <v>Cascadeur Majeur</v>
      </c>
      <c r="D21" s="10">
        <f>Trophées!E55</f>
        <v>1395240</v>
      </c>
      <c r="E21" s="11">
        <v>1500000</v>
      </c>
      <c r="F21" s="11">
        <f t="shared" si="1"/>
        <v>0</v>
      </c>
      <c r="G21" s="51">
        <f t="shared" si="2"/>
        <v>74759</v>
      </c>
      <c r="H21" s="34">
        <f t="shared" si="5"/>
        <v>7.5083856540810245</v>
      </c>
      <c r="I21" s="11">
        <f t="shared" si="3"/>
        <v>0</v>
      </c>
      <c r="J21" s="55">
        <f t="shared" si="4"/>
        <v>30001</v>
      </c>
    </row>
    <row r="22" spans="2:10" x14ac:dyDescent="0.25">
      <c r="B22" s="15"/>
      <c r="C22" s="15" t="str">
        <f>Trophées!H46</f>
        <v>Cascadeur</v>
      </c>
      <c r="D22" s="5">
        <f>Trophées!J55</f>
        <v>359240</v>
      </c>
      <c r="E22" s="2">
        <v>354997</v>
      </c>
      <c r="F22" s="2">
        <f t="shared" si="1"/>
        <v>0</v>
      </c>
      <c r="G22" s="52">
        <f t="shared" si="2"/>
        <v>-11343.939999999999</v>
      </c>
      <c r="H22" s="33">
        <f t="shared" si="5"/>
        <v>-1.1811045540585638</v>
      </c>
      <c r="I22" s="2">
        <f t="shared" si="3"/>
        <v>0</v>
      </c>
      <c r="J22" s="56">
        <f t="shared" si="4"/>
        <v>7100.94</v>
      </c>
    </row>
    <row r="23" spans="2:10" ht="15.75" thickBot="1" x14ac:dyDescent="0.3">
      <c r="B23" s="16"/>
      <c r="C23" s="17" t="str">
        <f>Trophées!M46</f>
        <v>Cascadeur Mineur</v>
      </c>
      <c r="D23" s="6">
        <f>Trophées!O55</f>
        <v>62840</v>
      </c>
      <c r="E23" s="7">
        <v>55000</v>
      </c>
      <c r="F23" s="7">
        <f t="shared" si="1"/>
        <v>0</v>
      </c>
      <c r="G23" s="53">
        <f t="shared" si="2"/>
        <v>-8941</v>
      </c>
      <c r="H23" s="35">
        <f t="shared" si="5"/>
        <v>-12.476129853596447</v>
      </c>
      <c r="I23" s="7">
        <f t="shared" si="3"/>
        <v>0</v>
      </c>
      <c r="J23" s="57">
        <f t="shared" si="4"/>
        <v>1101</v>
      </c>
    </row>
    <row r="24" spans="2:10" x14ac:dyDescent="0.25">
      <c r="B24" s="14">
        <v>5</v>
      </c>
      <c r="C24" s="58" t="str">
        <f>Trophées!C57</f>
        <v>Enragé majeur</v>
      </c>
      <c r="D24" s="59">
        <f>Trophées!E66</f>
        <v>1334140</v>
      </c>
      <c r="E24" s="32">
        <v>1469999</v>
      </c>
      <c r="F24" s="18">
        <f t="shared" si="1"/>
        <v>6670700</v>
      </c>
      <c r="G24" s="60">
        <f t="shared" si="2"/>
        <v>106458.02</v>
      </c>
      <c r="H24" s="61">
        <f t="shared" si="5"/>
        <v>10.183264125204246</v>
      </c>
      <c r="I24" s="18">
        <f t="shared" si="3"/>
        <v>532290.1</v>
      </c>
      <c r="J24" s="62">
        <f t="shared" si="4"/>
        <v>29400.98</v>
      </c>
    </row>
    <row r="25" spans="2:10" x14ac:dyDescent="0.25">
      <c r="B25" s="15"/>
      <c r="C25" s="15" t="str">
        <f>Trophées!H57</f>
        <v>Enragé</v>
      </c>
      <c r="D25" s="5">
        <f>Trophées!J66</f>
        <v>292140</v>
      </c>
      <c r="E25" s="2">
        <v>316899</v>
      </c>
      <c r="F25" s="2">
        <f t="shared" si="1"/>
        <v>0</v>
      </c>
      <c r="G25" s="52">
        <f t="shared" si="2"/>
        <v>18420.02</v>
      </c>
      <c r="H25" s="33">
        <f t="shared" si="5"/>
        <v>8.4750462107208762</v>
      </c>
      <c r="I25" s="2">
        <f t="shared" si="3"/>
        <v>0</v>
      </c>
      <c r="J25" s="56">
        <f t="shared" si="4"/>
        <v>6338.98</v>
      </c>
    </row>
    <row r="26" spans="2:10" ht="15.75" thickBot="1" x14ac:dyDescent="0.3">
      <c r="B26" s="16"/>
      <c r="C26" s="16" t="str">
        <f>Trophées!M57</f>
        <v>Enragé mineur</v>
      </c>
      <c r="D26" s="31">
        <f>Trophées!O66</f>
        <v>65240</v>
      </c>
      <c r="E26" s="32">
        <v>113435</v>
      </c>
      <c r="F26" s="32">
        <f t="shared" si="1"/>
        <v>0</v>
      </c>
      <c r="G26" s="63">
        <f t="shared" si="2"/>
        <v>45925.3</v>
      </c>
      <c r="H26" s="45">
        <f t="shared" si="5"/>
        <v>73.873390557939899</v>
      </c>
      <c r="I26" s="32">
        <f t="shared" si="3"/>
        <v>0</v>
      </c>
      <c r="J26" s="64">
        <f t="shared" si="4"/>
        <v>2269.6999999999998</v>
      </c>
    </row>
    <row r="27" spans="2:10" x14ac:dyDescent="0.25">
      <c r="B27" s="14"/>
      <c r="C27" s="14" t="str">
        <f>Trophées!C2</f>
        <v>Porteur Majeur</v>
      </c>
      <c r="D27" s="10">
        <f>Trophées!E11</f>
        <v>933900</v>
      </c>
      <c r="E27" s="11">
        <v>1229999</v>
      </c>
      <c r="F27" s="11">
        <f t="shared" si="1"/>
        <v>0</v>
      </c>
      <c r="G27" s="51">
        <f t="shared" si="2"/>
        <v>271498.02</v>
      </c>
      <c r="H27" s="34">
        <f t="shared" si="5"/>
        <v>31.705643002462779</v>
      </c>
      <c r="I27" s="11">
        <f t="shared" si="3"/>
        <v>0</v>
      </c>
      <c r="J27" s="55">
        <f t="shared" si="4"/>
        <v>24600.98</v>
      </c>
    </row>
    <row r="28" spans="2:10" x14ac:dyDescent="0.25">
      <c r="B28" s="15"/>
      <c r="C28" s="15" t="str">
        <f>Trophées!H2</f>
        <v>Porteur</v>
      </c>
      <c r="D28" s="5">
        <f>Trophées!J11</f>
        <v>253200</v>
      </c>
      <c r="E28" s="2">
        <v>279999</v>
      </c>
      <c r="F28" s="2">
        <f t="shared" si="1"/>
        <v>0</v>
      </c>
      <c r="G28" s="52">
        <f t="shared" si="2"/>
        <v>21198.02</v>
      </c>
      <c r="H28" s="33">
        <f t="shared" si="5"/>
        <v>10.584123222748815</v>
      </c>
      <c r="I28" s="2">
        <f t="shared" si="3"/>
        <v>0</v>
      </c>
      <c r="J28" s="56">
        <f t="shared" si="4"/>
        <v>5600.98</v>
      </c>
    </row>
    <row r="29" spans="2:10" ht="15.75" thickBot="1" x14ac:dyDescent="0.3">
      <c r="B29" s="16"/>
      <c r="C29" s="17" t="str">
        <f>Trophées!M2</f>
        <v>Porteur Mineur</v>
      </c>
      <c r="D29" s="6">
        <f>Trophées!O11</f>
        <v>60200</v>
      </c>
      <c r="E29" s="7">
        <v>59000</v>
      </c>
      <c r="F29" s="7">
        <f t="shared" si="1"/>
        <v>0</v>
      </c>
      <c r="G29" s="53">
        <f t="shared" si="2"/>
        <v>-2381</v>
      </c>
      <c r="H29" s="35">
        <f t="shared" si="5"/>
        <v>-1.9933554817275763</v>
      </c>
      <c r="I29" s="7">
        <f t="shared" si="3"/>
        <v>0</v>
      </c>
      <c r="J29" s="57">
        <f t="shared" si="4"/>
        <v>1181</v>
      </c>
    </row>
    <row r="30" spans="2:10" x14ac:dyDescent="0.25">
      <c r="B30" s="14">
        <v>5</v>
      </c>
      <c r="C30" s="58" t="str">
        <f>Trophées!C68</f>
        <v>Fonceur majeur</v>
      </c>
      <c r="D30" s="59">
        <f>Trophées!E77</f>
        <v>1327840</v>
      </c>
      <c r="E30" s="18">
        <v>1638940</v>
      </c>
      <c r="F30" s="18">
        <f t="shared" si="1"/>
        <v>6639200</v>
      </c>
      <c r="G30" s="60">
        <f t="shared" si="2"/>
        <v>278320.2</v>
      </c>
      <c r="H30" s="61">
        <f t="shared" si="5"/>
        <v>23.429027593685987</v>
      </c>
      <c r="I30" s="18">
        <f t="shared" si="3"/>
        <v>1391601</v>
      </c>
      <c r="J30" s="62">
        <f t="shared" si="4"/>
        <v>32779.800000000003</v>
      </c>
    </row>
    <row r="31" spans="2:10" x14ac:dyDescent="0.25">
      <c r="B31" s="15"/>
      <c r="C31" s="15" t="str">
        <f>Trophées!H68</f>
        <v>Fonceur</v>
      </c>
      <c r="D31" s="5">
        <f>Trophées!J77</f>
        <v>293840</v>
      </c>
      <c r="E31" s="2">
        <v>365500</v>
      </c>
      <c r="F31" s="2">
        <f t="shared" si="1"/>
        <v>0</v>
      </c>
      <c r="G31" s="52">
        <f t="shared" si="2"/>
        <v>64349</v>
      </c>
      <c r="H31" s="33">
        <f t="shared" si="5"/>
        <v>24.387421726109437</v>
      </c>
      <c r="I31" s="2">
        <f t="shared" si="3"/>
        <v>0</v>
      </c>
      <c r="J31" s="56">
        <f t="shared" si="4"/>
        <v>7311</v>
      </c>
    </row>
    <row r="32" spans="2:10" ht="15.75" thickBot="1" x14ac:dyDescent="0.3">
      <c r="B32" s="16"/>
      <c r="C32" s="16" t="str">
        <f>Trophées!M68</f>
        <v>Fonceur Mineur</v>
      </c>
      <c r="D32" s="31">
        <f>Trophées!O77</f>
        <v>70740</v>
      </c>
      <c r="E32" s="32">
        <v>104989</v>
      </c>
      <c r="F32" s="32">
        <f t="shared" si="1"/>
        <v>0</v>
      </c>
      <c r="G32" s="63">
        <f t="shared" si="2"/>
        <v>32148.22</v>
      </c>
      <c r="H32" s="45">
        <f t="shared" si="5"/>
        <v>48.415323720667232</v>
      </c>
      <c r="I32" s="32">
        <f t="shared" si="3"/>
        <v>0</v>
      </c>
      <c r="J32" s="64">
        <f t="shared" si="4"/>
        <v>2100.7800000000002</v>
      </c>
    </row>
    <row r="33" spans="2:10" x14ac:dyDescent="0.25">
      <c r="B33" s="14">
        <v>5</v>
      </c>
      <c r="C33" s="20" t="str">
        <f>Trophées!C79</f>
        <v>Miraculé Majeur</v>
      </c>
      <c r="D33" s="36">
        <f>Trophées!E88</f>
        <v>1396590</v>
      </c>
      <c r="E33" s="11">
        <v>1696989</v>
      </c>
      <c r="F33" s="11">
        <f t="shared" si="1"/>
        <v>6982950</v>
      </c>
      <c r="G33" s="51">
        <f t="shared" si="2"/>
        <v>266458.21999999997</v>
      </c>
      <c r="H33" s="34">
        <f t="shared" si="5"/>
        <v>21.509462333254575</v>
      </c>
      <c r="I33" s="11">
        <f t="shared" si="3"/>
        <v>1332291.0999999999</v>
      </c>
      <c r="J33" s="55">
        <f t="shared" si="4"/>
        <v>33940.78</v>
      </c>
    </row>
    <row r="34" spans="2:10" x14ac:dyDescent="0.25">
      <c r="B34" s="15"/>
      <c r="C34" s="21" t="str">
        <f>Trophées!H79</f>
        <v>Miraculé</v>
      </c>
      <c r="D34" s="37">
        <f>Trophées!J88</f>
        <v>347190</v>
      </c>
      <c r="E34" s="2">
        <v>367800</v>
      </c>
      <c r="F34" s="2">
        <f t="shared" si="1"/>
        <v>0</v>
      </c>
      <c r="G34" s="52">
        <f t="shared" si="2"/>
        <v>13253</v>
      </c>
      <c r="H34" s="33">
        <f t="shared" si="5"/>
        <v>5.9362308822258854</v>
      </c>
      <c r="I34" s="2">
        <f t="shared" si="3"/>
        <v>0</v>
      </c>
      <c r="J34" s="56">
        <f t="shared" si="4"/>
        <v>7357</v>
      </c>
    </row>
    <row r="35" spans="2:10" ht="15.75" thickBot="1" x14ac:dyDescent="0.3">
      <c r="B35" s="16"/>
      <c r="C35" s="66" t="str">
        <f>Trophées!M79</f>
        <v>Miraculé Mineur</v>
      </c>
      <c r="D35" s="67">
        <f>Trophées!O88</f>
        <v>91790</v>
      </c>
      <c r="E35" s="32">
        <v>84998</v>
      </c>
      <c r="F35" s="32">
        <f t="shared" si="1"/>
        <v>0</v>
      </c>
      <c r="G35" s="63">
        <f t="shared" si="2"/>
        <v>-8492.9599999999991</v>
      </c>
      <c r="H35" s="45">
        <f t="shared" si="5"/>
        <v>-7.3994988560845343</v>
      </c>
      <c r="I35" s="32">
        <f t="shared" si="3"/>
        <v>0</v>
      </c>
      <c r="J35" s="64">
        <f t="shared" si="4"/>
        <v>1700.96</v>
      </c>
    </row>
    <row r="36" spans="2:10" x14ac:dyDescent="0.25">
      <c r="B36" s="14"/>
      <c r="C36" s="20" t="str">
        <f>Trophées!C90</f>
        <v>Guérisseur Majeur</v>
      </c>
      <c r="D36" s="36">
        <f>Trophées!E99</f>
        <v>1344640</v>
      </c>
      <c r="E36" s="11">
        <v>1022989</v>
      </c>
      <c r="F36" s="11">
        <f t="shared" si="1"/>
        <v>0</v>
      </c>
      <c r="G36" s="51">
        <f t="shared" si="2"/>
        <v>-342111.78</v>
      </c>
      <c r="H36" s="34">
        <f t="shared" si="5"/>
        <v>-23.920975130890056</v>
      </c>
      <c r="I36" s="11">
        <f t="shared" si="3"/>
        <v>0</v>
      </c>
      <c r="J36" s="55">
        <f t="shared" si="4"/>
        <v>20460.78</v>
      </c>
    </row>
    <row r="37" spans="2:10" x14ac:dyDescent="0.25">
      <c r="B37" s="15"/>
      <c r="C37" s="21" t="str">
        <f>Trophées!H90</f>
        <v>Guérisseur</v>
      </c>
      <c r="D37" s="37">
        <f>Trophées!J99</f>
        <v>306640</v>
      </c>
      <c r="E37" s="2">
        <v>348986</v>
      </c>
      <c r="F37" s="2">
        <f t="shared" si="1"/>
        <v>0</v>
      </c>
      <c r="G37" s="52">
        <f t="shared" si="2"/>
        <v>35365.279999999999</v>
      </c>
      <c r="H37" s="33">
        <f t="shared" si="5"/>
        <v>13.809679102530652</v>
      </c>
      <c r="I37" s="2">
        <f t="shared" si="3"/>
        <v>0</v>
      </c>
      <c r="J37" s="56">
        <f t="shared" si="4"/>
        <v>6980.72</v>
      </c>
    </row>
    <row r="38" spans="2:10" ht="15.75" thickBot="1" x14ac:dyDescent="0.3">
      <c r="B38" s="17"/>
      <c r="C38" s="22" t="str">
        <f>Trophées!M90</f>
        <v>Guérisseur mineur</v>
      </c>
      <c r="D38" s="38">
        <f>Trophées!O99</f>
        <v>60240</v>
      </c>
      <c r="E38" s="7">
        <v>96399</v>
      </c>
      <c r="F38" s="7">
        <f t="shared" si="1"/>
        <v>0</v>
      </c>
      <c r="G38" s="53">
        <f t="shared" si="2"/>
        <v>34230.019999999997</v>
      </c>
      <c r="H38" s="35">
        <f t="shared" si="5"/>
        <v>60.024900398406373</v>
      </c>
      <c r="I38" s="7">
        <f t="shared" si="3"/>
        <v>0</v>
      </c>
      <c r="J38" s="57">
        <f t="shared" si="4"/>
        <v>1928.98</v>
      </c>
    </row>
  </sheetData>
  <mergeCells count="1">
    <mergeCell ref="B8:I8"/>
  </mergeCells>
  <conditionalFormatting sqref="G10 G12:G1048576">
    <cfRule type="cellIs" dxfId="26" priority="5" operator="lessThan">
      <formula>0</formula>
    </cfRule>
  </conditionalFormatting>
  <conditionalFormatting sqref="H10 H12:H1048576">
    <cfRule type="cellIs" dxfId="25" priority="4" operator="greaterThan">
      <formula>40</formula>
    </cfRule>
  </conditionalFormatting>
  <conditionalFormatting sqref="G10 G12:G1048576">
    <cfRule type="cellIs" dxfId="24" priority="3" operator="greaterThan">
      <formula>500000</formula>
    </cfRule>
  </conditionalFormatting>
  <conditionalFormatting sqref="G1:G7 G9:G1048576">
    <cfRule type="cellIs" dxfId="23" priority="2" operator="between">
      <formula>300000</formula>
      <formula>499999</formula>
    </cfRule>
  </conditionalFormatting>
  <conditionalFormatting sqref="H1:H7 H9:H1048576">
    <cfRule type="cellIs" dxfId="22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workbookViewId="0">
      <selection activeCell="D34" sqref="D34"/>
    </sheetView>
  </sheetViews>
  <sheetFormatPr baseColWidth="10" defaultRowHeight="15" x14ac:dyDescent="0.25"/>
  <cols>
    <col min="1" max="1" width="11.42578125" style="1"/>
    <col min="2" max="2" width="7" style="1" customWidth="1"/>
    <col min="3" max="3" width="30.5703125" style="1" customWidth="1"/>
    <col min="4" max="16384" width="11.42578125" style="1"/>
  </cols>
  <sheetData>
    <row r="2" spans="2:4" x14ac:dyDescent="0.25">
      <c r="B2" s="2">
        <f>Idoles!B5+Idoles!G4</f>
        <v>2000</v>
      </c>
      <c r="C2" s="2" t="s">
        <v>3</v>
      </c>
      <c r="D2" s="41">
        <f>Ressources!D2</f>
        <v>274</v>
      </c>
    </row>
    <row r="3" spans="2:4" x14ac:dyDescent="0.25">
      <c r="B3" s="2">
        <f>Idoles!B6</f>
        <v>4</v>
      </c>
      <c r="C3" s="2" t="s">
        <v>72</v>
      </c>
      <c r="D3" s="2">
        <v>2999</v>
      </c>
    </row>
    <row r="4" spans="2:4" x14ac:dyDescent="0.25">
      <c r="B4" s="2">
        <f>Idoles!G5</f>
        <v>0</v>
      </c>
      <c r="C4" s="2" t="s">
        <v>19</v>
      </c>
      <c r="D4" s="41">
        <f>Ressources!D6</f>
        <v>125000</v>
      </c>
    </row>
    <row r="5" spans="2:4" x14ac:dyDescent="0.25">
      <c r="B5" s="2">
        <f>Idoles!G6</f>
        <v>0</v>
      </c>
      <c r="C5" s="2" t="s">
        <v>4</v>
      </c>
      <c r="D5" s="41">
        <f>Ressources!D3</f>
        <v>80000</v>
      </c>
    </row>
    <row r="6" spans="2:4" x14ac:dyDescent="0.25">
      <c r="B6" s="2"/>
      <c r="C6" s="2"/>
      <c r="D6" s="2"/>
    </row>
    <row r="7" spans="2:4" x14ac:dyDescent="0.25">
      <c r="B7" s="2">
        <f>Idoles!B3+Idoles!G3</f>
        <v>2</v>
      </c>
      <c r="C7" s="2" t="s">
        <v>2</v>
      </c>
      <c r="D7" s="41">
        <f>Ressources!D18</f>
        <v>250000</v>
      </c>
    </row>
    <row r="8" spans="2:4" x14ac:dyDescent="0.25">
      <c r="B8" s="2"/>
      <c r="C8" s="2"/>
      <c r="D8" s="2"/>
    </row>
    <row r="9" spans="2:4" x14ac:dyDescent="0.25">
      <c r="B9" s="2">
        <f>Idoles!B7</f>
        <v>1</v>
      </c>
      <c r="C9" s="2" t="s">
        <v>73</v>
      </c>
      <c r="D9" s="2">
        <v>2297</v>
      </c>
    </row>
    <row r="10" spans="2:4" x14ac:dyDescent="0.25">
      <c r="B10" s="2"/>
      <c r="C10" s="2"/>
      <c r="D10" s="2"/>
    </row>
    <row r="11" spans="2:4" x14ac:dyDescent="0.25">
      <c r="B11" s="2">
        <f>Idoles!B4</f>
        <v>2</v>
      </c>
      <c r="C11" s="2" t="s">
        <v>71</v>
      </c>
      <c r="D11" s="2">
        <v>38000</v>
      </c>
    </row>
    <row r="12" spans="2:4" x14ac:dyDescent="0.25">
      <c r="B12" s="2">
        <f>Idoles!G7</f>
        <v>0</v>
      </c>
      <c r="C12" s="2"/>
      <c r="D12" s="2"/>
    </row>
    <row r="13" spans="2:4" x14ac:dyDescent="0.25">
      <c r="B13" s="2"/>
      <c r="C13" s="2"/>
      <c r="D13" s="2"/>
    </row>
    <row r="14" spans="2:4" x14ac:dyDescent="0.25">
      <c r="B14" s="2">
        <f>Idoles!B8</f>
        <v>1</v>
      </c>
      <c r="C14" s="2" t="s">
        <v>74</v>
      </c>
      <c r="D14" s="2">
        <v>1538</v>
      </c>
    </row>
    <row r="15" spans="2:4" x14ac:dyDescent="0.25">
      <c r="B15" s="2">
        <f>Idoles!B9</f>
        <v>10</v>
      </c>
      <c r="C15" s="2" t="s">
        <v>75</v>
      </c>
      <c r="D15" s="2">
        <v>200</v>
      </c>
    </row>
    <row r="16" spans="2:4" x14ac:dyDescent="0.25">
      <c r="B16" s="2">
        <f>Idoles!G8</f>
        <v>0</v>
      </c>
      <c r="C16" s="2"/>
      <c r="D16" s="2"/>
    </row>
    <row r="17" spans="2:4" x14ac:dyDescent="0.25">
      <c r="B17" s="2">
        <f>Idoles!G9</f>
        <v>0</v>
      </c>
      <c r="C17" s="2"/>
      <c r="D17" s="2"/>
    </row>
    <row r="18" spans="2:4" x14ac:dyDescent="0.25">
      <c r="B18" s="2">
        <f>Idoles!G10</f>
        <v>0</v>
      </c>
      <c r="C18" s="2"/>
      <c r="D18" s="2"/>
    </row>
  </sheetData>
  <conditionalFormatting sqref="B1:B1048576">
    <cfRule type="cellIs" dxfId="2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"/>
  <sheetViews>
    <sheetView workbookViewId="0">
      <selection activeCell="B2" sqref="B2:E11"/>
    </sheetView>
  </sheetViews>
  <sheetFormatPr baseColWidth="10" defaultRowHeight="15" x14ac:dyDescent="0.25"/>
  <cols>
    <col min="2" max="2" width="5.42578125" style="1" customWidth="1"/>
    <col min="3" max="3" width="6.140625" style="1" customWidth="1"/>
    <col min="4" max="4" width="30.7109375" customWidth="1"/>
    <col min="7" max="7" width="5.42578125" style="1" customWidth="1"/>
    <col min="8" max="8" width="6.140625" style="1" customWidth="1"/>
    <col min="9" max="9" width="30.7109375" customWidth="1"/>
    <col min="12" max="12" width="5.42578125" style="1" customWidth="1"/>
    <col min="13" max="13" width="6.140625" style="1" customWidth="1"/>
    <col min="14" max="14" width="30.7109375" customWidth="1"/>
  </cols>
  <sheetData>
    <row r="1" spans="2:15" ht="15.75" thickBot="1" x14ac:dyDescent="0.3"/>
    <row r="2" spans="2:15" ht="15.75" thickBot="1" x14ac:dyDescent="0.3">
      <c r="B2" s="8">
        <f>'Comparatifs Idoles'!B12</f>
        <v>1</v>
      </c>
      <c r="C2" s="98" t="s">
        <v>70</v>
      </c>
      <c r="D2" s="98"/>
      <c r="E2" s="99"/>
      <c r="G2" s="8">
        <f>'Comparatifs Idoles'!B13</f>
        <v>0</v>
      </c>
      <c r="H2" s="98"/>
      <c r="I2" s="98"/>
      <c r="J2" s="99"/>
      <c r="L2" s="8">
        <f>Comparatifs!B13+G9</f>
        <v>0</v>
      </c>
      <c r="M2" s="98"/>
      <c r="N2" s="98"/>
      <c r="O2" s="99"/>
    </row>
    <row r="3" spans="2:15" x14ac:dyDescent="0.25">
      <c r="B3" s="10">
        <f>C3*B2</f>
        <v>2</v>
      </c>
      <c r="C3" s="11">
        <v>2</v>
      </c>
      <c r="D3" s="11" t="str">
        <f>'Ressources Idoles'!C7</f>
        <v>Galet brasillant</v>
      </c>
      <c r="E3" s="12">
        <f>C3*'Ressources Idoles'!D7</f>
        <v>500000</v>
      </c>
      <c r="G3" s="10">
        <f>H3*G2</f>
        <v>0</v>
      </c>
      <c r="H3" s="11"/>
      <c r="I3" s="11"/>
      <c r="J3" s="12"/>
      <c r="L3" s="10">
        <f>M3*L2</f>
        <v>0</v>
      </c>
      <c r="M3" s="11"/>
      <c r="N3" s="11"/>
      <c r="O3" s="12"/>
    </row>
    <row r="4" spans="2:15" x14ac:dyDescent="0.25">
      <c r="B4" s="5">
        <f>C4*B2</f>
        <v>2</v>
      </c>
      <c r="C4" s="2">
        <v>2</v>
      </c>
      <c r="D4" s="2" t="str">
        <f>'Ressources Idoles'!C11</f>
        <v>Essence de chêne mou</v>
      </c>
      <c r="E4" s="3">
        <f>C4*'Ressources Idoles'!D11</f>
        <v>76000</v>
      </c>
      <c r="G4" s="5">
        <f>H4*G2</f>
        <v>0</v>
      </c>
      <c r="H4" s="2"/>
      <c r="I4" s="2"/>
      <c r="J4" s="3"/>
      <c r="L4" s="5">
        <f>M4*L2</f>
        <v>0</v>
      </c>
      <c r="M4" s="2"/>
      <c r="N4" s="2"/>
      <c r="O4" s="3"/>
    </row>
    <row r="5" spans="2:15" x14ac:dyDescent="0.25">
      <c r="B5" s="5">
        <f>C5*B2</f>
        <v>2000</v>
      </c>
      <c r="C5" s="2">
        <v>2000</v>
      </c>
      <c r="D5" s="2" t="str">
        <f>'Ressources Idoles'!C2</f>
        <v>pépite</v>
      </c>
      <c r="E5" s="3">
        <f>C5*'Ressources Idoles'!D2</f>
        <v>548000</v>
      </c>
      <c r="G5" s="5">
        <f>H5*G2</f>
        <v>0</v>
      </c>
      <c r="H5" s="2"/>
      <c r="I5" s="2"/>
      <c r="J5" s="3"/>
      <c r="L5" s="5">
        <f>M5*L2</f>
        <v>0</v>
      </c>
      <c r="M5" s="2"/>
      <c r="N5" s="2"/>
      <c r="O5" s="3"/>
    </row>
    <row r="6" spans="2:15" x14ac:dyDescent="0.25">
      <c r="B6" s="5">
        <f>C6*B2</f>
        <v>4</v>
      </c>
      <c r="C6" s="2">
        <v>4</v>
      </c>
      <c r="D6" s="2" t="str">
        <f>'Ressources Idoles'!C3</f>
        <v>Kobalite</v>
      </c>
      <c r="E6" s="3">
        <f>C6*'Ressources Idoles'!D3</f>
        <v>11996</v>
      </c>
      <c r="G6" s="5">
        <f>H6*G2</f>
        <v>0</v>
      </c>
      <c r="H6" s="2"/>
      <c r="I6" s="2"/>
      <c r="J6" s="3"/>
      <c r="L6" s="5">
        <f>M6*L2</f>
        <v>0</v>
      </c>
      <c r="M6" s="2"/>
      <c r="N6" s="2"/>
      <c r="O6" s="3"/>
    </row>
    <row r="7" spans="2:15" x14ac:dyDescent="0.25">
      <c r="B7" s="5">
        <f>C7*B2</f>
        <v>1</v>
      </c>
      <c r="C7" s="2">
        <v>1</v>
      </c>
      <c r="D7" s="2" t="str">
        <f>'Ressources Idoles'!C9</f>
        <v>écorce de floribonde</v>
      </c>
      <c r="E7" s="3">
        <f>'Ressources Idoles'!D9</f>
        <v>2297</v>
      </c>
      <c r="G7" s="5">
        <f>H7*G2</f>
        <v>0</v>
      </c>
      <c r="H7" s="2"/>
      <c r="I7" s="2"/>
      <c r="J7" s="3"/>
      <c r="L7" s="5">
        <f>M7*L2</f>
        <v>0</v>
      </c>
      <c r="M7" s="2"/>
      <c r="N7" s="2"/>
      <c r="O7" s="3"/>
    </row>
    <row r="8" spans="2:15" x14ac:dyDescent="0.25">
      <c r="B8" s="5">
        <f>C8*B2</f>
        <v>1</v>
      </c>
      <c r="C8" s="2">
        <v>1</v>
      </c>
      <c r="D8" s="2" t="str">
        <f>'Ressources Idoles'!C14</f>
        <v>Corde du fancrôme</v>
      </c>
      <c r="E8" s="3">
        <f>'Ressources Idoles'!D14</f>
        <v>1538</v>
      </c>
      <c r="G8" s="5">
        <f>H8*G2</f>
        <v>0</v>
      </c>
      <c r="H8" s="2"/>
      <c r="I8" s="2"/>
      <c r="J8" s="3"/>
      <c r="L8" s="5">
        <f>M8*L2</f>
        <v>0</v>
      </c>
      <c r="M8" s="2"/>
      <c r="N8" s="2"/>
      <c r="O8" s="3"/>
    </row>
    <row r="9" spans="2:15" x14ac:dyDescent="0.25">
      <c r="B9" s="5">
        <f>C9*B2</f>
        <v>10</v>
      </c>
      <c r="C9" s="2">
        <v>10</v>
      </c>
      <c r="D9" s="2" t="str">
        <f>'Ressources Idoles'!C15</f>
        <v>Patte de gruche</v>
      </c>
      <c r="E9" s="3">
        <f>C9*'Ressources Idoles'!D15</f>
        <v>2000</v>
      </c>
      <c r="G9" s="5">
        <f>H9*G2</f>
        <v>0</v>
      </c>
      <c r="H9" s="2"/>
      <c r="I9" s="2"/>
      <c r="J9" s="3"/>
      <c r="L9" s="5"/>
      <c r="M9" s="2"/>
      <c r="N9" s="2"/>
      <c r="O9" s="3"/>
    </row>
    <row r="10" spans="2:15" ht="15.75" thickBot="1" x14ac:dyDescent="0.3">
      <c r="B10" s="6"/>
      <c r="C10" s="7"/>
      <c r="D10" s="7"/>
      <c r="E10" s="4"/>
      <c r="G10" s="5">
        <f>H10*G2</f>
        <v>0</v>
      </c>
      <c r="H10" s="7"/>
      <c r="I10" s="7"/>
      <c r="J10" s="4"/>
      <c r="L10" s="6"/>
      <c r="M10" s="7"/>
      <c r="N10" s="7"/>
      <c r="O10" s="4"/>
    </row>
    <row r="11" spans="2:15" ht="15.75" thickBot="1" x14ac:dyDescent="0.3">
      <c r="D11" s="1"/>
      <c r="E11" s="9">
        <f>SUM(E3:E9)</f>
        <v>1141831</v>
      </c>
      <c r="I11" s="1"/>
      <c r="J11" s="9">
        <f>SUM(J3:J9)</f>
        <v>0</v>
      </c>
      <c r="N11" s="1"/>
      <c r="O11" s="9">
        <f>SUM(O3:O9)</f>
        <v>0</v>
      </c>
    </row>
  </sheetData>
  <mergeCells count="3">
    <mergeCell ref="C2:E2"/>
    <mergeCell ref="H2:J2"/>
    <mergeCell ref="M2:O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F31" sqref="F31"/>
    </sheetView>
  </sheetViews>
  <sheetFormatPr baseColWidth="10" defaultRowHeight="15" x14ac:dyDescent="0.25"/>
  <cols>
    <col min="1" max="1" width="11.42578125" style="1"/>
    <col min="2" max="2" width="4.140625" style="1" customWidth="1"/>
    <col min="3" max="3" width="23" style="1" customWidth="1"/>
    <col min="4" max="7" width="11.42578125" style="1"/>
    <col min="8" max="8" width="12" style="1" bestFit="1" customWidth="1"/>
    <col min="9" max="16384" width="11.42578125" style="1"/>
  </cols>
  <sheetData>
    <row r="1" spans="2:9" ht="15.75" thickBot="1" x14ac:dyDescent="0.3"/>
    <row r="2" spans="2:9" x14ac:dyDescent="0.25">
      <c r="C2" s="24" t="s">
        <v>54</v>
      </c>
      <c r="D2" s="12"/>
    </row>
    <row r="3" spans="2:9" ht="15.75" thickBot="1" x14ac:dyDescent="0.3">
      <c r="C3" s="25" t="s">
        <v>55</v>
      </c>
      <c r="D3" s="4"/>
    </row>
    <row r="4" spans="2:9" x14ac:dyDescent="0.25">
      <c r="C4" s="26" t="s">
        <v>56</v>
      </c>
      <c r="D4" s="27">
        <f>D2-D3</f>
        <v>0</v>
      </c>
    </row>
    <row r="5" spans="2:9" x14ac:dyDescent="0.25">
      <c r="C5" s="28" t="s">
        <v>58</v>
      </c>
      <c r="D5" s="29">
        <f>D4-F10</f>
        <v>-1141831</v>
      </c>
    </row>
    <row r="6" spans="2:9" ht="15.75" thickBot="1" x14ac:dyDescent="0.3">
      <c r="C6" s="25" t="s">
        <v>57</v>
      </c>
      <c r="D6" s="30">
        <f>I10-D5</f>
        <v>1399882</v>
      </c>
    </row>
    <row r="7" spans="2:9" ht="15.75" thickBot="1" x14ac:dyDescent="0.3">
      <c r="C7" s="39"/>
      <c r="D7" s="40"/>
    </row>
    <row r="8" spans="2:9" ht="15.75" thickBot="1" x14ac:dyDescent="0.3">
      <c r="B8" s="100" t="s">
        <v>69</v>
      </c>
      <c r="C8" s="101"/>
      <c r="D8" s="101"/>
      <c r="E8" s="101"/>
      <c r="F8" s="101"/>
      <c r="G8" s="101"/>
      <c r="H8" s="101"/>
      <c r="I8" s="102"/>
    </row>
    <row r="9" spans="2:9" ht="15.75" thickBot="1" x14ac:dyDescent="0.3">
      <c r="C9" s="39"/>
      <c r="D9" s="40"/>
    </row>
    <row r="10" spans="2:9" ht="15.75" thickBot="1" x14ac:dyDescent="0.3">
      <c r="F10" s="23">
        <f>SUM(F12:F650)</f>
        <v>1141831</v>
      </c>
      <c r="I10" s="23">
        <f>SUM(I12:I311)</f>
        <v>258051</v>
      </c>
    </row>
    <row r="11" spans="2:9" ht="15.75" thickBot="1" x14ac:dyDescent="0.3">
      <c r="B11" s="13"/>
      <c r="C11" s="19" t="s">
        <v>8</v>
      </c>
      <c r="D11" s="42" t="s">
        <v>9</v>
      </c>
      <c r="E11" s="43" t="s">
        <v>10</v>
      </c>
      <c r="F11" s="43" t="s">
        <v>53</v>
      </c>
      <c r="G11" s="43" t="s">
        <v>11</v>
      </c>
      <c r="H11" s="44" t="s">
        <v>43</v>
      </c>
      <c r="I11" s="44" t="s">
        <v>33</v>
      </c>
    </row>
    <row r="12" spans="2:9" x14ac:dyDescent="0.25">
      <c r="B12" s="14">
        <v>1</v>
      </c>
      <c r="C12" s="14" t="str">
        <f>Idoles!C2</f>
        <v>Pého Magistrale</v>
      </c>
      <c r="D12" s="10">
        <f>Idoles!E11</f>
        <v>1141831</v>
      </c>
      <c r="E12" s="11">
        <v>1399882</v>
      </c>
      <c r="F12" s="11">
        <f>B12*D12</f>
        <v>1141831</v>
      </c>
      <c r="G12" s="11">
        <f>E12-D12</f>
        <v>258051</v>
      </c>
      <c r="H12" s="34">
        <f t="shared" ref="H12" si="0">(E12/D12*100)-100</f>
        <v>22.599754254351126</v>
      </c>
      <c r="I12" s="12">
        <f t="shared" ref="I12" si="1">G12*B12</f>
        <v>258051</v>
      </c>
    </row>
    <row r="13" spans="2:9" x14ac:dyDescent="0.25">
      <c r="B13" s="15"/>
      <c r="C13" s="15"/>
      <c r="D13" s="5"/>
      <c r="E13" s="2"/>
      <c r="F13" s="2"/>
      <c r="G13" s="2"/>
      <c r="H13" s="33"/>
      <c r="I13" s="3"/>
    </row>
    <row r="14" spans="2:9" ht="15.75" thickBot="1" x14ac:dyDescent="0.3">
      <c r="B14" s="17"/>
      <c r="C14" s="17"/>
      <c r="D14" s="6"/>
      <c r="E14" s="7"/>
      <c r="F14" s="7"/>
      <c r="G14" s="7"/>
      <c r="H14" s="35"/>
      <c r="I14" s="4"/>
    </row>
  </sheetData>
  <mergeCells count="1">
    <mergeCell ref="B8:I8"/>
  </mergeCells>
  <conditionalFormatting sqref="G10 G12:G1048576">
    <cfRule type="cellIs" dxfId="20" priority="7" operator="lessThan">
      <formula>0</formula>
    </cfRule>
  </conditionalFormatting>
  <conditionalFormatting sqref="H10 H12:H1048576">
    <cfRule type="cellIs" dxfId="19" priority="6" operator="greaterThan">
      <formula>40</formula>
    </cfRule>
  </conditionalFormatting>
  <conditionalFormatting sqref="G10 G12:G1048576">
    <cfRule type="cellIs" dxfId="18" priority="5" operator="greaterThan">
      <formula>500000</formula>
    </cfRule>
  </conditionalFormatting>
  <conditionalFormatting sqref="G1:G6 G10:G1048576">
    <cfRule type="cellIs" dxfId="17" priority="4" operator="between">
      <formula>300000</formula>
      <formula>499999</formula>
    </cfRule>
  </conditionalFormatting>
  <conditionalFormatting sqref="H1:H6 H10:H1048576">
    <cfRule type="cellIs" dxfId="16" priority="3" operator="between">
      <formula>20</formula>
      <formula>39.99</formula>
    </cfRule>
  </conditionalFormatting>
  <conditionalFormatting sqref="G7 G9">
    <cfRule type="cellIs" dxfId="15" priority="2" operator="between">
      <formula>300000</formula>
      <formula>499999</formula>
    </cfRule>
  </conditionalFormatting>
  <conditionalFormatting sqref="H7 H9">
    <cfRule type="cellIs" dxfId="14" priority="1" operator="between">
      <formula>20</formula>
      <formula>39.99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zoomScaleNormal="100" workbookViewId="0">
      <selection activeCell="H28" sqref="H28"/>
    </sheetView>
  </sheetViews>
  <sheetFormatPr baseColWidth="10" defaultRowHeight="15" x14ac:dyDescent="0.25"/>
  <cols>
    <col min="2" max="2" width="7.140625" customWidth="1"/>
    <col min="3" max="3" width="16.28515625" style="1" customWidth="1"/>
    <col min="4" max="4" width="26.140625" style="1" customWidth="1"/>
    <col min="5" max="5" width="11.42578125" style="1"/>
    <col min="6" max="6" width="11.42578125" style="1" customWidth="1"/>
    <col min="7" max="7" width="5" customWidth="1"/>
    <col min="8" max="8" width="17.5703125" customWidth="1"/>
  </cols>
  <sheetData>
    <row r="1" spans="2:11" s="1" customFormat="1" ht="15.75" thickBot="1" x14ac:dyDescent="0.3"/>
    <row r="2" spans="2:11" s="1" customFormat="1" x14ac:dyDescent="0.25">
      <c r="C2" s="24" t="s">
        <v>54</v>
      </c>
      <c r="D2" s="12"/>
    </row>
    <row r="3" spans="2:11" s="1" customFormat="1" ht="15.75" thickBot="1" x14ac:dyDescent="0.3">
      <c r="C3" s="25" t="s">
        <v>55</v>
      </c>
      <c r="D3" s="4"/>
    </row>
    <row r="4" spans="2:11" s="1" customFormat="1" x14ac:dyDescent="0.25">
      <c r="C4" s="26" t="s">
        <v>56</v>
      </c>
      <c r="D4" s="27">
        <f>D2-D3</f>
        <v>0</v>
      </c>
    </row>
    <row r="5" spans="2:11" s="1" customFormat="1" x14ac:dyDescent="0.25">
      <c r="C5" s="28" t="s">
        <v>58</v>
      </c>
      <c r="D5" s="29">
        <f>D4-I8</f>
        <v>-7162322</v>
      </c>
    </row>
    <row r="6" spans="2:11" s="1" customFormat="1" ht="15.75" thickBot="1" x14ac:dyDescent="0.3">
      <c r="C6" s="25" t="s">
        <v>57</v>
      </c>
      <c r="D6" s="30">
        <f>K8-D5</f>
        <v>10849998</v>
      </c>
    </row>
    <row r="7" spans="2:11" s="1" customFormat="1" x14ac:dyDescent="0.25">
      <c r="C7" s="39"/>
      <c r="D7" s="40"/>
    </row>
    <row r="8" spans="2:11" ht="15.75" thickBot="1" x14ac:dyDescent="0.3">
      <c r="I8">
        <f>I10*G10+I11-G11</f>
        <v>7162322</v>
      </c>
      <c r="K8">
        <f>K10*G10+K11-G11</f>
        <v>3687676</v>
      </c>
    </row>
    <row r="9" spans="2:11" ht="15.75" thickBot="1" x14ac:dyDescent="0.3">
      <c r="B9" s="8">
        <v>0</v>
      </c>
      <c r="C9" s="98" t="s">
        <v>91</v>
      </c>
      <c r="D9" s="98"/>
      <c r="E9" s="103"/>
      <c r="F9" s="48"/>
      <c r="H9" t="s">
        <v>8</v>
      </c>
      <c r="I9" t="s">
        <v>9</v>
      </c>
      <c r="J9" t="s">
        <v>96</v>
      </c>
      <c r="K9" t="s">
        <v>57</v>
      </c>
    </row>
    <row r="10" spans="2:11" x14ac:dyDescent="0.25">
      <c r="B10" s="10">
        <f>C10*B9</f>
        <v>0</v>
      </c>
      <c r="C10" s="11">
        <v>2</v>
      </c>
      <c r="D10" s="11" t="str">
        <f t="shared" ref="D10:D11" si="0">D32</f>
        <v>Galet brasillant</v>
      </c>
      <c r="E10" s="12">
        <f>C10*E32</f>
        <v>828000</v>
      </c>
      <c r="F10" s="47"/>
      <c r="G10">
        <v>1</v>
      </c>
      <c r="H10" t="str">
        <f>C9</f>
        <v>Bouclier taverne</v>
      </c>
      <c r="I10">
        <f>E18</f>
        <v>960529</v>
      </c>
      <c r="J10">
        <v>1500000</v>
      </c>
      <c r="K10">
        <f>J10-I10</f>
        <v>539471</v>
      </c>
    </row>
    <row r="11" spans="2:11" x14ac:dyDescent="0.25">
      <c r="B11" s="5">
        <f>C11*B9</f>
        <v>0</v>
      </c>
      <c r="C11" s="2">
        <v>7</v>
      </c>
      <c r="D11" s="2" t="str">
        <f t="shared" si="0"/>
        <v>Kobalite</v>
      </c>
      <c r="E11" s="3">
        <f>C11*E33</f>
        <v>38430</v>
      </c>
      <c r="F11" s="47"/>
      <c r="G11">
        <v>1</v>
      </c>
      <c r="H11" t="str">
        <f>C20</f>
        <v>Quatre-feuilles</v>
      </c>
      <c r="I11">
        <f>E29</f>
        <v>6201794</v>
      </c>
      <c r="J11">
        <v>9350000</v>
      </c>
      <c r="K11">
        <f>J11-I11</f>
        <v>3148206</v>
      </c>
    </row>
    <row r="12" spans="2:11" x14ac:dyDescent="0.25">
      <c r="B12" s="5">
        <f>C12*B9</f>
        <v>0</v>
      </c>
      <c r="C12" s="2">
        <v>3</v>
      </c>
      <c r="D12" s="2" t="str">
        <f>D35</f>
        <v>Substrat de forêt</v>
      </c>
      <c r="E12" s="3">
        <f>C12*E35</f>
        <v>18000</v>
      </c>
      <c r="F12" s="47"/>
    </row>
    <row r="13" spans="2:11" x14ac:dyDescent="0.25">
      <c r="B13" s="5">
        <f>C13*B9</f>
        <v>0</v>
      </c>
      <c r="C13" s="2">
        <v>1</v>
      </c>
      <c r="D13" s="2" t="str">
        <f>D37</f>
        <v>Essence de ben le ripate</v>
      </c>
      <c r="E13" s="3">
        <f>C13*E37</f>
        <v>24899</v>
      </c>
      <c r="F13" s="47"/>
    </row>
    <row r="14" spans="2:11" x14ac:dyDescent="0.25">
      <c r="B14" s="5">
        <f>C14*B9</f>
        <v>0</v>
      </c>
      <c r="C14" s="2">
        <v>4</v>
      </c>
      <c r="D14" s="2" t="str">
        <f>D39</f>
        <v>Bouée de Fantomalamère</v>
      </c>
      <c r="E14" s="3">
        <f>C14*E39</f>
        <v>16800</v>
      </c>
      <c r="F14" s="47"/>
    </row>
    <row r="15" spans="2:11" x14ac:dyDescent="0.25">
      <c r="B15" s="5">
        <f>C15*B9</f>
        <v>0</v>
      </c>
      <c r="C15" s="2">
        <v>38</v>
      </c>
      <c r="D15" s="2" t="str">
        <f>D40</f>
        <v>Défense de gliglicérin</v>
      </c>
      <c r="E15" s="3">
        <f>C15*E40</f>
        <v>3800</v>
      </c>
      <c r="F15" s="47"/>
    </row>
    <row r="16" spans="2:11" x14ac:dyDescent="0.25">
      <c r="B16" s="5">
        <f>C16*B9</f>
        <v>0</v>
      </c>
      <c r="C16" s="2">
        <v>34</v>
      </c>
      <c r="D16" s="2" t="str">
        <f>D41</f>
        <v>oreille de kaniblou</v>
      </c>
      <c r="E16" s="3">
        <f>C16*E41</f>
        <v>30600</v>
      </c>
      <c r="F16" s="47"/>
    </row>
    <row r="17" spans="2:6" ht="15.75" thickBot="1" x14ac:dyDescent="0.3">
      <c r="B17" s="6"/>
      <c r="C17" s="7"/>
      <c r="D17" s="7"/>
      <c r="E17" s="3">
        <f>C17*E42</f>
        <v>0</v>
      </c>
      <c r="F17" s="47"/>
    </row>
    <row r="18" spans="2:6" ht="15.75" thickBot="1" x14ac:dyDescent="0.3">
      <c r="B18" s="1"/>
      <c r="E18" s="9">
        <f>SUM(E10:E16)</f>
        <v>960529</v>
      </c>
      <c r="F18" s="49"/>
    </row>
    <row r="19" spans="2:6" ht="15.75" thickBot="1" x14ac:dyDescent="0.3">
      <c r="B19" s="1"/>
      <c r="E19" s="50"/>
      <c r="F19" s="49"/>
    </row>
    <row r="20" spans="2:6" ht="15.75" thickBot="1" x14ac:dyDescent="0.3">
      <c r="B20" s="8">
        <f>G11</f>
        <v>1</v>
      </c>
      <c r="C20" s="98" t="s">
        <v>97</v>
      </c>
      <c r="D20" s="98"/>
      <c r="E20" s="103"/>
      <c r="F20" s="48"/>
    </row>
    <row r="21" spans="2:6" x14ac:dyDescent="0.25">
      <c r="B21" s="10">
        <f>C21*B20</f>
        <v>3</v>
      </c>
      <c r="C21" s="11">
        <v>3</v>
      </c>
      <c r="D21" s="11" t="str">
        <f>D32</f>
        <v>Galet brasillant</v>
      </c>
      <c r="E21" s="12">
        <f>C21*E32</f>
        <v>1242000</v>
      </c>
      <c r="F21" s="47"/>
    </row>
    <row r="22" spans="2:6" x14ac:dyDescent="0.25">
      <c r="B22" s="5">
        <f>C22*B20</f>
        <v>8</v>
      </c>
      <c r="C22" s="2">
        <v>8</v>
      </c>
      <c r="D22" s="2" t="str">
        <f>D34</f>
        <v>Pyrute</v>
      </c>
      <c r="E22" s="3">
        <f>C22*E34</f>
        <v>615176</v>
      </c>
      <c r="F22" s="47"/>
    </row>
    <row r="23" spans="2:6" x14ac:dyDescent="0.25">
      <c r="B23" s="5">
        <f>C23*B20</f>
        <v>4</v>
      </c>
      <c r="C23" s="2">
        <v>4</v>
      </c>
      <c r="D23" s="2" t="str">
        <f>D36</f>
        <v>Substrat de forêt vierge</v>
      </c>
      <c r="E23" s="3">
        <f>C23*E36</f>
        <v>136000</v>
      </c>
      <c r="F23" s="47"/>
    </row>
    <row r="24" spans="2:6" x14ac:dyDescent="0.25">
      <c r="B24" s="5">
        <f>C24*B20</f>
        <v>1</v>
      </c>
      <c r="C24" s="2">
        <v>1</v>
      </c>
      <c r="D24" s="2" t="str">
        <f>D38</f>
        <v>Essence de missiz frizz</v>
      </c>
      <c r="E24" s="3">
        <f>E38</f>
        <v>349996</v>
      </c>
      <c r="F24" s="47"/>
    </row>
    <row r="25" spans="2:6" x14ac:dyDescent="0.25">
      <c r="B25" s="5">
        <f>C25*B20</f>
        <v>5</v>
      </c>
      <c r="C25" s="2">
        <v>5</v>
      </c>
      <c r="D25" s="2" t="str">
        <f>D42</f>
        <v>étoffe de fantôme pandore</v>
      </c>
      <c r="E25" s="3">
        <f>C25*E42</f>
        <v>2649970</v>
      </c>
      <c r="F25" s="47"/>
    </row>
    <row r="26" spans="2:6" x14ac:dyDescent="0.25">
      <c r="B26" s="5">
        <f>C26*B20</f>
        <v>5</v>
      </c>
      <c r="C26" s="2">
        <v>5</v>
      </c>
      <c r="D26" s="2" t="str">
        <f>D43</f>
        <v>Pédoncule de fongeur</v>
      </c>
      <c r="E26" s="3">
        <f>C26*E43</f>
        <v>8995</v>
      </c>
      <c r="F26" s="47"/>
    </row>
    <row r="27" spans="2:6" x14ac:dyDescent="0.25">
      <c r="B27" s="5">
        <f>C27*B20</f>
        <v>43</v>
      </c>
      <c r="C27" s="2">
        <v>43</v>
      </c>
      <c r="D27" s="2" t="str">
        <f>D44</f>
        <v>Stapes de Frimar</v>
      </c>
      <c r="E27" s="3">
        <f>C27*E44</f>
        <v>1199657</v>
      </c>
      <c r="F27" s="47"/>
    </row>
    <row r="28" spans="2:6" ht="15.75" thickBot="1" x14ac:dyDescent="0.3">
      <c r="B28" s="6">
        <f>C28*B20</f>
        <v>46</v>
      </c>
      <c r="C28" s="7">
        <v>46</v>
      </c>
      <c r="D28" s="7" t="str">
        <f>D45</f>
        <v>Cuir de glouragan</v>
      </c>
      <c r="E28" s="3">
        <f>C28*E45</f>
        <v>413678</v>
      </c>
      <c r="F28" s="47"/>
    </row>
    <row r="29" spans="2:6" ht="15.75" thickBot="1" x14ac:dyDescent="0.3">
      <c r="B29" s="1"/>
      <c r="E29" s="9">
        <f>SUM(E21:E27)</f>
        <v>6201794</v>
      </c>
      <c r="F29" s="49"/>
    </row>
    <row r="31" spans="2:6" ht="15.75" thickBot="1" x14ac:dyDescent="0.3"/>
    <row r="32" spans="2:6" x14ac:dyDescent="0.25">
      <c r="C32" s="10">
        <f>B10+B21</f>
        <v>3</v>
      </c>
      <c r="D32" s="11" t="s">
        <v>2</v>
      </c>
      <c r="E32" s="12">
        <v>414000</v>
      </c>
      <c r="F32" s="47"/>
    </row>
    <row r="33" spans="3:6" x14ac:dyDescent="0.25">
      <c r="C33" s="5">
        <f t="shared" ref="C33" si="1">B11</f>
        <v>0</v>
      </c>
      <c r="D33" s="2" t="s">
        <v>72</v>
      </c>
      <c r="E33" s="3">
        <v>5490</v>
      </c>
      <c r="F33" s="47"/>
    </row>
    <row r="34" spans="3:6" x14ac:dyDescent="0.25">
      <c r="C34" s="5">
        <f>B22</f>
        <v>8</v>
      </c>
      <c r="D34" s="2" t="s">
        <v>19</v>
      </c>
      <c r="E34" s="3">
        <v>76897</v>
      </c>
      <c r="F34" s="47"/>
    </row>
    <row r="35" spans="3:6" x14ac:dyDescent="0.25">
      <c r="C35" s="5">
        <f>B12</f>
        <v>0</v>
      </c>
      <c r="D35" s="2" t="s">
        <v>1</v>
      </c>
      <c r="E35" s="3">
        <f>Ressources!D14</f>
        <v>6000</v>
      </c>
      <c r="F35" s="47"/>
    </row>
    <row r="36" spans="3:6" x14ac:dyDescent="0.25">
      <c r="C36" s="5">
        <f>B23</f>
        <v>4</v>
      </c>
      <c r="D36" s="2" t="s">
        <v>98</v>
      </c>
      <c r="E36" s="3">
        <v>34000</v>
      </c>
      <c r="F36" s="47"/>
    </row>
    <row r="37" spans="3:6" x14ac:dyDescent="0.25">
      <c r="C37" s="5">
        <f>B13</f>
        <v>0</v>
      </c>
      <c r="D37" s="2" t="s">
        <v>92</v>
      </c>
      <c r="E37" s="3">
        <v>24899</v>
      </c>
      <c r="F37" s="47"/>
    </row>
    <row r="38" spans="3:6" x14ac:dyDescent="0.25">
      <c r="C38" s="5">
        <f>B24</f>
        <v>1</v>
      </c>
      <c r="D38" s="2" t="s">
        <v>99</v>
      </c>
      <c r="E38" s="3">
        <v>349996</v>
      </c>
      <c r="F38" s="47"/>
    </row>
    <row r="39" spans="3:6" x14ac:dyDescent="0.25">
      <c r="C39" s="5">
        <f>B14</f>
        <v>0</v>
      </c>
      <c r="D39" s="2" t="s">
        <v>93</v>
      </c>
      <c r="E39" s="3">
        <v>4200</v>
      </c>
      <c r="F39" s="47"/>
    </row>
    <row r="40" spans="3:6" x14ac:dyDescent="0.25">
      <c r="C40" s="5">
        <f>B15</f>
        <v>0</v>
      </c>
      <c r="D40" s="2" t="s">
        <v>94</v>
      </c>
      <c r="E40" s="3">
        <v>100</v>
      </c>
      <c r="F40" s="47"/>
    </row>
    <row r="41" spans="3:6" x14ac:dyDescent="0.25">
      <c r="C41" s="5">
        <f>B16</f>
        <v>0</v>
      </c>
      <c r="D41" s="2" t="s">
        <v>95</v>
      </c>
      <c r="E41" s="3">
        <v>900</v>
      </c>
      <c r="F41" s="47"/>
    </row>
    <row r="42" spans="3:6" x14ac:dyDescent="0.25">
      <c r="C42" s="5">
        <f>B25</f>
        <v>5</v>
      </c>
      <c r="D42" s="2" t="s">
        <v>100</v>
      </c>
      <c r="E42" s="3">
        <v>529994</v>
      </c>
    </row>
    <row r="43" spans="3:6" x14ac:dyDescent="0.25">
      <c r="C43" s="5">
        <f>B26</f>
        <v>5</v>
      </c>
      <c r="D43" s="2" t="s">
        <v>101</v>
      </c>
      <c r="E43" s="3">
        <v>1799</v>
      </c>
    </row>
    <row r="44" spans="3:6" x14ac:dyDescent="0.25">
      <c r="C44" s="5">
        <f>B27</f>
        <v>43</v>
      </c>
      <c r="D44" s="2" t="s">
        <v>102</v>
      </c>
      <c r="E44" s="3">
        <v>27899</v>
      </c>
    </row>
    <row r="45" spans="3:6" ht="15.75" thickBot="1" x14ac:dyDescent="0.3">
      <c r="C45" s="6">
        <f>B28</f>
        <v>46</v>
      </c>
      <c r="D45" s="7" t="s">
        <v>103</v>
      </c>
      <c r="E45" s="4">
        <v>8993</v>
      </c>
    </row>
  </sheetData>
  <mergeCells count="2">
    <mergeCell ref="C9:E9"/>
    <mergeCell ref="C20:E20"/>
  </mergeCells>
  <conditionalFormatting sqref="G1:G7">
    <cfRule type="cellIs" dxfId="13" priority="3" operator="between">
      <formula>300000</formula>
      <formula>499999</formula>
    </cfRule>
  </conditionalFormatting>
  <conditionalFormatting sqref="H1:H7">
    <cfRule type="cellIs" dxfId="12" priority="2" operator="between">
      <formula>20</formula>
      <formula>39.99</formula>
    </cfRule>
  </conditionalFormatting>
  <conditionalFormatting sqref="C32:C45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9"/>
  <sheetViews>
    <sheetView tabSelected="1" workbookViewId="0">
      <selection activeCell="M24" sqref="M24"/>
    </sheetView>
  </sheetViews>
  <sheetFormatPr baseColWidth="10" defaultRowHeight="15" x14ac:dyDescent="0.25"/>
  <cols>
    <col min="2" max="2" width="16.140625" customWidth="1"/>
    <col min="3" max="3" width="11.42578125" style="1"/>
    <col min="6" max="6" width="12.85546875" customWidth="1"/>
    <col min="14" max="14" width="13.42578125" customWidth="1"/>
  </cols>
  <sheetData>
    <row r="1" spans="2:14" ht="15.75" thickBot="1" x14ac:dyDescent="0.3"/>
    <row r="2" spans="2:14" ht="15.75" thickBot="1" x14ac:dyDescent="0.3">
      <c r="B2" s="78" t="s">
        <v>8</v>
      </c>
      <c r="C2" s="79" t="s">
        <v>183</v>
      </c>
    </row>
    <row r="3" spans="2:14" ht="15.75" thickBot="1" x14ac:dyDescent="0.3">
      <c r="E3" s="8"/>
      <c r="F3" s="87" t="s">
        <v>178</v>
      </c>
      <c r="G3" s="88" t="s">
        <v>179</v>
      </c>
      <c r="H3" s="89" t="s">
        <v>180</v>
      </c>
      <c r="I3" s="87" t="s">
        <v>181</v>
      </c>
      <c r="J3" s="89" t="s">
        <v>182</v>
      </c>
      <c r="K3" s="87" t="s">
        <v>176</v>
      </c>
      <c r="L3" s="89" t="s">
        <v>57</v>
      </c>
      <c r="M3" s="90" t="s">
        <v>177</v>
      </c>
      <c r="N3" s="89" t="s">
        <v>57</v>
      </c>
    </row>
    <row r="4" spans="2:14" x14ac:dyDescent="0.25">
      <c r="B4" s="95" t="s">
        <v>133</v>
      </c>
      <c r="C4" s="12" t="str">
        <f>Raw!D2</f>
        <v>11196</v>
      </c>
      <c r="E4" s="75" t="s">
        <v>164</v>
      </c>
      <c r="F4" s="71" t="str">
        <f>C4</f>
        <v>11196</v>
      </c>
      <c r="G4" s="72">
        <f>F4*3</f>
        <v>33588</v>
      </c>
      <c r="H4" s="72">
        <f>G4*3</f>
        <v>100764</v>
      </c>
      <c r="I4" s="93" t="str">
        <f t="shared" ref="I4:I12" si="0">C18</f>
        <v>39980</v>
      </c>
      <c r="J4" s="93" t="str">
        <f>C32</f>
        <v>110797</v>
      </c>
      <c r="K4" s="11">
        <f>I4-G4</f>
        <v>6392</v>
      </c>
      <c r="L4" s="94">
        <f t="shared" ref="L4:L14" si="1">1-(G4/I4)</f>
        <v>0.15987993996998495</v>
      </c>
      <c r="M4" s="11">
        <f t="shared" ref="M4:M11" si="2">J4-H4</f>
        <v>10033</v>
      </c>
      <c r="N4" s="69">
        <f>1-(H4/J4)</f>
        <v>9.0552993312093322E-2</v>
      </c>
    </row>
    <row r="5" spans="2:14" x14ac:dyDescent="0.25">
      <c r="B5" s="96" t="s">
        <v>132</v>
      </c>
      <c r="C5" s="3" t="str">
        <f>Raw!D4</f>
        <v>9893</v>
      </c>
      <c r="E5" s="76" t="s">
        <v>165</v>
      </c>
      <c r="F5" s="73" t="str">
        <f>C5</f>
        <v>9893</v>
      </c>
      <c r="G5" s="74">
        <f t="shared" ref="G5:H16" si="3">F5*3</f>
        <v>29679</v>
      </c>
      <c r="H5" s="74">
        <f t="shared" si="3"/>
        <v>89037</v>
      </c>
      <c r="I5" s="91" t="str">
        <f t="shared" si="0"/>
        <v>28761</v>
      </c>
      <c r="J5" s="91">
        <f t="shared" ref="J5:J11" si="4">C33</f>
        <v>1</v>
      </c>
      <c r="K5" s="2">
        <f t="shared" ref="K5:K16" si="5">I5-G5</f>
        <v>-918</v>
      </c>
      <c r="L5" s="92">
        <f t="shared" si="1"/>
        <v>-3.1918222593094736E-2</v>
      </c>
      <c r="M5" s="2">
        <f t="shared" si="2"/>
        <v>-89036</v>
      </c>
      <c r="N5" s="70">
        <f t="shared" ref="N5:N11" si="6">1-(H5/J5)</f>
        <v>-89036</v>
      </c>
    </row>
    <row r="6" spans="2:14" x14ac:dyDescent="0.25">
      <c r="B6" s="96" t="s">
        <v>134</v>
      </c>
      <c r="C6" s="3" t="str">
        <f>Raw!D6</f>
        <v>3770</v>
      </c>
      <c r="E6" s="76" t="s">
        <v>166</v>
      </c>
      <c r="F6" s="73" t="str">
        <f t="shared" ref="F6:F16" si="7">C6</f>
        <v>3770</v>
      </c>
      <c r="G6" s="74">
        <f t="shared" si="3"/>
        <v>11310</v>
      </c>
      <c r="H6" s="74">
        <f t="shared" si="3"/>
        <v>33930</v>
      </c>
      <c r="I6" s="91" t="str">
        <f t="shared" si="0"/>
        <v>12595</v>
      </c>
      <c r="J6" s="91" t="str">
        <f t="shared" si="4"/>
        <v>37333</v>
      </c>
      <c r="K6" s="2">
        <f t="shared" si="5"/>
        <v>1285</v>
      </c>
      <c r="L6" s="92">
        <f t="shared" si="1"/>
        <v>0.10202461294164356</v>
      </c>
      <c r="M6" s="2">
        <f t="shared" si="2"/>
        <v>3403</v>
      </c>
      <c r="N6" s="70">
        <f t="shared" si="6"/>
        <v>9.1152599576781901E-2</v>
      </c>
    </row>
    <row r="7" spans="2:14" x14ac:dyDescent="0.25">
      <c r="B7" s="96" t="s">
        <v>135</v>
      </c>
      <c r="C7" s="3" t="str">
        <f>Raw!D8</f>
        <v>7493</v>
      </c>
      <c r="E7" s="76" t="s">
        <v>167</v>
      </c>
      <c r="F7" s="73" t="str">
        <f t="shared" si="7"/>
        <v>7493</v>
      </c>
      <c r="G7" s="74">
        <f t="shared" si="3"/>
        <v>22479</v>
      </c>
      <c r="H7" s="74">
        <f t="shared" si="3"/>
        <v>67437</v>
      </c>
      <c r="I7" s="91" t="str">
        <f t="shared" si="0"/>
        <v>25299</v>
      </c>
      <c r="J7" s="91" t="str">
        <f t="shared" si="4"/>
        <v>77788</v>
      </c>
      <c r="K7" s="2">
        <f t="shared" si="5"/>
        <v>2820</v>
      </c>
      <c r="L7" s="92">
        <f t="shared" si="1"/>
        <v>0.1114668563974861</v>
      </c>
      <c r="M7" s="2">
        <f t="shared" si="2"/>
        <v>10351</v>
      </c>
      <c r="N7" s="70">
        <f t="shared" si="6"/>
        <v>0.13306679693525991</v>
      </c>
    </row>
    <row r="8" spans="2:14" x14ac:dyDescent="0.25">
      <c r="B8" s="96" t="s">
        <v>136</v>
      </c>
      <c r="C8" s="3" t="str">
        <f>Raw!D10</f>
        <v>14993</v>
      </c>
      <c r="E8" s="76" t="s">
        <v>168</v>
      </c>
      <c r="F8" s="73" t="str">
        <f t="shared" si="7"/>
        <v>14993</v>
      </c>
      <c r="G8" s="74">
        <f t="shared" si="3"/>
        <v>44979</v>
      </c>
      <c r="H8" s="74">
        <f t="shared" si="3"/>
        <v>134937</v>
      </c>
      <c r="I8" s="91" t="str">
        <f t="shared" si="0"/>
        <v>56437</v>
      </c>
      <c r="J8" s="91" t="str">
        <f t="shared" si="4"/>
        <v>147880</v>
      </c>
      <c r="K8" s="2">
        <f t="shared" si="5"/>
        <v>11458</v>
      </c>
      <c r="L8" s="92">
        <f t="shared" si="1"/>
        <v>0.20302283962648615</v>
      </c>
      <c r="M8" s="2">
        <f t="shared" si="2"/>
        <v>12943</v>
      </c>
      <c r="N8" s="70">
        <f t="shared" si="6"/>
        <v>8.7523667838788177E-2</v>
      </c>
    </row>
    <row r="9" spans="2:14" x14ac:dyDescent="0.25">
      <c r="B9" s="96" t="s">
        <v>137</v>
      </c>
      <c r="C9" s="3" t="str">
        <f>Raw!D12</f>
        <v>17977</v>
      </c>
      <c r="E9" s="76" t="s">
        <v>169</v>
      </c>
      <c r="F9" s="73" t="str">
        <f t="shared" si="7"/>
        <v>17977</v>
      </c>
      <c r="G9" s="74">
        <f t="shared" si="3"/>
        <v>53931</v>
      </c>
      <c r="H9" s="74">
        <f t="shared" si="3"/>
        <v>161793</v>
      </c>
      <c r="I9" s="91" t="str">
        <f t="shared" si="0"/>
        <v>54453</v>
      </c>
      <c r="J9" s="91" t="str">
        <f t="shared" si="4"/>
        <v>156996</v>
      </c>
      <c r="K9" s="2">
        <f t="shared" si="5"/>
        <v>522</v>
      </c>
      <c r="L9" s="92">
        <f t="shared" si="1"/>
        <v>9.5862486915321288E-3</v>
      </c>
      <c r="M9" s="2">
        <f t="shared" si="2"/>
        <v>-4797</v>
      </c>
      <c r="N9" s="70">
        <f t="shared" si="6"/>
        <v>-3.0554918596652048E-2</v>
      </c>
    </row>
    <row r="10" spans="2:14" x14ac:dyDescent="0.25">
      <c r="B10" s="96" t="s">
        <v>138</v>
      </c>
      <c r="C10" s="3" t="str">
        <f>Raw!D14</f>
        <v>11991</v>
      </c>
      <c r="E10" s="76" t="s">
        <v>170</v>
      </c>
      <c r="F10" s="73" t="str">
        <f t="shared" si="7"/>
        <v>11991</v>
      </c>
      <c r="G10" s="74">
        <f t="shared" si="3"/>
        <v>35973</v>
      </c>
      <c r="H10" s="74">
        <f t="shared" si="3"/>
        <v>107919</v>
      </c>
      <c r="I10" s="91" t="str">
        <f t="shared" si="0"/>
        <v>38897</v>
      </c>
      <c r="J10" s="91" t="str">
        <f t="shared" si="4"/>
        <v>97495</v>
      </c>
      <c r="K10" s="2">
        <f t="shared" si="5"/>
        <v>2924</v>
      </c>
      <c r="L10" s="92">
        <f t="shared" si="1"/>
        <v>7.5172892510990574E-2</v>
      </c>
      <c r="M10" s="2">
        <f t="shared" si="2"/>
        <v>-10424</v>
      </c>
      <c r="N10" s="70">
        <f t="shared" si="6"/>
        <v>-0.10691830350274367</v>
      </c>
    </row>
    <row r="11" spans="2:14" x14ac:dyDescent="0.25">
      <c r="B11" s="96" t="s">
        <v>139</v>
      </c>
      <c r="C11" s="3">
        <v>54989</v>
      </c>
      <c r="E11" s="76" t="s">
        <v>171</v>
      </c>
      <c r="F11" s="73">
        <f t="shared" si="7"/>
        <v>54989</v>
      </c>
      <c r="G11" s="74">
        <f t="shared" si="3"/>
        <v>164967</v>
      </c>
      <c r="H11" s="74">
        <f t="shared" si="3"/>
        <v>494901</v>
      </c>
      <c r="I11" s="91" t="str">
        <f t="shared" si="0"/>
        <v>92985</v>
      </c>
      <c r="J11" s="91">
        <f t="shared" si="4"/>
        <v>519750</v>
      </c>
      <c r="K11" s="2">
        <f t="shared" si="5"/>
        <v>-71982</v>
      </c>
      <c r="L11" s="92">
        <f t="shared" si="1"/>
        <v>-0.77412485884820126</v>
      </c>
      <c r="M11" s="2">
        <f t="shared" si="2"/>
        <v>24849</v>
      </c>
      <c r="N11" s="70">
        <f t="shared" si="6"/>
        <v>4.7809523809523857E-2</v>
      </c>
    </row>
    <row r="12" spans="2:14" x14ac:dyDescent="0.25">
      <c r="B12" s="96" t="s">
        <v>202</v>
      </c>
      <c r="C12" s="3" t="str">
        <f>Raw!D18</f>
        <v>37996</v>
      </c>
      <c r="E12" s="76" t="s">
        <v>200</v>
      </c>
      <c r="F12" s="73" t="str">
        <f>C12</f>
        <v>37996</v>
      </c>
      <c r="G12" s="74">
        <f t="shared" si="3"/>
        <v>113988</v>
      </c>
      <c r="H12" s="74">
        <f t="shared" si="3"/>
        <v>341964</v>
      </c>
      <c r="I12" s="91" t="str">
        <f t="shared" si="0"/>
        <v>129788</v>
      </c>
      <c r="J12" s="91"/>
      <c r="K12" s="2">
        <f t="shared" si="5"/>
        <v>15800</v>
      </c>
      <c r="L12" s="92">
        <f t="shared" si="1"/>
        <v>0.12173698647024378</v>
      </c>
      <c r="M12" s="2"/>
      <c r="N12" s="70"/>
    </row>
    <row r="13" spans="2:14" x14ac:dyDescent="0.25">
      <c r="B13" s="96" t="s">
        <v>140</v>
      </c>
      <c r="C13" s="3" t="str">
        <f>Raw!D20</f>
        <v>99996</v>
      </c>
      <c r="E13" s="76" t="s">
        <v>172</v>
      </c>
      <c r="F13" s="73" t="str">
        <f t="shared" si="7"/>
        <v>99996</v>
      </c>
      <c r="G13" s="74">
        <f t="shared" si="3"/>
        <v>299988</v>
      </c>
      <c r="H13" s="74">
        <f t="shared" si="3"/>
        <v>899964</v>
      </c>
      <c r="I13" s="91" t="str">
        <f t="shared" ref="I13:I16" si="8">C27</f>
        <v>335997</v>
      </c>
      <c r="J13" s="91"/>
      <c r="K13" s="2">
        <f t="shared" si="5"/>
        <v>36009</v>
      </c>
      <c r="L13" s="92">
        <f t="shared" si="1"/>
        <v>0.10717059973749765</v>
      </c>
      <c r="M13" s="2"/>
      <c r="N13" s="3"/>
    </row>
    <row r="14" spans="2:14" x14ac:dyDescent="0.25">
      <c r="B14" s="96" t="s">
        <v>141</v>
      </c>
      <c r="C14" s="3" t="str">
        <f>Raw!D22</f>
        <v>129757</v>
      </c>
      <c r="E14" s="76" t="s">
        <v>173</v>
      </c>
      <c r="F14" s="73" t="str">
        <f t="shared" si="7"/>
        <v>129757</v>
      </c>
      <c r="G14" s="74">
        <f t="shared" si="3"/>
        <v>389271</v>
      </c>
      <c r="H14" s="74">
        <f t="shared" si="3"/>
        <v>1167813</v>
      </c>
      <c r="I14" s="91" t="str">
        <f t="shared" si="8"/>
        <v>399982</v>
      </c>
      <c r="J14" s="91"/>
      <c r="K14" s="2">
        <f t="shared" si="5"/>
        <v>10711</v>
      </c>
      <c r="L14" s="92">
        <f t="shared" si="1"/>
        <v>2.6778705041726858E-2</v>
      </c>
      <c r="M14" s="2"/>
      <c r="N14" s="3"/>
    </row>
    <row r="15" spans="2:14" x14ac:dyDescent="0.25">
      <c r="B15" s="96" t="s">
        <v>142</v>
      </c>
      <c r="C15" s="3" t="str">
        <f>Raw!D24</f>
        <v>92571</v>
      </c>
      <c r="E15" s="76" t="s">
        <v>174</v>
      </c>
      <c r="F15" s="73" t="str">
        <f t="shared" si="7"/>
        <v>92571</v>
      </c>
      <c r="G15" s="74">
        <f t="shared" si="3"/>
        <v>277713</v>
      </c>
      <c r="H15" s="74">
        <f t="shared" si="3"/>
        <v>833139</v>
      </c>
      <c r="I15" s="91" t="str">
        <f t="shared" si="8"/>
        <v>338973</v>
      </c>
      <c r="J15" s="91"/>
      <c r="K15" s="2">
        <f t="shared" si="5"/>
        <v>61260</v>
      </c>
      <c r="L15" s="92">
        <f>1-(G15/I15)</f>
        <v>0.18072235841792705</v>
      </c>
      <c r="M15" s="2"/>
      <c r="N15" s="3"/>
    </row>
    <row r="16" spans="2:14" ht="15.75" thickBot="1" x14ac:dyDescent="0.3">
      <c r="B16" s="97" t="s">
        <v>143</v>
      </c>
      <c r="C16" s="4" t="str">
        <f>Raw!D26</f>
        <v>76654</v>
      </c>
      <c r="E16" s="76" t="s">
        <v>175</v>
      </c>
      <c r="F16" s="73" t="str">
        <f t="shared" si="7"/>
        <v>76654</v>
      </c>
      <c r="G16" s="74">
        <f t="shared" si="3"/>
        <v>229962</v>
      </c>
      <c r="H16" s="74">
        <f t="shared" si="3"/>
        <v>689886</v>
      </c>
      <c r="I16" s="91" t="str">
        <f t="shared" si="8"/>
        <v>228999</v>
      </c>
      <c r="J16" s="91"/>
      <c r="K16" s="2">
        <f t="shared" si="5"/>
        <v>-963</v>
      </c>
      <c r="L16" s="92">
        <f>1-(G16/I16)</f>
        <v>-4.2052585382468255E-3</v>
      </c>
      <c r="M16" s="2"/>
      <c r="N16" s="3"/>
    </row>
    <row r="17" spans="2:3" ht="15.75" thickBot="1" x14ac:dyDescent="0.3">
      <c r="B17" s="68"/>
    </row>
    <row r="18" spans="2:3" x14ac:dyDescent="0.25">
      <c r="B18" s="75" t="s">
        <v>144</v>
      </c>
      <c r="C18" s="20" t="str">
        <f>Raw!D28</f>
        <v>39980</v>
      </c>
    </row>
    <row r="19" spans="2:3" x14ac:dyDescent="0.25">
      <c r="B19" s="76" t="s">
        <v>145</v>
      </c>
      <c r="C19" s="21" t="str">
        <f>Raw!D30</f>
        <v>28761</v>
      </c>
    </row>
    <row r="20" spans="2:3" x14ac:dyDescent="0.25">
      <c r="B20" s="76" t="s">
        <v>146</v>
      </c>
      <c r="C20" s="21" t="str">
        <f>Raw!D32</f>
        <v>12595</v>
      </c>
    </row>
    <row r="21" spans="2:3" x14ac:dyDescent="0.25">
      <c r="B21" s="76" t="s">
        <v>147</v>
      </c>
      <c r="C21" s="21" t="str">
        <f>Raw!D34</f>
        <v>25299</v>
      </c>
    </row>
    <row r="22" spans="2:3" x14ac:dyDescent="0.25">
      <c r="B22" s="76" t="s">
        <v>148</v>
      </c>
      <c r="C22" s="21" t="str">
        <f>Raw!D36</f>
        <v>56437</v>
      </c>
    </row>
    <row r="23" spans="2:3" x14ac:dyDescent="0.25">
      <c r="B23" s="76" t="s">
        <v>149</v>
      </c>
      <c r="C23" s="21" t="str">
        <f>Raw!D38</f>
        <v>54453</v>
      </c>
    </row>
    <row r="24" spans="2:3" x14ac:dyDescent="0.25">
      <c r="B24" s="76" t="s">
        <v>150</v>
      </c>
      <c r="C24" s="21" t="str">
        <f>Raw!D40</f>
        <v>38897</v>
      </c>
    </row>
    <row r="25" spans="2:3" x14ac:dyDescent="0.25">
      <c r="B25" s="76" t="s">
        <v>151</v>
      </c>
      <c r="C25" s="21" t="str">
        <f>Raw!D42</f>
        <v>92985</v>
      </c>
    </row>
    <row r="26" spans="2:3" x14ac:dyDescent="0.25">
      <c r="B26" s="76" t="s">
        <v>199</v>
      </c>
      <c r="C26" s="21" t="str">
        <f>Raw!D44</f>
        <v>129788</v>
      </c>
    </row>
    <row r="27" spans="2:3" x14ac:dyDescent="0.25">
      <c r="B27" s="76" t="s">
        <v>152</v>
      </c>
      <c r="C27" s="21" t="str">
        <f>Raw!D46</f>
        <v>335997</v>
      </c>
    </row>
    <row r="28" spans="2:3" x14ac:dyDescent="0.25">
      <c r="B28" s="76" t="s">
        <v>153</v>
      </c>
      <c r="C28" s="21" t="str">
        <f>Raw!D48</f>
        <v>399982</v>
      </c>
    </row>
    <row r="29" spans="2:3" x14ac:dyDescent="0.25">
      <c r="B29" s="76" t="s">
        <v>154</v>
      </c>
      <c r="C29" s="21" t="str">
        <f>Raw!D50</f>
        <v>338973</v>
      </c>
    </row>
    <row r="30" spans="2:3" ht="15.75" thickBot="1" x14ac:dyDescent="0.3">
      <c r="B30" s="77" t="s">
        <v>155</v>
      </c>
      <c r="C30" s="22" t="str">
        <f>Raw!D52</f>
        <v>228999</v>
      </c>
    </row>
    <row r="31" spans="2:3" ht="15.75" thickBot="1" x14ac:dyDescent="0.3">
      <c r="B31" s="68"/>
    </row>
    <row r="32" spans="2:3" x14ac:dyDescent="0.25">
      <c r="B32" s="75" t="s">
        <v>156</v>
      </c>
      <c r="C32" s="20" t="str">
        <f>Raw!D54</f>
        <v>110797</v>
      </c>
    </row>
    <row r="33" spans="2:3" x14ac:dyDescent="0.25">
      <c r="B33" s="76" t="s">
        <v>157</v>
      </c>
      <c r="C33" s="21">
        <f>Raw!D56</f>
        <v>1</v>
      </c>
    </row>
    <row r="34" spans="2:3" x14ac:dyDescent="0.25">
      <c r="B34" s="76" t="s">
        <v>158</v>
      </c>
      <c r="C34" s="21" t="str">
        <f>Raw!D58</f>
        <v>37333</v>
      </c>
    </row>
    <row r="35" spans="2:3" x14ac:dyDescent="0.25">
      <c r="B35" s="76" t="s">
        <v>159</v>
      </c>
      <c r="C35" s="21" t="str">
        <f>Raw!D60</f>
        <v>77788</v>
      </c>
    </row>
    <row r="36" spans="2:3" x14ac:dyDescent="0.25">
      <c r="B36" s="76" t="s">
        <v>160</v>
      </c>
      <c r="C36" s="21" t="str">
        <f>Raw!D62</f>
        <v>147880</v>
      </c>
    </row>
    <row r="37" spans="2:3" x14ac:dyDescent="0.25">
      <c r="B37" s="76" t="s">
        <v>161</v>
      </c>
      <c r="C37" s="21" t="str">
        <f>Raw!D64</f>
        <v>156996</v>
      </c>
    </row>
    <row r="38" spans="2:3" x14ac:dyDescent="0.25">
      <c r="B38" s="76" t="s">
        <v>162</v>
      </c>
      <c r="C38" s="21" t="str">
        <f>Raw!D66</f>
        <v>97495</v>
      </c>
    </row>
    <row r="39" spans="2:3" ht="15.75" thickBot="1" x14ac:dyDescent="0.3">
      <c r="B39" s="77" t="s">
        <v>163</v>
      </c>
      <c r="C39" s="22">
        <v>519750</v>
      </c>
    </row>
  </sheetData>
  <conditionalFormatting sqref="K4:K16">
    <cfRule type="cellIs" dxfId="10" priority="12" operator="lessThan">
      <formula>1</formula>
    </cfRule>
    <cfRule type="cellIs" dxfId="9" priority="13" operator="greaterThan">
      <formula>5000</formula>
    </cfRule>
  </conditionalFormatting>
  <conditionalFormatting sqref="M4:M12">
    <cfRule type="cellIs" dxfId="8" priority="10" operator="lessThan">
      <formula>1</formula>
    </cfRule>
    <cfRule type="cellIs" dxfId="7" priority="11" operator="greaterThan">
      <formula>5000</formula>
    </cfRule>
  </conditionalFormatting>
  <conditionalFormatting sqref="N4:N12">
    <cfRule type="cellIs" dxfId="6" priority="1" operator="lessThan">
      <formula>0.0001</formula>
    </cfRule>
    <cfRule type="cellIs" dxfId="5" priority="2" operator="greaterThan">
      <formula>0.25</formula>
    </cfRule>
    <cfRule type="cellIs" dxfId="4" priority="3" operator="between">
      <formula>0.15</formula>
      <formula>0.25</formula>
    </cfRule>
    <cfRule type="cellIs" dxfId="3" priority="8" operator="greaterThan">
      <formula>0.25</formula>
    </cfRule>
  </conditionalFormatting>
  <conditionalFormatting sqref="L4:L16">
    <cfRule type="cellIs" dxfId="2" priority="4" operator="lessThan">
      <formula>0.0001</formula>
    </cfRule>
    <cfRule type="cellIs" dxfId="1" priority="5" operator="greaterThan">
      <formula>0.25</formula>
    </cfRule>
    <cfRule type="cellIs" dxfId="0" priority="6" operator="between">
      <formula>0.15</formula>
      <formula>0.25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workbookViewId="0">
      <selection activeCell="H16" sqref="H16"/>
    </sheetView>
  </sheetViews>
  <sheetFormatPr baseColWidth="10" defaultRowHeight="15" x14ac:dyDescent="0.25"/>
  <cols>
    <col min="4" max="4" width="15.7109375" customWidth="1"/>
  </cols>
  <sheetData>
    <row r="1" spans="1:4" x14ac:dyDescent="0.25">
      <c r="A1" t="s">
        <v>133</v>
      </c>
    </row>
    <row r="2" spans="1:4" x14ac:dyDescent="0.25">
      <c r="D2" t="s">
        <v>208</v>
      </c>
    </row>
    <row r="3" spans="1:4" x14ac:dyDescent="0.25">
      <c r="A3" t="s">
        <v>132</v>
      </c>
    </row>
    <row r="4" spans="1:4" x14ac:dyDescent="0.25">
      <c r="D4" t="s">
        <v>209</v>
      </c>
    </row>
    <row r="5" spans="1:4" x14ac:dyDescent="0.25">
      <c r="A5" t="s">
        <v>134</v>
      </c>
    </row>
    <row r="6" spans="1:4" x14ac:dyDescent="0.25">
      <c r="D6" t="s">
        <v>210</v>
      </c>
    </row>
    <row r="7" spans="1:4" x14ac:dyDescent="0.25">
      <c r="A7" t="s">
        <v>135</v>
      </c>
    </row>
    <row r="8" spans="1:4" x14ac:dyDescent="0.25">
      <c r="D8" t="s">
        <v>211</v>
      </c>
    </row>
    <row r="9" spans="1:4" x14ac:dyDescent="0.25">
      <c r="A9" t="s">
        <v>136</v>
      </c>
    </row>
    <row r="10" spans="1:4" x14ac:dyDescent="0.25">
      <c r="D10" t="s">
        <v>212</v>
      </c>
    </row>
    <row r="11" spans="1:4" x14ac:dyDescent="0.25">
      <c r="A11" t="s">
        <v>137</v>
      </c>
    </row>
    <row r="12" spans="1:4" x14ac:dyDescent="0.25">
      <c r="D12" t="s">
        <v>213</v>
      </c>
    </row>
    <row r="13" spans="1:4" x14ac:dyDescent="0.25">
      <c r="A13" t="s">
        <v>138</v>
      </c>
    </row>
    <row r="14" spans="1:4" x14ac:dyDescent="0.25">
      <c r="D14" t="s">
        <v>214</v>
      </c>
    </row>
    <row r="15" spans="1:4" x14ac:dyDescent="0.25">
      <c r="A15" t="s">
        <v>201</v>
      </c>
    </row>
    <row r="16" spans="1:4" x14ac:dyDescent="0.25">
      <c r="D16" t="s">
        <v>215</v>
      </c>
    </row>
    <row r="17" spans="1:4" x14ac:dyDescent="0.25">
      <c r="A17" t="s">
        <v>202</v>
      </c>
    </row>
    <row r="18" spans="1:4" x14ac:dyDescent="0.25">
      <c r="D18" t="s">
        <v>216</v>
      </c>
    </row>
    <row r="19" spans="1:4" x14ac:dyDescent="0.25">
      <c r="A19" t="s">
        <v>203</v>
      </c>
    </row>
    <row r="20" spans="1:4" x14ac:dyDescent="0.25">
      <c r="D20" t="s">
        <v>217</v>
      </c>
    </row>
    <row r="21" spans="1:4" x14ac:dyDescent="0.25">
      <c r="A21" t="s">
        <v>204</v>
      </c>
    </row>
    <row r="22" spans="1:4" x14ac:dyDescent="0.25">
      <c r="D22" t="s">
        <v>218</v>
      </c>
    </row>
    <row r="23" spans="1:4" x14ac:dyDescent="0.25">
      <c r="A23" t="s">
        <v>205</v>
      </c>
    </row>
    <row r="24" spans="1:4" x14ac:dyDescent="0.25">
      <c r="D24" t="s">
        <v>219</v>
      </c>
    </row>
    <row r="25" spans="1:4" x14ac:dyDescent="0.25">
      <c r="A25" t="s">
        <v>206</v>
      </c>
    </row>
    <row r="26" spans="1:4" x14ac:dyDescent="0.25">
      <c r="D26" t="s">
        <v>220</v>
      </c>
    </row>
    <row r="27" spans="1:4" x14ac:dyDescent="0.25">
      <c r="A27" t="s">
        <v>144</v>
      </c>
    </row>
    <row r="28" spans="1:4" x14ac:dyDescent="0.25">
      <c r="D28" t="s">
        <v>221</v>
      </c>
    </row>
    <row r="29" spans="1:4" x14ac:dyDescent="0.25">
      <c r="A29" t="s">
        <v>145</v>
      </c>
    </row>
    <row r="30" spans="1:4" x14ac:dyDescent="0.25">
      <c r="D30" t="s">
        <v>222</v>
      </c>
    </row>
    <row r="31" spans="1:4" x14ac:dyDescent="0.25">
      <c r="A31" t="s">
        <v>146</v>
      </c>
    </row>
    <row r="32" spans="1:4" x14ac:dyDescent="0.25">
      <c r="D32" t="s">
        <v>223</v>
      </c>
    </row>
    <row r="33" spans="1:4" x14ac:dyDescent="0.25">
      <c r="A33" t="s">
        <v>147</v>
      </c>
    </row>
    <row r="34" spans="1:4" x14ac:dyDescent="0.25">
      <c r="D34" t="s">
        <v>224</v>
      </c>
    </row>
    <row r="35" spans="1:4" x14ac:dyDescent="0.25">
      <c r="A35" t="s">
        <v>148</v>
      </c>
    </row>
    <row r="36" spans="1:4" x14ac:dyDescent="0.25">
      <c r="D36" t="s">
        <v>225</v>
      </c>
    </row>
    <row r="37" spans="1:4" x14ac:dyDescent="0.25">
      <c r="A37" t="s">
        <v>149</v>
      </c>
    </row>
    <row r="38" spans="1:4" x14ac:dyDescent="0.25">
      <c r="D38" t="s">
        <v>226</v>
      </c>
    </row>
    <row r="39" spans="1:4" x14ac:dyDescent="0.25">
      <c r="A39" t="s">
        <v>150</v>
      </c>
    </row>
    <row r="40" spans="1:4" x14ac:dyDescent="0.25">
      <c r="D40" t="s">
        <v>227</v>
      </c>
    </row>
    <row r="41" spans="1:4" x14ac:dyDescent="0.25">
      <c r="A41" t="s">
        <v>151</v>
      </c>
    </row>
    <row r="42" spans="1:4" x14ac:dyDescent="0.25">
      <c r="D42" t="s">
        <v>228</v>
      </c>
    </row>
    <row r="43" spans="1:4" x14ac:dyDescent="0.25">
      <c r="A43" t="s">
        <v>199</v>
      </c>
    </row>
    <row r="44" spans="1:4" x14ac:dyDescent="0.25">
      <c r="D44" t="s">
        <v>229</v>
      </c>
    </row>
    <row r="45" spans="1:4" x14ac:dyDescent="0.25">
      <c r="A45" t="s">
        <v>152</v>
      </c>
    </row>
    <row r="46" spans="1:4" x14ac:dyDescent="0.25">
      <c r="D46" t="s">
        <v>230</v>
      </c>
    </row>
    <row r="47" spans="1:4" x14ac:dyDescent="0.25">
      <c r="A47" t="s">
        <v>153</v>
      </c>
    </row>
    <row r="48" spans="1:4" x14ac:dyDescent="0.25">
      <c r="D48" t="s">
        <v>231</v>
      </c>
    </row>
    <row r="49" spans="1:4" x14ac:dyDescent="0.25">
      <c r="A49" t="s">
        <v>154</v>
      </c>
    </row>
    <row r="50" spans="1:4" x14ac:dyDescent="0.25">
      <c r="D50" t="s">
        <v>232</v>
      </c>
    </row>
    <row r="51" spans="1:4" x14ac:dyDescent="0.25">
      <c r="A51" t="s">
        <v>155</v>
      </c>
    </row>
    <row r="52" spans="1:4" x14ac:dyDescent="0.25">
      <c r="D52" t="s">
        <v>233</v>
      </c>
    </row>
    <row r="53" spans="1:4" x14ac:dyDescent="0.25">
      <c r="A53" t="s">
        <v>156</v>
      </c>
    </row>
    <row r="54" spans="1:4" x14ac:dyDescent="0.25">
      <c r="D54" t="s">
        <v>234</v>
      </c>
    </row>
    <row r="55" spans="1:4" x14ac:dyDescent="0.25">
      <c r="A55" t="s">
        <v>157</v>
      </c>
    </row>
    <row r="56" spans="1:4" x14ac:dyDescent="0.25">
      <c r="D56">
        <v>1</v>
      </c>
    </row>
    <row r="57" spans="1:4" x14ac:dyDescent="0.25">
      <c r="A57" t="s">
        <v>158</v>
      </c>
    </row>
    <row r="58" spans="1:4" x14ac:dyDescent="0.25">
      <c r="D58" t="s">
        <v>235</v>
      </c>
    </row>
    <row r="59" spans="1:4" x14ac:dyDescent="0.25">
      <c r="A59" t="s">
        <v>159</v>
      </c>
    </row>
    <row r="60" spans="1:4" x14ac:dyDescent="0.25">
      <c r="D60" t="s">
        <v>236</v>
      </c>
    </row>
    <row r="61" spans="1:4" x14ac:dyDescent="0.25">
      <c r="A61" t="s">
        <v>160</v>
      </c>
    </row>
    <row r="62" spans="1:4" x14ac:dyDescent="0.25">
      <c r="D62" t="s">
        <v>237</v>
      </c>
    </row>
    <row r="63" spans="1:4" x14ac:dyDescent="0.25">
      <c r="A63" t="s">
        <v>161</v>
      </c>
    </row>
    <row r="64" spans="1:4" x14ac:dyDescent="0.25">
      <c r="D64" t="s">
        <v>238</v>
      </c>
    </row>
    <row r="65" spans="1:4" x14ac:dyDescent="0.25">
      <c r="A65" t="s">
        <v>162</v>
      </c>
    </row>
    <row r="66" spans="1:4" x14ac:dyDescent="0.25">
      <c r="D66" t="s">
        <v>239</v>
      </c>
    </row>
    <row r="67" spans="1:4" x14ac:dyDescent="0.25">
      <c r="A67" t="s">
        <v>163</v>
      </c>
    </row>
    <row r="68" spans="1:4" x14ac:dyDescent="0.25">
      <c r="D68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Ressources</vt:lpstr>
      <vt:lpstr>Trophées</vt:lpstr>
      <vt:lpstr>Comparatifs</vt:lpstr>
      <vt:lpstr>Ressources Idoles</vt:lpstr>
      <vt:lpstr>Idoles</vt:lpstr>
      <vt:lpstr>Comparatifs Idoles</vt:lpstr>
      <vt:lpstr>Taverne</vt:lpstr>
      <vt:lpstr>Runes</vt:lpstr>
      <vt:lpstr>Raw</vt:lpstr>
      <vt:lpstr>rose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 Greenlamp</cp:lastModifiedBy>
  <dcterms:created xsi:type="dcterms:W3CDTF">2017-10-14T13:58:45Z</dcterms:created>
  <dcterms:modified xsi:type="dcterms:W3CDTF">2021-02-20T12:04:13Z</dcterms:modified>
</cp:coreProperties>
</file>