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4915" windowHeight="12270" activeTab="9"/>
  </bookViews>
  <sheets>
    <sheet name="Ressources" sheetId="1" r:id="rId1"/>
    <sheet name="Trophées" sheetId="2" r:id="rId2"/>
    <sheet name="Comparatifs" sheetId="3" r:id="rId3"/>
    <sheet name="Ressources Idoles" sheetId="6" r:id="rId4"/>
    <sheet name="Idoles" sheetId="4" r:id="rId5"/>
    <sheet name="Comparatifs Idoles" sheetId="5" r:id="rId6"/>
    <sheet name="Taverne" sheetId="7" r:id="rId7"/>
    <sheet name="Runes" sheetId="8" r:id="rId8"/>
    <sheet name="Raw" sheetId="12" r:id="rId9"/>
    <sheet name="rose" sheetId="11" r:id="rId10"/>
    <sheet name="Feuil1" sheetId="13" r:id="rId11"/>
  </sheets>
  <calcPr calcId="145621"/>
</workbook>
</file>

<file path=xl/calcChain.xml><?xml version="1.0" encoding="utf-8"?>
<calcChain xmlns="http://schemas.openxmlformats.org/spreadsheetml/2006/main">
  <c r="F26" i="8" l="1"/>
  <c r="F27" i="8" l="1"/>
  <c r="K4" i="11"/>
  <c r="F24" i="8"/>
  <c r="F28" i="8" l="1"/>
  <c r="D10" i="11"/>
  <c r="C24" i="11" l="1"/>
  <c r="B24" i="11"/>
  <c r="B23" i="11"/>
  <c r="J4" i="11"/>
  <c r="F4" i="11" l="1"/>
  <c r="F15" i="11" l="1"/>
  <c r="E15" i="11"/>
  <c r="D15" i="11"/>
  <c r="G15" i="11"/>
  <c r="F3" i="13" l="1"/>
  <c r="F4" i="13"/>
  <c r="F5" i="13"/>
  <c r="F7" i="13"/>
  <c r="F8" i="13"/>
  <c r="F9" i="13"/>
  <c r="F2" i="13"/>
  <c r="C39" i="8" l="1"/>
  <c r="C11" i="8"/>
  <c r="F11" i="8" s="1"/>
  <c r="C38" i="8" l="1"/>
  <c r="C37" i="8"/>
  <c r="C36" i="8"/>
  <c r="C35" i="8"/>
  <c r="C34" i="8"/>
  <c r="C33" i="8"/>
  <c r="C32" i="8"/>
  <c r="C30" i="8"/>
  <c r="C29" i="8"/>
  <c r="C28" i="8"/>
  <c r="C27" i="8"/>
  <c r="C26" i="8"/>
  <c r="I12" i="8" s="1"/>
  <c r="C25" i="8"/>
  <c r="C24" i="8"/>
  <c r="C23" i="8"/>
  <c r="C22" i="8"/>
  <c r="C21" i="8"/>
  <c r="C20" i="8"/>
  <c r="C19" i="8"/>
  <c r="C18" i="8"/>
  <c r="C16" i="8"/>
  <c r="C15" i="8"/>
  <c r="C14" i="8"/>
  <c r="C13" i="8"/>
  <c r="C12" i="8"/>
  <c r="F12" i="8" s="1"/>
  <c r="G12" i="8" s="1"/>
  <c r="C10" i="8"/>
  <c r="C9" i="8"/>
  <c r="C8" i="8"/>
  <c r="C7" i="8"/>
  <c r="C6" i="8"/>
  <c r="F6" i="8" s="1"/>
  <c r="C5" i="8"/>
  <c r="F5" i="8" s="1"/>
  <c r="C4" i="8"/>
  <c r="F4" i="8" s="1"/>
  <c r="K12" i="8" l="1"/>
  <c r="M12" i="8" s="1"/>
  <c r="L12" i="8"/>
  <c r="I10" i="11"/>
  <c r="H10" i="11"/>
  <c r="G10" i="11"/>
  <c r="F10" i="11"/>
  <c r="E10" i="11"/>
  <c r="E6" i="11"/>
  <c r="C6" i="11"/>
  <c r="J5" i="11"/>
  <c r="I4" i="11"/>
  <c r="I5" i="11" s="1"/>
  <c r="H4" i="11"/>
  <c r="H5" i="11" s="1"/>
  <c r="G4" i="11"/>
  <c r="G5" i="11" s="1"/>
  <c r="F5" i="11"/>
  <c r="E4" i="11"/>
  <c r="E5" i="11" s="1"/>
  <c r="D4" i="11"/>
  <c r="D5" i="11" s="1"/>
  <c r="J5" i="8" l="1"/>
  <c r="J6" i="8"/>
  <c r="J7" i="8"/>
  <c r="J8" i="8"/>
  <c r="J9" i="8"/>
  <c r="J10" i="8"/>
  <c r="J11" i="8"/>
  <c r="J4" i="8"/>
  <c r="I5" i="8"/>
  <c r="I6" i="8"/>
  <c r="I7" i="8"/>
  <c r="I8" i="8"/>
  <c r="I9" i="8"/>
  <c r="I10" i="8"/>
  <c r="I11" i="8"/>
  <c r="I13" i="8"/>
  <c r="I14" i="8"/>
  <c r="I15" i="8"/>
  <c r="I16" i="8"/>
  <c r="I4" i="8"/>
  <c r="G6" i="8"/>
  <c r="F7" i="8"/>
  <c r="G7" i="8" s="1"/>
  <c r="F8" i="8"/>
  <c r="G8" i="8" s="1"/>
  <c r="F9" i="8"/>
  <c r="G9" i="8" s="1"/>
  <c r="H9" i="8" s="1"/>
  <c r="F10" i="8"/>
  <c r="G10" i="8" s="1"/>
  <c r="H10" i="8" s="1"/>
  <c r="G11" i="8"/>
  <c r="F13" i="8"/>
  <c r="G13" i="8" s="1"/>
  <c r="F14" i="8"/>
  <c r="G14" i="8" s="1"/>
  <c r="F15" i="8"/>
  <c r="G15" i="8" s="1"/>
  <c r="F16" i="8"/>
  <c r="G16" i="8" s="1"/>
  <c r="G5" i="8"/>
  <c r="G4" i="8"/>
  <c r="K13" i="8" l="1"/>
  <c r="M13" i="8" s="1"/>
  <c r="K10" i="8"/>
  <c r="M10" i="8" s="1"/>
  <c r="N10" i="8"/>
  <c r="O10" i="8" s="1"/>
  <c r="K4" i="8"/>
  <c r="M4" i="8" s="1"/>
  <c r="K8" i="8"/>
  <c r="M8" i="8" s="1"/>
  <c r="K9" i="8"/>
  <c r="M9" i="8" s="1"/>
  <c r="K16" i="8"/>
  <c r="M16" i="8" s="1"/>
  <c r="K7" i="8"/>
  <c r="M7" i="8" s="1"/>
  <c r="K15" i="8"/>
  <c r="M15" i="8" s="1"/>
  <c r="K6" i="8"/>
  <c r="M6" i="8" s="1"/>
  <c r="N9" i="8"/>
  <c r="O9" i="8" s="1"/>
  <c r="K14" i="8"/>
  <c r="M14" i="8" s="1"/>
  <c r="K5" i="8"/>
  <c r="M5" i="8" s="1"/>
  <c r="H11" i="8"/>
  <c r="N11" i="8" s="1"/>
  <c r="O11" i="8" s="1"/>
  <c r="K11" i="8"/>
  <c r="M11" i="8" s="1"/>
  <c r="P10" i="8"/>
  <c r="L11" i="8"/>
  <c r="L16" i="8"/>
  <c r="L15" i="8"/>
  <c r="L14" i="8"/>
  <c r="L13" i="8"/>
  <c r="L10" i="8"/>
  <c r="P9" i="8"/>
  <c r="L9" i="8"/>
  <c r="H8" i="8"/>
  <c r="N8" i="8" s="1"/>
  <c r="L8" i="8"/>
  <c r="H7" i="8"/>
  <c r="N7" i="8" s="1"/>
  <c r="L7" i="8"/>
  <c r="H6" i="8"/>
  <c r="N6" i="8" s="1"/>
  <c r="L6" i="8"/>
  <c r="H5" i="8"/>
  <c r="N5" i="8" s="1"/>
  <c r="L5" i="8"/>
  <c r="H4" i="8"/>
  <c r="N4" i="8" s="1"/>
  <c r="L4" i="8"/>
  <c r="J36" i="3"/>
  <c r="J37" i="3"/>
  <c r="J38" i="3"/>
  <c r="B90" i="2"/>
  <c r="B93" i="2" s="1"/>
  <c r="O96" i="2"/>
  <c r="O95" i="2"/>
  <c r="J96" i="2"/>
  <c r="E96" i="2"/>
  <c r="J95" i="2"/>
  <c r="E97" i="2"/>
  <c r="N96" i="2"/>
  <c r="N95" i="2"/>
  <c r="I96" i="2"/>
  <c r="I95" i="2"/>
  <c r="D97" i="2"/>
  <c r="D96" i="2"/>
  <c r="C38" i="3"/>
  <c r="C37" i="3"/>
  <c r="C36" i="3"/>
  <c r="D98" i="2"/>
  <c r="I97" i="2"/>
  <c r="P11" i="8" l="1"/>
  <c r="P8" i="8"/>
  <c r="O8" i="8"/>
  <c r="P7" i="8"/>
  <c r="O7" i="8"/>
  <c r="P6" i="8"/>
  <c r="O6" i="8"/>
  <c r="P5" i="8"/>
  <c r="O5" i="8"/>
  <c r="P4" i="8"/>
  <c r="O4" i="8"/>
  <c r="B92" i="2"/>
  <c r="B94" i="2"/>
  <c r="B95" i="2"/>
  <c r="B98" i="2"/>
  <c r="G90" i="2" s="1"/>
  <c r="B91" i="2"/>
  <c r="B96" i="2"/>
  <c r="B70" i="1" s="1"/>
  <c r="B97" i="2"/>
  <c r="B71" i="1" s="1"/>
  <c r="D64" i="1"/>
  <c r="E85" i="2" s="1"/>
  <c r="D68" i="1"/>
  <c r="O84" i="2" s="1"/>
  <c r="D67" i="1"/>
  <c r="J85" i="2" s="1"/>
  <c r="J33" i="3"/>
  <c r="J34" i="3"/>
  <c r="J35" i="3"/>
  <c r="B79" i="2"/>
  <c r="B81" i="2" s="1"/>
  <c r="C35" i="3"/>
  <c r="C34" i="3"/>
  <c r="C33" i="3"/>
  <c r="O85" i="2"/>
  <c r="J84" i="2"/>
  <c r="E86" i="2"/>
  <c r="N85" i="2"/>
  <c r="N84" i="2"/>
  <c r="I85" i="2"/>
  <c r="I84" i="2"/>
  <c r="D86" i="2"/>
  <c r="D85" i="2"/>
  <c r="D87" i="2"/>
  <c r="I86" i="2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12" i="3"/>
  <c r="B68" i="2"/>
  <c r="B70" i="2" s="1"/>
  <c r="C32" i="3"/>
  <c r="C31" i="3"/>
  <c r="C30" i="3"/>
  <c r="O74" i="2"/>
  <c r="O73" i="2"/>
  <c r="J74" i="2"/>
  <c r="J73" i="2"/>
  <c r="E75" i="2"/>
  <c r="E74" i="2"/>
  <c r="N74" i="2"/>
  <c r="N73" i="2"/>
  <c r="I74" i="2"/>
  <c r="I73" i="2"/>
  <c r="D75" i="2"/>
  <c r="D74" i="2"/>
  <c r="D76" i="2"/>
  <c r="I75" i="2"/>
  <c r="D51" i="1"/>
  <c r="D50" i="1"/>
  <c r="D37" i="1"/>
  <c r="D36" i="1"/>
  <c r="D33" i="1"/>
  <c r="D28" i="1"/>
  <c r="G97" i="2" l="1"/>
  <c r="L90" i="2" s="1"/>
  <c r="G96" i="2"/>
  <c r="B16" i="1" s="1"/>
  <c r="G94" i="2"/>
  <c r="G95" i="2"/>
  <c r="B72" i="1" s="1"/>
  <c r="G93" i="2"/>
  <c r="G92" i="2"/>
  <c r="G91" i="2"/>
  <c r="B82" i="2"/>
  <c r="B83" i="2"/>
  <c r="B85" i="2"/>
  <c r="B64" i="1" s="1"/>
  <c r="B84" i="2"/>
  <c r="B87" i="2"/>
  <c r="G79" i="2" s="1"/>
  <c r="B80" i="2"/>
  <c r="B86" i="2"/>
  <c r="B65" i="1" s="1"/>
  <c r="B71" i="2"/>
  <c r="B72" i="2"/>
  <c r="B73" i="2"/>
  <c r="B76" i="2"/>
  <c r="G68" i="2" s="1"/>
  <c r="B75" i="2"/>
  <c r="B59" i="1" s="1"/>
  <c r="B69" i="2"/>
  <c r="B74" i="2"/>
  <c r="B26" i="1" s="1"/>
  <c r="E28" i="7"/>
  <c r="E27" i="7"/>
  <c r="E26" i="7"/>
  <c r="E25" i="7"/>
  <c r="E24" i="7"/>
  <c r="E23" i="7"/>
  <c r="E22" i="7"/>
  <c r="E21" i="7"/>
  <c r="B20" i="7"/>
  <c r="B23" i="7" s="1"/>
  <c r="C36" i="7" s="1"/>
  <c r="H11" i="7"/>
  <c r="D28" i="7"/>
  <c r="D27" i="7"/>
  <c r="D26" i="7"/>
  <c r="D25" i="7"/>
  <c r="D24" i="7"/>
  <c r="D23" i="7"/>
  <c r="D22" i="7"/>
  <c r="D21" i="7"/>
  <c r="H10" i="7"/>
  <c r="L94" i="2" l="1"/>
  <c r="L93" i="2"/>
  <c r="L92" i="2"/>
  <c r="L91" i="2"/>
  <c r="L95" i="2"/>
  <c r="B73" i="1" s="1"/>
  <c r="L96" i="2"/>
  <c r="B74" i="1" s="1"/>
  <c r="G86" i="2"/>
  <c r="L79" i="2" s="1"/>
  <c r="G84" i="2"/>
  <c r="B66" i="1" s="1"/>
  <c r="G83" i="2"/>
  <c r="G85" i="2"/>
  <c r="B67" i="1" s="1"/>
  <c r="G81" i="2"/>
  <c r="G80" i="2"/>
  <c r="G82" i="2"/>
  <c r="G75" i="2"/>
  <c r="L68" i="2" s="1"/>
  <c r="G73" i="2"/>
  <c r="B60" i="1" s="1"/>
  <c r="G74" i="2"/>
  <c r="B61" i="1" s="1"/>
  <c r="G72" i="2"/>
  <c r="G71" i="2"/>
  <c r="G70" i="2"/>
  <c r="G69" i="2"/>
  <c r="B28" i="7"/>
  <c r="C45" i="7" s="1"/>
  <c r="E29" i="7"/>
  <c r="I11" i="7" s="1"/>
  <c r="K11" i="7" s="1"/>
  <c r="B24" i="7"/>
  <c r="C38" i="7" s="1"/>
  <c r="B27" i="7"/>
  <c r="C44" i="7" s="1"/>
  <c r="B26" i="7"/>
  <c r="C43" i="7" s="1"/>
  <c r="B22" i="7"/>
  <c r="C34" i="7" s="1"/>
  <c r="B25" i="7"/>
  <c r="C42" i="7" s="1"/>
  <c r="B21" i="7"/>
  <c r="D4" i="7"/>
  <c r="B10" i="7"/>
  <c r="E35" i="7"/>
  <c r="E12" i="7" s="1"/>
  <c r="E10" i="7"/>
  <c r="E13" i="7"/>
  <c r="E14" i="7"/>
  <c r="E15" i="7"/>
  <c r="E16" i="7"/>
  <c r="E17" i="7"/>
  <c r="E11" i="7"/>
  <c r="D16" i="7"/>
  <c r="D15" i="7"/>
  <c r="D14" i="7"/>
  <c r="D13" i="7"/>
  <c r="D12" i="7"/>
  <c r="D11" i="7"/>
  <c r="D10" i="7"/>
  <c r="L83" i="2" l="1"/>
  <c r="L81" i="2"/>
  <c r="L80" i="2"/>
  <c r="L82" i="2"/>
  <c r="L85" i="2"/>
  <c r="B69" i="1" s="1"/>
  <c r="L84" i="2"/>
  <c r="B68" i="1" s="1"/>
  <c r="L72" i="2"/>
  <c r="L71" i="2"/>
  <c r="L70" i="2"/>
  <c r="L69" i="2"/>
  <c r="L74" i="2"/>
  <c r="B63" i="1" s="1"/>
  <c r="L73" i="2"/>
  <c r="B62" i="1" s="1"/>
  <c r="C32" i="7"/>
  <c r="B14" i="7"/>
  <c r="C39" i="7" s="1"/>
  <c r="B11" i="7"/>
  <c r="C33" i="7" s="1"/>
  <c r="B12" i="7"/>
  <c r="C35" i="7" s="1"/>
  <c r="B13" i="7"/>
  <c r="C37" i="7" s="1"/>
  <c r="B16" i="7"/>
  <c r="C41" i="7" s="1"/>
  <c r="E18" i="7"/>
  <c r="I10" i="7" s="1"/>
  <c r="I8" i="7" s="1"/>
  <c r="B15" i="7"/>
  <c r="C40" i="7" s="1"/>
  <c r="B2" i="2"/>
  <c r="O8" i="2"/>
  <c r="O7" i="2"/>
  <c r="O6" i="2"/>
  <c r="N8" i="2"/>
  <c r="N7" i="2"/>
  <c r="N6" i="2"/>
  <c r="J8" i="2"/>
  <c r="J7" i="2"/>
  <c r="J6" i="2"/>
  <c r="I8" i="2"/>
  <c r="I7" i="2"/>
  <c r="I6" i="2"/>
  <c r="E8" i="2"/>
  <c r="D8" i="2"/>
  <c r="K10" i="7" l="1"/>
  <c r="K8" i="7" s="1"/>
  <c r="D5" i="7"/>
  <c r="E9" i="2"/>
  <c r="E7" i="2"/>
  <c r="E6" i="2"/>
  <c r="D9" i="2"/>
  <c r="D7" i="2"/>
  <c r="D6" i="2"/>
  <c r="B7" i="2"/>
  <c r="B55" i="1" s="1"/>
  <c r="B3" i="2"/>
  <c r="C29" i="3"/>
  <c r="C28" i="3"/>
  <c r="C27" i="3"/>
  <c r="D10" i="2"/>
  <c r="I9" i="2"/>
  <c r="B10" i="2"/>
  <c r="D6" i="7" l="1"/>
  <c r="G2" i="2"/>
  <c r="G4" i="2" s="1"/>
  <c r="B4" i="2"/>
  <c r="B5" i="2"/>
  <c r="B6" i="2"/>
  <c r="B54" i="1" s="1"/>
  <c r="B8" i="2"/>
  <c r="B7" i="1" s="1"/>
  <c r="B9" i="2"/>
  <c r="B56" i="1" s="1"/>
  <c r="G2" i="4"/>
  <c r="G10" i="4" s="1"/>
  <c r="B18" i="6" s="1"/>
  <c r="D5" i="6"/>
  <c r="D4" i="6"/>
  <c r="D7" i="6"/>
  <c r="D2" i="6"/>
  <c r="G9" i="2" l="1"/>
  <c r="L2" i="2" s="1"/>
  <c r="L5" i="2" s="1"/>
  <c r="G5" i="2"/>
  <c r="G6" i="2"/>
  <c r="B57" i="1" s="1"/>
  <c r="G7" i="2"/>
  <c r="B8" i="1" s="1"/>
  <c r="G8" i="2"/>
  <c r="B9" i="1" s="1"/>
  <c r="G3" i="2"/>
  <c r="L8" i="2"/>
  <c r="B58" i="1" s="1"/>
  <c r="L7" i="2"/>
  <c r="L6" i="2"/>
  <c r="E9" i="4"/>
  <c r="E8" i="4"/>
  <c r="E7" i="4"/>
  <c r="E6" i="4"/>
  <c r="E5" i="4"/>
  <c r="E4" i="4"/>
  <c r="E3" i="4"/>
  <c r="D9" i="4"/>
  <c r="D8" i="4"/>
  <c r="D7" i="4"/>
  <c r="D6" i="4"/>
  <c r="D5" i="4"/>
  <c r="D4" i="4"/>
  <c r="D3" i="4"/>
  <c r="B2" i="4"/>
  <c r="B4" i="4" s="1"/>
  <c r="B11" i="6" s="1"/>
  <c r="C12" i="5"/>
  <c r="D4" i="5"/>
  <c r="B57" i="2"/>
  <c r="B59" i="2" s="1"/>
  <c r="C26" i="3"/>
  <c r="C25" i="3"/>
  <c r="C24" i="3"/>
  <c r="E64" i="2"/>
  <c r="E63" i="2"/>
  <c r="D64" i="2"/>
  <c r="D63" i="2"/>
  <c r="J63" i="2"/>
  <c r="J62" i="2"/>
  <c r="I62" i="2"/>
  <c r="I63" i="2"/>
  <c r="O63" i="2"/>
  <c r="O62" i="2"/>
  <c r="N63" i="2"/>
  <c r="N62" i="2"/>
  <c r="I64" i="2"/>
  <c r="D65" i="2"/>
  <c r="L3" i="2" l="1"/>
  <c r="L4" i="2"/>
  <c r="B10" i="1"/>
  <c r="B11" i="1"/>
  <c r="B8" i="4"/>
  <c r="B14" i="6" s="1"/>
  <c r="B9" i="4"/>
  <c r="B15" i="6" s="1"/>
  <c r="B3" i="4"/>
  <c r="E11" i="4"/>
  <c r="D12" i="5" s="1"/>
  <c r="H12" i="5" s="1"/>
  <c r="O11" i="4"/>
  <c r="J11" i="4" s="1"/>
  <c r="B5" i="4"/>
  <c r="B6" i="4"/>
  <c r="B3" i="6" s="1"/>
  <c r="B7" i="4"/>
  <c r="B9" i="6" s="1"/>
  <c r="B63" i="2"/>
  <c r="B49" i="1" s="1"/>
  <c r="B60" i="2"/>
  <c r="B61" i="2"/>
  <c r="B62" i="2"/>
  <c r="B65" i="2"/>
  <c r="G57" i="2" s="1"/>
  <c r="B58" i="2"/>
  <c r="B64" i="2"/>
  <c r="B50" i="1" s="1"/>
  <c r="D4" i="3"/>
  <c r="B46" i="2"/>
  <c r="B48" i="2" s="1"/>
  <c r="O52" i="2"/>
  <c r="O51" i="2"/>
  <c r="N52" i="2"/>
  <c r="N51" i="2"/>
  <c r="J52" i="2"/>
  <c r="J51" i="2"/>
  <c r="I52" i="2"/>
  <c r="I51" i="2"/>
  <c r="I53" i="2"/>
  <c r="D54" i="2"/>
  <c r="E53" i="2"/>
  <c r="E52" i="2"/>
  <c r="D53" i="2"/>
  <c r="D52" i="2"/>
  <c r="C23" i="3"/>
  <c r="C22" i="3"/>
  <c r="C21" i="3"/>
  <c r="B35" i="2"/>
  <c r="B38" i="2" s="1"/>
  <c r="E42" i="2"/>
  <c r="E41" i="2"/>
  <c r="J41" i="2"/>
  <c r="J40" i="2"/>
  <c r="O41" i="2"/>
  <c r="O40" i="2"/>
  <c r="N41" i="2"/>
  <c r="N40" i="2"/>
  <c r="I41" i="2"/>
  <c r="I40" i="2"/>
  <c r="D42" i="2"/>
  <c r="D41" i="2"/>
  <c r="I42" i="2"/>
  <c r="D43" i="2"/>
  <c r="C20" i="3"/>
  <c r="C19" i="3"/>
  <c r="C18" i="3"/>
  <c r="F12" i="5" l="1"/>
  <c r="G12" i="5"/>
  <c r="I12" i="5" s="1"/>
  <c r="B49" i="2"/>
  <c r="G5" i="4"/>
  <c r="B4" i="6" s="1"/>
  <c r="G4" i="4"/>
  <c r="B2" i="6" s="1"/>
  <c r="G7" i="4"/>
  <c r="B12" i="6" s="1"/>
  <c r="G3" i="4"/>
  <c r="B7" i="6" s="1"/>
  <c r="G8" i="4"/>
  <c r="B16" i="6" s="1"/>
  <c r="G9" i="4"/>
  <c r="G6" i="4"/>
  <c r="B5" i="6" s="1"/>
  <c r="B51" i="2"/>
  <c r="G64" i="2"/>
  <c r="L57" i="2" s="1"/>
  <c r="G61" i="2"/>
  <c r="G63" i="2"/>
  <c r="B51" i="1" s="1"/>
  <c r="G62" i="2"/>
  <c r="B53" i="1" s="1"/>
  <c r="G60" i="2"/>
  <c r="G59" i="2"/>
  <c r="G58" i="2"/>
  <c r="B53" i="2"/>
  <c r="B48" i="1" s="1"/>
  <c r="B37" i="2"/>
  <c r="B54" i="2"/>
  <c r="G46" i="2" s="1"/>
  <c r="G49" i="2" s="1"/>
  <c r="B47" i="2"/>
  <c r="B52" i="2"/>
  <c r="B47" i="1" s="1"/>
  <c r="B50" i="2"/>
  <c r="B40" i="2"/>
  <c r="B43" i="2"/>
  <c r="B39" i="2"/>
  <c r="B42" i="2"/>
  <c r="B43" i="1" s="1"/>
  <c r="B36" i="2"/>
  <c r="B41" i="2"/>
  <c r="B44" i="1" s="1"/>
  <c r="E31" i="2"/>
  <c r="E30" i="2"/>
  <c r="E29" i="2"/>
  <c r="E40" i="2" s="1"/>
  <c r="E51" i="2" s="1"/>
  <c r="E62" i="2" s="1"/>
  <c r="E28" i="2"/>
  <c r="E39" i="2" s="1"/>
  <c r="E50" i="2" s="1"/>
  <c r="E61" i="2" s="1"/>
  <c r="E72" i="2" s="1"/>
  <c r="E83" i="2" s="1"/>
  <c r="E94" i="2" s="1"/>
  <c r="E27" i="2"/>
  <c r="E38" i="2" s="1"/>
  <c r="E49" i="2" s="1"/>
  <c r="E60" i="2" s="1"/>
  <c r="E26" i="2"/>
  <c r="E37" i="2" s="1"/>
  <c r="E48" i="2" s="1"/>
  <c r="E59" i="2" s="1"/>
  <c r="E25" i="2"/>
  <c r="D32" i="2"/>
  <c r="D31" i="2"/>
  <c r="D30" i="2"/>
  <c r="D29" i="2"/>
  <c r="D40" i="2" s="1"/>
  <c r="D51" i="2" s="1"/>
  <c r="D62" i="2" s="1"/>
  <c r="D28" i="2"/>
  <c r="D39" i="2" s="1"/>
  <c r="D50" i="2" s="1"/>
  <c r="D61" i="2" s="1"/>
  <c r="D72" i="2" s="1"/>
  <c r="D83" i="2" s="1"/>
  <c r="D94" i="2" s="1"/>
  <c r="D27" i="2"/>
  <c r="D38" i="2" s="1"/>
  <c r="D49" i="2" s="1"/>
  <c r="D60" i="2" s="1"/>
  <c r="D26" i="2"/>
  <c r="D37" i="2" s="1"/>
  <c r="D48" i="2" s="1"/>
  <c r="D59" i="2" s="1"/>
  <c r="D25" i="2"/>
  <c r="D36" i="2" s="1"/>
  <c r="D47" i="2" s="1"/>
  <c r="D58" i="2" s="1"/>
  <c r="D69" i="2" s="1"/>
  <c r="D80" i="2" s="1"/>
  <c r="D91" i="2" s="1"/>
  <c r="I31" i="2"/>
  <c r="J30" i="2"/>
  <c r="J29" i="2"/>
  <c r="I30" i="2"/>
  <c r="I29" i="2"/>
  <c r="J28" i="2"/>
  <c r="J39" i="2" s="1"/>
  <c r="J50" i="2" s="1"/>
  <c r="J61" i="2" s="1"/>
  <c r="J72" i="2" s="1"/>
  <c r="J83" i="2" s="1"/>
  <c r="J94" i="2" s="1"/>
  <c r="I28" i="2"/>
  <c r="I39" i="2" s="1"/>
  <c r="I50" i="2" s="1"/>
  <c r="I61" i="2" s="1"/>
  <c r="I72" i="2" s="1"/>
  <c r="I83" i="2" s="1"/>
  <c r="I94" i="2" s="1"/>
  <c r="J27" i="2"/>
  <c r="J38" i="2" s="1"/>
  <c r="J49" i="2" s="1"/>
  <c r="J60" i="2" s="1"/>
  <c r="J26" i="2"/>
  <c r="J37" i="2" s="1"/>
  <c r="J48" i="2" s="1"/>
  <c r="J59" i="2" s="1"/>
  <c r="J25" i="2"/>
  <c r="J36" i="2" s="1"/>
  <c r="J47" i="2" s="1"/>
  <c r="J58" i="2" s="1"/>
  <c r="I27" i="2"/>
  <c r="I38" i="2" s="1"/>
  <c r="I49" i="2" s="1"/>
  <c r="I60" i="2" s="1"/>
  <c r="I26" i="2"/>
  <c r="I37" i="2" s="1"/>
  <c r="I48" i="2" s="1"/>
  <c r="I59" i="2" s="1"/>
  <c r="I25" i="2"/>
  <c r="I36" i="2" s="1"/>
  <c r="I47" i="2" s="1"/>
  <c r="I58" i="2" s="1"/>
  <c r="B24" i="2"/>
  <c r="B32" i="2" s="1"/>
  <c r="G24" i="2" s="1"/>
  <c r="C17" i="3"/>
  <c r="C16" i="3"/>
  <c r="C15" i="3"/>
  <c r="O30" i="2"/>
  <c r="O29" i="2"/>
  <c r="O28" i="2"/>
  <c r="O39" i="2" s="1"/>
  <c r="O50" i="2" s="1"/>
  <c r="O61" i="2" s="1"/>
  <c r="O72" i="2" s="1"/>
  <c r="O83" i="2" s="1"/>
  <c r="O94" i="2" s="1"/>
  <c r="O27" i="2"/>
  <c r="O38" i="2" s="1"/>
  <c r="O49" i="2" s="1"/>
  <c r="O60" i="2" s="1"/>
  <c r="O26" i="2"/>
  <c r="O37" i="2" s="1"/>
  <c r="O48" i="2" s="1"/>
  <c r="O59" i="2" s="1"/>
  <c r="O25" i="2"/>
  <c r="O36" i="2" s="1"/>
  <c r="O47" i="2" s="1"/>
  <c r="O58" i="2" s="1"/>
  <c r="N30" i="2"/>
  <c r="N29" i="2"/>
  <c r="N28" i="2"/>
  <c r="N39" i="2" s="1"/>
  <c r="N50" i="2" s="1"/>
  <c r="N61" i="2" s="1"/>
  <c r="N72" i="2" s="1"/>
  <c r="N83" i="2" s="1"/>
  <c r="N94" i="2" s="1"/>
  <c r="N27" i="2"/>
  <c r="N38" i="2" s="1"/>
  <c r="N49" i="2" s="1"/>
  <c r="N60" i="2" s="1"/>
  <c r="N26" i="2"/>
  <c r="N37" i="2" s="1"/>
  <c r="N48" i="2" s="1"/>
  <c r="N59" i="2" s="1"/>
  <c r="N25" i="2"/>
  <c r="N36" i="2" s="1"/>
  <c r="N47" i="2" s="1"/>
  <c r="N58" i="2" s="1"/>
  <c r="N5" i="2" l="1"/>
  <c r="N71" i="2"/>
  <c r="N82" i="2" s="1"/>
  <c r="N93" i="2" s="1"/>
  <c r="J5" i="2"/>
  <c r="J71" i="2"/>
  <c r="J82" i="2" s="1"/>
  <c r="J93" i="2" s="1"/>
  <c r="J4" i="2"/>
  <c r="J70" i="2"/>
  <c r="J81" i="2" s="1"/>
  <c r="J92" i="2" s="1"/>
  <c r="E3" i="2"/>
  <c r="E70" i="2"/>
  <c r="E81" i="2" s="1"/>
  <c r="E92" i="2" s="1"/>
  <c r="O4" i="2"/>
  <c r="O70" i="2"/>
  <c r="O81" i="2" s="1"/>
  <c r="O92" i="2" s="1"/>
  <c r="D4" i="2"/>
  <c r="D71" i="2"/>
  <c r="D82" i="2" s="1"/>
  <c r="D93" i="2" s="1"/>
  <c r="E4" i="2"/>
  <c r="E71" i="2"/>
  <c r="E82" i="2" s="1"/>
  <c r="E93" i="2" s="1"/>
  <c r="O3" i="2"/>
  <c r="O69" i="2"/>
  <c r="O80" i="2" s="1"/>
  <c r="O91" i="2" s="1"/>
  <c r="D3" i="2"/>
  <c r="D70" i="2"/>
  <c r="D81" i="2" s="1"/>
  <c r="D92" i="2" s="1"/>
  <c r="N3" i="2"/>
  <c r="N69" i="2"/>
  <c r="N80" i="2" s="1"/>
  <c r="N91" i="2" s="1"/>
  <c r="O5" i="2"/>
  <c r="O71" i="2"/>
  <c r="O82" i="2" s="1"/>
  <c r="O93" i="2" s="1"/>
  <c r="I3" i="2"/>
  <c r="I69" i="2"/>
  <c r="I80" i="2" s="1"/>
  <c r="I91" i="2" s="1"/>
  <c r="I5" i="2"/>
  <c r="I71" i="2"/>
  <c r="I82" i="2" s="1"/>
  <c r="I93" i="2" s="1"/>
  <c r="J3" i="2"/>
  <c r="J69" i="2"/>
  <c r="J80" i="2" s="1"/>
  <c r="J91" i="2" s="1"/>
  <c r="N4" i="2"/>
  <c r="N70" i="2"/>
  <c r="N81" i="2" s="1"/>
  <c r="N92" i="2" s="1"/>
  <c r="I4" i="2"/>
  <c r="I70" i="2"/>
  <c r="I81" i="2" s="1"/>
  <c r="I92" i="2" s="1"/>
  <c r="D5" i="2"/>
  <c r="D73" i="2"/>
  <c r="D84" i="2" s="1"/>
  <c r="D95" i="2" s="1"/>
  <c r="E5" i="2"/>
  <c r="E73" i="2"/>
  <c r="E84" i="2" s="1"/>
  <c r="E95" i="2" s="1"/>
  <c r="G52" i="2"/>
  <c r="B46" i="1" s="1"/>
  <c r="E36" i="2"/>
  <c r="L2" i="4"/>
  <c r="L6" i="4" s="1"/>
  <c r="B17" i="6"/>
  <c r="F10" i="5"/>
  <c r="D5" i="5" s="1"/>
  <c r="I10" i="5"/>
  <c r="G51" i="2"/>
  <c r="B24" i="1" s="1"/>
  <c r="O66" i="2"/>
  <c r="D26" i="3" s="1"/>
  <c r="G26" i="3" s="1"/>
  <c r="L61" i="2"/>
  <c r="L59" i="2"/>
  <c r="L60" i="2"/>
  <c r="L58" i="2"/>
  <c r="L63" i="2"/>
  <c r="B25" i="1" s="1"/>
  <c r="L62" i="2"/>
  <c r="B52" i="1" s="1"/>
  <c r="G53" i="2"/>
  <c r="L46" i="2" s="1"/>
  <c r="L50" i="2" s="1"/>
  <c r="G48" i="2"/>
  <c r="G47" i="2"/>
  <c r="G50" i="2"/>
  <c r="O55" i="2"/>
  <c r="J53" i="2" s="1"/>
  <c r="O44" i="2"/>
  <c r="J42" i="2" s="1"/>
  <c r="J44" i="2" s="1"/>
  <c r="G35" i="2"/>
  <c r="G40" i="2" s="1"/>
  <c r="B42" i="1" s="1"/>
  <c r="B27" i="2"/>
  <c r="B28" i="2"/>
  <c r="B29" i="2"/>
  <c r="B26" i="2"/>
  <c r="O33" i="2"/>
  <c r="D17" i="3" s="1"/>
  <c r="G17" i="3" s="1"/>
  <c r="G31" i="2"/>
  <c r="L24" i="2" s="1"/>
  <c r="G26" i="2"/>
  <c r="G30" i="2"/>
  <c r="B36" i="1" s="1"/>
  <c r="G29" i="2"/>
  <c r="B35" i="1" s="1"/>
  <c r="G28" i="2"/>
  <c r="G27" i="2"/>
  <c r="G25" i="2"/>
  <c r="B30" i="2"/>
  <c r="B37" i="1" s="1"/>
  <c r="B31" i="2"/>
  <c r="B38" i="1" s="1"/>
  <c r="B25" i="2"/>
  <c r="N18" i="2"/>
  <c r="O18" i="2"/>
  <c r="O19" i="2"/>
  <c r="O17" i="2"/>
  <c r="O16" i="2"/>
  <c r="O15" i="2"/>
  <c r="O14" i="2"/>
  <c r="J19" i="2"/>
  <c r="J18" i="2"/>
  <c r="J17" i="2"/>
  <c r="J16" i="2"/>
  <c r="J15" i="2"/>
  <c r="J14" i="2"/>
  <c r="C14" i="3"/>
  <c r="I19" i="2"/>
  <c r="I18" i="2"/>
  <c r="I17" i="2"/>
  <c r="I16" i="2"/>
  <c r="I15" i="2"/>
  <c r="I14" i="2"/>
  <c r="D21" i="2"/>
  <c r="I20" i="2"/>
  <c r="C13" i="3"/>
  <c r="N19" i="2"/>
  <c r="N17" i="2"/>
  <c r="N16" i="2"/>
  <c r="N15" i="2"/>
  <c r="N14" i="2"/>
  <c r="B13" i="2"/>
  <c r="B20" i="2" s="1"/>
  <c r="B13" i="1" s="1"/>
  <c r="L7" i="4" l="1"/>
  <c r="O99" i="2"/>
  <c r="O88" i="2"/>
  <c r="J86" i="2" s="1"/>
  <c r="J88" i="2" s="1"/>
  <c r="O77" i="2"/>
  <c r="O11" i="2"/>
  <c r="J9" i="2" s="1"/>
  <c r="J11" i="2" s="1"/>
  <c r="L4" i="4"/>
  <c r="L5" i="4"/>
  <c r="L3" i="4"/>
  <c r="E47" i="2"/>
  <c r="L8" i="4"/>
  <c r="D6" i="5"/>
  <c r="L49" i="2"/>
  <c r="L52" i="2"/>
  <c r="B45" i="1" s="1"/>
  <c r="I26" i="3"/>
  <c r="F26" i="3"/>
  <c r="H26" i="3"/>
  <c r="J64" i="2"/>
  <c r="J66" i="2" s="1"/>
  <c r="L47" i="2"/>
  <c r="L48" i="2"/>
  <c r="L51" i="2"/>
  <c r="B23" i="1" s="1"/>
  <c r="H17" i="3"/>
  <c r="F17" i="3"/>
  <c r="J55" i="2"/>
  <c r="D23" i="3"/>
  <c r="D20" i="3"/>
  <c r="E43" i="2"/>
  <c r="E44" i="2" s="1"/>
  <c r="D18" i="3" s="1"/>
  <c r="G18" i="3" s="1"/>
  <c r="D19" i="3"/>
  <c r="G41" i="2"/>
  <c r="B41" i="1" s="1"/>
  <c r="G37" i="2"/>
  <c r="G39" i="2"/>
  <c r="G36" i="2"/>
  <c r="G42" i="2"/>
  <c r="L35" i="2" s="1"/>
  <c r="G38" i="2"/>
  <c r="J31" i="2"/>
  <c r="J33" i="2" s="1"/>
  <c r="D16" i="3" s="1"/>
  <c r="G16" i="3" s="1"/>
  <c r="I17" i="3"/>
  <c r="L28" i="2"/>
  <c r="L27" i="2"/>
  <c r="L25" i="2"/>
  <c r="L29" i="2"/>
  <c r="B33" i="1" s="1"/>
  <c r="L26" i="2"/>
  <c r="L30" i="2"/>
  <c r="B34" i="1" s="1"/>
  <c r="B21" i="2"/>
  <c r="O22" i="2"/>
  <c r="D13" i="3" s="1"/>
  <c r="G13" i="3" s="1"/>
  <c r="B14" i="2"/>
  <c r="B3" i="1" s="1"/>
  <c r="B15" i="2"/>
  <c r="B4" i="1" s="1"/>
  <c r="B16" i="2"/>
  <c r="B18" i="1" s="1"/>
  <c r="B17" i="2"/>
  <c r="B18" i="2"/>
  <c r="B28" i="1" s="1"/>
  <c r="B19" i="2"/>
  <c r="B29" i="1" s="1"/>
  <c r="C12" i="3"/>
  <c r="E20" i="2"/>
  <c r="E19" i="2"/>
  <c r="E18" i="2"/>
  <c r="E17" i="2"/>
  <c r="E16" i="2"/>
  <c r="E15" i="2"/>
  <c r="E14" i="2"/>
  <c r="D20" i="2"/>
  <c r="D19" i="2"/>
  <c r="D18" i="2"/>
  <c r="D17" i="2"/>
  <c r="D16" i="2"/>
  <c r="D15" i="2"/>
  <c r="D14" i="2"/>
  <c r="J97" i="2" l="1"/>
  <c r="J99" i="2" s="1"/>
  <c r="E98" i="2" s="1"/>
  <c r="D38" i="3"/>
  <c r="D35" i="3"/>
  <c r="H35" i="3" s="1"/>
  <c r="D29" i="3"/>
  <c r="G29" i="3" s="1"/>
  <c r="I29" i="3" s="1"/>
  <c r="F35" i="3"/>
  <c r="G35" i="3"/>
  <c r="I35" i="3" s="1"/>
  <c r="E87" i="2"/>
  <c r="D34" i="3"/>
  <c r="F23" i="3"/>
  <c r="G23" i="3"/>
  <c r="I23" i="3" s="1"/>
  <c r="F19" i="3"/>
  <c r="G19" i="3"/>
  <c r="I19" i="3" s="1"/>
  <c r="F20" i="3"/>
  <c r="G20" i="3"/>
  <c r="I20" i="3" s="1"/>
  <c r="J75" i="2"/>
  <c r="J77" i="2" s="1"/>
  <c r="D32" i="3"/>
  <c r="G32" i="3" s="1"/>
  <c r="E10" i="2"/>
  <c r="D28" i="3"/>
  <c r="G28" i="3" s="1"/>
  <c r="F18" i="3"/>
  <c r="H18" i="3"/>
  <c r="I18" i="3"/>
  <c r="E58" i="2"/>
  <c r="E69" i="2" s="1"/>
  <c r="E80" i="2" s="1"/>
  <c r="E91" i="2" s="1"/>
  <c r="D25" i="3"/>
  <c r="G25" i="3" s="1"/>
  <c r="E65" i="2"/>
  <c r="H13" i="3"/>
  <c r="F13" i="3"/>
  <c r="H16" i="3"/>
  <c r="F16" i="3"/>
  <c r="H23" i="3"/>
  <c r="D22" i="3"/>
  <c r="E54" i="2"/>
  <c r="E55" i="2" s="1"/>
  <c r="D21" i="3" s="1"/>
  <c r="G21" i="3" s="1"/>
  <c r="H19" i="3"/>
  <c r="H20" i="3"/>
  <c r="L40" i="2"/>
  <c r="B39" i="1" s="1"/>
  <c r="L39" i="2"/>
  <c r="L36" i="2"/>
  <c r="L38" i="2"/>
  <c r="L37" i="2"/>
  <c r="L41" i="2"/>
  <c r="B40" i="1" s="1"/>
  <c r="I16" i="3"/>
  <c r="E32" i="2"/>
  <c r="E33" i="2" s="1"/>
  <c r="D15" i="3" s="1"/>
  <c r="G15" i="3" s="1"/>
  <c r="G13" i="2"/>
  <c r="G17" i="2" s="1"/>
  <c r="J20" i="2"/>
  <c r="J22" i="2" s="1"/>
  <c r="D14" i="3" s="1"/>
  <c r="G14" i="3" s="1"/>
  <c r="I13" i="3"/>
  <c r="D37" i="3" l="1"/>
  <c r="F29" i="3"/>
  <c r="E99" i="2"/>
  <c r="D36" i="3" s="1"/>
  <c r="F36" i="3" s="1"/>
  <c r="F38" i="3"/>
  <c r="H38" i="3"/>
  <c r="G38" i="3"/>
  <c r="I38" i="3" s="1"/>
  <c r="F37" i="3"/>
  <c r="H37" i="3"/>
  <c r="G37" i="3"/>
  <c r="I37" i="3" s="1"/>
  <c r="H29" i="3"/>
  <c r="E88" i="2"/>
  <c r="D33" i="3" s="1"/>
  <c r="H33" i="3" s="1"/>
  <c r="H34" i="3"/>
  <c r="F34" i="3"/>
  <c r="G34" i="3"/>
  <c r="I34" i="3" s="1"/>
  <c r="F22" i="3"/>
  <c r="G22" i="3"/>
  <c r="I22" i="3" s="1"/>
  <c r="H32" i="3"/>
  <c r="F32" i="3"/>
  <c r="I32" i="3"/>
  <c r="E76" i="2"/>
  <c r="E77" i="2" s="1"/>
  <c r="D30" i="3" s="1"/>
  <c r="G30" i="3" s="1"/>
  <c r="D31" i="3"/>
  <c r="G31" i="3" s="1"/>
  <c r="E11" i="2"/>
  <c r="D27" i="3" s="1"/>
  <c r="F28" i="3"/>
  <c r="I28" i="3"/>
  <c r="H28" i="3"/>
  <c r="E66" i="2"/>
  <c r="D24" i="3" s="1"/>
  <c r="F21" i="3"/>
  <c r="H21" i="3"/>
  <c r="I21" i="3"/>
  <c r="F15" i="3"/>
  <c r="I15" i="3"/>
  <c r="H15" i="3"/>
  <c r="F25" i="3"/>
  <c r="H25" i="3"/>
  <c r="I25" i="3"/>
  <c r="H14" i="3"/>
  <c r="F14" i="3"/>
  <c r="H22" i="3"/>
  <c r="G16" i="2"/>
  <c r="B20" i="1" s="1"/>
  <c r="G19" i="2"/>
  <c r="B32" i="1" s="1"/>
  <c r="G18" i="2"/>
  <c r="B31" i="1" s="1"/>
  <c r="G20" i="2"/>
  <c r="L13" i="2" s="1"/>
  <c r="G14" i="2"/>
  <c r="B6" i="1" s="1"/>
  <c r="G15" i="2"/>
  <c r="B15" i="1" s="1"/>
  <c r="E21" i="2"/>
  <c r="E22" i="2" s="1"/>
  <c r="D12" i="3" s="1"/>
  <c r="I14" i="3"/>
  <c r="H36" i="3" l="1"/>
  <c r="G36" i="3"/>
  <c r="I36" i="3" s="1"/>
  <c r="G33" i="3"/>
  <c r="I33" i="3" s="1"/>
  <c r="F33" i="3"/>
  <c r="H24" i="3"/>
  <c r="G24" i="3"/>
  <c r="I24" i="3" s="1"/>
  <c r="F12" i="3"/>
  <c r="G12" i="3"/>
  <c r="G27" i="3"/>
  <c r="I27" i="3" s="1"/>
  <c r="I30" i="3"/>
  <c r="F30" i="3"/>
  <c r="H30" i="3"/>
  <c r="H31" i="3"/>
  <c r="I31" i="3"/>
  <c r="F31" i="3"/>
  <c r="F27" i="3"/>
  <c r="H27" i="3"/>
  <c r="F24" i="3"/>
  <c r="H12" i="3"/>
  <c r="L17" i="2"/>
  <c r="B30" i="1" s="1"/>
  <c r="L16" i="2"/>
  <c r="B14" i="1" s="1"/>
  <c r="L19" i="2"/>
  <c r="B2" i="1" s="1"/>
  <c r="L18" i="2"/>
  <c r="B22" i="1" s="1"/>
  <c r="L14" i="2"/>
  <c r="B5" i="1" s="1"/>
  <c r="L15" i="2"/>
  <c r="B19" i="1" s="1"/>
  <c r="F10" i="3" l="1"/>
  <c r="D5" i="3" s="1"/>
  <c r="I12" i="3"/>
  <c r="I10" i="3" s="1"/>
  <c r="D6" i="3" l="1"/>
</calcChain>
</file>

<file path=xl/sharedStrings.xml><?xml version="1.0" encoding="utf-8"?>
<sst xmlns="http://schemas.openxmlformats.org/spreadsheetml/2006/main" count="1006" uniqueCount="868">
  <si>
    <t>Ardonite</t>
  </si>
  <si>
    <t>Substrat de forêt</t>
  </si>
  <si>
    <t>Galet brasillant</t>
  </si>
  <si>
    <t>pépite</t>
  </si>
  <si>
    <t>Tourmaline</t>
  </si>
  <si>
    <t>Langue de truchmuche</t>
  </si>
  <si>
    <t>étoffe de yokai firefoux</t>
  </si>
  <si>
    <t>érudit majeur</t>
  </si>
  <si>
    <t>Nom</t>
  </si>
  <si>
    <t>Cout</t>
  </si>
  <si>
    <t>hdv</t>
  </si>
  <si>
    <t>benef</t>
  </si>
  <si>
    <t>érudit</t>
  </si>
  <si>
    <t>érudit mineur</t>
  </si>
  <si>
    <t>Rutile</t>
  </si>
  <si>
    <t>Substrat de bocage</t>
  </si>
  <si>
    <t>Galet cramoisi</t>
  </si>
  <si>
    <t>Lamelle de champa vert</t>
  </si>
  <si>
    <t>Fleur de gloutovore</t>
  </si>
  <si>
    <t>Pyrute</t>
  </si>
  <si>
    <t>Galet rutilant</t>
  </si>
  <si>
    <t>Substrat de bosquet</t>
  </si>
  <si>
    <t>Protection de la dragueuse</t>
  </si>
  <si>
    <t>Cuir de porsalu</t>
  </si>
  <si>
    <t>Vigoureux Mineur</t>
  </si>
  <si>
    <t>Vigoureux</t>
  </si>
  <si>
    <t>Vigoureux majeur</t>
  </si>
  <si>
    <t>Langue de craquelope</t>
  </si>
  <si>
    <t>Grelot</t>
  </si>
  <si>
    <t>Foulard du sparo</t>
  </si>
  <si>
    <t>Broderie de malléfisk</t>
  </si>
  <si>
    <t>Cheveux d'Alhyène</t>
  </si>
  <si>
    <t>Queue du boufmouth légendaire</t>
  </si>
  <si>
    <t>benef total</t>
  </si>
  <si>
    <t>Chanceux</t>
  </si>
  <si>
    <t>Chanceux Mineur</t>
  </si>
  <si>
    <t>Chanceux Majeur</t>
  </si>
  <si>
    <t>Antennes de vilinsekt</t>
  </si>
  <si>
    <t>Œuf d'arakne majeure</t>
  </si>
  <si>
    <t>Laine du boufcoul</t>
  </si>
  <si>
    <t>Chicot du flib</t>
  </si>
  <si>
    <t>Bec de truchon</t>
  </si>
  <si>
    <t>étoffe de vigie pirate</t>
  </si>
  <si>
    <t>% benef</t>
  </si>
  <si>
    <t>Cascadeur</t>
  </si>
  <si>
    <t>Cascadeur Mineur</t>
  </si>
  <si>
    <t>Cascadeur Majeur</t>
  </si>
  <si>
    <t>Fleur de blopignon</t>
  </si>
  <si>
    <t>Œuf pourri</t>
  </si>
  <si>
    <t>étoffe de dok alako</t>
  </si>
  <si>
    <t>Fleur de gloutoblop</t>
  </si>
  <si>
    <t>Duvet de truchon</t>
  </si>
  <si>
    <t>étoffe de kaniglou</t>
  </si>
  <si>
    <t>Cout total</t>
  </si>
  <si>
    <t>Argent avant</t>
  </si>
  <si>
    <t>Argent après</t>
  </si>
  <si>
    <t>Dépense total</t>
  </si>
  <si>
    <t>Benef</t>
  </si>
  <si>
    <t>différence réel</t>
  </si>
  <si>
    <t>Enragé</t>
  </si>
  <si>
    <t>Enragé majeur</t>
  </si>
  <si>
    <t>Enragé mineur</t>
  </si>
  <si>
    <t>Croupion de truchmuche</t>
  </si>
  <si>
    <t>étoffe zoth</t>
  </si>
  <si>
    <t>Coco du bitouf des plaines</t>
  </si>
  <si>
    <t>Lamelle de champa rouge</t>
  </si>
  <si>
    <t>Fleur de bulbiflore</t>
  </si>
  <si>
    <t>Carapace de scaratos</t>
  </si>
  <si>
    <t>Trophées</t>
  </si>
  <si>
    <t>Idoles</t>
  </si>
  <si>
    <t>Pého Magistrale</t>
  </si>
  <si>
    <t>Essence de chêne mou</t>
  </si>
  <si>
    <t>Kobalite</t>
  </si>
  <si>
    <t>écorce de floribonde</t>
  </si>
  <si>
    <t>Corde du fancrôme</t>
  </si>
  <si>
    <t>Patte de gruche</t>
  </si>
  <si>
    <t>arakne majeure</t>
  </si>
  <si>
    <t>pourri</t>
  </si>
  <si>
    <t>Porteur</t>
  </si>
  <si>
    <t>Porteur Majeur</t>
  </si>
  <si>
    <t>Porteur Mineur</t>
  </si>
  <si>
    <t>Os de fantôme Maho firefoux</t>
  </si>
  <si>
    <t>peau de pandule</t>
  </si>
  <si>
    <t>Bec du kwak de glace</t>
  </si>
  <si>
    <t>Ambre de bambouto</t>
  </si>
  <si>
    <t>Ambre</t>
  </si>
  <si>
    <t>Pierre de granit</t>
  </si>
  <si>
    <t>Fragment de pierre polie</t>
  </si>
  <si>
    <t>Fragment de cerveau poli</t>
  </si>
  <si>
    <t>couteau de roukouto</t>
  </si>
  <si>
    <t>cuir du sanglacier</t>
  </si>
  <si>
    <t>Bouclier taverne</t>
  </si>
  <si>
    <t>Essence de ben le ripate</t>
  </si>
  <si>
    <t>Bouée de Fantomalamère</t>
  </si>
  <si>
    <t>Défense de gliglicérin</t>
  </si>
  <si>
    <t>oreille de kaniblou</t>
  </si>
  <si>
    <t>Hdv</t>
  </si>
  <si>
    <t>Quatre-feuilles</t>
  </si>
  <si>
    <t>Substrat de forêt vierge</t>
  </si>
  <si>
    <t>Essence de missiz frizz</t>
  </si>
  <si>
    <t>étoffe de fantôme pandore</t>
  </si>
  <si>
    <t>Pédoncule de fongeur</t>
  </si>
  <si>
    <t>Stapes de Frimar</t>
  </si>
  <si>
    <t>Cuir de glouragan</t>
  </si>
  <si>
    <t>Fonceur</t>
  </si>
  <si>
    <t>Fonceur majeur</t>
  </si>
  <si>
    <t>Fonceur Mineur</t>
  </si>
  <si>
    <t>Calice de fécorce</t>
  </si>
  <si>
    <t>Sang d'oni</t>
  </si>
  <si>
    <t>Boulon wabbit</t>
  </si>
  <si>
    <t>Queue de rat d'hyoactif</t>
  </si>
  <si>
    <t>Paupière d'étoile</t>
  </si>
  <si>
    <t>Plume du timansot</t>
  </si>
  <si>
    <t>taxe</t>
  </si>
  <si>
    <t>Miraculé</t>
  </si>
  <si>
    <t>Miraculé Majeur</t>
  </si>
  <si>
    <t>Miraculé Mineur</t>
  </si>
  <si>
    <t>morpion de truchideur</t>
  </si>
  <si>
    <t>coquille de harpirate</t>
  </si>
  <si>
    <t>toile d'abrakne sombre</t>
  </si>
  <si>
    <t>Aile de dragoeuf volant</t>
  </si>
  <si>
    <t>lamelle de champa marron</t>
  </si>
  <si>
    <t>dent de wabbit</t>
  </si>
  <si>
    <t>Guérisseur</t>
  </si>
  <si>
    <t>Guérisseur Majeur</t>
  </si>
  <si>
    <t>Guérisseur mineur</t>
  </si>
  <si>
    <t>Plume de truchideur</t>
  </si>
  <si>
    <t>coco du bitouf sombre</t>
  </si>
  <si>
    <t>arakne écrabouillée</t>
  </si>
  <si>
    <t>écorce d'abrakne sombre</t>
  </si>
  <si>
    <t>lamelle de champa bleu</t>
  </si>
  <si>
    <t>Moustaches de tiwabbit</t>
  </si>
  <si>
    <t>Rune Cha</t>
  </si>
  <si>
    <t>Rune Age</t>
  </si>
  <si>
    <t>Rune Fo</t>
  </si>
  <si>
    <t>Rune Ine</t>
  </si>
  <si>
    <t>Rune Pod</t>
  </si>
  <si>
    <t>Rune Vi</t>
  </si>
  <si>
    <t>Rune Sa</t>
  </si>
  <si>
    <t>Rune pui</t>
  </si>
  <si>
    <t>Rune do air</t>
  </si>
  <si>
    <t>Rune do eau</t>
  </si>
  <si>
    <t>Rune do feu</t>
  </si>
  <si>
    <t>Rune do terre</t>
  </si>
  <si>
    <t>Rune Pa Age</t>
  </si>
  <si>
    <t>Rune Pa Cha</t>
  </si>
  <si>
    <t>Rune Pa Fo</t>
  </si>
  <si>
    <t>Rune Pa Ine</t>
  </si>
  <si>
    <t>Rune Pa Pod</t>
  </si>
  <si>
    <t>Rune Pa Vi</t>
  </si>
  <si>
    <t>Rune Pa Sa</t>
  </si>
  <si>
    <t>Rune Pa Pui</t>
  </si>
  <si>
    <t>Rune Pa Do Air</t>
  </si>
  <si>
    <t>Rune Pa Do Eau</t>
  </si>
  <si>
    <t>Rune Pa Do Feu</t>
  </si>
  <si>
    <t>Rune Pa Do Terre</t>
  </si>
  <si>
    <t>Rune Ra Age</t>
  </si>
  <si>
    <t>Rune Ra Cha</t>
  </si>
  <si>
    <t>Rune Ra Fo</t>
  </si>
  <si>
    <t>Rune Ra Ine</t>
  </si>
  <si>
    <t>Rune Ra Pod</t>
  </si>
  <si>
    <t>Rune Ra Vi</t>
  </si>
  <si>
    <t>Rune Ra Sa</t>
  </si>
  <si>
    <t>Rune Ra Pui</t>
  </si>
  <si>
    <t>Age</t>
  </si>
  <si>
    <t>Cha</t>
  </si>
  <si>
    <t>Fo</t>
  </si>
  <si>
    <t>Ine</t>
  </si>
  <si>
    <t>Pod</t>
  </si>
  <si>
    <t>Vi</t>
  </si>
  <si>
    <t>Sa</t>
  </si>
  <si>
    <t>Pui</t>
  </si>
  <si>
    <t>Do Air</t>
  </si>
  <si>
    <t>Do Eau</t>
  </si>
  <si>
    <t>Do Feu</t>
  </si>
  <si>
    <t>Do Terre</t>
  </si>
  <si>
    <t>Benef Pa</t>
  </si>
  <si>
    <t>Benef Ra</t>
  </si>
  <si>
    <t>Achat Normal</t>
  </si>
  <si>
    <t>Normal Pa</t>
  </si>
  <si>
    <t>Normal Ra</t>
  </si>
  <si>
    <t>Vente Pa</t>
  </si>
  <si>
    <t>Vente Ra</t>
  </si>
  <si>
    <t>Prix</t>
  </si>
  <si>
    <t>manque 8</t>
  </si>
  <si>
    <t>galet boucané</t>
  </si>
  <si>
    <t>libération</t>
  </si>
  <si>
    <t>foudroiement</t>
  </si>
  <si>
    <t>galet acajou</t>
  </si>
  <si>
    <t>galet bistré</t>
  </si>
  <si>
    <t>10 galets bistré</t>
  </si>
  <si>
    <t>flamiche</t>
  </si>
  <si>
    <t>brûlih</t>
  </si>
  <si>
    <t>dehluge</t>
  </si>
  <si>
    <t>kompost</t>
  </si>
  <si>
    <t>siroko</t>
  </si>
  <si>
    <t>kwaltess</t>
  </si>
  <si>
    <t>unité</t>
  </si>
  <si>
    <t>Rune Pa So</t>
  </si>
  <si>
    <t>So</t>
  </si>
  <si>
    <t>Rune Pui</t>
  </si>
  <si>
    <t>Rune So</t>
  </si>
  <si>
    <t>Rune Do Air</t>
  </si>
  <si>
    <t>Rune Do Eau</t>
  </si>
  <si>
    <t>Rune Do Feu</t>
  </si>
  <si>
    <t>Rune Do Terre</t>
  </si>
  <si>
    <t>Budget</t>
  </si>
  <si>
    <t>147800</t>
  </si>
  <si>
    <t>56400</t>
  </si>
  <si>
    <t>15400</t>
  </si>
  <si>
    <t>37591</t>
  </si>
  <si>
    <t>12576</t>
  </si>
  <si>
    <t>59987</t>
  </si>
  <si>
    <t>38998</t>
  </si>
  <si>
    <t>122222</t>
  </si>
  <si>
    <t>389882</t>
  </si>
  <si>
    <t>319790</t>
  </si>
  <si>
    <t>228994</t>
  </si>
  <si>
    <t>119997</t>
  </si>
  <si>
    <t>16950</t>
  </si>
  <si>
    <t>9685</t>
  </si>
  <si>
    <t>3985</t>
  </si>
  <si>
    <t>7540</t>
  </si>
  <si>
    <t>19844</t>
  </si>
  <si>
    <t>13385</t>
  </si>
  <si>
    <t>27990</t>
  </si>
  <si>
    <t>100600</t>
  </si>
  <si>
    <t>108945</t>
  </si>
  <si>
    <t>92375</t>
  </si>
  <si>
    <t>69979</t>
  </si>
  <si>
    <t>36985</t>
  </si>
  <si>
    <t>31991</t>
  </si>
  <si>
    <t>24992</t>
  </si>
  <si>
    <t>92879</t>
  </si>
  <si>
    <t>335800</t>
  </si>
  <si>
    <t>119994</t>
  </si>
  <si>
    <t>37372</t>
  </si>
  <si>
    <t>77498</t>
  </si>
  <si>
    <t>169993</t>
  </si>
  <si>
    <t>16279</t>
  </si>
  <si>
    <t>9976</t>
  </si>
  <si>
    <t>3897</t>
  </si>
  <si>
    <t>8387</t>
  </si>
  <si>
    <t>15491</t>
  </si>
  <si>
    <t>18683</t>
  </si>
  <si>
    <t>11981</t>
  </si>
  <si>
    <t>27496</t>
  </si>
  <si>
    <t>100767</t>
  </si>
  <si>
    <t>119655</t>
  </si>
  <si>
    <t>92195</t>
  </si>
  <si>
    <t>76386</t>
  </si>
  <si>
    <t>36694</t>
  </si>
  <si>
    <t>31974</t>
  </si>
  <si>
    <t>12496</t>
  </si>
  <si>
    <t>24895</t>
  </si>
  <si>
    <t>56288</t>
  </si>
  <si>
    <t>58491</t>
  </si>
  <si>
    <t>37993</t>
  </si>
  <si>
    <t>92886</t>
  </si>
  <si>
    <t>119222</t>
  </si>
  <si>
    <t>329899</t>
  </si>
  <si>
    <t>384897</t>
  </si>
  <si>
    <t>319499</t>
  </si>
  <si>
    <t>224998</t>
  </si>
  <si>
    <t>119995</t>
  </si>
  <si>
    <t>100997</t>
  </si>
  <si>
    <t>36900</t>
  </si>
  <si>
    <t>76900</t>
  </si>
  <si>
    <t>147798</t>
  </si>
  <si>
    <t>169998</t>
  </si>
  <si>
    <t>98972</t>
  </si>
  <si>
    <t>229999</t>
  </si>
  <si>
    <t>Emeraude et Rousse</t>
  </si>
  <si>
    <t>Puissant parchemin de Vitalité</t>
  </si>
  <si>
    <t>Prune et Rousse</t>
  </si>
  <si>
    <t>Amande et Emeraude</t>
  </si>
  <si>
    <t>Prune et Amande</t>
  </si>
  <si>
    <t>Prune et Ebène</t>
  </si>
  <si>
    <t>Puissant parchemin d'Agilité</t>
  </si>
  <si>
    <t>Emeraude et Turquoise</t>
  </si>
  <si>
    <t>Prune et Turquoise</t>
  </si>
  <si>
    <t>M</t>
  </si>
  <si>
    <t>F</t>
  </si>
  <si>
    <t>heures</t>
  </si>
  <si>
    <t> 6.5 jours</t>
  </si>
  <si>
    <t>16251</t>
  </si>
  <si>
    <t>9978</t>
  </si>
  <si>
    <t>3977</t>
  </si>
  <si>
    <t>8381</t>
  </si>
  <si>
    <t>18247</t>
  </si>
  <si>
    <t>11494</t>
  </si>
  <si>
    <t>27998</t>
  </si>
  <si>
    <t>37485</t>
  </si>
  <si>
    <t>100764</t>
  </si>
  <si>
    <t>92180</t>
  </si>
  <si>
    <t>76390</t>
  </si>
  <si>
    <t>36685</t>
  </si>
  <si>
    <t>31663</t>
  </si>
  <si>
    <t>24896</t>
  </si>
  <si>
    <t>56285</t>
  </si>
  <si>
    <t>58250</t>
  </si>
  <si>
    <t>38898</t>
  </si>
  <si>
    <t>92989</t>
  </si>
  <si>
    <t>119179</t>
  </si>
  <si>
    <t>329898</t>
  </si>
  <si>
    <t>376996</t>
  </si>
  <si>
    <t>319437</t>
  </si>
  <si>
    <t>224999</t>
  </si>
  <si>
    <t>119991</t>
  </si>
  <si>
    <t>100996</t>
  </si>
  <si>
    <t>36999</t>
  </si>
  <si>
    <t>147699</t>
  </si>
  <si>
    <t>173300</t>
  </si>
  <si>
    <t>98971</t>
  </si>
  <si>
    <t>16197</t>
  </si>
  <si>
    <t>3974</t>
  </si>
  <si>
    <t>8301</t>
  </si>
  <si>
    <t>18438</t>
  </si>
  <si>
    <t>11500</t>
  </si>
  <si>
    <t>28872</t>
  </si>
  <si>
    <t>37475</t>
  </si>
  <si>
    <t>119639</t>
  </si>
  <si>
    <t>76396</t>
  </si>
  <si>
    <t>36690</t>
  </si>
  <si>
    <t>12488</t>
  </si>
  <si>
    <t>24798</t>
  </si>
  <si>
    <t>49999</t>
  </si>
  <si>
    <t>54483</t>
  </si>
  <si>
    <t>38881</t>
  </si>
  <si>
    <t>119178</t>
  </si>
  <si>
    <t>329892</t>
  </si>
  <si>
    <t>375999</t>
  </si>
  <si>
    <t>319399</t>
  </si>
  <si>
    <t>228998</t>
  </si>
  <si>
    <t>119996</t>
  </si>
  <si>
    <t>36500</t>
  </si>
  <si>
    <t>76500</t>
  </si>
  <si>
    <t>147697</t>
  </si>
  <si>
    <t>173249</t>
  </si>
  <si>
    <t>15997</t>
  </si>
  <si>
    <t>3980</t>
  </si>
  <si>
    <t>15490</t>
  </si>
  <si>
    <t>18795</t>
  </si>
  <si>
    <t>13291</t>
  </si>
  <si>
    <t>29496</t>
  </si>
  <si>
    <t>100490</t>
  </si>
  <si>
    <t>119648</t>
  </si>
  <si>
    <t>91998</t>
  </si>
  <si>
    <t>76597</t>
  </si>
  <si>
    <t>31988</t>
  </si>
  <si>
    <t>12592</t>
  </si>
  <si>
    <t>24998</t>
  </si>
  <si>
    <t>58488</t>
  </si>
  <si>
    <t>38799</t>
  </si>
  <si>
    <t>133782</t>
  </si>
  <si>
    <t>376899</t>
  </si>
  <si>
    <t>319395</t>
  </si>
  <si>
    <t>228999</t>
  </si>
  <si>
    <t>100776</t>
  </si>
  <si>
    <t>36499</t>
  </si>
  <si>
    <t>76499</t>
  </si>
  <si>
    <t>173246</t>
  </si>
  <si>
    <t>98969</t>
  </si>
  <si>
    <t>12417</t>
  </si>
  <si>
    <t>9796</t>
  </si>
  <si>
    <t>3679</t>
  </si>
  <si>
    <t>8189</t>
  </si>
  <si>
    <t>15484</t>
  </si>
  <si>
    <t>18767</t>
  </si>
  <si>
    <t>12988</t>
  </si>
  <si>
    <t>29575</t>
  </si>
  <si>
    <t>36996</t>
  </si>
  <si>
    <t>99098</t>
  </si>
  <si>
    <t>113192</t>
  </si>
  <si>
    <t>89550</t>
  </si>
  <si>
    <t>75999</t>
  </si>
  <si>
    <t>37540</t>
  </si>
  <si>
    <t>22995</t>
  </si>
  <si>
    <t>49993</t>
  </si>
  <si>
    <t>38198</t>
  </si>
  <si>
    <t>133672</t>
  </si>
  <si>
    <t>119221</t>
  </si>
  <si>
    <t>329885</t>
  </si>
  <si>
    <t>376778</t>
  </si>
  <si>
    <t>319290</t>
  </si>
  <si>
    <t>229939</t>
  </si>
  <si>
    <t>114798</t>
  </si>
  <si>
    <t>99899</t>
  </si>
  <si>
    <t>37376</t>
  </si>
  <si>
    <t>74992</t>
  </si>
  <si>
    <t>144999</t>
  </si>
  <si>
    <t>171192</t>
  </si>
  <si>
    <t>98955</t>
  </si>
  <si>
    <t>12400</t>
  </si>
  <si>
    <t>3673</t>
  </si>
  <si>
    <t>8100</t>
  </si>
  <si>
    <t>18761</t>
  </si>
  <si>
    <t>12890</t>
  </si>
  <si>
    <t>30000</t>
  </si>
  <si>
    <t>99898</t>
  </si>
  <si>
    <t>112900</t>
  </si>
  <si>
    <t>89500</t>
  </si>
  <si>
    <t>75988</t>
  </si>
  <si>
    <t>37500</t>
  </si>
  <si>
    <t>31973</t>
  </si>
  <si>
    <t>12591</t>
  </si>
  <si>
    <t>22900</t>
  </si>
  <si>
    <t>58400</t>
  </si>
  <si>
    <t>38100</t>
  </si>
  <si>
    <t>119999</t>
  </si>
  <si>
    <t>329886</t>
  </si>
  <si>
    <t>376698</t>
  </si>
  <si>
    <t>319200</t>
  </si>
  <si>
    <t>114799</t>
  </si>
  <si>
    <t>99890</t>
  </si>
  <si>
    <t>37374</t>
  </si>
  <si>
    <t>74967</t>
  </si>
  <si>
    <t>171186</t>
  </si>
  <si>
    <t>9500</t>
  </si>
  <si>
    <t>3500</t>
  </si>
  <si>
    <t>5797</t>
  </si>
  <si>
    <t>15479</t>
  </si>
  <si>
    <t>15000</t>
  </si>
  <si>
    <t>10000</t>
  </si>
  <si>
    <t>37466</t>
  </si>
  <si>
    <t>110983</t>
  </si>
  <si>
    <t>100000</t>
  </si>
  <si>
    <t>89847</t>
  </si>
  <si>
    <t>72000</t>
  </si>
  <si>
    <t>37544</t>
  </si>
  <si>
    <t>29998</t>
  </si>
  <si>
    <t>12580</t>
  </si>
  <si>
    <t>24986</t>
  </si>
  <si>
    <t>56283</t>
  </si>
  <si>
    <t>58428</t>
  </si>
  <si>
    <t>38063</t>
  </si>
  <si>
    <t>119978</t>
  </si>
  <si>
    <t>329884</t>
  </si>
  <si>
    <t>376690</t>
  </si>
  <si>
    <t>319197</t>
  </si>
  <si>
    <t>236883</t>
  </si>
  <si>
    <t>99599</t>
  </si>
  <si>
    <t>37391</t>
  </si>
  <si>
    <t>74983</t>
  </si>
  <si>
    <t>145000</t>
  </si>
  <si>
    <t>171000</t>
  </si>
  <si>
    <t>98954</t>
  </si>
  <si>
    <t>11884</t>
  </si>
  <si>
    <t>9893</t>
  </si>
  <si>
    <t>3984</t>
  </si>
  <si>
    <t>7694</t>
  </si>
  <si>
    <t>17000</t>
  </si>
  <si>
    <t>11775</t>
  </si>
  <si>
    <t>31990</t>
  </si>
  <si>
    <t>37467</t>
  </si>
  <si>
    <t>111099</t>
  </si>
  <si>
    <t>105539</t>
  </si>
  <si>
    <t>75995</t>
  </si>
  <si>
    <t>37548</t>
  </si>
  <si>
    <t>32000</t>
  </si>
  <si>
    <t>24984</t>
  </si>
  <si>
    <t>56281</t>
  </si>
  <si>
    <t>58423</t>
  </si>
  <si>
    <t>119974</t>
  </si>
  <si>
    <t>119220</t>
  </si>
  <si>
    <t>329887</t>
  </si>
  <si>
    <t>376687</t>
  </si>
  <si>
    <t>319100</t>
  </si>
  <si>
    <t>236881</t>
  </si>
  <si>
    <t>115697</t>
  </si>
  <si>
    <t>99594</t>
  </si>
  <si>
    <t>54885</t>
  </si>
  <si>
    <t>74848</t>
  </si>
  <si>
    <t>144000</t>
  </si>
  <si>
    <t>171785</t>
  </si>
  <si>
    <t>99978</t>
  </si>
  <si>
    <t>9994</t>
  </si>
  <si>
    <t>3995</t>
  </si>
  <si>
    <t>6996</t>
  </si>
  <si>
    <t>15470</t>
  </si>
  <si>
    <t>18300</t>
  </si>
  <si>
    <t>9896</t>
  </si>
  <si>
    <t>34969</t>
  </si>
  <si>
    <t>37394</t>
  </si>
  <si>
    <t>114938</t>
  </si>
  <si>
    <t>105552</t>
  </si>
  <si>
    <t>89391</t>
  </si>
  <si>
    <t>76599</t>
  </si>
  <si>
    <t>39525</t>
  </si>
  <si>
    <t>31216</t>
  </si>
  <si>
    <t>12500</t>
  </si>
  <si>
    <t>24393</t>
  </si>
  <si>
    <t>56277</t>
  </si>
  <si>
    <t>57819</t>
  </si>
  <si>
    <t>35997</t>
  </si>
  <si>
    <t>119979</t>
  </si>
  <si>
    <t>119217</t>
  </si>
  <si>
    <t>319996</t>
  </si>
  <si>
    <t>376663</t>
  </si>
  <si>
    <t>279899</t>
  </si>
  <si>
    <t>115798</t>
  </si>
  <si>
    <t>99388</t>
  </si>
  <si>
    <t>51968</t>
  </si>
  <si>
    <t>72998</t>
  </si>
  <si>
    <t>169847</t>
  </si>
  <si>
    <t>99000</t>
  </si>
  <si>
    <t>419986</t>
  </si>
  <si>
    <t>Kolizetons</t>
  </si>
  <si>
    <t>Croquette</t>
  </si>
  <si>
    <t>Brasillant</t>
  </si>
  <si>
    <t>bworky</t>
  </si>
  <si>
    <t>10895</t>
  </si>
  <si>
    <t>8897</t>
  </si>
  <si>
    <t>3998</t>
  </si>
  <si>
    <t>7890</t>
  </si>
  <si>
    <t>14995</t>
  </si>
  <si>
    <t>17898</t>
  </si>
  <si>
    <t>9585</t>
  </si>
  <si>
    <t>40995</t>
  </si>
  <si>
    <t>36988</t>
  </si>
  <si>
    <t>113996</t>
  </si>
  <si>
    <t>110977</t>
  </si>
  <si>
    <t>92557</t>
  </si>
  <si>
    <t>65998</t>
  </si>
  <si>
    <t>38995</t>
  </si>
  <si>
    <t>31993</t>
  </si>
  <si>
    <t>12781</t>
  </si>
  <si>
    <t>24340</t>
  </si>
  <si>
    <t>56265</t>
  </si>
  <si>
    <t>55998</t>
  </si>
  <si>
    <t>35200</t>
  </si>
  <si>
    <t>133762</t>
  </si>
  <si>
    <t>326994</t>
  </si>
  <si>
    <t>374988</t>
  </si>
  <si>
    <t>279793</t>
  </si>
  <si>
    <t>235995</t>
  </si>
  <si>
    <t>111105</t>
  </si>
  <si>
    <t>99298</t>
  </si>
  <si>
    <t>50645</t>
  </si>
  <si>
    <t>69998</t>
  </si>
  <si>
    <t>143997</t>
  </si>
  <si>
    <t>169831</t>
  </si>
  <si>
    <t>88485</t>
  </si>
  <si>
    <t>399996</t>
  </si>
  <si>
    <t>11460</t>
  </si>
  <si>
    <t>10575</t>
  </si>
  <si>
    <t>3999</t>
  </si>
  <si>
    <t>6992</t>
  </si>
  <si>
    <t>14976</t>
  </si>
  <si>
    <t>15998</t>
  </si>
  <si>
    <t>9998</t>
  </si>
  <si>
    <t>39798</t>
  </si>
  <si>
    <t>37389</t>
  </si>
  <si>
    <t>109978</t>
  </si>
  <si>
    <t>101993</t>
  </si>
  <si>
    <t>104855</t>
  </si>
  <si>
    <t>76592</t>
  </si>
  <si>
    <t>35893</t>
  </si>
  <si>
    <t>31992</t>
  </si>
  <si>
    <t>24940</t>
  </si>
  <si>
    <t>24326</t>
  </si>
  <si>
    <t>56028</t>
  </si>
  <si>
    <t>56859</t>
  </si>
  <si>
    <t>38059</t>
  </si>
  <si>
    <t>132162</t>
  </si>
  <si>
    <t>129789</t>
  </si>
  <si>
    <t>326983</t>
  </si>
  <si>
    <t>299994</t>
  </si>
  <si>
    <t>278750</t>
  </si>
  <si>
    <t>235791</t>
  </si>
  <si>
    <t>111000</t>
  </si>
  <si>
    <t>99591</t>
  </si>
  <si>
    <t>45896</t>
  </si>
  <si>
    <t>72554</t>
  </si>
  <si>
    <t>137953</t>
  </si>
  <si>
    <t>169108</t>
  </si>
  <si>
    <t>114340</t>
  </si>
  <si>
    <t>349993</t>
  </si>
  <si>
    <t>10786</t>
  </si>
  <si>
    <t>9492</t>
  </si>
  <si>
    <t>9841</t>
  </si>
  <si>
    <t>7690</t>
  </si>
  <si>
    <t>18496</t>
  </si>
  <si>
    <t>11196</t>
  </si>
  <si>
    <t>35775</t>
  </si>
  <si>
    <t>37788</t>
  </si>
  <si>
    <t>109750</t>
  </si>
  <si>
    <t>99697</t>
  </si>
  <si>
    <t>104748</t>
  </si>
  <si>
    <t>74946</t>
  </si>
  <si>
    <t>35800</t>
  </si>
  <si>
    <t>31899</t>
  </si>
  <si>
    <t>24932</t>
  </si>
  <si>
    <t>24327</t>
  </si>
  <si>
    <t>55957</t>
  </si>
  <si>
    <t>56798</t>
  </si>
  <si>
    <t>40282</t>
  </si>
  <si>
    <t>131984</t>
  </si>
  <si>
    <t>127999</t>
  </si>
  <si>
    <t>325997</t>
  </si>
  <si>
    <t>299987</t>
  </si>
  <si>
    <t>278747</t>
  </si>
  <si>
    <t>235792</t>
  </si>
  <si>
    <t>111107</t>
  </si>
  <si>
    <t>94989</t>
  </si>
  <si>
    <t>45492</t>
  </si>
  <si>
    <t>169102</t>
  </si>
  <si>
    <t>127766</t>
  </si>
  <si>
    <t>349987</t>
  </si>
  <si>
    <t>9983</t>
  </si>
  <si>
    <t>10698</t>
  </si>
  <si>
    <t>9831</t>
  </si>
  <si>
    <t>7685</t>
  </si>
  <si>
    <t>14973</t>
  </si>
  <si>
    <t>18990</t>
  </si>
  <si>
    <t>13161</t>
  </si>
  <si>
    <t>35776</t>
  </si>
  <si>
    <t>42445</t>
  </si>
  <si>
    <t>109741</t>
  </si>
  <si>
    <t>101985</t>
  </si>
  <si>
    <t>104743</t>
  </si>
  <si>
    <t>74944</t>
  </si>
  <si>
    <t>35670</t>
  </si>
  <si>
    <t>31800</t>
  </si>
  <si>
    <t>24933</t>
  </si>
  <si>
    <t>24328</t>
  </si>
  <si>
    <t>55954</t>
  </si>
  <si>
    <t>56789</t>
  </si>
  <si>
    <t>40721</t>
  </si>
  <si>
    <t>131975</t>
  </si>
  <si>
    <t>325998</t>
  </si>
  <si>
    <t>299986</t>
  </si>
  <si>
    <t>278751</t>
  </si>
  <si>
    <t>235794</t>
  </si>
  <si>
    <t>111109</t>
  </si>
  <si>
    <t>94997</t>
  </si>
  <si>
    <t>45487</t>
  </si>
  <si>
    <t>72444</t>
  </si>
  <si>
    <t>137951</t>
  </si>
  <si>
    <t>168484</t>
  </si>
  <si>
    <t>127763</t>
  </si>
  <si>
    <t>349989</t>
  </si>
  <si>
    <t>10400</t>
  </si>
  <si>
    <t>17696</t>
  </si>
  <si>
    <t>8494</t>
  </si>
  <si>
    <t>7293</t>
  </si>
  <si>
    <t>11993</t>
  </si>
  <si>
    <t>18799</t>
  </si>
  <si>
    <t>16974</t>
  </si>
  <si>
    <t>38796</t>
  </si>
  <si>
    <t>42471</t>
  </si>
  <si>
    <t>107989</t>
  </si>
  <si>
    <t>119389</t>
  </si>
  <si>
    <t>35725</t>
  </si>
  <si>
    <t>35379</t>
  </si>
  <si>
    <t>23797</t>
  </si>
  <si>
    <t>55728</t>
  </si>
  <si>
    <t>40472</t>
  </si>
  <si>
    <t>117897</t>
  </si>
  <si>
    <t>129880</t>
  </si>
  <si>
    <t>325467</t>
  </si>
  <si>
    <t>299689</t>
  </si>
  <si>
    <t>278743</t>
  </si>
  <si>
    <t>228996</t>
  </si>
  <si>
    <t>94942</t>
  </si>
  <si>
    <t>44996</t>
  </si>
  <si>
    <t>68860</t>
  </si>
  <si>
    <t>147959</t>
  </si>
  <si>
    <t>11390</t>
  </si>
  <si>
    <t>14599</t>
  </si>
  <si>
    <t>7999</t>
  </si>
  <si>
    <t>7996</t>
  </si>
  <si>
    <t>11995</t>
  </si>
  <si>
    <t>17493</t>
  </si>
  <si>
    <t>14999</t>
  </si>
  <si>
    <t>37999</t>
  </si>
  <si>
    <t>43992</t>
  </si>
  <si>
    <t>112892</t>
  </si>
  <si>
    <t>127782</t>
  </si>
  <si>
    <t>119395</t>
  </si>
  <si>
    <t>83748</t>
  </si>
  <si>
    <t>35720</t>
  </si>
  <si>
    <t>35381</t>
  </si>
  <si>
    <t>23948</t>
  </si>
  <si>
    <t>24196</t>
  </si>
  <si>
    <t>50000</t>
  </si>
  <si>
    <t>55768</t>
  </si>
  <si>
    <t>40700</t>
  </si>
  <si>
    <t>117888</t>
  </si>
  <si>
    <t>129883</t>
  </si>
  <si>
    <t>325466</t>
  </si>
  <si>
    <t>299692</t>
  </si>
  <si>
    <t>228989</t>
  </si>
  <si>
    <t>84443</t>
  </si>
  <si>
    <t>94939</t>
  </si>
  <si>
    <t>38886</t>
  </si>
  <si>
    <t>68425</t>
  </si>
  <si>
    <t>143998</t>
  </si>
  <si>
    <t>124995</t>
  </si>
  <si>
    <t>88998</t>
  </si>
  <si>
    <t>349960</t>
  </si>
  <si>
    <t>8887</t>
  </si>
  <si>
    <t>9888</t>
  </si>
  <si>
    <t>6690</t>
  </si>
  <si>
    <t>7698</t>
  </si>
  <si>
    <t>11899</t>
  </si>
  <si>
    <t>17295</t>
  </si>
  <si>
    <t>13698</t>
  </si>
  <si>
    <t>29885</t>
  </si>
  <si>
    <t>69850</t>
  </si>
  <si>
    <t>112890</t>
  </si>
  <si>
    <t>123874</t>
  </si>
  <si>
    <t>109342</t>
  </si>
  <si>
    <t>35535</t>
  </si>
  <si>
    <t>49832</t>
  </si>
  <si>
    <t>21988</t>
  </si>
  <si>
    <t>49990</t>
  </si>
  <si>
    <t>55738</t>
  </si>
  <si>
    <t>53852</t>
  </si>
  <si>
    <t>117873</t>
  </si>
  <si>
    <t>129869</t>
  </si>
  <si>
    <t>319881</t>
  </si>
  <si>
    <t>278739</t>
  </si>
  <si>
    <t>219968</t>
  </si>
  <si>
    <t>83977</t>
  </si>
  <si>
    <t>94948</t>
  </si>
  <si>
    <t>33323</t>
  </si>
  <si>
    <t>67989</t>
  </si>
  <si>
    <t>143987</t>
  </si>
  <si>
    <t>123988</t>
  </si>
  <si>
    <t>77983</t>
  </si>
  <si>
    <t>329991</t>
  </si>
  <si>
    <t>9786</t>
  </si>
  <si>
    <t>11293</t>
  </si>
  <si>
    <t>6047</t>
  </si>
  <si>
    <t>7087</t>
  </si>
  <si>
    <t>17255</t>
  </si>
  <si>
    <t>12998</t>
  </si>
  <si>
    <t>28984</t>
  </si>
  <si>
    <t>78696</t>
  </si>
  <si>
    <t>112984</t>
  </si>
  <si>
    <t>119986</t>
  </si>
  <si>
    <t>108285</t>
  </si>
  <si>
    <t>75486</t>
  </si>
  <si>
    <t>34984</t>
  </si>
  <si>
    <t>47989</t>
  </si>
  <si>
    <t>21932</t>
  </si>
  <si>
    <t>22931</t>
  </si>
  <si>
    <t>44994</t>
  </si>
  <si>
    <t>55744</t>
  </si>
  <si>
    <t>117855</t>
  </si>
  <si>
    <t>129842</t>
  </si>
  <si>
    <t>319873</t>
  </si>
  <si>
    <t>299992</t>
  </si>
  <si>
    <t>278727</t>
  </si>
  <si>
    <t>219955</t>
  </si>
  <si>
    <t>83969</t>
  </si>
  <si>
    <t>94955</t>
  </si>
  <si>
    <t>33220</t>
  </si>
  <si>
    <t>67978</t>
  </si>
  <si>
    <t>143986</t>
  </si>
  <si>
    <t>124893</t>
  </si>
  <si>
    <t>77980</t>
  </si>
  <si>
    <t>329888</t>
  </si>
  <si>
    <t>9600</t>
  </si>
  <si>
    <t>9984</t>
  </si>
  <si>
    <t>6493</t>
  </si>
  <si>
    <t>6988</t>
  </si>
  <si>
    <t>11499</t>
  </si>
  <si>
    <t>17218</t>
  </si>
  <si>
    <t>11000</t>
  </si>
  <si>
    <t>26391</t>
  </si>
  <si>
    <t>78674</t>
  </si>
  <si>
    <t>112889</t>
  </si>
  <si>
    <t>119969</t>
  </si>
  <si>
    <t>108254</t>
  </si>
  <si>
    <t>75424</t>
  </si>
  <si>
    <t>34973</t>
  </si>
  <si>
    <t>47948</t>
  </si>
  <si>
    <t>21903</t>
  </si>
  <si>
    <t>22500</t>
  </si>
  <si>
    <t>35000</t>
  </si>
  <si>
    <t>55762</t>
  </si>
  <si>
    <t>53686</t>
  </si>
  <si>
    <t>117809</t>
  </si>
  <si>
    <t>129830</t>
  </si>
  <si>
    <t>319870</t>
  </si>
  <si>
    <t>374798</t>
  </si>
  <si>
    <t>219926</t>
  </si>
  <si>
    <t>83926</t>
  </si>
  <si>
    <t>94972</t>
  </si>
  <si>
    <t>33201</t>
  </si>
  <si>
    <t>67870</t>
  </si>
  <si>
    <t>143984</t>
  </si>
  <si>
    <t>124882</t>
  </si>
  <si>
    <t>77966</t>
  </si>
  <si>
    <t>329986</t>
  </si>
  <si>
    <t>cash</t>
  </si>
  <si>
    <t>benef:</t>
  </si>
  <si>
    <t>x5</t>
  </si>
  <si>
    <t>x10</t>
  </si>
  <si>
    <t>Coffre de loterie</t>
  </si>
  <si>
    <t>9379</t>
  </si>
  <si>
    <t>9892</t>
  </si>
  <si>
    <t>5691</t>
  </si>
  <si>
    <t>6677</t>
  </si>
  <si>
    <t>11495</t>
  </si>
  <si>
    <t>15480</t>
  </si>
  <si>
    <t>13892</t>
  </si>
  <si>
    <t>28997</t>
  </si>
  <si>
    <t>68990</t>
  </si>
  <si>
    <t>112869</t>
  </si>
  <si>
    <t>119971</t>
  </si>
  <si>
    <t>99994</t>
  </si>
  <si>
    <t>75068</t>
  </si>
  <si>
    <t>34899</t>
  </si>
  <si>
    <t>34792</t>
  </si>
  <si>
    <t>19969</t>
  </si>
  <si>
    <t>22395</t>
  </si>
  <si>
    <t>45000</t>
  </si>
  <si>
    <t>52392</t>
  </si>
  <si>
    <t>99891</t>
  </si>
  <si>
    <t>129829</t>
  </si>
  <si>
    <t>319799</t>
  </si>
  <si>
    <t>376688</t>
  </si>
  <si>
    <t>275997</t>
  </si>
  <si>
    <t>189998</t>
  </si>
  <si>
    <t>82983</t>
  </si>
  <si>
    <t>94974</t>
  </si>
  <si>
    <t>33196</t>
  </si>
  <si>
    <t>66974</t>
  </si>
  <si>
    <t>143982</t>
  </si>
  <si>
    <t>124883</t>
  </si>
  <si>
    <t>77656</t>
  </si>
  <si>
    <t>8731</t>
  </si>
  <si>
    <t>9354</t>
  </si>
  <si>
    <t>5250</t>
  </si>
  <si>
    <t>6250</t>
  </si>
  <si>
    <t>11200</t>
  </si>
  <si>
    <t>14500</t>
  </si>
  <si>
    <t>13888</t>
  </si>
  <si>
    <t>68488</t>
  </si>
  <si>
    <t>112994</t>
  </si>
  <si>
    <t>124992</t>
  </si>
  <si>
    <t>99794</t>
  </si>
  <si>
    <t>72899</t>
  </si>
  <si>
    <t>34923</t>
  </si>
  <si>
    <t>34872</t>
  </si>
  <si>
    <t>19956</t>
  </si>
  <si>
    <t>21495</t>
  </si>
  <si>
    <t>34499</t>
  </si>
  <si>
    <t>54874</t>
  </si>
  <si>
    <t>51991</t>
  </si>
  <si>
    <t>99878</t>
  </si>
  <si>
    <t>129832</t>
  </si>
  <si>
    <t>319785</t>
  </si>
  <si>
    <t>376682</t>
  </si>
  <si>
    <t>275994</t>
  </si>
  <si>
    <t>188990</t>
  </si>
  <si>
    <t>82494</t>
  </si>
  <si>
    <t>94969</t>
  </si>
  <si>
    <t>33193</t>
  </si>
  <si>
    <t>66962</t>
  </si>
  <si>
    <t>143897</t>
  </si>
  <si>
    <t>147797</t>
  </si>
  <si>
    <t>77648</t>
  </si>
  <si>
    <t>319997</t>
  </si>
  <si>
    <t>Rose des sables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</si>
</sst>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\ ##0"/>
  </numFmts>
  <fonts count="10" x14ac:knownFonts="1">
    <font>
      <sz val="11"/>
      <color theme="1"/>
      <name val="Calibri"/>
      <family val="2"/>
      <scheme val="minor"/>
    </font>
    <font>
      <sz val="11"/>
      <color rgb="FFFFFF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80808"/>
      <name val="Georgia"/>
      <family val="1"/>
    </font>
    <font>
      <sz val="12"/>
      <color rgb="FF080808"/>
      <name val="Comic Sans MS"/>
      <family val="4"/>
    </font>
    <font>
      <u/>
      <sz val="11"/>
      <color theme="1"/>
      <name val="Calibri"/>
      <family val="2"/>
      <scheme val="minor"/>
    </font>
    <font>
      <sz val="12"/>
      <color rgb="FF00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4F2E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CCFCE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1" xfId="0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3" fillId="4" borderId="19" xfId="0" applyFont="1" applyFill="1" applyBorder="1" applyAlignment="1">
      <alignment horizontal="center"/>
    </xf>
    <xf numFmtId="0" fontId="2" fillId="5" borderId="11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5" borderId="20" xfId="0" applyFont="1" applyFill="1" applyBorder="1" applyAlignment="1">
      <alignment horizontal="center"/>
    </xf>
    <xf numFmtId="0" fontId="0" fillId="5" borderId="22" xfId="0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34" xfId="0" applyFont="1" applyBorder="1" applyAlignment="1">
      <alignment horizontal="center"/>
    </xf>
    <xf numFmtId="0" fontId="2" fillId="0" borderId="3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2" fontId="0" fillId="0" borderId="27" xfId="0" applyNumberFormat="1" applyBorder="1" applyAlignment="1">
      <alignment horizontal="center"/>
    </xf>
    <xf numFmtId="20" fontId="0" fillId="0" borderId="3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3" borderId="36" xfId="0" applyFont="1" applyFill="1" applyBorder="1" applyAlignment="1">
      <alignment horizontal="center"/>
    </xf>
    <xf numFmtId="1" fontId="0" fillId="0" borderId="12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0" fontId="2" fillId="0" borderId="37" xfId="0" applyFont="1" applyBorder="1" applyAlignment="1">
      <alignment horizontal="center"/>
    </xf>
    <xf numFmtId="1" fontId="0" fillId="0" borderId="13" xfId="0" applyNumberFormat="1" applyBorder="1" applyAlignment="1">
      <alignment horizontal="center"/>
    </xf>
    <xf numFmtId="1" fontId="0" fillId="0" borderId="3" xfId="0" applyNumberFormat="1" applyBorder="1" applyAlignment="1">
      <alignment horizontal="center"/>
    </xf>
    <xf numFmtId="1" fontId="0" fillId="0" borderId="6" xfId="0" applyNumberFormat="1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20" xfId="0" applyBorder="1" applyAlignment="1">
      <alignment horizontal="center"/>
    </xf>
    <xf numFmtId="1" fontId="0" fillId="0" borderId="21" xfId="0" applyNumberFormat="1" applyBorder="1" applyAlignment="1">
      <alignment horizontal="center"/>
    </xf>
    <xf numFmtId="2" fontId="0" fillId="0" borderId="21" xfId="0" applyNumberFormat="1" applyBorder="1" applyAlignment="1">
      <alignment horizontal="center"/>
    </xf>
    <xf numFmtId="1" fontId="0" fillId="0" borderId="22" xfId="0" applyNumberFormat="1" applyBorder="1" applyAlignment="1">
      <alignment horizontal="center"/>
    </xf>
    <xf numFmtId="1" fontId="0" fillId="0" borderId="27" xfId="0" applyNumberFormat="1" applyBorder="1" applyAlignment="1">
      <alignment horizontal="center"/>
    </xf>
    <xf numFmtId="1" fontId="0" fillId="0" borderId="28" xfId="0" applyNumberForma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40" xfId="0" applyBorder="1" applyAlignment="1">
      <alignment horizontal="center"/>
    </xf>
    <xf numFmtId="0" fontId="2" fillId="0" borderId="0" xfId="0" applyFont="1" applyAlignment="1">
      <alignment horizontal="center"/>
    </xf>
    <xf numFmtId="10" fontId="0" fillId="0" borderId="13" xfId="0" applyNumberFormat="1" applyBorder="1" applyAlignment="1">
      <alignment horizontal="center"/>
    </xf>
    <xf numFmtId="10" fontId="0" fillId="0" borderId="3" xfId="0" applyNumberFormat="1" applyBorder="1" applyAlignment="1">
      <alignment horizontal="center"/>
    </xf>
    <xf numFmtId="0" fontId="0" fillId="7" borderId="11" xfId="0" applyFill="1" applyBorder="1" applyAlignment="1">
      <alignment horizontal="center"/>
    </xf>
    <xf numFmtId="0" fontId="0" fillId="7" borderId="12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2" fillId="6" borderId="15" xfId="0" applyFont="1" applyFill="1" applyBorder="1" applyAlignment="1">
      <alignment horizontal="center"/>
    </xf>
    <xf numFmtId="0" fontId="2" fillId="6" borderId="16" xfId="0" applyFont="1" applyFill="1" applyBorder="1" applyAlignment="1">
      <alignment horizontal="center"/>
    </xf>
    <xf numFmtId="0" fontId="2" fillId="6" borderId="18" xfId="0" applyFont="1" applyFill="1" applyBorder="1" applyAlignment="1">
      <alignment horizontal="center"/>
    </xf>
    <xf numFmtId="0" fontId="0" fillId="6" borderId="14" xfId="0" applyFill="1" applyBorder="1" applyAlignment="1">
      <alignment horizontal="center"/>
    </xf>
    <xf numFmtId="0" fontId="0" fillId="6" borderId="19" xfId="0" applyFill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22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6" borderId="34" xfId="0" applyFill="1" applyBorder="1" applyAlignment="1">
      <alignment horizontal="center"/>
    </xf>
    <xf numFmtId="0" fontId="0" fillId="6" borderId="35" xfId="0" applyFill="1" applyBorder="1" applyAlignment="1">
      <alignment horizontal="center"/>
    </xf>
    <xf numFmtId="0" fontId="0" fillId="6" borderId="44" xfId="0" applyFill="1" applyBorder="1" applyAlignment="1">
      <alignment horizontal="center"/>
    </xf>
    <xf numFmtId="0" fontId="0" fillId="6" borderId="45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10" fontId="0" fillId="0" borderId="1" xfId="0" applyNumberFormat="1" applyBorder="1" applyAlignment="1">
      <alignment horizontal="center"/>
    </xf>
    <xf numFmtId="0" fontId="0" fillId="8" borderId="12" xfId="0" applyFill="1" applyBorder="1" applyAlignment="1">
      <alignment horizontal="center"/>
    </xf>
    <xf numFmtId="0" fontId="2" fillId="6" borderId="11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6" borderId="4" xfId="0" applyFont="1" applyFill="1" applyBorder="1" applyAlignment="1">
      <alignment horizontal="center"/>
    </xf>
    <xf numFmtId="0" fontId="5" fillId="2" borderId="14" xfId="0" applyFont="1" applyFill="1" applyBorder="1" applyAlignment="1">
      <alignment horizontal="center"/>
    </xf>
    <xf numFmtId="0" fontId="0" fillId="0" borderId="19" xfId="0" applyBorder="1"/>
    <xf numFmtId="0" fontId="0" fillId="6" borderId="8" xfId="0" applyFill="1" applyBorder="1" applyAlignment="1">
      <alignment horizontal="center"/>
    </xf>
    <xf numFmtId="0" fontId="0" fillId="0" borderId="46" xfId="0" applyBorder="1" applyAlignment="1">
      <alignment horizontal="center"/>
    </xf>
    <xf numFmtId="0" fontId="0" fillId="8" borderId="47" xfId="0" applyFill="1" applyBorder="1" applyAlignment="1">
      <alignment horizontal="center"/>
    </xf>
    <xf numFmtId="0" fontId="0" fillId="8" borderId="46" xfId="0" applyFill="1" applyBorder="1" applyAlignment="1">
      <alignment horizontal="center"/>
    </xf>
    <xf numFmtId="10" fontId="0" fillId="0" borderId="29" xfId="0" applyNumberFormat="1" applyBorder="1" applyAlignment="1">
      <alignment horizontal="center"/>
    </xf>
    <xf numFmtId="10" fontId="0" fillId="0" borderId="30" xfId="0" applyNumberFormat="1" applyBorder="1" applyAlignment="1">
      <alignment horizontal="center"/>
    </xf>
    <xf numFmtId="10" fontId="0" fillId="0" borderId="47" xfId="0" applyNumberFormat="1" applyBorder="1" applyAlignment="1">
      <alignment horizontal="center"/>
    </xf>
    <xf numFmtId="10" fontId="0" fillId="0" borderId="46" xfId="0" applyNumberFormat="1" applyBorder="1" applyAlignment="1">
      <alignment horizontal="center"/>
    </xf>
    <xf numFmtId="0" fontId="7" fillId="9" borderId="48" xfId="0" applyFont="1" applyFill="1" applyBorder="1" applyAlignment="1">
      <alignment horizontal="center" vertical="center" wrapText="1"/>
    </xf>
    <xf numFmtId="0" fontId="6" fillId="9" borderId="48" xfId="0" applyFont="1" applyFill="1" applyBorder="1" applyAlignment="1">
      <alignment horizontal="center" vertical="center" wrapText="1"/>
    </xf>
    <xf numFmtId="0" fontId="8" fillId="0" borderId="0" xfId="0" applyFont="1"/>
    <xf numFmtId="0" fontId="9" fillId="10" borderId="0" xfId="0" applyFont="1" applyFill="1" applyAlignment="1">
      <alignment horizontal="right"/>
    </xf>
    <xf numFmtId="0" fontId="9" fillId="10" borderId="0" xfId="0" applyFont="1" applyFill="1" applyAlignment="1">
      <alignment horizontal="left" vertical="center" indent="1"/>
    </xf>
    <xf numFmtId="0" fontId="9" fillId="10" borderId="0" xfId="0" applyFont="1" applyFill="1"/>
    <xf numFmtId="0" fontId="9" fillId="11" borderId="0" xfId="0" applyFont="1" applyFill="1" applyAlignment="1">
      <alignment horizontal="right"/>
    </xf>
    <xf numFmtId="0" fontId="9" fillId="11" borderId="0" xfId="0" applyFont="1" applyFill="1" applyAlignment="1">
      <alignment horizontal="left" vertical="center" indent="1"/>
    </xf>
    <xf numFmtId="0" fontId="9" fillId="11" borderId="0" xfId="0" applyFont="1" applyFill="1"/>
    <xf numFmtId="0" fontId="0" fillId="0" borderId="1" xfId="0" applyBorder="1"/>
    <xf numFmtId="0" fontId="0" fillId="2" borderId="1" xfId="0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64" fontId="0" fillId="0" borderId="5" xfId="0" applyNumberFormat="1" applyBorder="1"/>
    <xf numFmtId="164" fontId="0" fillId="0" borderId="6" xfId="0" applyNumberFormat="1" applyBorder="1"/>
    <xf numFmtId="10" fontId="0" fillId="0" borderId="0" xfId="0" applyNumberFormat="1"/>
    <xf numFmtId="0" fontId="0" fillId="0" borderId="0" xfId="0" applyNumberFormat="1"/>
    <xf numFmtId="0" fontId="0" fillId="0" borderId="47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23" xfId="0" applyFill="1" applyBorder="1" applyAlignment="1">
      <alignment horizontal="center"/>
    </xf>
    <xf numFmtId="0" fontId="0" fillId="0" borderId="24" xfId="0" applyFill="1" applyBorder="1" applyAlignment="1">
      <alignment horizontal="center"/>
    </xf>
    <xf numFmtId="0" fontId="0" fillId="0" borderId="25" xfId="0" applyBorder="1"/>
    <xf numFmtId="0" fontId="0" fillId="2" borderId="8" xfId="0" applyFill="1" applyBorder="1" applyAlignment="1">
      <alignment horizontal="center"/>
    </xf>
    <xf numFmtId="0" fontId="0" fillId="2" borderId="9" xfId="0" applyFill="1" applyBorder="1" applyAlignment="1"/>
    <xf numFmtId="0" fontId="5" fillId="2" borderId="14" xfId="0" applyFont="1" applyFill="1" applyBorder="1" applyAlignment="1">
      <alignment horizontal="center"/>
    </xf>
    <xf numFmtId="0" fontId="5" fillId="2" borderId="32" xfId="0" applyFont="1" applyFill="1" applyBorder="1" applyAlignment="1">
      <alignment horizontal="center"/>
    </xf>
    <xf numFmtId="0" fontId="5" fillId="2" borderId="33" xfId="0" applyFont="1" applyFill="1" applyBorder="1" applyAlignment="1">
      <alignment horizontal="center"/>
    </xf>
    <xf numFmtId="0" fontId="0" fillId="2" borderId="9" xfId="0" applyFill="1" applyBorder="1" applyAlignment="1">
      <alignment horizontal="center"/>
    </xf>
  </cellXfs>
  <cellStyles count="1">
    <cellStyle name="Normal" xfId="0" builtinId="0"/>
  </cellStyles>
  <dxfs count="32"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</dxf>
    <dxf>
      <font>
        <b/>
        <i val="0"/>
        <color rgb="FF00B050"/>
      </font>
      <fill>
        <patternFill>
          <bgColor rgb="FFFFFF00"/>
        </patternFill>
      </fill>
    </dxf>
    <dxf>
      <font>
        <b/>
        <i val="0"/>
        <color rgb="FF00B050"/>
      </font>
      <fill>
        <patternFill>
          <bgColor rgb="FFFFFF00"/>
        </patternFill>
      </fill>
    </dxf>
    <dxf>
      <font>
        <b/>
        <i val="0"/>
        <color rgb="FF00B050"/>
      </font>
      <fill>
        <patternFill>
          <bgColor rgb="FFFFFF00"/>
        </patternFill>
      </fill>
    </dxf>
    <dxf>
      <font>
        <b/>
        <i val="0"/>
        <color rgb="FF00B050"/>
      </font>
      <fill>
        <patternFill>
          <bgColor rgb="FFFFFF00"/>
        </patternFill>
      </fill>
    </dxf>
    <dxf>
      <font>
        <b/>
        <i val="0"/>
        <color rgb="FF00B050"/>
      </font>
      <fill>
        <patternFill>
          <bgColor rgb="FFFFFF00"/>
        </patternFill>
      </fill>
    </dxf>
    <dxf>
      <font>
        <b/>
        <i val="0"/>
        <color rgb="FF00B050"/>
      </font>
      <fill>
        <patternFill>
          <bgColor rgb="FFFFFF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</dxf>
    <dxf>
      <font>
        <b/>
        <i val="0"/>
        <color rgb="FF00B050"/>
      </font>
      <fill>
        <patternFill>
          <bgColor rgb="FFFFFF00"/>
        </patternFill>
      </fill>
    </dxf>
    <dxf>
      <font>
        <b/>
        <i val="0"/>
        <color rgb="FF00B050"/>
      </font>
      <fill>
        <patternFill>
          <bgColor rgb="FFFFFF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74"/>
  <sheetViews>
    <sheetView workbookViewId="0">
      <selection activeCell="C33" sqref="C33"/>
    </sheetView>
  </sheetViews>
  <sheetFormatPr baseColWidth="10" defaultRowHeight="15" x14ac:dyDescent="0.25"/>
  <cols>
    <col min="1" max="1" width="11.42578125" style="1"/>
    <col min="2" max="2" width="7" style="1" customWidth="1"/>
    <col min="3" max="3" width="30.5703125" style="1" customWidth="1"/>
    <col min="4" max="4" width="11.42578125" style="1"/>
    <col min="5" max="5" width="22.85546875" style="1" customWidth="1"/>
    <col min="6" max="6" width="11.42578125" style="1"/>
    <col min="7" max="7" width="27.85546875" style="1" customWidth="1"/>
    <col min="8" max="16384" width="11.42578125" style="1"/>
  </cols>
  <sheetData>
    <row r="2" spans="2:4" x14ac:dyDescent="0.25">
      <c r="B2" s="2">
        <f>Trophées!B17+Trophées!G17+Trophées!L19+Trophées!B28+Trophées!G28+Trophées!L28+Trophées!L39+Trophées!G39+Trophées!B39+Trophées!B50+Trophées!G50+Trophées!L50+Trophées!L61+Trophées!G61+Trophées!B61+Trophées!B72+Trophées!G72+Trophées!L72+Trophées!B83+Trophées!G83+Trophées!L83+Trophées!B94+Trophées!G94+Trophées!L94</f>
        <v>22200</v>
      </c>
      <c r="C2" s="2" t="s">
        <v>3</v>
      </c>
      <c r="D2" s="2">
        <v>274</v>
      </c>
    </row>
    <row r="3" spans="2:4" x14ac:dyDescent="0.25">
      <c r="B3" s="2">
        <f>Trophées!B14+Trophées!B25+Trophées!B36+Trophées!B47+Trophées!B58+Trophées!B69+Trophées!B80+Trophées!B91</f>
        <v>20</v>
      </c>
      <c r="C3" s="2" t="s">
        <v>4</v>
      </c>
      <c r="D3" s="2">
        <v>80000</v>
      </c>
    </row>
    <row r="4" spans="2:4" x14ac:dyDescent="0.25">
      <c r="B4" s="2">
        <f>Trophées!B15+Trophées!B26+Trophées!B37+Trophées!B48+Trophées!B59+Trophées!B3+Trophées!B70+Trophées!B81+Trophées!B92</f>
        <v>20</v>
      </c>
      <c r="C4" s="2" t="s">
        <v>0</v>
      </c>
      <c r="D4" s="2">
        <v>146000</v>
      </c>
    </row>
    <row r="5" spans="2:4" x14ac:dyDescent="0.25">
      <c r="B5" s="2">
        <f>Trophées!L14+Trophées!L25+Trophées!L36+Trophées!L47+Trophées!L58+Trophées!L3+Trophées!L69+Trophées!L80+Trophées!L91</f>
        <v>20</v>
      </c>
      <c r="C5" s="2" t="s">
        <v>14</v>
      </c>
      <c r="D5" s="2">
        <v>42000</v>
      </c>
    </row>
    <row r="6" spans="2:4" x14ac:dyDescent="0.25">
      <c r="B6" s="2">
        <f>Trophées!G14+Trophées!G25+Trophées!G36+Trophées!G47+Trophées!G58+Trophées!G3+Trophées!G69+Trophées!G80+Trophées!G91</f>
        <v>20</v>
      </c>
      <c r="C6" s="2" t="s">
        <v>19</v>
      </c>
      <c r="D6" s="2">
        <v>125000</v>
      </c>
    </row>
    <row r="7" spans="2:4" x14ac:dyDescent="0.25">
      <c r="B7" s="2">
        <f>Trophées!B8</f>
        <v>0</v>
      </c>
      <c r="C7" s="2" t="s">
        <v>84</v>
      </c>
      <c r="D7" s="2">
        <v>2000</v>
      </c>
    </row>
    <row r="8" spans="2:4" x14ac:dyDescent="0.25">
      <c r="B8" s="2">
        <f>Trophées!G7</f>
        <v>0</v>
      </c>
      <c r="C8" s="2" t="s">
        <v>85</v>
      </c>
      <c r="D8" s="2">
        <v>100</v>
      </c>
    </row>
    <row r="9" spans="2:4" x14ac:dyDescent="0.25">
      <c r="B9" s="2">
        <f>Trophées!G8</f>
        <v>0</v>
      </c>
      <c r="C9" s="2" t="s">
        <v>86</v>
      </c>
      <c r="D9" s="2">
        <v>400</v>
      </c>
    </row>
    <row r="10" spans="2:4" x14ac:dyDescent="0.25">
      <c r="B10" s="2">
        <f>Trophées!L7</f>
        <v>0</v>
      </c>
      <c r="C10" s="2" t="s">
        <v>87</v>
      </c>
      <c r="D10" s="2">
        <v>300</v>
      </c>
    </row>
    <row r="11" spans="2:4" x14ac:dyDescent="0.25">
      <c r="B11" s="2">
        <f>Trophées!L7</f>
        <v>0</v>
      </c>
      <c r="C11" s="2" t="s">
        <v>88</v>
      </c>
      <c r="D11" s="2">
        <v>2000</v>
      </c>
    </row>
    <row r="12" spans="2:4" x14ac:dyDescent="0.25">
      <c r="B12" s="2"/>
      <c r="C12" s="2"/>
      <c r="D12" s="2"/>
    </row>
    <row r="13" spans="2:4" x14ac:dyDescent="0.25">
      <c r="B13" s="2">
        <f>Trophées!B20+Trophées!B29+Trophées!B40+Trophées!B51+Trophées!B62+Trophées!B5+Trophées!B73+Trophées!B84+Trophées!B95</f>
        <v>20</v>
      </c>
      <c r="C13" s="2" t="s">
        <v>1</v>
      </c>
      <c r="D13" s="2">
        <v>30000</v>
      </c>
    </row>
    <row r="14" spans="2:4" x14ac:dyDescent="0.25">
      <c r="B14" s="2">
        <f>Trophées!L16+Trophées!L27+Trophées!L38+Trophées!L49+Trophées!L60+Trophées!L5+Trophées!L71+Trophées!L82+Trophées!L93</f>
        <v>20</v>
      </c>
      <c r="C14" s="2" t="s">
        <v>15</v>
      </c>
      <c r="D14" s="2">
        <v>6000</v>
      </c>
    </row>
    <row r="15" spans="2:4" x14ac:dyDescent="0.25">
      <c r="B15" s="2">
        <f>Trophées!G15+Trophées!G27+Trophées!G38+Trophées!G49+Trophées!G60+Trophées!G5+Trophées!G71+Trophées!G82+Trophées!G93</f>
        <v>20</v>
      </c>
      <c r="C15" s="2" t="s">
        <v>21</v>
      </c>
      <c r="D15" s="2">
        <v>12000</v>
      </c>
    </row>
    <row r="16" spans="2:4" x14ac:dyDescent="0.25">
      <c r="B16" s="2">
        <f>Trophées!G96</f>
        <v>0</v>
      </c>
      <c r="C16" s="2" t="s">
        <v>129</v>
      </c>
      <c r="D16" s="2">
        <v>100</v>
      </c>
    </row>
    <row r="17" spans="2:8" x14ac:dyDescent="0.25">
      <c r="B17" s="2"/>
      <c r="C17" s="2"/>
      <c r="D17" s="2"/>
    </row>
    <row r="18" spans="2:8" x14ac:dyDescent="0.25">
      <c r="B18" s="2">
        <f>Trophées!B16+Trophées!B27+Trophées!B38+Trophées!B49+Trophées!B60+Trophées!B4+Trophées!B71+Trophées!B82+Trophées!B93</f>
        <v>40</v>
      </c>
      <c r="C18" s="2" t="s">
        <v>2</v>
      </c>
      <c r="D18" s="2">
        <v>250000</v>
      </c>
    </row>
    <row r="19" spans="2:8" x14ac:dyDescent="0.25">
      <c r="B19" s="2">
        <f>Trophées!L15+Trophées!L26+Trophées!L37+Trophées!L48+Trophées!L59+Trophées!L4+Trophées!L70+Trophées!L81+Trophées!L92</f>
        <v>40</v>
      </c>
      <c r="C19" s="2" t="s">
        <v>16</v>
      </c>
      <c r="D19" s="2">
        <v>3000</v>
      </c>
    </row>
    <row r="20" spans="2:8" x14ac:dyDescent="0.25">
      <c r="B20" s="2">
        <f>Trophées!G16+Trophées!G26+Trophées!G37+Trophées!G48+Trophées!G59+Trophées!G4+Trophées!G70+Trophées!G81+Trophées!G92</f>
        <v>40</v>
      </c>
      <c r="C20" s="2" t="s">
        <v>20</v>
      </c>
      <c r="D20" s="2">
        <v>27000</v>
      </c>
    </row>
    <row r="21" spans="2:8" x14ac:dyDescent="0.25">
      <c r="B21" s="2"/>
      <c r="C21" s="2"/>
      <c r="D21" s="2"/>
    </row>
    <row r="22" spans="2:8" x14ac:dyDescent="0.25">
      <c r="B22" s="2">
        <f>Trophées!L18</f>
        <v>0</v>
      </c>
      <c r="C22" s="2" t="s">
        <v>18</v>
      </c>
      <c r="D22" s="2">
        <v>1700</v>
      </c>
    </row>
    <row r="23" spans="2:8" x14ac:dyDescent="0.25">
      <c r="B23" s="2">
        <f>Trophées!L51</f>
        <v>0</v>
      </c>
      <c r="C23" s="2" t="s">
        <v>47</v>
      </c>
      <c r="D23" s="2">
        <v>600</v>
      </c>
    </row>
    <row r="24" spans="2:8" x14ac:dyDescent="0.25">
      <c r="B24" s="2">
        <f>Trophées!G51</f>
        <v>0</v>
      </c>
      <c r="C24" s="2" t="s">
        <v>50</v>
      </c>
      <c r="D24" s="2">
        <v>7200</v>
      </c>
    </row>
    <row r="25" spans="2:8" x14ac:dyDescent="0.25">
      <c r="B25" s="2">
        <f>Trophées!L63</f>
        <v>50</v>
      </c>
      <c r="C25" s="2" t="s">
        <v>66</v>
      </c>
      <c r="D25" s="2">
        <v>350</v>
      </c>
    </row>
    <row r="26" spans="2:8" x14ac:dyDescent="0.25">
      <c r="B26" s="2">
        <f>Trophées!B74</f>
        <v>50</v>
      </c>
      <c r="C26" s="2" t="s">
        <v>107</v>
      </c>
      <c r="D26" s="2">
        <v>200</v>
      </c>
    </row>
    <row r="27" spans="2:8" x14ac:dyDescent="0.25">
      <c r="B27" s="2"/>
      <c r="C27" s="2"/>
      <c r="D27" s="2"/>
    </row>
    <row r="28" spans="2:8" x14ac:dyDescent="0.25">
      <c r="B28" s="2">
        <f>Trophées!B18</f>
        <v>0</v>
      </c>
      <c r="C28" s="41" t="s">
        <v>5</v>
      </c>
      <c r="D28" s="41">
        <f>H28</f>
        <v>25000</v>
      </c>
      <c r="G28" s="41" t="s">
        <v>5</v>
      </c>
      <c r="H28" s="2">
        <v>25000</v>
      </c>
    </row>
    <row r="29" spans="2:8" x14ac:dyDescent="0.25">
      <c r="B29" s="2">
        <f>Trophées!B19</f>
        <v>0</v>
      </c>
      <c r="C29" s="2" t="s">
        <v>6</v>
      </c>
      <c r="D29" s="2">
        <v>2900</v>
      </c>
      <c r="G29" s="41" t="s">
        <v>27</v>
      </c>
      <c r="H29" s="2">
        <v>35000</v>
      </c>
    </row>
    <row r="30" spans="2:8" x14ac:dyDescent="0.25">
      <c r="B30" s="2">
        <f>Trophées!L17</f>
        <v>0</v>
      </c>
      <c r="C30" s="2" t="s">
        <v>17</v>
      </c>
      <c r="D30" s="2">
        <v>1200</v>
      </c>
      <c r="G30" s="41" t="s">
        <v>30</v>
      </c>
      <c r="H30" s="2">
        <v>4500</v>
      </c>
    </row>
    <row r="31" spans="2:8" x14ac:dyDescent="0.25">
      <c r="B31" s="2">
        <f>Trophées!G18</f>
        <v>0</v>
      </c>
      <c r="C31" s="2" t="s">
        <v>22</v>
      </c>
      <c r="D31" s="2">
        <v>2000</v>
      </c>
      <c r="G31" s="41" t="s">
        <v>31</v>
      </c>
      <c r="H31" s="2">
        <v>7500</v>
      </c>
    </row>
    <row r="32" spans="2:8" x14ac:dyDescent="0.25">
      <c r="B32" s="2">
        <f>Trophées!G19</f>
        <v>0</v>
      </c>
      <c r="C32" s="2" t="s">
        <v>23</v>
      </c>
      <c r="D32" s="2">
        <v>300</v>
      </c>
      <c r="G32" s="41" t="s">
        <v>63</v>
      </c>
      <c r="H32" s="2">
        <v>1000</v>
      </c>
    </row>
    <row r="33" spans="1:8" x14ac:dyDescent="0.25">
      <c r="A33" s="1" t="s">
        <v>184</v>
      </c>
      <c r="B33" s="2">
        <f>Trophées!L29</f>
        <v>50</v>
      </c>
      <c r="C33" s="41" t="s">
        <v>27</v>
      </c>
      <c r="D33" s="41">
        <f>H29</f>
        <v>35000</v>
      </c>
      <c r="G33" s="41" t="s">
        <v>64</v>
      </c>
      <c r="H33" s="2">
        <v>6500</v>
      </c>
    </row>
    <row r="34" spans="1:8" x14ac:dyDescent="0.25">
      <c r="B34" s="2">
        <f>Trophées!L30</f>
        <v>5</v>
      </c>
      <c r="C34" s="2" t="s">
        <v>28</v>
      </c>
      <c r="D34" s="2">
        <v>700</v>
      </c>
      <c r="G34" s="41" t="s">
        <v>120</v>
      </c>
      <c r="H34" s="2">
        <v>3500</v>
      </c>
    </row>
    <row r="35" spans="1:8" x14ac:dyDescent="0.25">
      <c r="B35" s="2">
        <f>Trophées!G29</f>
        <v>50</v>
      </c>
      <c r="C35" s="2" t="s">
        <v>29</v>
      </c>
      <c r="D35" s="2">
        <v>2000</v>
      </c>
      <c r="G35" s="41" t="s">
        <v>121</v>
      </c>
      <c r="H35" s="2">
        <v>3500</v>
      </c>
    </row>
    <row r="36" spans="1:8" x14ac:dyDescent="0.25">
      <c r="B36" s="2">
        <f>Trophées!G30</f>
        <v>50</v>
      </c>
      <c r="C36" s="41" t="s">
        <v>30</v>
      </c>
      <c r="D36" s="41">
        <f>H30</f>
        <v>4500</v>
      </c>
      <c r="G36" s="41" t="s">
        <v>117</v>
      </c>
      <c r="H36" s="65">
        <v>17000</v>
      </c>
    </row>
    <row r="37" spans="1:8" x14ac:dyDescent="0.25">
      <c r="B37" s="2">
        <f>Trophées!B30</f>
        <v>50</v>
      </c>
      <c r="C37" s="41" t="s">
        <v>31</v>
      </c>
      <c r="D37" s="41">
        <f>H31</f>
        <v>7500</v>
      </c>
    </row>
    <row r="38" spans="1:8" x14ac:dyDescent="0.25">
      <c r="B38" s="2">
        <f>Trophées!B31</f>
        <v>5</v>
      </c>
      <c r="C38" s="2" t="s">
        <v>32</v>
      </c>
      <c r="D38" s="2">
        <v>1600</v>
      </c>
    </row>
    <row r="39" spans="1:8" x14ac:dyDescent="0.25">
      <c r="B39" s="2">
        <f>Trophées!L40</f>
        <v>0</v>
      </c>
      <c r="C39" s="2" t="s">
        <v>37</v>
      </c>
      <c r="D39" s="2">
        <v>1900</v>
      </c>
    </row>
    <row r="40" spans="1:8" x14ac:dyDescent="0.25">
      <c r="B40" s="2">
        <f>Trophées!L41</f>
        <v>0</v>
      </c>
      <c r="C40" s="2" t="s">
        <v>38</v>
      </c>
      <c r="D40" s="2">
        <v>400</v>
      </c>
      <c r="E40" s="37" t="s">
        <v>76</v>
      </c>
    </row>
    <row r="41" spans="1:8" x14ac:dyDescent="0.25">
      <c r="B41" s="2">
        <f>Trophées!G41</f>
        <v>0</v>
      </c>
      <c r="C41" s="2" t="s">
        <v>39</v>
      </c>
      <c r="D41" s="2">
        <v>200</v>
      </c>
    </row>
    <row r="42" spans="1:8" x14ac:dyDescent="0.25">
      <c r="B42" s="2">
        <f>Trophées!G40</f>
        <v>0</v>
      </c>
      <c r="C42" s="2" t="s">
        <v>40</v>
      </c>
      <c r="D42" s="2">
        <v>400</v>
      </c>
    </row>
    <row r="43" spans="1:8" x14ac:dyDescent="0.25">
      <c r="B43" s="2">
        <f>Trophées!B42</f>
        <v>0</v>
      </c>
      <c r="C43" s="2" t="s">
        <v>41</v>
      </c>
      <c r="D43" s="2">
        <v>2200</v>
      </c>
    </row>
    <row r="44" spans="1:8" x14ac:dyDescent="0.25">
      <c r="B44" s="2">
        <f>Trophées!B41</f>
        <v>0</v>
      </c>
      <c r="C44" s="2" t="s">
        <v>42</v>
      </c>
      <c r="D44" s="2">
        <v>200</v>
      </c>
    </row>
    <row r="45" spans="1:8" x14ac:dyDescent="0.25">
      <c r="B45" s="2">
        <f>Trophées!L52</f>
        <v>0</v>
      </c>
      <c r="C45" s="2" t="s">
        <v>48</v>
      </c>
      <c r="D45" s="2">
        <v>100</v>
      </c>
      <c r="E45" s="37" t="s">
        <v>77</v>
      </c>
    </row>
    <row r="46" spans="1:8" x14ac:dyDescent="0.25">
      <c r="B46" s="2">
        <f>Trophées!G52</f>
        <v>0</v>
      </c>
      <c r="C46" s="2" t="s">
        <v>49</v>
      </c>
      <c r="D46" s="2">
        <v>600</v>
      </c>
    </row>
    <row r="47" spans="1:8" x14ac:dyDescent="0.25">
      <c r="B47" s="2">
        <f>Trophées!B52</f>
        <v>0</v>
      </c>
      <c r="C47" s="2" t="s">
        <v>51</v>
      </c>
      <c r="D47" s="2">
        <v>500</v>
      </c>
    </row>
    <row r="48" spans="1:8" x14ac:dyDescent="0.25">
      <c r="B48" s="2">
        <f>Trophées!B53</f>
        <v>0</v>
      </c>
      <c r="C48" s="2" t="s">
        <v>52</v>
      </c>
      <c r="D48" s="2">
        <v>1000</v>
      </c>
    </row>
    <row r="49" spans="2:4" x14ac:dyDescent="0.25">
      <c r="B49" s="2">
        <f>Trophées!B63</f>
        <v>50</v>
      </c>
      <c r="C49" s="2" t="s">
        <v>62</v>
      </c>
      <c r="D49" s="2">
        <v>200</v>
      </c>
    </row>
    <row r="50" spans="2:4" x14ac:dyDescent="0.25">
      <c r="B50" s="2">
        <f>Trophées!B64</f>
        <v>50</v>
      </c>
      <c r="C50" s="41" t="s">
        <v>63</v>
      </c>
      <c r="D50" s="41">
        <f>H32</f>
        <v>1000</v>
      </c>
    </row>
    <row r="51" spans="2:4" x14ac:dyDescent="0.25">
      <c r="B51" s="2">
        <f>Trophées!G63</f>
        <v>5</v>
      </c>
      <c r="C51" s="41" t="s">
        <v>64</v>
      </c>
      <c r="D51" s="41">
        <f>H33</f>
        <v>6500</v>
      </c>
    </row>
    <row r="52" spans="2:4" x14ac:dyDescent="0.25">
      <c r="B52" s="2">
        <f>Trophées!L62</f>
        <v>50</v>
      </c>
      <c r="C52" s="2" t="s">
        <v>65</v>
      </c>
      <c r="D52" s="2">
        <v>500</v>
      </c>
    </row>
    <row r="53" spans="2:4" x14ac:dyDescent="0.25">
      <c r="B53" s="2">
        <f>Trophées!G62</f>
        <v>50</v>
      </c>
      <c r="C53" s="2" t="s">
        <v>67</v>
      </c>
      <c r="D53" s="2">
        <v>200</v>
      </c>
    </row>
    <row r="54" spans="2:4" x14ac:dyDescent="0.25">
      <c r="B54" s="2">
        <f>Trophées!B6</f>
        <v>0</v>
      </c>
      <c r="C54" s="2" t="s">
        <v>81</v>
      </c>
      <c r="D54" s="2">
        <v>800</v>
      </c>
    </row>
    <row r="55" spans="2:4" x14ac:dyDescent="0.25">
      <c r="B55" s="2">
        <f>Trophées!B7</f>
        <v>0</v>
      </c>
      <c r="C55" s="2" t="s">
        <v>90</v>
      </c>
      <c r="D55" s="2">
        <v>100</v>
      </c>
    </row>
    <row r="56" spans="2:4" x14ac:dyDescent="0.25">
      <c r="B56" s="2">
        <f>Trophées!B9</f>
        <v>0</v>
      </c>
      <c r="C56" s="2" t="s">
        <v>82</v>
      </c>
      <c r="D56" s="2">
        <v>1000</v>
      </c>
    </row>
    <row r="57" spans="2:4" x14ac:dyDescent="0.25">
      <c r="B57" s="2">
        <f>Trophées!G6</f>
        <v>0</v>
      </c>
      <c r="C57" s="2" t="s">
        <v>83</v>
      </c>
      <c r="D57" s="2">
        <v>500</v>
      </c>
    </row>
    <row r="58" spans="2:4" x14ac:dyDescent="0.25">
      <c r="B58" s="2">
        <f>Trophées!L8</f>
        <v>0</v>
      </c>
      <c r="C58" s="2" t="s">
        <v>89</v>
      </c>
      <c r="D58" s="2">
        <v>1300</v>
      </c>
    </row>
    <row r="59" spans="2:4" x14ac:dyDescent="0.25">
      <c r="B59" s="2">
        <f>Trophées!B75</f>
        <v>50</v>
      </c>
      <c r="C59" s="2" t="s">
        <v>112</v>
      </c>
      <c r="D59" s="2">
        <v>200</v>
      </c>
    </row>
    <row r="60" spans="2:4" x14ac:dyDescent="0.25">
      <c r="B60" s="2">
        <f>Trophées!G73</f>
        <v>50</v>
      </c>
      <c r="C60" s="2" t="s">
        <v>108</v>
      </c>
      <c r="D60" s="2">
        <v>350</v>
      </c>
    </row>
    <row r="61" spans="2:4" x14ac:dyDescent="0.25">
      <c r="B61" s="2">
        <f>Trophées!G74</f>
        <v>50</v>
      </c>
      <c r="C61" s="2" t="s">
        <v>109</v>
      </c>
      <c r="D61" s="2">
        <v>120</v>
      </c>
    </row>
    <row r="62" spans="2:4" x14ac:dyDescent="0.25">
      <c r="B62" s="2">
        <f>Trophées!L73</f>
        <v>50</v>
      </c>
      <c r="C62" s="2" t="s">
        <v>110</v>
      </c>
      <c r="D62" s="2">
        <v>1100</v>
      </c>
    </row>
    <row r="63" spans="2:4" x14ac:dyDescent="0.25">
      <c r="B63" s="2">
        <f>Trophées!L74</f>
        <v>50</v>
      </c>
      <c r="C63" s="2" t="s">
        <v>111</v>
      </c>
      <c r="D63" s="2">
        <v>300</v>
      </c>
    </row>
    <row r="64" spans="2:4" x14ac:dyDescent="0.25">
      <c r="B64" s="2">
        <f>Trophées!B85</f>
        <v>5</v>
      </c>
      <c r="C64" s="41" t="s">
        <v>117</v>
      </c>
      <c r="D64" s="41">
        <f>H36</f>
        <v>17000</v>
      </c>
    </row>
    <row r="65" spans="2:4" x14ac:dyDescent="0.25">
      <c r="B65" s="2">
        <f>Trophées!B86</f>
        <v>5</v>
      </c>
      <c r="C65" s="2" t="s">
        <v>118</v>
      </c>
      <c r="D65" s="2">
        <v>2400</v>
      </c>
    </row>
    <row r="66" spans="2:4" x14ac:dyDescent="0.25">
      <c r="B66" s="2">
        <f>Trophées!G84</f>
        <v>5</v>
      </c>
      <c r="C66" s="2" t="s">
        <v>119</v>
      </c>
      <c r="D66" s="2">
        <v>2000</v>
      </c>
    </row>
    <row r="67" spans="2:4" x14ac:dyDescent="0.25">
      <c r="B67" s="2">
        <f>Trophées!G85</f>
        <v>50</v>
      </c>
      <c r="C67" s="41" t="s">
        <v>120</v>
      </c>
      <c r="D67" s="41">
        <f>H34</f>
        <v>3500</v>
      </c>
    </row>
    <row r="68" spans="2:4" x14ac:dyDescent="0.25">
      <c r="B68" s="2">
        <f>Trophées!L84</f>
        <v>50</v>
      </c>
      <c r="C68" s="41" t="s">
        <v>121</v>
      </c>
      <c r="D68" s="41">
        <f>H35</f>
        <v>3500</v>
      </c>
    </row>
    <row r="69" spans="2:4" x14ac:dyDescent="0.25">
      <c r="B69" s="2">
        <f>Trophées!L85</f>
        <v>50</v>
      </c>
      <c r="C69" s="2" t="s">
        <v>122</v>
      </c>
      <c r="D69" s="2">
        <v>5</v>
      </c>
    </row>
    <row r="70" spans="2:4" x14ac:dyDescent="0.25">
      <c r="B70" s="2">
        <f>Trophées!B96</f>
        <v>0</v>
      </c>
      <c r="C70" s="2" t="s">
        <v>126</v>
      </c>
      <c r="D70" s="2">
        <v>400</v>
      </c>
    </row>
    <row r="71" spans="2:4" x14ac:dyDescent="0.25">
      <c r="B71" s="2">
        <f>Trophées!B97</f>
        <v>0</v>
      </c>
      <c r="C71" s="2" t="s">
        <v>127</v>
      </c>
      <c r="D71" s="2">
        <v>4000</v>
      </c>
    </row>
    <row r="72" spans="2:4" x14ac:dyDescent="0.25">
      <c r="B72" s="2">
        <f>Trophées!G95</f>
        <v>0</v>
      </c>
      <c r="C72" s="2" t="s">
        <v>128</v>
      </c>
      <c r="D72" s="2">
        <v>27000</v>
      </c>
    </row>
    <row r="73" spans="2:4" x14ac:dyDescent="0.25">
      <c r="B73" s="2">
        <f>Trophées!L95</f>
        <v>0</v>
      </c>
      <c r="C73" s="2" t="s">
        <v>130</v>
      </c>
      <c r="D73" s="2">
        <v>200</v>
      </c>
    </row>
    <row r="74" spans="2:4" x14ac:dyDescent="0.25">
      <c r="B74" s="2">
        <f>Trophées!L96</f>
        <v>0</v>
      </c>
      <c r="C74" s="2" t="s">
        <v>131</v>
      </c>
      <c r="D74" s="2">
        <v>150</v>
      </c>
    </row>
  </sheetData>
  <conditionalFormatting sqref="B1:B1048576">
    <cfRule type="cellIs" dxfId="31" priority="1" operator="equal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tabSelected="1" workbookViewId="0">
      <selection activeCell="C2" sqref="C2"/>
    </sheetView>
  </sheetViews>
  <sheetFormatPr baseColWidth="10" defaultRowHeight="15" x14ac:dyDescent="0.25"/>
  <cols>
    <col min="3" max="3" width="16" customWidth="1"/>
    <col min="4" max="4" width="13.140625" customWidth="1"/>
    <col min="5" max="5" width="14.5703125" customWidth="1"/>
    <col min="10" max="10" width="14.42578125" customWidth="1"/>
    <col min="11" max="11" width="20.28515625" customWidth="1"/>
  </cols>
  <sheetData>
    <row r="1" spans="2:11" ht="15.75" thickBot="1" x14ac:dyDescent="0.3">
      <c r="F1" s="128" t="s">
        <v>799</v>
      </c>
    </row>
    <row r="2" spans="2:11" x14ac:dyDescent="0.25">
      <c r="B2" s="10"/>
      <c r="C2" s="11" t="s">
        <v>867</v>
      </c>
      <c r="D2" s="11" t="s">
        <v>185</v>
      </c>
      <c r="E2" s="11" t="s">
        <v>4</v>
      </c>
      <c r="F2" s="11" t="s">
        <v>186</v>
      </c>
      <c r="G2" s="11" t="s">
        <v>187</v>
      </c>
      <c r="H2" s="11" t="s">
        <v>188</v>
      </c>
      <c r="I2" s="11" t="s">
        <v>189</v>
      </c>
      <c r="J2" s="129" t="s">
        <v>190</v>
      </c>
      <c r="K2" s="131" t="s">
        <v>801</v>
      </c>
    </row>
    <row r="3" spans="2:11" x14ac:dyDescent="0.25">
      <c r="B3" s="5" t="s">
        <v>183</v>
      </c>
      <c r="C3" s="85">
        <v>9779</v>
      </c>
      <c r="D3" s="2">
        <v>8983</v>
      </c>
      <c r="E3" s="2">
        <v>21843</v>
      </c>
      <c r="F3" s="2">
        <v>60798</v>
      </c>
      <c r="G3" s="2">
        <v>51995</v>
      </c>
      <c r="H3" s="2">
        <v>199999</v>
      </c>
      <c r="I3" s="2">
        <v>3290</v>
      </c>
      <c r="J3" s="100">
        <v>32992</v>
      </c>
      <c r="K3" s="132">
        <v>49997</v>
      </c>
    </row>
    <row r="4" spans="2:11" ht="15.75" thickBot="1" x14ac:dyDescent="0.3">
      <c r="B4" s="6" t="s">
        <v>57</v>
      </c>
      <c r="C4" s="7"/>
      <c r="D4" s="7">
        <f>D3-C3</f>
        <v>-796</v>
      </c>
      <c r="E4" s="7">
        <f>E3-C3*2</f>
        <v>2285</v>
      </c>
      <c r="F4" s="7">
        <f>F3-C3*5-(C3*5*0.01)</f>
        <v>11414.05</v>
      </c>
      <c r="G4" s="7">
        <f>G3-5*C3</f>
        <v>3100</v>
      </c>
      <c r="H4" s="7">
        <f>H3-C3*10</f>
        <v>102209</v>
      </c>
      <c r="I4" s="7">
        <f>I3-C3/10</f>
        <v>2312.1</v>
      </c>
      <c r="J4" s="130">
        <f>J3-C3</f>
        <v>23213</v>
      </c>
      <c r="K4" s="133">
        <f>K3-(C3/10*25)</f>
        <v>25549.5</v>
      </c>
    </row>
    <row r="5" spans="2:11" x14ac:dyDescent="0.25">
      <c r="B5" s="47"/>
      <c r="C5" s="47"/>
      <c r="D5" s="84">
        <f t="shared" ref="D5:I5" si="0">(D4/D3)</f>
        <v>-8.8611822331069803E-2</v>
      </c>
      <c r="E5" s="84">
        <f t="shared" si="0"/>
        <v>0.10461017259533947</v>
      </c>
      <c r="F5" s="84">
        <f t="shared" si="0"/>
        <v>0.18773726109411493</v>
      </c>
      <c r="G5" s="84">
        <f t="shared" si="0"/>
        <v>5.9621117415136073E-2</v>
      </c>
      <c r="H5" s="84">
        <f t="shared" si="0"/>
        <v>0.51104755523777623</v>
      </c>
      <c r="I5" s="84">
        <f t="shared" si="0"/>
        <v>0.70276595744680848</v>
      </c>
      <c r="J5" s="84">
        <f>(J4/J3)</f>
        <v>0.70359481086323961</v>
      </c>
    </row>
    <row r="6" spans="2:11" x14ac:dyDescent="0.25">
      <c r="B6" s="47" t="s">
        <v>197</v>
      </c>
      <c r="C6" s="47">
        <f>C3/100</f>
        <v>97.79</v>
      </c>
      <c r="D6" s="47"/>
      <c r="E6" s="47">
        <f>E3/200</f>
        <v>109.215</v>
      </c>
      <c r="F6" s="47"/>
      <c r="G6" s="47"/>
      <c r="H6" s="47"/>
      <c r="I6" s="47"/>
      <c r="J6" s="47"/>
    </row>
    <row r="7" spans="2:11" ht="15.75" thickBot="1" x14ac:dyDescent="0.3">
      <c r="B7" s="1"/>
      <c r="C7" s="1"/>
      <c r="D7" s="1" t="s">
        <v>800</v>
      </c>
      <c r="E7" s="1"/>
      <c r="F7" s="1"/>
      <c r="G7" s="1"/>
      <c r="H7" s="1"/>
      <c r="I7" s="1"/>
      <c r="J7" s="1"/>
    </row>
    <row r="8" spans="2:11" ht="15.75" thickBot="1" x14ac:dyDescent="0.3">
      <c r="B8" s="1"/>
      <c r="C8" s="80" t="s">
        <v>3</v>
      </c>
      <c r="D8" s="81" t="s">
        <v>191</v>
      </c>
      <c r="E8" s="81" t="s">
        <v>192</v>
      </c>
      <c r="F8" s="81" t="s">
        <v>193</v>
      </c>
      <c r="G8" s="81" t="s">
        <v>194</v>
      </c>
      <c r="H8" s="81" t="s">
        <v>195</v>
      </c>
      <c r="I8" s="82" t="s">
        <v>196</v>
      </c>
      <c r="J8" s="1"/>
    </row>
    <row r="9" spans="2:11" x14ac:dyDescent="0.25">
      <c r="B9" s="1"/>
      <c r="C9" s="86">
        <v>24874</v>
      </c>
      <c r="D9" s="18">
        <v>264989</v>
      </c>
      <c r="E9" s="18">
        <v>1379988</v>
      </c>
      <c r="F9" s="18">
        <v>1199997</v>
      </c>
      <c r="G9" s="18">
        <v>1099998</v>
      </c>
      <c r="H9" s="18">
        <v>1350000</v>
      </c>
      <c r="I9" s="83">
        <v>6499999</v>
      </c>
      <c r="J9" s="1"/>
    </row>
    <row r="10" spans="2:11" ht="15.75" thickBot="1" x14ac:dyDescent="0.3">
      <c r="B10" s="1"/>
      <c r="C10" s="6"/>
      <c r="D10" s="7">
        <f>D9-10*C9-(10*C9*0.01)</f>
        <v>13761.6</v>
      </c>
      <c r="E10" s="7">
        <f>E9-50*C9</f>
        <v>136288</v>
      </c>
      <c r="F10" s="7">
        <f>F9-50*C9</f>
        <v>-43703</v>
      </c>
      <c r="G10" s="7">
        <f>G9-50*C9</f>
        <v>-143702</v>
      </c>
      <c r="H10" s="7">
        <f>H9-50*C9</f>
        <v>106300</v>
      </c>
      <c r="I10" s="4">
        <f>I9-200*C9</f>
        <v>1525199</v>
      </c>
      <c r="J10" s="1"/>
    </row>
    <row r="12" spans="2:11" ht="15.75" thickBot="1" x14ac:dyDescent="0.3"/>
    <row r="13" spans="2:11" x14ac:dyDescent="0.25">
      <c r="B13" s="118"/>
      <c r="C13" s="119" t="s">
        <v>507</v>
      </c>
      <c r="D13" s="119" t="s">
        <v>508</v>
      </c>
      <c r="E13" s="119" t="s">
        <v>16</v>
      </c>
      <c r="F13" s="119" t="s">
        <v>509</v>
      </c>
      <c r="G13" s="120" t="s">
        <v>510</v>
      </c>
    </row>
    <row r="14" spans="2:11" x14ac:dyDescent="0.25">
      <c r="B14" s="121" t="s">
        <v>183</v>
      </c>
      <c r="C14" s="117">
        <v>299998</v>
      </c>
      <c r="D14" s="116">
        <v>27999</v>
      </c>
      <c r="E14" s="116">
        <v>3200</v>
      </c>
      <c r="F14" s="116">
        <v>307998</v>
      </c>
      <c r="G14" s="122">
        <v>1400000</v>
      </c>
    </row>
    <row r="15" spans="2:11" ht="15.75" thickBot="1" x14ac:dyDescent="0.3">
      <c r="B15" s="123" t="s">
        <v>57</v>
      </c>
      <c r="C15" s="124"/>
      <c r="D15" s="125">
        <f>D14-(C14/10)</f>
        <v>-2000.7999999999993</v>
      </c>
      <c r="E15" s="125">
        <f>E14-(C14/100)</f>
        <v>200.01999999999998</v>
      </c>
      <c r="F15" s="125">
        <f>F14-C14</f>
        <v>8000</v>
      </c>
      <c r="G15" s="126">
        <f>G14-(4*C14+10000)</f>
        <v>190008</v>
      </c>
    </row>
    <row r="20" spans="1:3" x14ac:dyDescent="0.25">
      <c r="B20">
        <v>567993</v>
      </c>
    </row>
    <row r="22" spans="1:3" x14ac:dyDescent="0.25">
      <c r="B22">
        <v>299999</v>
      </c>
    </row>
    <row r="23" spans="1:3" x14ac:dyDescent="0.25">
      <c r="A23">
        <v>700000</v>
      </c>
      <c r="B23">
        <f>A23-B20</f>
        <v>132007</v>
      </c>
    </row>
    <row r="24" spans="1:3" x14ac:dyDescent="0.25">
      <c r="B24">
        <f>B22-B23</f>
        <v>167992</v>
      </c>
      <c r="C24" s="127">
        <f>(B24/A23)</f>
        <v>0.23998857142857144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9"/>
  <sheetViews>
    <sheetView workbookViewId="0">
      <selection activeCell="D4" sqref="D4"/>
    </sheetView>
  </sheetViews>
  <sheetFormatPr baseColWidth="10" defaultRowHeight="15" x14ac:dyDescent="0.25"/>
  <cols>
    <col min="2" max="2" width="23" customWidth="1"/>
    <col min="3" max="3" width="53.7109375" customWidth="1"/>
  </cols>
  <sheetData>
    <row r="1" spans="2:10" x14ac:dyDescent="0.25">
      <c r="D1" t="s">
        <v>281</v>
      </c>
      <c r="E1" t="s">
        <v>282</v>
      </c>
    </row>
    <row r="2" spans="2:10" ht="19.5" x14ac:dyDescent="0.25">
      <c r="B2" s="107" t="s">
        <v>272</v>
      </c>
      <c r="C2" s="107" t="s">
        <v>273</v>
      </c>
      <c r="D2">
        <v>31498</v>
      </c>
      <c r="E2">
        <v>35000</v>
      </c>
      <c r="F2">
        <f>D2+E2</f>
        <v>66498</v>
      </c>
      <c r="H2" s="110">
        <v>156</v>
      </c>
      <c r="I2" s="111" t="s">
        <v>283</v>
      </c>
      <c r="J2" s="112" t="s">
        <v>284</v>
      </c>
    </row>
    <row r="3" spans="2:10" ht="19.5" x14ac:dyDescent="0.25">
      <c r="B3" s="107" t="s">
        <v>274</v>
      </c>
      <c r="C3" s="107" t="s">
        <v>273</v>
      </c>
      <c r="D3">
        <v>31900</v>
      </c>
      <c r="E3">
        <v>31998</v>
      </c>
      <c r="F3">
        <f t="shared" ref="F3:F8" si="0">D3+E3</f>
        <v>63898</v>
      </c>
      <c r="H3" s="113">
        <v>156</v>
      </c>
      <c r="I3" s="114" t="s">
        <v>283</v>
      </c>
      <c r="J3" s="115" t="s">
        <v>284</v>
      </c>
    </row>
    <row r="4" spans="2:10" ht="39" x14ac:dyDescent="0.25">
      <c r="B4" s="107" t="s">
        <v>275</v>
      </c>
      <c r="C4" s="107" t="s">
        <v>273</v>
      </c>
      <c r="D4" s="109">
        <v>33999</v>
      </c>
      <c r="E4">
        <v>33999</v>
      </c>
      <c r="F4">
        <f t="shared" si="0"/>
        <v>67998</v>
      </c>
      <c r="H4" s="113">
        <v>156</v>
      </c>
      <c r="I4" s="114" t="s">
        <v>283</v>
      </c>
      <c r="J4" s="115" t="s">
        <v>284</v>
      </c>
    </row>
    <row r="5" spans="2:10" ht="19.5" x14ac:dyDescent="0.25">
      <c r="B5" s="107" t="s">
        <v>276</v>
      </c>
      <c r="C5" s="107" t="s">
        <v>273</v>
      </c>
      <c r="F5">
        <f t="shared" si="0"/>
        <v>0</v>
      </c>
      <c r="H5" s="113">
        <v>156</v>
      </c>
      <c r="I5" s="114" t="s">
        <v>283</v>
      </c>
      <c r="J5" s="115" t="s">
        <v>284</v>
      </c>
    </row>
    <row r="7" spans="2:10" x14ac:dyDescent="0.25">
      <c r="B7" s="108" t="s">
        <v>277</v>
      </c>
      <c r="C7" s="108" t="s">
        <v>278</v>
      </c>
      <c r="D7">
        <v>37667</v>
      </c>
      <c r="E7">
        <v>39500</v>
      </c>
      <c r="F7">
        <f t="shared" si="0"/>
        <v>77167</v>
      </c>
    </row>
    <row r="8" spans="2:10" ht="28.5" x14ac:dyDescent="0.25">
      <c r="B8" s="108" t="s">
        <v>279</v>
      </c>
      <c r="C8" s="108" t="s">
        <v>278</v>
      </c>
      <c r="D8">
        <v>38500</v>
      </c>
      <c r="E8">
        <v>61998</v>
      </c>
      <c r="F8">
        <f t="shared" si="0"/>
        <v>100498</v>
      </c>
    </row>
    <row r="9" spans="2:10" x14ac:dyDescent="0.25">
      <c r="B9" s="108" t="s">
        <v>280</v>
      </c>
      <c r="C9" s="108" t="s">
        <v>278</v>
      </c>
      <c r="D9">
        <v>46999</v>
      </c>
      <c r="E9">
        <v>46999</v>
      </c>
      <c r="F9">
        <f>D9+E9</f>
        <v>93998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99"/>
  <sheetViews>
    <sheetView workbookViewId="0">
      <selection activeCell="N63" sqref="N63"/>
    </sheetView>
  </sheetViews>
  <sheetFormatPr baseColWidth="10" defaultRowHeight="15" x14ac:dyDescent="0.25"/>
  <cols>
    <col min="2" max="2" width="5.42578125" style="1" customWidth="1"/>
    <col min="3" max="3" width="6.140625" style="1" customWidth="1"/>
    <col min="4" max="4" width="30.7109375" style="1" customWidth="1"/>
    <col min="5" max="5" width="11.42578125" style="1"/>
    <col min="7" max="7" width="5.42578125" style="1" customWidth="1"/>
    <col min="8" max="8" width="6.140625" style="1" customWidth="1"/>
    <col min="9" max="9" width="30.7109375" customWidth="1"/>
    <col min="12" max="12" width="5.42578125" style="1" customWidth="1"/>
    <col min="13" max="13" width="6.140625" style="1" customWidth="1"/>
    <col min="14" max="14" width="30.7109375" customWidth="1"/>
  </cols>
  <sheetData>
    <row r="1" spans="2:15" ht="15.75" thickBot="1" x14ac:dyDescent="0.3"/>
    <row r="2" spans="2:15" ht="15.75" thickBot="1" x14ac:dyDescent="0.3">
      <c r="B2" s="8">
        <f>Comparatifs!B27</f>
        <v>0</v>
      </c>
      <c r="C2" s="134" t="s">
        <v>79</v>
      </c>
      <c r="D2" s="134"/>
      <c r="E2" s="135"/>
      <c r="G2" s="8">
        <f>Comparatifs!B28+B10</f>
        <v>0</v>
      </c>
      <c r="H2" s="134" t="s">
        <v>78</v>
      </c>
      <c r="I2" s="134"/>
      <c r="J2" s="135"/>
      <c r="L2" s="8">
        <f>Comparatifs!B29+G9</f>
        <v>0</v>
      </c>
      <c r="M2" s="134" t="s">
        <v>80</v>
      </c>
      <c r="N2" s="134"/>
      <c r="O2" s="135"/>
    </row>
    <row r="3" spans="2:15" x14ac:dyDescent="0.25">
      <c r="B3" s="10">
        <f>C3*B2</f>
        <v>0</v>
      </c>
      <c r="C3" s="11">
        <v>1</v>
      </c>
      <c r="D3" s="11" t="str">
        <f>D59</f>
        <v>Ardonite</v>
      </c>
      <c r="E3" s="12">
        <f>E59</f>
        <v>146000</v>
      </c>
      <c r="G3" s="10">
        <f>H3*G2</f>
        <v>0</v>
      </c>
      <c r="H3" s="11">
        <v>1</v>
      </c>
      <c r="I3" s="11" t="str">
        <f t="shared" ref="I3:J5" si="0">I58</f>
        <v>Pyrute</v>
      </c>
      <c r="J3" s="12">
        <f t="shared" si="0"/>
        <v>125000</v>
      </c>
      <c r="L3" s="10">
        <f>M3*L2</f>
        <v>0</v>
      </c>
      <c r="M3" s="11">
        <v>1</v>
      </c>
      <c r="N3" s="11" t="str">
        <f t="shared" ref="N3:O5" si="1">N58</f>
        <v>Rutile</v>
      </c>
      <c r="O3" s="12">
        <f t="shared" si="1"/>
        <v>42000</v>
      </c>
    </row>
    <row r="4" spans="2:15" x14ac:dyDescent="0.25">
      <c r="B4" s="5">
        <f>C4*B2</f>
        <v>0</v>
      </c>
      <c r="C4" s="2">
        <v>2</v>
      </c>
      <c r="D4" s="2" t="str">
        <f>D60</f>
        <v>Galet brasillant</v>
      </c>
      <c r="E4" s="3">
        <f>E60</f>
        <v>500000</v>
      </c>
      <c r="G4" s="5">
        <f>H4*G2</f>
        <v>0</v>
      </c>
      <c r="H4" s="2">
        <v>2</v>
      </c>
      <c r="I4" s="2" t="str">
        <f t="shared" si="0"/>
        <v>Galet rutilant</v>
      </c>
      <c r="J4" s="3">
        <f t="shared" si="0"/>
        <v>54000</v>
      </c>
      <c r="L4" s="5">
        <f>M4*L2</f>
        <v>0</v>
      </c>
      <c r="M4" s="2">
        <v>2</v>
      </c>
      <c r="N4" s="2" t="str">
        <f t="shared" si="1"/>
        <v>Galet cramoisi</v>
      </c>
      <c r="O4" s="3">
        <f t="shared" si="1"/>
        <v>6000</v>
      </c>
    </row>
    <row r="5" spans="2:15" x14ac:dyDescent="0.25">
      <c r="B5" s="5">
        <f>C5*B2</f>
        <v>0</v>
      </c>
      <c r="C5" s="2">
        <v>1</v>
      </c>
      <c r="D5" s="2" t="str">
        <f>D62</f>
        <v>Substrat de forêt</v>
      </c>
      <c r="E5" s="3">
        <f>E62</f>
        <v>30000</v>
      </c>
      <c r="G5" s="5">
        <f>H5*G2</f>
        <v>0</v>
      </c>
      <c r="H5" s="2">
        <v>1</v>
      </c>
      <c r="I5" s="2" t="str">
        <f t="shared" si="0"/>
        <v>Substrat de bosquet</v>
      </c>
      <c r="J5" s="3">
        <f t="shared" si="0"/>
        <v>12000</v>
      </c>
      <c r="L5" s="5">
        <f>M5*L2</f>
        <v>0</v>
      </c>
      <c r="M5" s="2">
        <v>1</v>
      </c>
      <c r="N5" s="2" t="str">
        <f t="shared" si="1"/>
        <v>Substrat de bocage</v>
      </c>
      <c r="O5" s="3">
        <f t="shared" si="1"/>
        <v>6000</v>
      </c>
    </row>
    <row r="6" spans="2:15" x14ac:dyDescent="0.25">
      <c r="B6" s="5">
        <f>C6*B2</f>
        <v>0</v>
      </c>
      <c r="C6" s="2">
        <v>2</v>
      </c>
      <c r="D6" s="2" t="str">
        <f>Ressources!C54</f>
        <v>Os de fantôme Maho firefoux</v>
      </c>
      <c r="E6" s="3">
        <f>C6*Ressources!D54</f>
        <v>1600</v>
      </c>
      <c r="G6" s="5">
        <f>H6*G2</f>
        <v>0</v>
      </c>
      <c r="H6" s="2">
        <v>3</v>
      </c>
      <c r="I6" s="2" t="str">
        <f>Ressources!C57</f>
        <v>Bec du kwak de glace</v>
      </c>
      <c r="J6" s="3">
        <f>H6*Ressources!D57</f>
        <v>1500</v>
      </c>
      <c r="L6" s="5">
        <f>M6*L2</f>
        <v>0</v>
      </c>
      <c r="M6" s="2">
        <v>1</v>
      </c>
      <c r="N6" s="2" t="str">
        <f>Ressources!C10</f>
        <v>Fragment de pierre polie</v>
      </c>
      <c r="O6" s="3">
        <f>Ressources!D10</f>
        <v>300</v>
      </c>
    </row>
    <row r="7" spans="2:15" x14ac:dyDescent="0.25">
      <c r="B7" s="5">
        <f>C7*B2</f>
        <v>0</v>
      </c>
      <c r="C7" s="2">
        <v>1</v>
      </c>
      <c r="D7" s="2" t="str">
        <f>Ressources!C55</f>
        <v>cuir du sanglacier</v>
      </c>
      <c r="E7" s="3">
        <f>Ressources!D55</f>
        <v>100</v>
      </c>
      <c r="G7" s="5">
        <f>H7*G2</f>
        <v>0</v>
      </c>
      <c r="H7" s="2">
        <v>1</v>
      </c>
      <c r="I7" s="2" t="str">
        <f>Ressources!C8</f>
        <v>Ambre</v>
      </c>
      <c r="J7" s="3">
        <f>Ressources!D8</f>
        <v>100</v>
      </c>
      <c r="L7" s="5">
        <f>M7*L2</f>
        <v>0</v>
      </c>
      <c r="M7" s="2">
        <v>1</v>
      </c>
      <c r="N7" s="2" t="str">
        <f>Ressources!C11</f>
        <v>Fragment de cerveau poli</v>
      </c>
      <c r="O7" s="3">
        <f>Ressources!D11</f>
        <v>2000</v>
      </c>
    </row>
    <row r="8" spans="2:15" x14ac:dyDescent="0.25">
      <c r="B8" s="5">
        <f>C8*B2</f>
        <v>0</v>
      </c>
      <c r="C8" s="2">
        <v>1</v>
      </c>
      <c r="D8" s="2" t="str">
        <f>Ressources!C7</f>
        <v>Ambre de bambouto</v>
      </c>
      <c r="E8" s="3">
        <f>Ressources!D7</f>
        <v>2000</v>
      </c>
      <c r="G8" s="5">
        <f>H8*G2</f>
        <v>0</v>
      </c>
      <c r="H8" s="2">
        <v>1</v>
      </c>
      <c r="I8" s="2" t="str">
        <f>Ressources!C9</f>
        <v>Pierre de granit</v>
      </c>
      <c r="J8" s="3">
        <f>Ressources!D9</f>
        <v>400</v>
      </c>
      <c r="L8" s="5">
        <f>M8*L2</f>
        <v>0</v>
      </c>
      <c r="M8" s="2">
        <v>3</v>
      </c>
      <c r="N8" s="2" t="str">
        <f>Ressources!C58</f>
        <v>couteau de roukouto</v>
      </c>
      <c r="O8" s="3">
        <f>M8*Ressources!D58</f>
        <v>3900</v>
      </c>
    </row>
    <row r="9" spans="2:15" x14ac:dyDescent="0.25">
      <c r="B9" s="5">
        <f>C9*B2</f>
        <v>0</v>
      </c>
      <c r="C9" s="2">
        <v>1</v>
      </c>
      <c r="D9" s="2" t="str">
        <f>Ressources!C56</f>
        <v>peau de pandule</v>
      </c>
      <c r="E9" s="3">
        <f>Ressources!D56</f>
        <v>1000</v>
      </c>
      <c r="G9" s="5">
        <f>H9*G2</f>
        <v>0</v>
      </c>
      <c r="H9" s="2">
        <v>1</v>
      </c>
      <c r="I9" s="2" t="str">
        <f>M2</f>
        <v>Porteur Mineur</v>
      </c>
      <c r="J9" s="3">
        <f>O11</f>
        <v>60200</v>
      </c>
      <c r="L9" s="5"/>
      <c r="M9" s="2"/>
      <c r="N9" s="2"/>
      <c r="O9" s="46"/>
    </row>
    <row r="10" spans="2:15" ht="15.75" thickBot="1" x14ac:dyDescent="0.3">
      <c r="B10" s="6">
        <f>B2*C10</f>
        <v>0</v>
      </c>
      <c r="C10" s="7">
        <v>1</v>
      </c>
      <c r="D10" s="7" t="str">
        <f>H2</f>
        <v>Porteur</v>
      </c>
      <c r="E10" s="4">
        <f>J11</f>
        <v>253200</v>
      </c>
      <c r="G10" s="6"/>
      <c r="H10" s="7"/>
      <c r="I10" s="7"/>
      <c r="J10" s="4"/>
      <c r="L10" s="6"/>
      <c r="M10" s="7"/>
      <c r="N10" s="7"/>
      <c r="O10" s="4"/>
    </row>
    <row r="11" spans="2:15" ht="15.75" thickBot="1" x14ac:dyDescent="0.3">
      <c r="E11" s="9">
        <f>SUM(E3:E10)</f>
        <v>933900</v>
      </c>
      <c r="I11" s="1"/>
      <c r="J11" s="9">
        <f>SUM(J3:J9)</f>
        <v>253200</v>
      </c>
      <c r="N11" s="1"/>
      <c r="O11" s="9">
        <f>SUM(O3:O9)</f>
        <v>60200</v>
      </c>
    </row>
    <row r="12" spans="2:15" ht="15.75" thickBot="1" x14ac:dyDescent="0.3"/>
    <row r="13" spans="2:15" ht="15.75" thickBot="1" x14ac:dyDescent="0.3">
      <c r="B13" s="8">
        <f>Comparatifs!B12</f>
        <v>0</v>
      </c>
      <c r="C13" s="134" t="s">
        <v>7</v>
      </c>
      <c r="D13" s="134"/>
      <c r="E13" s="135"/>
      <c r="G13" s="8">
        <f>Comparatifs!B14+B21</f>
        <v>0</v>
      </c>
      <c r="H13" s="134" t="s">
        <v>12</v>
      </c>
      <c r="I13" s="134"/>
      <c r="J13" s="135"/>
      <c r="L13" s="8">
        <f>Comparatifs!B13+G20</f>
        <v>0</v>
      </c>
      <c r="M13" s="134" t="s">
        <v>13</v>
      </c>
      <c r="N13" s="134"/>
      <c r="O13" s="135"/>
    </row>
    <row r="14" spans="2:15" x14ac:dyDescent="0.25">
      <c r="B14" s="10">
        <f>C14*B13</f>
        <v>0</v>
      </c>
      <c r="C14" s="11">
        <v>1</v>
      </c>
      <c r="D14" s="11" t="str">
        <f>Ressources!C3</f>
        <v>Tourmaline</v>
      </c>
      <c r="E14" s="12">
        <f>C14*Ressources!D3</f>
        <v>80000</v>
      </c>
      <c r="G14" s="10">
        <f>H14*G13</f>
        <v>0</v>
      </c>
      <c r="H14" s="11">
        <v>1</v>
      </c>
      <c r="I14" s="11" t="str">
        <f>Ressources!C6</f>
        <v>Pyrute</v>
      </c>
      <c r="J14" s="12">
        <f>Ressources!D6</f>
        <v>125000</v>
      </c>
      <c r="L14" s="10">
        <f>M14*L13</f>
        <v>0</v>
      </c>
      <c r="M14" s="11">
        <v>1</v>
      </c>
      <c r="N14" s="11" t="str">
        <f>Ressources!C5</f>
        <v>Rutile</v>
      </c>
      <c r="O14" s="12">
        <f>Ressources!D5</f>
        <v>42000</v>
      </c>
    </row>
    <row r="15" spans="2:15" x14ac:dyDescent="0.25">
      <c r="B15" s="5">
        <f>C15*B13</f>
        <v>0</v>
      </c>
      <c r="C15" s="2">
        <v>1</v>
      </c>
      <c r="D15" s="2" t="str">
        <f>Ressources!C4</f>
        <v>Ardonite</v>
      </c>
      <c r="E15" s="3">
        <f>C15*Ressources!D4</f>
        <v>146000</v>
      </c>
      <c r="G15" s="5">
        <f>H15*G13</f>
        <v>0</v>
      </c>
      <c r="H15" s="2">
        <v>1</v>
      </c>
      <c r="I15" s="2" t="str">
        <f>Ressources!C15</f>
        <v>Substrat de bosquet</v>
      </c>
      <c r="J15" s="3">
        <f>Ressources!D15</f>
        <v>12000</v>
      </c>
      <c r="L15" s="5">
        <f>M15*L13</f>
        <v>0</v>
      </c>
      <c r="M15" s="2">
        <v>2</v>
      </c>
      <c r="N15" s="2" t="str">
        <f>Ressources!C19</f>
        <v>Galet cramoisi</v>
      </c>
      <c r="O15" s="3">
        <f>M15*Ressources!D19</f>
        <v>6000</v>
      </c>
    </row>
    <row r="16" spans="2:15" x14ac:dyDescent="0.25">
      <c r="B16" s="5">
        <f>C16*B13</f>
        <v>0</v>
      </c>
      <c r="C16" s="2">
        <v>2</v>
      </c>
      <c r="D16" s="2" t="str">
        <f>Ressources!C18</f>
        <v>Galet brasillant</v>
      </c>
      <c r="E16" s="3">
        <f>C16*Ressources!D18</f>
        <v>500000</v>
      </c>
      <c r="G16" s="5">
        <f>H16*G13</f>
        <v>0</v>
      </c>
      <c r="H16" s="2">
        <v>2</v>
      </c>
      <c r="I16" s="2" t="str">
        <f>Ressources!C20</f>
        <v>Galet rutilant</v>
      </c>
      <c r="J16" s="3">
        <f>H16*Ressources!D20</f>
        <v>54000</v>
      </c>
      <c r="L16" s="5">
        <f>M16*L13</f>
        <v>0</v>
      </c>
      <c r="M16" s="2">
        <v>1</v>
      </c>
      <c r="N16" s="2" t="str">
        <f>Ressources!C14</f>
        <v>Substrat de bocage</v>
      </c>
      <c r="O16" s="3">
        <f>Ressources!D14</f>
        <v>6000</v>
      </c>
    </row>
    <row r="17" spans="2:15" x14ac:dyDescent="0.25">
      <c r="B17" s="5">
        <f>C17*B13</f>
        <v>0</v>
      </c>
      <c r="C17" s="2">
        <v>1000</v>
      </c>
      <c r="D17" s="2" t="str">
        <f>Ressources!C2</f>
        <v>pépite</v>
      </c>
      <c r="E17" s="3">
        <f>C17*Ressources!D2</f>
        <v>274000</v>
      </c>
      <c r="G17" s="5">
        <f>H17*G13</f>
        <v>0</v>
      </c>
      <c r="H17" s="2">
        <v>100</v>
      </c>
      <c r="I17" s="2" t="str">
        <f>Ressources!C2</f>
        <v>pépite</v>
      </c>
      <c r="J17" s="3">
        <f>H17*Ressources!D2</f>
        <v>27400</v>
      </c>
      <c r="L17" s="5">
        <f>M17*L13</f>
        <v>0</v>
      </c>
      <c r="M17" s="2">
        <v>10</v>
      </c>
      <c r="N17" s="2" t="str">
        <f>Ressources!C30</f>
        <v>Lamelle de champa vert</v>
      </c>
      <c r="O17" s="3">
        <f>M17*Ressources!D30</f>
        <v>12000</v>
      </c>
    </row>
    <row r="18" spans="2:15" x14ac:dyDescent="0.25">
      <c r="B18" s="5">
        <f>C18*B13</f>
        <v>0</v>
      </c>
      <c r="C18" s="2">
        <v>1</v>
      </c>
      <c r="D18" s="2" t="str">
        <f>Ressources!C28</f>
        <v>Langue de truchmuche</v>
      </c>
      <c r="E18" s="3">
        <f>C18*Ressources!D28</f>
        <v>25000</v>
      </c>
      <c r="G18" s="5">
        <f>H18*G13</f>
        <v>0</v>
      </c>
      <c r="H18" s="2">
        <v>1</v>
      </c>
      <c r="I18" s="2" t="str">
        <f>Ressources!C31</f>
        <v>Protection de la dragueuse</v>
      </c>
      <c r="J18" s="3">
        <f>Ressources!D31</f>
        <v>2000</v>
      </c>
      <c r="L18" s="5">
        <f>M18*L13</f>
        <v>0</v>
      </c>
      <c r="M18" s="2">
        <v>10</v>
      </c>
      <c r="N18" s="2" t="str">
        <f>Ressources!C22</f>
        <v>Fleur de gloutovore</v>
      </c>
      <c r="O18" s="3">
        <f>M18*Ressources!D22</f>
        <v>17000</v>
      </c>
    </row>
    <row r="19" spans="2:15" x14ac:dyDescent="0.25">
      <c r="B19" s="5">
        <f>C19*B13</f>
        <v>0</v>
      </c>
      <c r="C19" s="2">
        <v>1</v>
      </c>
      <c r="D19" s="2" t="str">
        <f>Ressources!C29</f>
        <v>étoffe de yokai firefoux</v>
      </c>
      <c r="E19" s="3">
        <f>C19*Ressources!D29</f>
        <v>2900</v>
      </c>
      <c r="G19" s="5">
        <f>H19*G13</f>
        <v>0</v>
      </c>
      <c r="H19" s="2">
        <v>10</v>
      </c>
      <c r="I19" s="2" t="str">
        <f>Ressources!C32</f>
        <v>Cuir de porsalu</v>
      </c>
      <c r="J19" s="3">
        <f>H19*Ressources!D32</f>
        <v>3000</v>
      </c>
      <c r="L19" s="5">
        <f>M19*L13</f>
        <v>0</v>
      </c>
      <c r="M19" s="2">
        <v>10</v>
      </c>
      <c r="N19" s="2" t="str">
        <f>Ressources!C2</f>
        <v>pépite</v>
      </c>
      <c r="O19" s="3">
        <f>M19*Ressources!D2</f>
        <v>2740</v>
      </c>
    </row>
    <row r="20" spans="2:15" x14ac:dyDescent="0.25">
      <c r="B20" s="5">
        <f>C20*B13</f>
        <v>0</v>
      </c>
      <c r="C20" s="2">
        <v>1</v>
      </c>
      <c r="D20" s="2" t="str">
        <f>Ressources!C13</f>
        <v>Substrat de forêt</v>
      </c>
      <c r="E20" s="3">
        <f>C20*Ressources!D29</f>
        <v>2900</v>
      </c>
      <c r="G20" s="5">
        <f>H20*G13</f>
        <v>0</v>
      </c>
      <c r="H20" s="2">
        <v>1</v>
      </c>
      <c r="I20" s="2" t="str">
        <f>M13</f>
        <v>érudit mineur</v>
      </c>
      <c r="J20" s="3">
        <f>O22</f>
        <v>85740</v>
      </c>
      <c r="L20" s="5"/>
      <c r="M20" s="2"/>
      <c r="N20" s="2"/>
      <c r="O20" s="3"/>
    </row>
    <row r="21" spans="2:15" ht="15.75" thickBot="1" x14ac:dyDescent="0.3">
      <c r="B21" s="6">
        <f>B13*C21</f>
        <v>0</v>
      </c>
      <c r="C21" s="7">
        <v>1</v>
      </c>
      <c r="D21" s="7" t="str">
        <f>H13</f>
        <v>érudit</v>
      </c>
      <c r="E21" s="4">
        <f>J22</f>
        <v>309140</v>
      </c>
      <c r="G21" s="6"/>
      <c r="H21" s="7"/>
      <c r="I21" s="7"/>
      <c r="J21" s="4"/>
      <c r="L21" s="6"/>
      <c r="M21" s="7"/>
      <c r="N21" s="7"/>
      <c r="O21" s="4"/>
    </row>
    <row r="22" spans="2:15" ht="15.75" thickBot="1" x14ac:dyDescent="0.3">
      <c r="E22" s="9">
        <f>SUM(E14:E21)</f>
        <v>1339940</v>
      </c>
      <c r="I22" s="1"/>
      <c r="J22" s="9">
        <f>SUM(J14:J20)</f>
        <v>309140</v>
      </c>
      <c r="N22" s="1"/>
      <c r="O22" s="9">
        <f>SUM(O14:O20)</f>
        <v>85740</v>
      </c>
    </row>
    <row r="23" spans="2:15" ht="15.75" thickBot="1" x14ac:dyDescent="0.3"/>
    <row r="24" spans="2:15" ht="15.75" thickBot="1" x14ac:dyDescent="0.3">
      <c r="B24" s="8">
        <f>Comparatifs!B15</f>
        <v>5</v>
      </c>
      <c r="C24" s="134" t="s">
        <v>26</v>
      </c>
      <c r="D24" s="134"/>
      <c r="E24" s="135"/>
      <c r="G24" s="8">
        <f>Comparatifs!B16+B32</f>
        <v>5</v>
      </c>
      <c r="H24" s="134" t="s">
        <v>25</v>
      </c>
      <c r="I24" s="134"/>
      <c r="J24" s="135"/>
      <c r="L24" s="8">
        <f>Comparatifs!B17+G31</f>
        <v>5</v>
      </c>
      <c r="M24" s="134" t="s">
        <v>24</v>
      </c>
      <c r="N24" s="134"/>
      <c r="O24" s="135"/>
    </row>
    <row r="25" spans="2:15" x14ac:dyDescent="0.25">
      <c r="B25" s="10">
        <f>C25*B24</f>
        <v>5</v>
      </c>
      <c r="C25" s="11">
        <v>1</v>
      </c>
      <c r="D25" s="11" t="str">
        <f>Ressources!C3</f>
        <v>Tourmaline</v>
      </c>
      <c r="E25" s="12">
        <f>Ressources!D3</f>
        <v>80000</v>
      </c>
      <c r="G25" s="10">
        <f>H25*G24</f>
        <v>5</v>
      </c>
      <c r="H25" s="11">
        <v>1</v>
      </c>
      <c r="I25" s="11" t="str">
        <f>Ressources!C6</f>
        <v>Pyrute</v>
      </c>
      <c r="J25" s="12">
        <f>Ressources!D6</f>
        <v>125000</v>
      </c>
      <c r="L25" s="10">
        <f>M25*L24</f>
        <v>5</v>
      </c>
      <c r="M25" s="11">
        <v>1</v>
      </c>
      <c r="N25" s="11" t="str">
        <f>Ressources!C5</f>
        <v>Rutile</v>
      </c>
      <c r="O25" s="12">
        <f>Ressources!D5</f>
        <v>42000</v>
      </c>
    </row>
    <row r="26" spans="2:15" x14ac:dyDescent="0.25">
      <c r="B26" s="5">
        <f>C26*B24</f>
        <v>5</v>
      </c>
      <c r="C26" s="2">
        <v>1</v>
      </c>
      <c r="D26" s="2" t="str">
        <f>Ressources!C4</f>
        <v>Ardonite</v>
      </c>
      <c r="E26" s="3">
        <f>Ressources!D4</f>
        <v>146000</v>
      </c>
      <c r="G26" s="5">
        <f>H26*G24</f>
        <v>10</v>
      </c>
      <c r="H26" s="2">
        <v>2</v>
      </c>
      <c r="I26" s="2" t="str">
        <f>Ressources!C20</f>
        <v>Galet rutilant</v>
      </c>
      <c r="J26" s="3">
        <f>H26*Ressources!D20</f>
        <v>54000</v>
      </c>
      <c r="L26" s="5">
        <f>M26*L24</f>
        <v>10</v>
      </c>
      <c r="M26" s="2">
        <v>2</v>
      </c>
      <c r="N26" s="2" t="str">
        <f>Ressources!C19</f>
        <v>Galet cramoisi</v>
      </c>
      <c r="O26" s="3">
        <f>M26*Ressources!D19</f>
        <v>6000</v>
      </c>
    </row>
    <row r="27" spans="2:15" x14ac:dyDescent="0.25">
      <c r="B27" s="5">
        <f>C27*B24</f>
        <v>10</v>
      </c>
      <c r="C27" s="2">
        <v>2</v>
      </c>
      <c r="D27" s="2" t="str">
        <f>Ressources!C18</f>
        <v>Galet brasillant</v>
      </c>
      <c r="E27" s="3">
        <f>C27*Ressources!D18</f>
        <v>500000</v>
      </c>
      <c r="G27" s="5">
        <f>H27*G24</f>
        <v>5</v>
      </c>
      <c r="H27" s="2">
        <v>1</v>
      </c>
      <c r="I27" s="2" t="str">
        <f>Ressources!C15</f>
        <v>Substrat de bosquet</v>
      </c>
      <c r="J27" s="3">
        <f>Ressources!D15</f>
        <v>12000</v>
      </c>
      <c r="L27" s="5">
        <f>M27*L24</f>
        <v>5</v>
      </c>
      <c r="M27" s="2">
        <v>1</v>
      </c>
      <c r="N27" s="2" t="str">
        <f>Ressources!C14</f>
        <v>Substrat de bocage</v>
      </c>
      <c r="O27" s="3">
        <f>Ressources!D14</f>
        <v>6000</v>
      </c>
    </row>
    <row r="28" spans="2:15" x14ac:dyDescent="0.25">
      <c r="B28" s="5">
        <f>C28*B24</f>
        <v>5000</v>
      </c>
      <c r="C28" s="2">
        <v>1000</v>
      </c>
      <c r="D28" s="2" t="str">
        <f>Ressources!C2</f>
        <v>pépite</v>
      </c>
      <c r="E28" s="3">
        <f>C28*Ressources!D2</f>
        <v>274000</v>
      </c>
      <c r="G28" s="5">
        <f>H28*G24</f>
        <v>500</v>
      </c>
      <c r="H28" s="2">
        <v>100</v>
      </c>
      <c r="I28" s="2" t="str">
        <f>Ressources!C2</f>
        <v>pépite</v>
      </c>
      <c r="J28" s="3">
        <f>H28*Ressources!D2</f>
        <v>27400</v>
      </c>
      <c r="L28" s="5">
        <f>M28*L24</f>
        <v>50</v>
      </c>
      <c r="M28" s="2">
        <v>10</v>
      </c>
      <c r="N28" s="2" t="str">
        <f>Ressources!C2</f>
        <v>pépite</v>
      </c>
      <c r="O28" s="3">
        <f>M28*Ressources!D2</f>
        <v>2740</v>
      </c>
    </row>
    <row r="29" spans="2:15" x14ac:dyDescent="0.25">
      <c r="B29" s="5">
        <f>C29*B24</f>
        <v>5</v>
      </c>
      <c r="C29" s="2">
        <v>1</v>
      </c>
      <c r="D29" s="2" t="str">
        <f>Ressources!C13</f>
        <v>Substrat de forêt</v>
      </c>
      <c r="E29" s="3">
        <f>Ressources!D13</f>
        <v>30000</v>
      </c>
      <c r="G29" s="5">
        <f>H29*G24</f>
        <v>50</v>
      </c>
      <c r="H29" s="2">
        <v>10</v>
      </c>
      <c r="I29" s="2" t="str">
        <f>Ressources!C35</f>
        <v>Foulard du sparo</v>
      </c>
      <c r="J29" s="3">
        <f>H29*Ressources!D35</f>
        <v>20000</v>
      </c>
      <c r="L29" s="5">
        <f>M29*L24</f>
        <v>50</v>
      </c>
      <c r="M29" s="2">
        <v>10</v>
      </c>
      <c r="N29" s="2" t="str">
        <f>Ressources!C33</f>
        <v>Langue de craquelope</v>
      </c>
      <c r="O29" s="3">
        <f>M29*Ressources!D33</f>
        <v>350000</v>
      </c>
    </row>
    <row r="30" spans="2:15" x14ac:dyDescent="0.25">
      <c r="B30" s="5">
        <f>C30*B24</f>
        <v>50</v>
      </c>
      <c r="C30" s="2">
        <v>10</v>
      </c>
      <c r="D30" s="2" t="str">
        <f>Ressources!C37</f>
        <v>Cheveux d'Alhyène</v>
      </c>
      <c r="E30" s="3">
        <f>C30*Ressources!D37</f>
        <v>75000</v>
      </c>
      <c r="G30" s="5">
        <f>H30*G24</f>
        <v>50</v>
      </c>
      <c r="H30" s="2">
        <v>10</v>
      </c>
      <c r="I30" s="2" t="str">
        <f>Ressources!C36</f>
        <v>Broderie de malléfisk</v>
      </c>
      <c r="J30" s="3">
        <f>H30*Ressources!D36</f>
        <v>45000</v>
      </c>
      <c r="L30" s="5">
        <f>M30*L24</f>
        <v>5</v>
      </c>
      <c r="M30" s="2">
        <v>1</v>
      </c>
      <c r="N30" s="2" t="str">
        <f>Ressources!C34</f>
        <v>Grelot</v>
      </c>
      <c r="O30" s="3">
        <f>Ressources!D34</f>
        <v>700</v>
      </c>
    </row>
    <row r="31" spans="2:15" x14ac:dyDescent="0.25">
      <c r="B31" s="5">
        <f>C31*B24</f>
        <v>5</v>
      </c>
      <c r="C31" s="2">
        <v>1</v>
      </c>
      <c r="D31" s="2" t="str">
        <f>Ressources!C38</f>
        <v>Queue du boufmouth légendaire</v>
      </c>
      <c r="E31" s="3">
        <f>Ressources!D38</f>
        <v>1600</v>
      </c>
      <c r="G31" s="5">
        <f>H31*G24</f>
        <v>5</v>
      </c>
      <c r="H31" s="2">
        <v>1</v>
      </c>
      <c r="I31" s="2" t="str">
        <f>M24</f>
        <v>Vigoureux Mineur</v>
      </c>
      <c r="J31" s="3">
        <f>O33</f>
        <v>407440</v>
      </c>
      <c r="L31" s="5"/>
      <c r="M31" s="2"/>
      <c r="N31" s="2"/>
      <c r="O31" s="3"/>
    </row>
    <row r="32" spans="2:15" ht="15.75" thickBot="1" x14ac:dyDescent="0.3">
      <c r="B32" s="6">
        <f>B24*C32</f>
        <v>5</v>
      </c>
      <c r="C32" s="7">
        <v>1</v>
      </c>
      <c r="D32" s="7" t="str">
        <f>H24</f>
        <v>Vigoureux</v>
      </c>
      <c r="E32" s="4">
        <f>J33</f>
        <v>690840</v>
      </c>
      <c r="G32" s="6"/>
      <c r="H32" s="7"/>
      <c r="I32" s="7"/>
      <c r="J32" s="4"/>
      <c r="L32" s="6"/>
      <c r="M32" s="7"/>
      <c r="N32" s="7"/>
      <c r="O32" s="4"/>
    </row>
    <row r="33" spans="2:15" ht="15.75" thickBot="1" x14ac:dyDescent="0.3">
      <c r="E33" s="9">
        <f>SUM(E25:E32)</f>
        <v>1797440</v>
      </c>
      <c r="I33" s="1"/>
      <c r="J33" s="9">
        <f>SUM(J25:J31)</f>
        <v>690840</v>
      </c>
      <c r="N33" s="1"/>
      <c r="O33" s="9">
        <f>SUM(O25:O31)</f>
        <v>407440</v>
      </c>
    </row>
    <row r="34" spans="2:15" ht="15.75" thickBot="1" x14ac:dyDescent="0.3"/>
    <row r="35" spans="2:15" ht="15.75" thickBot="1" x14ac:dyDescent="0.3">
      <c r="B35" s="8">
        <f>Comparatifs!B18</f>
        <v>0</v>
      </c>
      <c r="C35" s="134" t="s">
        <v>36</v>
      </c>
      <c r="D35" s="134"/>
      <c r="E35" s="135"/>
      <c r="G35" s="8">
        <f>Comparatifs!B19+B43</f>
        <v>0</v>
      </c>
      <c r="H35" s="134" t="s">
        <v>34</v>
      </c>
      <c r="I35" s="134"/>
      <c r="J35" s="135"/>
      <c r="L35" s="8">
        <f>Comparatifs!B20+G42</f>
        <v>0</v>
      </c>
      <c r="M35" s="134" t="s">
        <v>35</v>
      </c>
      <c r="N35" s="134"/>
      <c r="O35" s="135"/>
    </row>
    <row r="36" spans="2:15" x14ac:dyDescent="0.25">
      <c r="B36" s="10">
        <f>C36*B35</f>
        <v>0</v>
      </c>
      <c r="C36" s="11">
        <v>1</v>
      </c>
      <c r="D36" s="11" t="str">
        <f t="shared" ref="D36:E40" si="2">D25</f>
        <v>Tourmaline</v>
      </c>
      <c r="E36" s="12">
        <f t="shared" si="2"/>
        <v>80000</v>
      </c>
      <c r="G36" s="10">
        <f>H36*G35</f>
        <v>0</v>
      </c>
      <c r="H36" s="11">
        <v>1</v>
      </c>
      <c r="I36" s="11" t="str">
        <f t="shared" ref="I36:J39" si="3">I25</f>
        <v>Pyrute</v>
      </c>
      <c r="J36" s="12">
        <f t="shared" si="3"/>
        <v>125000</v>
      </c>
      <c r="L36" s="10">
        <f>M36*L35</f>
        <v>0</v>
      </c>
      <c r="M36" s="11">
        <v>1</v>
      </c>
      <c r="N36" s="11" t="str">
        <f t="shared" ref="N36:O39" si="4">N25</f>
        <v>Rutile</v>
      </c>
      <c r="O36" s="12">
        <f t="shared" si="4"/>
        <v>42000</v>
      </c>
    </row>
    <row r="37" spans="2:15" x14ac:dyDescent="0.25">
      <c r="B37" s="5">
        <f>C37*B35</f>
        <v>0</v>
      </c>
      <c r="C37" s="2">
        <v>1</v>
      </c>
      <c r="D37" s="2" t="str">
        <f t="shared" si="2"/>
        <v>Ardonite</v>
      </c>
      <c r="E37" s="3">
        <f t="shared" si="2"/>
        <v>146000</v>
      </c>
      <c r="G37" s="5">
        <f>H37*G35</f>
        <v>0</v>
      </c>
      <c r="H37" s="2">
        <v>2</v>
      </c>
      <c r="I37" s="2" t="str">
        <f t="shared" si="3"/>
        <v>Galet rutilant</v>
      </c>
      <c r="J37" s="3">
        <f t="shared" si="3"/>
        <v>54000</v>
      </c>
      <c r="L37" s="5">
        <f>M37*L35</f>
        <v>0</v>
      </c>
      <c r="M37" s="2">
        <v>2</v>
      </c>
      <c r="N37" s="2" t="str">
        <f t="shared" si="4"/>
        <v>Galet cramoisi</v>
      </c>
      <c r="O37" s="3">
        <f t="shared" si="4"/>
        <v>6000</v>
      </c>
    </row>
    <row r="38" spans="2:15" x14ac:dyDescent="0.25">
      <c r="B38" s="5">
        <f>C38*B35</f>
        <v>0</v>
      </c>
      <c r="C38" s="2">
        <v>2</v>
      </c>
      <c r="D38" s="2" t="str">
        <f t="shared" si="2"/>
        <v>Galet brasillant</v>
      </c>
      <c r="E38" s="3">
        <f t="shared" si="2"/>
        <v>500000</v>
      </c>
      <c r="G38" s="5">
        <f>H38*G35</f>
        <v>0</v>
      </c>
      <c r="H38" s="2">
        <v>1</v>
      </c>
      <c r="I38" s="2" t="str">
        <f t="shared" si="3"/>
        <v>Substrat de bosquet</v>
      </c>
      <c r="J38" s="3">
        <f t="shared" si="3"/>
        <v>12000</v>
      </c>
      <c r="L38" s="5">
        <f>M38*L35</f>
        <v>0</v>
      </c>
      <c r="M38" s="2">
        <v>1</v>
      </c>
      <c r="N38" s="2" t="str">
        <f t="shared" si="4"/>
        <v>Substrat de bocage</v>
      </c>
      <c r="O38" s="3">
        <f t="shared" si="4"/>
        <v>6000</v>
      </c>
    </row>
    <row r="39" spans="2:15" x14ac:dyDescent="0.25">
      <c r="B39" s="5">
        <f>C39*B35</f>
        <v>0</v>
      </c>
      <c r="C39" s="2">
        <v>1000</v>
      </c>
      <c r="D39" s="2" t="str">
        <f t="shared" si="2"/>
        <v>pépite</v>
      </c>
      <c r="E39" s="3">
        <f t="shared" si="2"/>
        <v>274000</v>
      </c>
      <c r="G39" s="5">
        <f>H39*G35</f>
        <v>0</v>
      </c>
      <c r="H39" s="2">
        <v>100</v>
      </c>
      <c r="I39" s="2" t="str">
        <f t="shared" si="3"/>
        <v>pépite</v>
      </c>
      <c r="J39" s="3">
        <f t="shared" si="3"/>
        <v>27400</v>
      </c>
      <c r="L39" s="5">
        <f>M39*L35</f>
        <v>0</v>
      </c>
      <c r="M39" s="2">
        <v>10</v>
      </c>
      <c r="N39" s="2" t="str">
        <f t="shared" si="4"/>
        <v>pépite</v>
      </c>
      <c r="O39" s="3">
        <f t="shared" si="4"/>
        <v>2740</v>
      </c>
    </row>
    <row r="40" spans="2:15" x14ac:dyDescent="0.25">
      <c r="B40" s="5">
        <f>C40*B35</f>
        <v>0</v>
      </c>
      <c r="C40" s="2">
        <v>1</v>
      </c>
      <c r="D40" s="2" t="str">
        <f t="shared" si="2"/>
        <v>Substrat de forêt</v>
      </c>
      <c r="E40" s="3">
        <f t="shared" si="2"/>
        <v>30000</v>
      </c>
      <c r="G40" s="5">
        <f>H40*G35</f>
        <v>0</v>
      </c>
      <c r="H40" s="2">
        <v>10</v>
      </c>
      <c r="I40" s="2" t="str">
        <f>Ressources!C42</f>
        <v>Chicot du flib</v>
      </c>
      <c r="J40" s="3">
        <f>H40*Ressources!D42</f>
        <v>4000</v>
      </c>
      <c r="L40" s="5">
        <f>M40*L35</f>
        <v>0</v>
      </c>
      <c r="M40" s="2">
        <v>10</v>
      </c>
      <c r="N40" s="2" t="str">
        <f>Ressources!C39</f>
        <v>Antennes de vilinsekt</v>
      </c>
      <c r="O40" s="3">
        <f>M40*Ressources!D39</f>
        <v>19000</v>
      </c>
    </row>
    <row r="41" spans="2:15" x14ac:dyDescent="0.25">
      <c r="B41" s="5">
        <f>C41*B35</f>
        <v>0</v>
      </c>
      <c r="C41" s="2">
        <v>10</v>
      </c>
      <c r="D41" s="2" t="str">
        <f>Ressources!C44</f>
        <v>étoffe de vigie pirate</v>
      </c>
      <c r="E41" s="3">
        <f>C41*Ressources!D44</f>
        <v>2000</v>
      </c>
      <c r="G41" s="5">
        <f>H41*G35</f>
        <v>0</v>
      </c>
      <c r="H41" s="2">
        <v>10</v>
      </c>
      <c r="I41" s="2" t="str">
        <f>Ressources!C41</f>
        <v>Laine du boufcoul</v>
      </c>
      <c r="J41" s="3">
        <f>H41*Ressources!D41</f>
        <v>2000</v>
      </c>
      <c r="L41" s="5">
        <f>M41*L35</f>
        <v>0</v>
      </c>
      <c r="M41" s="2">
        <v>1</v>
      </c>
      <c r="N41" s="2" t="str">
        <f>Ressources!C40</f>
        <v>Œuf d'arakne majeure</v>
      </c>
      <c r="O41" s="3">
        <f>Ressources!D40</f>
        <v>400</v>
      </c>
    </row>
    <row r="42" spans="2:15" x14ac:dyDescent="0.25">
      <c r="B42" s="5">
        <f>C42*B35</f>
        <v>0</v>
      </c>
      <c r="C42" s="2">
        <v>1</v>
      </c>
      <c r="D42" s="2" t="str">
        <f>Ressources!C43</f>
        <v>Bec de truchon</v>
      </c>
      <c r="E42" s="3">
        <f>Ressources!D43</f>
        <v>2200</v>
      </c>
      <c r="G42" s="5">
        <f>H42*G35</f>
        <v>0</v>
      </c>
      <c r="H42" s="2">
        <v>1</v>
      </c>
      <c r="I42" s="2" t="str">
        <f>M35</f>
        <v>Chanceux Mineur</v>
      </c>
      <c r="J42" s="3">
        <f>O44</f>
        <v>76140</v>
      </c>
      <c r="L42" s="5"/>
      <c r="M42" s="2"/>
      <c r="N42" s="2"/>
      <c r="O42" s="3"/>
    </row>
    <row r="43" spans="2:15" ht="15.75" thickBot="1" x14ac:dyDescent="0.3">
      <c r="B43" s="6">
        <f>B35*C43</f>
        <v>0</v>
      </c>
      <c r="C43" s="7">
        <v>1</v>
      </c>
      <c r="D43" s="7" t="str">
        <f>H35</f>
        <v>Chanceux</v>
      </c>
      <c r="E43" s="4">
        <f>J44</f>
        <v>300540</v>
      </c>
      <c r="G43" s="6"/>
      <c r="H43" s="7"/>
      <c r="I43" s="7"/>
      <c r="J43" s="4"/>
      <c r="L43" s="6"/>
      <c r="M43" s="7"/>
      <c r="N43" s="7"/>
      <c r="O43" s="4"/>
    </row>
    <row r="44" spans="2:15" ht="15.75" thickBot="1" x14ac:dyDescent="0.3">
      <c r="E44" s="9">
        <f>SUM(E36:E43)</f>
        <v>1334740</v>
      </c>
      <c r="I44" s="1"/>
      <c r="J44" s="9">
        <f>SUM(J36:J42)</f>
        <v>300540</v>
      </c>
      <c r="N44" s="1"/>
      <c r="O44" s="9">
        <f>SUM(O36:O42)</f>
        <v>76140</v>
      </c>
    </row>
    <row r="45" spans="2:15" ht="15.75" thickBot="1" x14ac:dyDescent="0.3"/>
    <row r="46" spans="2:15" ht="15.75" thickBot="1" x14ac:dyDescent="0.3">
      <c r="B46" s="8">
        <f>Comparatifs!B21</f>
        <v>0</v>
      </c>
      <c r="C46" s="134" t="s">
        <v>46</v>
      </c>
      <c r="D46" s="134"/>
      <c r="E46" s="135"/>
      <c r="G46" s="8">
        <f>Comparatifs!B22+B54</f>
        <v>0</v>
      </c>
      <c r="H46" s="134" t="s">
        <v>44</v>
      </c>
      <c r="I46" s="134"/>
      <c r="J46" s="135"/>
      <c r="L46" s="8">
        <f>Comparatifs!B23+G53</f>
        <v>0</v>
      </c>
      <c r="M46" s="134" t="s">
        <v>45</v>
      </c>
      <c r="N46" s="134"/>
      <c r="O46" s="135"/>
    </row>
    <row r="47" spans="2:15" x14ac:dyDescent="0.25">
      <c r="B47" s="10">
        <f>C47*B46</f>
        <v>0</v>
      </c>
      <c r="C47" s="11">
        <v>1</v>
      </c>
      <c r="D47" s="11" t="str">
        <f t="shared" ref="D47:E51" si="5">D36</f>
        <v>Tourmaline</v>
      </c>
      <c r="E47" s="12">
        <f t="shared" si="5"/>
        <v>80000</v>
      </c>
      <c r="G47" s="10">
        <f>H47*G46</f>
        <v>0</v>
      </c>
      <c r="H47" s="11">
        <v>1</v>
      </c>
      <c r="I47" s="11" t="str">
        <f t="shared" ref="I47:J50" si="6">I36</f>
        <v>Pyrute</v>
      </c>
      <c r="J47" s="12">
        <f t="shared" si="6"/>
        <v>125000</v>
      </c>
      <c r="L47" s="10">
        <f>M47*L46</f>
        <v>0</v>
      </c>
      <c r="M47" s="11">
        <v>1</v>
      </c>
      <c r="N47" s="11" t="str">
        <f t="shared" ref="N47:O50" si="7">N36</f>
        <v>Rutile</v>
      </c>
      <c r="O47" s="12">
        <f t="shared" si="7"/>
        <v>42000</v>
      </c>
    </row>
    <row r="48" spans="2:15" x14ac:dyDescent="0.25">
      <c r="B48" s="5">
        <f>C48*B46</f>
        <v>0</v>
      </c>
      <c r="C48" s="2">
        <v>1</v>
      </c>
      <c r="D48" s="2" t="str">
        <f t="shared" si="5"/>
        <v>Ardonite</v>
      </c>
      <c r="E48" s="3">
        <f t="shared" si="5"/>
        <v>146000</v>
      </c>
      <c r="G48" s="5">
        <f>H48*G46</f>
        <v>0</v>
      </c>
      <c r="H48" s="2">
        <v>2</v>
      </c>
      <c r="I48" s="2" t="str">
        <f t="shared" si="6"/>
        <v>Galet rutilant</v>
      </c>
      <c r="J48" s="3">
        <f t="shared" si="6"/>
        <v>54000</v>
      </c>
      <c r="L48" s="5">
        <f>M48*L46</f>
        <v>0</v>
      </c>
      <c r="M48" s="2">
        <v>2</v>
      </c>
      <c r="N48" s="2" t="str">
        <f t="shared" si="7"/>
        <v>Galet cramoisi</v>
      </c>
      <c r="O48" s="3">
        <f t="shared" si="7"/>
        <v>6000</v>
      </c>
    </row>
    <row r="49" spans="2:15" x14ac:dyDescent="0.25">
      <c r="B49" s="5">
        <f>C49*B46</f>
        <v>0</v>
      </c>
      <c r="C49" s="2">
        <v>2</v>
      </c>
      <c r="D49" s="2" t="str">
        <f t="shared" si="5"/>
        <v>Galet brasillant</v>
      </c>
      <c r="E49" s="3">
        <f t="shared" si="5"/>
        <v>500000</v>
      </c>
      <c r="G49" s="5">
        <f>H49*G46</f>
        <v>0</v>
      </c>
      <c r="H49" s="2">
        <v>1</v>
      </c>
      <c r="I49" s="2" t="str">
        <f t="shared" si="6"/>
        <v>Substrat de bosquet</v>
      </c>
      <c r="J49" s="3">
        <f t="shared" si="6"/>
        <v>12000</v>
      </c>
      <c r="L49" s="5">
        <f>M49*L46</f>
        <v>0</v>
      </c>
      <c r="M49" s="2">
        <v>1</v>
      </c>
      <c r="N49" s="2" t="str">
        <f t="shared" si="7"/>
        <v>Substrat de bocage</v>
      </c>
      <c r="O49" s="3">
        <f t="shared" si="7"/>
        <v>6000</v>
      </c>
    </row>
    <row r="50" spans="2:15" x14ac:dyDescent="0.25">
      <c r="B50" s="5">
        <f>C50*B46</f>
        <v>0</v>
      </c>
      <c r="C50" s="2">
        <v>1000</v>
      </c>
      <c r="D50" s="2" t="str">
        <f t="shared" si="5"/>
        <v>pépite</v>
      </c>
      <c r="E50" s="3">
        <f t="shared" si="5"/>
        <v>274000</v>
      </c>
      <c r="G50" s="5">
        <f>H50*G46</f>
        <v>0</v>
      </c>
      <c r="H50" s="2">
        <v>100</v>
      </c>
      <c r="I50" s="2" t="str">
        <f t="shared" si="6"/>
        <v>pépite</v>
      </c>
      <c r="J50" s="3">
        <f t="shared" si="6"/>
        <v>27400</v>
      </c>
      <c r="L50" s="5">
        <f>M50*L46</f>
        <v>0</v>
      </c>
      <c r="M50" s="2">
        <v>10</v>
      </c>
      <c r="N50" s="2" t="str">
        <f t="shared" si="7"/>
        <v>pépite</v>
      </c>
      <c r="O50" s="3">
        <f t="shared" si="7"/>
        <v>2740</v>
      </c>
    </row>
    <row r="51" spans="2:15" x14ac:dyDescent="0.25">
      <c r="B51" s="5">
        <f>C51*B46</f>
        <v>0</v>
      </c>
      <c r="C51" s="2">
        <v>1</v>
      </c>
      <c r="D51" s="2" t="str">
        <f t="shared" si="5"/>
        <v>Substrat de forêt</v>
      </c>
      <c r="E51" s="3">
        <f t="shared" si="5"/>
        <v>30000</v>
      </c>
      <c r="G51" s="5">
        <f>H51*G46</f>
        <v>0</v>
      </c>
      <c r="H51" s="2">
        <v>10</v>
      </c>
      <c r="I51" s="2" t="str">
        <f>Ressources!C24</f>
        <v>Fleur de gloutoblop</v>
      </c>
      <c r="J51" s="3">
        <f>H51*Ressources!D24</f>
        <v>72000</v>
      </c>
      <c r="L51" s="5">
        <f>M51*L46</f>
        <v>0</v>
      </c>
      <c r="M51" s="2">
        <v>10</v>
      </c>
      <c r="N51" s="2" t="str">
        <f>Ressources!C23</f>
        <v>Fleur de blopignon</v>
      </c>
      <c r="O51" s="3">
        <f>M51*Ressources!D23</f>
        <v>6000</v>
      </c>
    </row>
    <row r="52" spans="2:15" x14ac:dyDescent="0.25">
      <c r="B52" s="5">
        <f>C52*B46</f>
        <v>0</v>
      </c>
      <c r="C52" s="2">
        <v>10</v>
      </c>
      <c r="D52" s="2" t="str">
        <f>Ressources!C47</f>
        <v>Duvet de truchon</v>
      </c>
      <c r="E52" s="3">
        <f>C52*Ressources!D47</f>
        <v>5000</v>
      </c>
      <c r="G52" s="5">
        <f>H52*G46</f>
        <v>0</v>
      </c>
      <c r="H52" s="2">
        <v>10</v>
      </c>
      <c r="I52" s="2" t="str">
        <f>Ressources!C46</f>
        <v>étoffe de dok alako</v>
      </c>
      <c r="J52" s="3">
        <f>H52*Ressources!D46</f>
        <v>6000</v>
      </c>
      <c r="L52" s="5">
        <f>M52*L46</f>
        <v>0</v>
      </c>
      <c r="M52" s="2">
        <v>1</v>
      </c>
      <c r="N52" s="2" t="str">
        <f>Ressources!C45</f>
        <v>Œuf pourri</v>
      </c>
      <c r="O52" s="3">
        <f>Ressources!D45</f>
        <v>100</v>
      </c>
    </row>
    <row r="53" spans="2:15" x14ac:dyDescent="0.25">
      <c r="B53" s="5">
        <f>C53*B46</f>
        <v>0</v>
      </c>
      <c r="C53" s="2">
        <v>1</v>
      </c>
      <c r="D53" s="2" t="str">
        <f>Ressources!C48</f>
        <v>étoffe de kaniglou</v>
      </c>
      <c r="E53" s="3">
        <f>Ressources!D48</f>
        <v>1000</v>
      </c>
      <c r="G53" s="5">
        <f>H53*G46</f>
        <v>0</v>
      </c>
      <c r="H53" s="2">
        <v>1</v>
      </c>
      <c r="I53" s="2" t="str">
        <f>M46</f>
        <v>Cascadeur Mineur</v>
      </c>
      <c r="J53" s="3">
        <f>O55</f>
        <v>62840</v>
      </c>
      <c r="L53" s="5"/>
      <c r="M53" s="2"/>
      <c r="N53" s="2"/>
      <c r="O53" s="3"/>
    </row>
    <row r="54" spans="2:15" ht="15.75" thickBot="1" x14ac:dyDescent="0.3">
      <c r="B54" s="6">
        <f>B46*C54</f>
        <v>0</v>
      </c>
      <c r="C54" s="7">
        <v>1</v>
      </c>
      <c r="D54" s="7" t="str">
        <f>H46</f>
        <v>Cascadeur</v>
      </c>
      <c r="E54" s="4">
        <f>J55</f>
        <v>359240</v>
      </c>
      <c r="G54" s="6"/>
      <c r="H54" s="7"/>
      <c r="I54" s="7"/>
      <c r="J54" s="4"/>
      <c r="L54" s="6"/>
      <c r="M54" s="7"/>
      <c r="N54" s="7"/>
      <c r="O54" s="4"/>
    </row>
    <row r="55" spans="2:15" ht="15.75" thickBot="1" x14ac:dyDescent="0.3">
      <c r="E55" s="9">
        <f>SUM(E47:E54)</f>
        <v>1395240</v>
      </c>
      <c r="I55" s="1"/>
      <c r="J55" s="9">
        <f>SUM(J47:J53)</f>
        <v>359240</v>
      </c>
      <c r="N55" s="1"/>
      <c r="O55" s="9">
        <f>SUM(O47:O53)</f>
        <v>62840</v>
      </c>
    </row>
    <row r="56" spans="2:15" ht="15.75" thickBot="1" x14ac:dyDescent="0.3"/>
    <row r="57" spans="2:15" ht="15.75" thickBot="1" x14ac:dyDescent="0.3">
      <c r="B57" s="8">
        <f>Comparatifs!B24</f>
        <v>5</v>
      </c>
      <c r="C57" s="134" t="s">
        <v>60</v>
      </c>
      <c r="D57" s="134"/>
      <c r="E57" s="135"/>
      <c r="G57" s="8">
        <f>Comparatifs!B25+B65</f>
        <v>5</v>
      </c>
      <c r="H57" s="134" t="s">
        <v>59</v>
      </c>
      <c r="I57" s="134"/>
      <c r="J57" s="135"/>
      <c r="L57" s="8">
        <f>Comparatifs!B26+G64</f>
        <v>5</v>
      </c>
      <c r="M57" s="134" t="s">
        <v>61</v>
      </c>
      <c r="N57" s="134"/>
      <c r="O57" s="135"/>
    </row>
    <row r="58" spans="2:15" x14ac:dyDescent="0.25">
      <c r="B58" s="10">
        <f>C58*B57</f>
        <v>5</v>
      </c>
      <c r="C58" s="11">
        <v>1</v>
      </c>
      <c r="D58" s="11" t="str">
        <f t="shared" ref="D58:E58" si="8">D47</f>
        <v>Tourmaline</v>
      </c>
      <c r="E58" s="12">
        <f t="shared" si="8"/>
        <v>80000</v>
      </c>
      <c r="G58" s="10">
        <f>H58*G57</f>
        <v>5</v>
      </c>
      <c r="H58" s="11">
        <v>1</v>
      </c>
      <c r="I58" s="11" t="str">
        <f t="shared" ref="I58:J58" si="9">I47</f>
        <v>Pyrute</v>
      </c>
      <c r="J58" s="12">
        <f t="shared" si="9"/>
        <v>125000</v>
      </c>
      <c r="L58" s="10">
        <f>M58*L57</f>
        <v>5</v>
      </c>
      <c r="M58" s="11">
        <v>1</v>
      </c>
      <c r="N58" s="11" t="str">
        <f t="shared" ref="N58:O58" si="10">N47</f>
        <v>Rutile</v>
      </c>
      <c r="O58" s="12">
        <f t="shared" si="10"/>
        <v>42000</v>
      </c>
    </row>
    <row r="59" spans="2:15" x14ac:dyDescent="0.25">
      <c r="B59" s="5">
        <f>C59*B57</f>
        <v>5</v>
      </c>
      <c r="C59" s="2">
        <v>1</v>
      </c>
      <c r="D59" s="2" t="str">
        <f t="shared" ref="D59:E59" si="11">D48</f>
        <v>Ardonite</v>
      </c>
      <c r="E59" s="3">
        <f t="shared" si="11"/>
        <v>146000</v>
      </c>
      <c r="G59" s="5">
        <f>H59*G57</f>
        <v>10</v>
      </c>
      <c r="H59" s="2">
        <v>2</v>
      </c>
      <c r="I59" s="2" t="str">
        <f t="shared" ref="I59:J59" si="12">I48</f>
        <v>Galet rutilant</v>
      </c>
      <c r="J59" s="3">
        <f t="shared" si="12"/>
        <v>54000</v>
      </c>
      <c r="L59" s="5">
        <f>M59*L57</f>
        <v>10</v>
      </c>
      <c r="M59" s="2">
        <v>2</v>
      </c>
      <c r="N59" s="2" t="str">
        <f t="shared" ref="N59:O59" si="13">N48</f>
        <v>Galet cramoisi</v>
      </c>
      <c r="O59" s="3">
        <f t="shared" si="13"/>
        <v>6000</v>
      </c>
    </row>
    <row r="60" spans="2:15" x14ac:dyDescent="0.25">
      <c r="B60" s="5">
        <f>C60*B57</f>
        <v>10</v>
      </c>
      <c r="C60" s="2">
        <v>2</v>
      </c>
      <c r="D60" s="2" t="str">
        <f t="shared" ref="D60:E60" si="14">D49</f>
        <v>Galet brasillant</v>
      </c>
      <c r="E60" s="3">
        <f t="shared" si="14"/>
        <v>500000</v>
      </c>
      <c r="G60" s="5">
        <f>H60*G57</f>
        <v>5</v>
      </c>
      <c r="H60" s="2">
        <v>1</v>
      </c>
      <c r="I60" s="2" t="str">
        <f t="shared" ref="I60:J60" si="15">I49</f>
        <v>Substrat de bosquet</v>
      </c>
      <c r="J60" s="3">
        <f t="shared" si="15"/>
        <v>12000</v>
      </c>
      <c r="L60" s="5">
        <f>M60*L57</f>
        <v>5</v>
      </c>
      <c r="M60" s="2">
        <v>1</v>
      </c>
      <c r="N60" s="2" t="str">
        <f t="shared" ref="N60:O60" si="16">N49</f>
        <v>Substrat de bocage</v>
      </c>
      <c r="O60" s="3">
        <f t="shared" si="16"/>
        <v>6000</v>
      </c>
    </row>
    <row r="61" spans="2:15" x14ac:dyDescent="0.25">
      <c r="B61" s="5">
        <f>C61*B57</f>
        <v>5000</v>
      </c>
      <c r="C61" s="2">
        <v>1000</v>
      </c>
      <c r="D61" s="2" t="str">
        <f t="shared" ref="D61:E61" si="17">D50</f>
        <v>pépite</v>
      </c>
      <c r="E61" s="3">
        <f t="shared" si="17"/>
        <v>274000</v>
      </c>
      <c r="G61" s="5">
        <f>H61*G57</f>
        <v>500</v>
      </c>
      <c r="H61" s="2">
        <v>100</v>
      </c>
      <c r="I61" s="2" t="str">
        <f t="shared" ref="I61:J61" si="18">I50</f>
        <v>pépite</v>
      </c>
      <c r="J61" s="3">
        <f t="shared" si="18"/>
        <v>27400</v>
      </c>
      <c r="L61" s="5">
        <f>M61*L57</f>
        <v>50</v>
      </c>
      <c r="M61" s="2">
        <v>10</v>
      </c>
      <c r="N61" s="2" t="str">
        <f t="shared" ref="N61:O61" si="19">N50</f>
        <v>pépite</v>
      </c>
      <c r="O61" s="3">
        <f t="shared" si="19"/>
        <v>2740</v>
      </c>
    </row>
    <row r="62" spans="2:15" x14ac:dyDescent="0.25">
      <c r="B62" s="5">
        <f>C62*B57</f>
        <v>5</v>
      </c>
      <c r="C62" s="2">
        <v>1</v>
      </c>
      <c r="D62" s="2" t="str">
        <f t="shared" ref="D62:E62" si="20">D51</f>
        <v>Substrat de forêt</v>
      </c>
      <c r="E62" s="3">
        <f t="shared" si="20"/>
        <v>30000</v>
      </c>
      <c r="G62" s="5">
        <f>H62*G57</f>
        <v>50</v>
      </c>
      <c r="H62" s="2">
        <v>10</v>
      </c>
      <c r="I62" s="2" t="str">
        <f>Ressources!C53</f>
        <v>Carapace de scaratos</v>
      </c>
      <c r="J62" s="3">
        <f>H62*Ressources!D53</f>
        <v>2000</v>
      </c>
      <c r="L62" s="5">
        <f>M62*L57</f>
        <v>50</v>
      </c>
      <c r="M62" s="2">
        <v>10</v>
      </c>
      <c r="N62" s="2" t="str">
        <f>Ressources!C52</f>
        <v>Lamelle de champa rouge</v>
      </c>
      <c r="O62" s="3">
        <f>M62*Ressources!D52</f>
        <v>5000</v>
      </c>
    </row>
    <row r="63" spans="2:15" x14ac:dyDescent="0.25">
      <c r="B63" s="5">
        <f>C63*B57</f>
        <v>50</v>
      </c>
      <c r="C63" s="2">
        <v>10</v>
      </c>
      <c r="D63" s="2" t="str">
        <f>Ressources!C49</f>
        <v>Croupion de truchmuche</v>
      </c>
      <c r="E63" s="3">
        <f>C63*Ressources!D49</f>
        <v>2000</v>
      </c>
      <c r="G63" s="5">
        <f>H63*G57</f>
        <v>5</v>
      </c>
      <c r="H63" s="2">
        <v>1</v>
      </c>
      <c r="I63" s="2" t="str">
        <f>Ressources!C51</f>
        <v>Coco du bitouf des plaines</v>
      </c>
      <c r="J63" s="3">
        <f>Ressources!D51</f>
        <v>6500</v>
      </c>
      <c r="L63" s="5">
        <f>M63*L57</f>
        <v>50</v>
      </c>
      <c r="M63" s="2">
        <v>10</v>
      </c>
      <c r="N63" s="2" t="str">
        <f>Ressources!C25</f>
        <v>Fleur de bulbiflore</v>
      </c>
      <c r="O63" s="3">
        <f>M63*Ressources!D25</f>
        <v>3500</v>
      </c>
    </row>
    <row r="64" spans="2:15" x14ac:dyDescent="0.25">
      <c r="B64" s="5">
        <f>C64*B57</f>
        <v>50</v>
      </c>
      <c r="C64" s="2">
        <v>10</v>
      </c>
      <c r="D64" s="2" t="str">
        <f>Ressources!C50</f>
        <v>étoffe zoth</v>
      </c>
      <c r="E64" s="3">
        <f>C64*Ressources!D50</f>
        <v>10000</v>
      </c>
      <c r="G64" s="5">
        <f>H64*G57</f>
        <v>5</v>
      </c>
      <c r="H64" s="2">
        <v>1</v>
      </c>
      <c r="I64" s="2" t="str">
        <f>M57</f>
        <v>Enragé mineur</v>
      </c>
      <c r="J64" s="3">
        <f>O66</f>
        <v>65240</v>
      </c>
      <c r="L64" s="5"/>
      <c r="M64" s="2"/>
      <c r="N64" s="2"/>
      <c r="O64" s="3"/>
    </row>
    <row r="65" spans="2:15" ht="15.75" thickBot="1" x14ac:dyDescent="0.3">
      <c r="B65" s="6">
        <f>B57*C65</f>
        <v>5</v>
      </c>
      <c r="C65" s="7">
        <v>1</v>
      </c>
      <c r="D65" s="7" t="str">
        <f>H57</f>
        <v>Enragé</v>
      </c>
      <c r="E65" s="4">
        <f>J66</f>
        <v>292140</v>
      </c>
      <c r="G65" s="6"/>
      <c r="H65" s="7"/>
      <c r="I65" s="7"/>
      <c r="J65" s="4"/>
      <c r="L65" s="6"/>
      <c r="M65" s="7"/>
      <c r="N65" s="7"/>
      <c r="O65" s="4"/>
    </row>
    <row r="66" spans="2:15" ht="15.75" thickBot="1" x14ac:dyDescent="0.3">
      <c r="E66" s="9">
        <f>SUM(E58:E65)</f>
        <v>1334140</v>
      </c>
      <c r="I66" s="1"/>
      <c r="J66" s="9">
        <f>SUM(J58:J64)</f>
        <v>292140</v>
      </c>
      <c r="N66" s="1"/>
      <c r="O66" s="9">
        <f>SUM(O58:O64)</f>
        <v>65240</v>
      </c>
    </row>
    <row r="67" spans="2:15" ht="15.75" thickBot="1" x14ac:dyDescent="0.3"/>
    <row r="68" spans="2:15" ht="15.75" thickBot="1" x14ac:dyDescent="0.3">
      <c r="B68" s="8">
        <f>Comparatifs!B30</f>
        <v>5</v>
      </c>
      <c r="C68" s="134" t="s">
        <v>105</v>
      </c>
      <c r="D68" s="134"/>
      <c r="E68" s="135"/>
      <c r="G68" s="8">
        <f>Comparatifs!B31+B76</f>
        <v>5</v>
      </c>
      <c r="H68" s="134" t="s">
        <v>104</v>
      </c>
      <c r="I68" s="134"/>
      <c r="J68" s="135"/>
      <c r="L68" s="8">
        <f>Comparatifs!B32+G75</f>
        <v>5</v>
      </c>
      <c r="M68" s="134" t="s">
        <v>106</v>
      </c>
      <c r="N68" s="134"/>
      <c r="O68" s="135"/>
    </row>
    <row r="69" spans="2:15" x14ac:dyDescent="0.25">
      <c r="B69" s="10">
        <f>C69*B68</f>
        <v>5</v>
      </c>
      <c r="C69" s="11">
        <v>1</v>
      </c>
      <c r="D69" s="11" t="str">
        <f t="shared" ref="D69:E69" si="21">D58</f>
        <v>Tourmaline</v>
      </c>
      <c r="E69" s="12">
        <f t="shared" si="21"/>
        <v>80000</v>
      </c>
      <c r="G69" s="10">
        <f>H69*G68</f>
        <v>5</v>
      </c>
      <c r="H69" s="11">
        <v>1</v>
      </c>
      <c r="I69" s="11" t="str">
        <f t="shared" ref="I69:J69" si="22">I58</f>
        <v>Pyrute</v>
      </c>
      <c r="J69" s="12">
        <f t="shared" si="22"/>
        <v>125000</v>
      </c>
      <c r="L69" s="10">
        <f>M69*L68</f>
        <v>5</v>
      </c>
      <c r="M69" s="11">
        <v>1</v>
      </c>
      <c r="N69" s="11" t="str">
        <f t="shared" ref="N69:O69" si="23">N58</f>
        <v>Rutile</v>
      </c>
      <c r="O69" s="12">
        <f t="shared" si="23"/>
        <v>42000</v>
      </c>
    </row>
    <row r="70" spans="2:15" x14ac:dyDescent="0.25">
      <c r="B70" s="5">
        <f>C70*B68</f>
        <v>5</v>
      </c>
      <c r="C70" s="2">
        <v>1</v>
      </c>
      <c r="D70" s="2" t="str">
        <f t="shared" ref="D70:E70" si="24">D59</f>
        <v>Ardonite</v>
      </c>
      <c r="E70" s="3">
        <f t="shared" si="24"/>
        <v>146000</v>
      </c>
      <c r="G70" s="5">
        <f>H70*G68</f>
        <v>10</v>
      </c>
      <c r="H70" s="2">
        <v>2</v>
      </c>
      <c r="I70" s="2" t="str">
        <f t="shared" ref="I70:J70" si="25">I59</f>
        <v>Galet rutilant</v>
      </c>
      <c r="J70" s="3">
        <f t="shared" si="25"/>
        <v>54000</v>
      </c>
      <c r="L70" s="5">
        <f>M70*L68</f>
        <v>10</v>
      </c>
      <c r="M70" s="2">
        <v>2</v>
      </c>
      <c r="N70" s="2" t="str">
        <f t="shared" ref="N70:O70" si="26">N59</f>
        <v>Galet cramoisi</v>
      </c>
      <c r="O70" s="3">
        <f t="shared" si="26"/>
        <v>6000</v>
      </c>
    </row>
    <row r="71" spans="2:15" x14ac:dyDescent="0.25">
      <c r="B71" s="5">
        <f>C71*B68</f>
        <v>10</v>
      </c>
      <c r="C71" s="2">
        <v>2</v>
      </c>
      <c r="D71" s="2" t="str">
        <f t="shared" ref="D71:E71" si="27">D60</f>
        <v>Galet brasillant</v>
      </c>
      <c r="E71" s="3">
        <f t="shared" si="27"/>
        <v>500000</v>
      </c>
      <c r="G71" s="5">
        <f>H71*G68</f>
        <v>5</v>
      </c>
      <c r="H71" s="2">
        <v>1</v>
      </c>
      <c r="I71" s="2" t="str">
        <f t="shared" ref="I71:J71" si="28">I60</f>
        <v>Substrat de bosquet</v>
      </c>
      <c r="J71" s="3">
        <f t="shared" si="28"/>
        <v>12000</v>
      </c>
      <c r="L71" s="5">
        <f>M71*L68</f>
        <v>5</v>
      </c>
      <c r="M71" s="2">
        <v>1</v>
      </c>
      <c r="N71" s="2" t="str">
        <f t="shared" ref="N71:O71" si="29">N60</f>
        <v>Substrat de bocage</v>
      </c>
      <c r="O71" s="3">
        <f t="shared" si="29"/>
        <v>6000</v>
      </c>
    </row>
    <row r="72" spans="2:15" x14ac:dyDescent="0.25">
      <c r="B72" s="5">
        <f>C72*B68</f>
        <v>5000</v>
      </c>
      <c r="C72" s="2">
        <v>1000</v>
      </c>
      <c r="D72" s="2" t="str">
        <f t="shared" ref="D72:E72" si="30">D61</f>
        <v>pépite</v>
      </c>
      <c r="E72" s="3">
        <f t="shared" si="30"/>
        <v>274000</v>
      </c>
      <c r="G72" s="5">
        <f>H72*G68</f>
        <v>500</v>
      </c>
      <c r="H72" s="2">
        <v>100</v>
      </c>
      <c r="I72" s="2" t="str">
        <f t="shared" ref="I72:J72" si="31">I61</f>
        <v>pépite</v>
      </c>
      <c r="J72" s="3">
        <f t="shared" si="31"/>
        <v>27400</v>
      </c>
      <c r="L72" s="5">
        <f>M72*L68</f>
        <v>50</v>
      </c>
      <c r="M72" s="2">
        <v>10</v>
      </c>
      <c r="N72" s="2" t="str">
        <f t="shared" ref="N72:O72" si="32">N61</f>
        <v>pépite</v>
      </c>
      <c r="O72" s="3">
        <f t="shared" si="32"/>
        <v>2740</v>
      </c>
    </row>
    <row r="73" spans="2:15" x14ac:dyDescent="0.25">
      <c r="B73" s="5">
        <f>C73*B68</f>
        <v>5</v>
      </c>
      <c r="C73" s="2">
        <v>1</v>
      </c>
      <c r="D73" s="2" t="str">
        <f t="shared" ref="D73:E73" si="33">D62</f>
        <v>Substrat de forêt</v>
      </c>
      <c r="E73" s="3">
        <f t="shared" si="33"/>
        <v>30000</v>
      </c>
      <c r="G73" s="5">
        <f>H73*G68</f>
        <v>50</v>
      </c>
      <c r="H73" s="2">
        <v>10</v>
      </c>
      <c r="I73" s="2" t="str">
        <f>Ressources!C60</f>
        <v>Sang d'oni</v>
      </c>
      <c r="J73" s="3">
        <f>Ressources!D60*H73</f>
        <v>3500</v>
      </c>
      <c r="L73" s="5">
        <f>M73*L68</f>
        <v>50</v>
      </c>
      <c r="M73" s="2">
        <v>10</v>
      </c>
      <c r="N73" s="2" t="str">
        <f>Ressources!C62</f>
        <v>Queue de rat d'hyoactif</v>
      </c>
      <c r="O73" s="3">
        <f>Ressources!D62*M73</f>
        <v>11000</v>
      </c>
    </row>
    <row r="74" spans="2:15" x14ac:dyDescent="0.25">
      <c r="B74" s="5">
        <f>C74*B68</f>
        <v>50</v>
      </c>
      <c r="C74" s="2">
        <v>10</v>
      </c>
      <c r="D74" s="2" t="str">
        <f>Ressources!C26</f>
        <v>Calice de fécorce</v>
      </c>
      <c r="E74" s="3">
        <f>Ressources!D26*C74</f>
        <v>2000</v>
      </c>
      <c r="G74" s="5">
        <f>H74*G68</f>
        <v>50</v>
      </c>
      <c r="H74" s="2">
        <v>10</v>
      </c>
      <c r="I74" s="2" t="str">
        <f>Ressources!C61</f>
        <v>Boulon wabbit</v>
      </c>
      <c r="J74" s="3">
        <f>Ressources!D61*H74</f>
        <v>1200</v>
      </c>
      <c r="L74" s="5">
        <f>M74*L68</f>
        <v>50</v>
      </c>
      <c r="M74" s="2">
        <v>10</v>
      </c>
      <c r="N74" s="2" t="str">
        <f>Ressources!C63</f>
        <v>Paupière d'étoile</v>
      </c>
      <c r="O74" s="3">
        <f>Ressources!D63*M74</f>
        <v>3000</v>
      </c>
    </row>
    <row r="75" spans="2:15" x14ac:dyDescent="0.25">
      <c r="B75" s="5">
        <f>C75*B68</f>
        <v>50</v>
      </c>
      <c r="C75" s="2">
        <v>10</v>
      </c>
      <c r="D75" s="2" t="str">
        <f>Ressources!C59</f>
        <v>Plume du timansot</v>
      </c>
      <c r="E75" s="3">
        <f>Ressources!D59*C75</f>
        <v>2000</v>
      </c>
      <c r="G75" s="5">
        <f>H75*G68</f>
        <v>5</v>
      </c>
      <c r="H75" s="2">
        <v>1</v>
      </c>
      <c r="I75" s="2" t="str">
        <f>M68</f>
        <v>Fonceur Mineur</v>
      </c>
      <c r="J75" s="3">
        <f>O77</f>
        <v>70740</v>
      </c>
      <c r="L75" s="5"/>
      <c r="M75" s="2"/>
      <c r="N75" s="2"/>
      <c r="O75" s="3"/>
    </row>
    <row r="76" spans="2:15" ht="15.75" thickBot="1" x14ac:dyDescent="0.3">
      <c r="B76" s="6">
        <f>B68*C76</f>
        <v>5</v>
      </c>
      <c r="C76" s="7">
        <v>1</v>
      </c>
      <c r="D76" s="7" t="str">
        <f>H68</f>
        <v>Fonceur</v>
      </c>
      <c r="E76" s="4">
        <f>J77</f>
        <v>293840</v>
      </c>
      <c r="G76" s="6"/>
      <c r="H76" s="7"/>
      <c r="I76" s="7"/>
      <c r="J76" s="4"/>
      <c r="L76" s="6"/>
      <c r="M76" s="7"/>
      <c r="N76" s="7"/>
      <c r="O76" s="4"/>
    </row>
    <row r="77" spans="2:15" ht="15.75" thickBot="1" x14ac:dyDescent="0.3">
      <c r="E77" s="9">
        <f>SUM(E69:E76)</f>
        <v>1327840</v>
      </c>
      <c r="I77" s="1"/>
      <c r="J77" s="9">
        <f>SUM(J69:J75)</f>
        <v>293840</v>
      </c>
      <c r="N77" s="1"/>
      <c r="O77" s="9">
        <f>SUM(O69:O75)</f>
        <v>70740</v>
      </c>
    </row>
    <row r="78" spans="2:15" ht="15.75" thickBot="1" x14ac:dyDescent="0.3"/>
    <row r="79" spans="2:15" ht="15.75" thickBot="1" x14ac:dyDescent="0.3">
      <c r="B79" s="8">
        <f>Comparatifs!B33</f>
        <v>5</v>
      </c>
      <c r="C79" s="134" t="s">
        <v>115</v>
      </c>
      <c r="D79" s="134"/>
      <c r="E79" s="135"/>
      <c r="G79" s="8">
        <f>Comparatifs!B34+B87</f>
        <v>5</v>
      </c>
      <c r="H79" s="134" t="s">
        <v>114</v>
      </c>
      <c r="I79" s="134"/>
      <c r="J79" s="135"/>
      <c r="L79" s="8">
        <f>Comparatifs!B35+G86</f>
        <v>5</v>
      </c>
      <c r="M79" s="134" t="s">
        <v>116</v>
      </c>
      <c r="N79" s="134"/>
      <c r="O79" s="135"/>
    </row>
    <row r="80" spans="2:15" x14ac:dyDescent="0.25">
      <c r="B80" s="10">
        <f>C80*B79</f>
        <v>5</v>
      </c>
      <c r="C80" s="11">
        <v>1</v>
      </c>
      <c r="D80" s="11" t="str">
        <f t="shared" ref="D80:E80" si="34">D69</f>
        <v>Tourmaline</v>
      </c>
      <c r="E80" s="12">
        <f t="shared" si="34"/>
        <v>80000</v>
      </c>
      <c r="G80" s="10">
        <f>H80*G79</f>
        <v>5</v>
      </c>
      <c r="H80" s="11">
        <v>1</v>
      </c>
      <c r="I80" s="11" t="str">
        <f t="shared" ref="I80:J80" si="35">I69</f>
        <v>Pyrute</v>
      </c>
      <c r="J80" s="12">
        <f t="shared" si="35"/>
        <v>125000</v>
      </c>
      <c r="L80" s="10">
        <f>M80*L79</f>
        <v>5</v>
      </c>
      <c r="M80" s="11">
        <v>1</v>
      </c>
      <c r="N80" s="11" t="str">
        <f t="shared" ref="N80:O80" si="36">N69</f>
        <v>Rutile</v>
      </c>
      <c r="O80" s="12">
        <f t="shared" si="36"/>
        <v>42000</v>
      </c>
    </row>
    <row r="81" spans="2:15" x14ac:dyDescent="0.25">
      <c r="B81" s="5">
        <f>C81*B79</f>
        <v>5</v>
      </c>
      <c r="C81" s="2">
        <v>1</v>
      </c>
      <c r="D81" s="2" t="str">
        <f t="shared" ref="D81:E81" si="37">D70</f>
        <v>Ardonite</v>
      </c>
      <c r="E81" s="3">
        <f t="shared" si="37"/>
        <v>146000</v>
      </c>
      <c r="G81" s="5">
        <f>H81*G79</f>
        <v>10</v>
      </c>
      <c r="H81" s="2">
        <v>2</v>
      </c>
      <c r="I81" s="2" t="str">
        <f t="shared" ref="I81:J81" si="38">I70</f>
        <v>Galet rutilant</v>
      </c>
      <c r="J81" s="3">
        <f t="shared" si="38"/>
        <v>54000</v>
      </c>
      <c r="L81" s="5">
        <f>M81*L79</f>
        <v>10</v>
      </c>
      <c r="M81" s="2">
        <v>2</v>
      </c>
      <c r="N81" s="2" t="str">
        <f t="shared" ref="N81:O81" si="39">N70</f>
        <v>Galet cramoisi</v>
      </c>
      <c r="O81" s="3">
        <f t="shared" si="39"/>
        <v>6000</v>
      </c>
    </row>
    <row r="82" spans="2:15" x14ac:dyDescent="0.25">
      <c r="B82" s="5">
        <f>C82*B79</f>
        <v>10</v>
      </c>
      <c r="C82" s="2">
        <v>2</v>
      </c>
      <c r="D82" s="2" t="str">
        <f t="shared" ref="D82:E82" si="40">D71</f>
        <v>Galet brasillant</v>
      </c>
      <c r="E82" s="3">
        <f t="shared" si="40"/>
        <v>500000</v>
      </c>
      <c r="G82" s="5">
        <f>H82*G79</f>
        <v>5</v>
      </c>
      <c r="H82" s="2">
        <v>1</v>
      </c>
      <c r="I82" s="2" t="str">
        <f t="shared" ref="I82:J82" si="41">I71</f>
        <v>Substrat de bosquet</v>
      </c>
      <c r="J82" s="3">
        <f t="shared" si="41"/>
        <v>12000</v>
      </c>
      <c r="L82" s="5">
        <f>M82*L79</f>
        <v>5</v>
      </c>
      <c r="M82" s="2">
        <v>1</v>
      </c>
      <c r="N82" s="2" t="str">
        <f t="shared" ref="N82:O82" si="42">N71</f>
        <v>Substrat de bocage</v>
      </c>
      <c r="O82" s="3">
        <f t="shared" si="42"/>
        <v>6000</v>
      </c>
    </row>
    <row r="83" spans="2:15" x14ac:dyDescent="0.25">
      <c r="B83" s="5">
        <f>C83*B79</f>
        <v>5000</v>
      </c>
      <c r="C83" s="2">
        <v>1000</v>
      </c>
      <c r="D83" s="2" t="str">
        <f t="shared" ref="D83:E83" si="43">D72</f>
        <v>pépite</v>
      </c>
      <c r="E83" s="3">
        <f t="shared" si="43"/>
        <v>274000</v>
      </c>
      <c r="G83" s="5">
        <f>H83*G79</f>
        <v>500</v>
      </c>
      <c r="H83" s="2">
        <v>100</v>
      </c>
      <c r="I83" s="2" t="str">
        <f t="shared" ref="I83:J83" si="44">I72</f>
        <v>pépite</v>
      </c>
      <c r="J83" s="3">
        <f t="shared" si="44"/>
        <v>27400</v>
      </c>
      <c r="L83" s="5">
        <f>M83*L79</f>
        <v>50</v>
      </c>
      <c r="M83" s="2">
        <v>10</v>
      </c>
      <c r="N83" s="2" t="str">
        <f t="shared" ref="N83:O83" si="45">N72</f>
        <v>pépite</v>
      </c>
      <c r="O83" s="3">
        <f t="shared" si="45"/>
        <v>2740</v>
      </c>
    </row>
    <row r="84" spans="2:15" x14ac:dyDescent="0.25">
      <c r="B84" s="5">
        <f>C84*B79</f>
        <v>5</v>
      </c>
      <c r="C84" s="2">
        <v>1</v>
      </c>
      <c r="D84" s="2" t="str">
        <f t="shared" ref="D84:E84" si="46">D73</f>
        <v>Substrat de forêt</v>
      </c>
      <c r="E84" s="3">
        <f t="shared" si="46"/>
        <v>30000</v>
      </c>
      <c r="G84" s="5">
        <f>H84*G79</f>
        <v>5</v>
      </c>
      <c r="H84" s="2">
        <v>1</v>
      </c>
      <c r="I84" s="2" t="str">
        <f>Ressources!C66</f>
        <v>toile d'abrakne sombre</v>
      </c>
      <c r="J84" s="3">
        <f>Ressources!D66</f>
        <v>2000</v>
      </c>
      <c r="L84" s="5">
        <f>M84*L79</f>
        <v>50</v>
      </c>
      <c r="M84" s="2">
        <v>10</v>
      </c>
      <c r="N84" s="2" t="str">
        <f>Ressources!C68</f>
        <v>lamelle de champa marron</v>
      </c>
      <c r="O84" s="3">
        <f>Ressources!D68*M84</f>
        <v>35000</v>
      </c>
    </row>
    <row r="85" spans="2:15" x14ac:dyDescent="0.25">
      <c r="B85" s="5">
        <f>C85*B79</f>
        <v>5</v>
      </c>
      <c r="C85" s="2">
        <v>1</v>
      </c>
      <c r="D85" s="2" t="str">
        <f>Ressources!C64</f>
        <v>morpion de truchideur</v>
      </c>
      <c r="E85" s="3">
        <f>Ressources!D64</f>
        <v>17000</v>
      </c>
      <c r="G85" s="5">
        <f>H85*G79</f>
        <v>50</v>
      </c>
      <c r="H85" s="2">
        <v>10</v>
      </c>
      <c r="I85" s="2" t="str">
        <f>Ressources!C67</f>
        <v>Aile de dragoeuf volant</v>
      </c>
      <c r="J85" s="3">
        <f>Ressources!D67*H85</f>
        <v>35000</v>
      </c>
      <c r="L85" s="5">
        <f>M85*L79</f>
        <v>50</v>
      </c>
      <c r="M85" s="2">
        <v>10</v>
      </c>
      <c r="N85" s="2" t="str">
        <f>Ressources!C69</f>
        <v>dent de wabbit</v>
      </c>
      <c r="O85" s="3">
        <f>Ressources!D69*M85</f>
        <v>50</v>
      </c>
    </row>
    <row r="86" spans="2:15" x14ac:dyDescent="0.25">
      <c r="B86" s="5">
        <f>C86*B79</f>
        <v>5</v>
      </c>
      <c r="C86" s="2">
        <v>1</v>
      </c>
      <c r="D86" s="2" t="str">
        <f>Ressources!C65</f>
        <v>coquille de harpirate</v>
      </c>
      <c r="E86" s="3">
        <f>Ressources!D65</f>
        <v>2400</v>
      </c>
      <c r="G86" s="5">
        <f>H86*G79</f>
        <v>5</v>
      </c>
      <c r="H86" s="2">
        <v>1</v>
      </c>
      <c r="I86" s="2" t="str">
        <f>M79</f>
        <v>Miraculé Mineur</v>
      </c>
      <c r="J86" s="3">
        <f>O88</f>
        <v>91790</v>
      </c>
      <c r="L86" s="5"/>
      <c r="M86" s="2"/>
      <c r="N86" s="2"/>
      <c r="O86" s="3"/>
    </row>
    <row r="87" spans="2:15" ht="15.75" thickBot="1" x14ac:dyDescent="0.3">
      <c r="B87" s="6">
        <f>B79*C87</f>
        <v>5</v>
      </c>
      <c r="C87" s="7">
        <v>1</v>
      </c>
      <c r="D87" s="7" t="str">
        <f>H79</f>
        <v>Miraculé</v>
      </c>
      <c r="E87" s="4">
        <f>J88</f>
        <v>347190</v>
      </c>
      <c r="G87" s="6"/>
      <c r="H87" s="7"/>
      <c r="I87" s="7"/>
      <c r="J87" s="4"/>
      <c r="L87" s="6"/>
      <c r="M87" s="7"/>
      <c r="N87" s="7"/>
      <c r="O87" s="4"/>
    </row>
    <row r="88" spans="2:15" ht="15.75" thickBot="1" x14ac:dyDescent="0.3">
      <c r="E88" s="9">
        <f>SUM(E80:E87)</f>
        <v>1396590</v>
      </c>
      <c r="I88" s="1"/>
      <c r="J88" s="9">
        <f>SUM(J80:J86)</f>
        <v>347190</v>
      </c>
      <c r="N88" s="1"/>
      <c r="O88" s="9">
        <f>SUM(O80:O86)</f>
        <v>91790</v>
      </c>
    </row>
    <row r="89" spans="2:15" ht="15.75" thickBot="1" x14ac:dyDescent="0.3"/>
    <row r="90" spans="2:15" ht="15.75" thickBot="1" x14ac:dyDescent="0.3">
      <c r="B90" s="8">
        <f>Comparatifs!B36</f>
        <v>0</v>
      </c>
      <c r="C90" s="134" t="s">
        <v>124</v>
      </c>
      <c r="D90" s="134"/>
      <c r="E90" s="135"/>
      <c r="G90" s="8">
        <f>Comparatifs!B37+B98</f>
        <v>0</v>
      </c>
      <c r="H90" s="134" t="s">
        <v>123</v>
      </c>
      <c r="I90" s="134"/>
      <c r="J90" s="135"/>
      <c r="L90" s="8">
        <f>Comparatifs!B38+G97</f>
        <v>0</v>
      </c>
      <c r="M90" s="134" t="s">
        <v>125</v>
      </c>
      <c r="N90" s="134"/>
      <c r="O90" s="135"/>
    </row>
    <row r="91" spans="2:15" x14ac:dyDescent="0.25">
      <c r="B91" s="10">
        <f>C91*B90</f>
        <v>0</v>
      </c>
      <c r="C91" s="11">
        <v>1</v>
      </c>
      <c r="D91" s="11" t="str">
        <f t="shared" ref="D91:E91" si="47">D80</f>
        <v>Tourmaline</v>
      </c>
      <c r="E91" s="12">
        <f t="shared" si="47"/>
        <v>80000</v>
      </c>
      <c r="G91" s="10">
        <f>H91*G90</f>
        <v>0</v>
      </c>
      <c r="H91" s="11">
        <v>1</v>
      </c>
      <c r="I91" s="11" t="str">
        <f t="shared" ref="I91:J91" si="48">I80</f>
        <v>Pyrute</v>
      </c>
      <c r="J91" s="12">
        <f t="shared" si="48"/>
        <v>125000</v>
      </c>
      <c r="L91" s="10">
        <f>M91*L90</f>
        <v>0</v>
      </c>
      <c r="M91" s="11">
        <v>1</v>
      </c>
      <c r="N91" s="11" t="str">
        <f t="shared" ref="N91:O91" si="49">N80</f>
        <v>Rutile</v>
      </c>
      <c r="O91" s="12">
        <f t="shared" si="49"/>
        <v>42000</v>
      </c>
    </row>
    <row r="92" spans="2:15" x14ac:dyDescent="0.25">
      <c r="B92" s="5">
        <f>C92*B90</f>
        <v>0</v>
      </c>
      <c r="C92" s="2">
        <v>1</v>
      </c>
      <c r="D92" s="2" t="str">
        <f t="shared" ref="D92:E92" si="50">D81</f>
        <v>Ardonite</v>
      </c>
      <c r="E92" s="3">
        <f t="shared" si="50"/>
        <v>146000</v>
      </c>
      <c r="G92" s="5">
        <f>H92*G90</f>
        <v>0</v>
      </c>
      <c r="H92" s="2">
        <v>2</v>
      </c>
      <c r="I92" s="2" t="str">
        <f t="shared" ref="I92:J92" si="51">I81</f>
        <v>Galet rutilant</v>
      </c>
      <c r="J92" s="3">
        <f t="shared" si="51"/>
        <v>54000</v>
      </c>
      <c r="L92" s="5">
        <f>M92*L90</f>
        <v>0</v>
      </c>
      <c r="M92" s="2">
        <v>2</v>
      </c>
      <c r="N92" s="2" t="str">
        <f t="shared" ref="N92:O92" si="52">N81</f>
        <v>Galet cramoisi</v>
      </c>
      <c r="O92" s="3">
        <f t="shared" si="52"/>
        <v>6000</v>
      </c>
    </row>
    <row r="93" spans="2:15" x14ac:dyDescent="0.25">
      <c r="B93" s="5">
        <f>C93*B90</f>
        <v>0</v>
      </c>
      <c r="C93" s="2">
        <v>2</v>
      </c>
      <c r="D93" s="2" t="str">
        <f t="shared" ref="D93:E93" si="53">D82</f>
        <v>Galet brasillant</v>
      </c>
      <c r="E93" s="3">
        <f t="shared" si="53"/>
        <v>500000</v>
      </c>
      <c r="G93" s="5">
        <f>H93*G90</f>
        <v>0</v>
      </c>
      <c r="H93" s="2">
        <v>1</v>
      </c>
      <c r="I93" s="2" t="str">
        <f t="shared" ref="I93:J93" si="54">I82</f>
        <v>Substrat de bosquet</v>
      </c>
      <c r="J93" s="3">
        <f t="shared" si="54"/>
        <v>12000</v>
      </c>
      <c r="L93" s="5">
        <f>M93*L90</f>
        <v>0</v>
      </c>
      <c r="M93" s="2">
        <v>1</v>
      </c>
      <c r="N93" s="2" t="str">
        <f t="shared" ref="N93:O93" si="55">N82</f>
        <v>Substrat de bocage</v>
      </c>
      <c r="O93" s="3">
        <f t="shared" si="55"/>
        <v>6000</v>
      </c>
    </row>
    <row r="94" spans="2:15" x14ac:dyDescent="0.25">
      <c r="B94" s="5">
        <f>C94*B90</f>
        <v>0</v>
      </c>
      <c r="C94" s="2">
        <v>1000</v>
      </c>
      <c r="D94" s="2" t="str">
        <f t="shared" ref="D94:E94" si="56">D83</f>
        <v>pépite</v>
      </c>
      <c r="E94" s="3">
        <f t="shared" si="56"/>
        <v>274000</v>
      </c>
      <c r="G94" s="5">
        <f>H94*G90</f>
        <v>0</v>
      </c>
      <c r="H94" s="2">
        <v>100</v>
      </c>
      <c r="I94" s="2" t="str">
        <f t="shared" ref="I94:J94" si="57">I83</f>
        <v>pépite</v>
      </c>
      <c r="J94" s="3">
        <f t="shared" si="57"/>
        <v>27400</v>
      </c>
      <c r="L94" s="5">
        <f>M94*L90</f>
        <v>0</v>
      </c>
      <c r="M94" s="2">
        <v>10</v>
      </c>
      <c r="N94" s="2" t="str">
        <f t="shared" ref="N94:O94" si="58">N83</f>
        <v>pépite</v>
      </c>
      <c r="O94" s="3">
        <f t="shared" si="58"/>
        <v>2740</v>
      </c>
    </row>
    <row r="95" spans="2:15" x14ac:dyDescent="0.25">
      <c r="B95" s="5">
        <f>C95*B90</f>
        <v>0</v>
      </c>
      <c r="C95" s="2">
        <v>1</v>
      </c>
      <c r="D95" s="2" t="str">
        <f t="shared" ref="D95:E95" si="59">D84</f>
        <v>Substrat de forêt</v>
      </c>
      <c r="E95" s="3">
        <f t="shared" si="59"/>
        <v>30000</v>
      </c>
      <c r="G95" s="5">
        <f>H95*G90</f>
        <v>0</v>
      </c>
      <c r="H95" s="2">
        <v>1</v>
      </c>
      <c r="I95" s="2" t="str">
        <f>Ressources!C72</f>
        <v>arakne écrabouillée</v>
      </c>
      <c r="J95" s="3">
        <f>Ressources!D72</f>
        <v>27000</v>
      </c>
      <c r="L95" s="5">
        <f>M95*L90</f>
        <v>0</v>
      </c>
      <c r="M95" s="2">
        <v>10</v>
      </c>
      <c r="N95" s="2" t="str">
        <f>Ressources!C73</f>
        <v>lamelle de champa bleu</v>
      </c>
      <c r="O95" s="3">
        <f>Ressources!D73*M95</f>
        <v>2000</v>
      </c>
    </row>
    <row r="96" spans="2:15" x14ac:dyDescent="0.25">
      <c r="B96" s="5">
        <f>C96*B90</f>
        <v>0</v>
      </c>
      <c r="C96" s="2">
        <v>10</v>
      </c>
      <c r="D96" s="2" t="str">
        <f>Ressources!C70</f>
        <v>Plume de truchideur</v>
      </c>
      <c r="E96" s="3">
        <f>Ressources!D70*C96</f>
        <v>4000</v>
      </c>
      <c r="G96" s="5">
        <f>H96*G90</f>
        <v>0</v>
      </c>
      <c r="H96" s="2">
        <v>10</v>
      </c>
      <c r="I96" s="2" t="str">
        <f>Ressources!C16</f>
        <v>écorce d'abrakne sombre</v>
      </c>
      <c r="J96" s="3">
        <f>Ressources!D16*H96</f>
        <v>1000</v>
      </c>
      <c r="L96" s="5">
        <f>M96*L90</f>
        <v>0</v>
      </c>
      <c r="M96" s="2">
        <v>10</v>
      </c>
      <c r="N96" s="2" t="str">
        <f>Ressources!C74</f>
        <v>Moustaches de tiwabbit</v>
      </c>
      <c r="O96" s="3">
        <f>Ressources!D74*M96</f>
        <v>1500</v>
      </c>
    </row>
    <row r="97" spans="2:15" x14ac:dyDescent="0.25">
      <c r="B97" s="5">
        <f>C97*B90</f>
        <v>0</v>
      </c>
      <c r="C97" s="2">
        <v>1</v>
      </c>
      <c r="D97" s="2" t="str">
        <f>Ressources!C71</f>
        <v>coco du bitouf sombre</v>
      </c>
      <c r="E97" s="3">
        <f>Ressources!D71</f>
        <v>4000</v>
      </c>
      <c r="G97" s="5">
        <f>H97*G90</f>
        <v>0</v>
      </c>
      <c r="H97" s="2">
        <v>1</v>
      </c>
      <c r="I97" s="2" t="str">
        <f>M90</f>
        <v>Guérisseur mineur</v>
      </c>
      <c r="J97" s="3">
        <f>O99</f>
        <v>60240</v>
      </c>
      <c r="L97" s="5"/>
      <c r="M97" s="2"/>
      <c r="N97" s="2"/>
      <c r="O97" s="3"/>
    </row>
    <row r="98" spans="2:15" ht="15.75" thickBot="1" x14ac:dyDescent="0.3">
      <c r="B98" s="6">
        <f>B90*C98</f>
        <v>0</v>
      </c>
      <c r="C98" s="7">
        <v>1</v>
      </c>
      <c r="D98" s="7" t="str">
        <f>H90</f>
        <v>Guérisseur</v>
      </c>
      <c r="E98" s="4">
        <f>J99</f>
        <v>306640</v>
      </c>
      <c r="G98" s="6"/>
      <c r="H98" s="7"/>
      <c r="I98" s="7"/>
      <c r="J98" s="4"/>
      <c r="L98" s="6"/>
      <c r="M98" s="7"/>
      <c r="N98" s="7"/>
      <c r="O98" s="4"/>
    </row>
    <row r="99" spans="2:15" ht="15.75" thickBot="1" x14ac:dyDescent="0.3">
      <c r="E99" s="9">
        <f>SUM(E91:E98)</f>
        <v>1344640</v>
      </c>
      <c r="I99" s="1"/>
      <c r="J99" s="9">
        <f>SUM(J91:J97)</f>
        <v>306640</v>
      </c>
      <c r="N99" s="1"/>
      <c r="O99" s="9">
        <f>SUM(O91:O97)</f>
        <v>60240</v>
      </c>
    </row>
  </sheetData>
  <mergeCells count="27">
    <mergeCell ref="C90:E90"/>
    <mergeCell ref="H90:J90"/>
    <mergeCell ref="M90:O90"/>
    <mergeCell ref="C2:E2"/>
    <mergeCell ref="H2:J2"/>
    <mergeCell ref="M2:O2"/>
    <mergeCell ref="C57:E57"/>
    <mergeCell ref="H57:J57"/>
    <mergeCell ref="M57:O57"/>
    <mergeCell ref="C13:E13"/>
    <mergeCell ref="H13:J13"/>
    <mergeCell ref="M13:O13"/>
    <mergeCell ref="C24:E24"/>
    <mergeCell ref="H24:J24"/>
    <mergeCell ref="M24:O24"/>
    <mergeCell ref="C35:E35"/>
    <mergeCell ref="H35:J35"/>
    <mergeCell ref="M35:O35"/>
    <mergeCell ref="C46:E46"/>
    <mergeCell ref="C79:E79"/>
    <mergeCell ref="H79:J79"/>
    <mergeCell ref="M79:O79"/>
    <mergeCell ref="H46:J46"/>
    <mergeCell ref="M46:O46"/>
    <mergeCell ref="C68:E68"/>
    <mergeCell ref="H68:J68"/>
    <mergeCell ref="M68:O68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38"/>
  <sheetViews>
    <sheetView topLeftCell="A4" workbookViewId="0">
      <selection activeCell="M16" sqref="M16"/>
    </sheetView>
  </sheetViews>
  <sheetFormatPr baseColWidth="10" defaultRowHeight="15" x14ac:dyDescent="0.25"/>
  <cols>
    <col min="1" max="1" width="11.42578125" style="1"/>
    <col min="2" max="2" width="4.140625" style="1" customWidth="1"/>
    <col min="3" max="3" width="23" style="1" customWidth="1"/>
    <col min="4" max="7" width="11.42578125" style="1"/>
    <col min="8" max="8" width="12" style="1" bestFit="1" customWidth="1"/>
    <col min="9" max="16384" width="11.42578125" style="1"/>
  </cols>
  <sheetData>
    <row r="1" spans="2:10" ht="15.75" thickBot="1" x14ac:dyDescent="0.3"/>
    <row r="2" spans="2:10" x14ac:dyDescent="0.25">
      <c r="C2" s="24" t="s">
        <v>54</v>
      </c>
      <c r="D2" s="12">
        <v>56245740</v>
      </c>
    </row>
    <row r="3" spans="2:10" ht="15.75" thickBot="1" x14ac:dyDescent="0.3">
      <c r="C3" s="25" t="s">
        <v>55</v>
      </c>
      <c r="D3" s="4">
        <v>28362646</v>
      </c>
    </row>
    <row r="4" spans="2:10" x14ac:dyDescent="0.25">
      <c r="C4" s="26" t="s">
        <v>56</v>
      </c>
      <c r="D4" s="27">
        <f>D2-D3</f>
        <v>27883094</v>
      </c>
    </row>
    <row r="5" spans="2:10" x14ac:dyDescent="0.25">
      <c r="C5" s="28" t="s">
        <v>58</v>
      </c>
      <c r="D5" s="29">
        <f>D4-F10</f>
        <v>-1396956</v>
      </c>
    </row>
    <row r="6" spans="2:10" ht="15.75" thickBot="1" x14ac:dyDescent="0.3">
      <c r="C6" s="25" t="s">
        <v>57</v>
      </c>
      <c r="D6" s="30">
        <f>I10-D5</f>
        <v>5353223.3999999994</v>
      </c>
    </row>
    <row r="7" spans="2:10" ht="15.75" thickBot="1" x14ac:dyDescent="0.3">
      <c r="C7" s="39"/>
      <c r="D7" s="40"/>
    </row>
    <row r="8" spans="2:10" ht="15.75" thickBot="1" x14ac:dyDescent="0.3">
      <c r="B8" s="136" t="s">
        <v>68</v>
      </c>
      <c r="C8" s="137"/>
      <c r="D8" s="137"/>
      <c r="E8" s="137"/>
      <c r="F8" s="137"/>
      <c r="G8" s="137"/>
      <c r="H8" s="137"/>
      <c r="I8" s="138"/>
    </row>
    <row r="9" spans="2:10" ht="15.75" thickBot="1" x14ac:dyDescent="0.3">
      <c r="C9" s="39"/>
      <c r="D9" s="40"/>
    </row>
    <row r="10" spans="2:10" ht="15.75" thickBot="1" x14ac:dyDescent="0.3">
      <c r="F10" s="23">
        <f>SUM(F12:F663)</f>
        <v>29280050</v>
      </c>
      <c r="I10" s="23">
        <f>SUM(I12:I324)</f>
        <v>3956267.3999999994</v>
      </c>
    </row>
    <row r="11" spans="2:10" ht="15.75" thickBot="1" x14ac:dyDescent="0.3">
      <c r="B11" s="13"/>
      <c r="C11" s="19" t="s">
        <v>8</v>
      </c>
      <c r="D11" s="42" t="s">
        <v>9</v>
      </c>
      <c r="E11" s="43" t="s">
        <v>10</v>
      </c>
      <c r="F11" s="43" t="s">
        <v>53</v>
      </c>
      <c r="G11" s="43" t="s">
        <v>11</v>
      </c>
      <c r="H11" s="44" t="s">
        <v>43</v>
      </c>
      <c r="I11" s="54" t="s">
        <v>33</v>
      </c>
      <c r="J11" s="44" t="s">
        <v>113</v>
      </c>
    </row>
    <row r="12" spans="2:10" x14ac:dyDescent="0.25">
      <c r="B12" s="14"/>
      <c r="C12" s="14" t="str">
        <f>Trophées!C13</f>
        <v>érudit majeur</v>
      </c>
      <c r="D12" s="10">
        <f>Trophées!E22</f>
        <v>1339940</v>
      </c>
      <c r="E12" s="11">
        <v>1329999</v>
      </c>
      <c r="F12" s="11">
        <f>B12*D12</f>
        <v>0</v>
      </c>
      <c r="G12" s="51">
        <f>E12-D12-J12</f>
        <v>-36541.979999999996</v>
      </c>
      <c r="H12" s="34">
        <f t="shared" ref="H12:H17" si="0">(E12/D12*100)-100</f>
        <v>-0.74189889099511674</v>
      </c>
      <c r="I12" s="11">
        <f>G12*B12</f>
        <v>0</v>
      </c>
      <c r="J12" s="55">
        <f>((E12/100)*2)+1</f>
        <v>26600.98</v>
      </c>
    </row>
    <row r="13" spans="2:10" x14ac:dyDescent="0.25">
      <c r="B13" s="15"/>
      <c r="C13" s="15" t="str">
        <f>Trophées!M13</f>
        <v>érudit mineur</v>
      </c>
      <c r="D13" s="5">
        <f>Trophées!O22</f>
        <v>85740</v>
      </c>
      <c r="E13" s="2">
        <v>140000</v>
      </c>
      <c r="F13" s="2">
        <f t="shared" ref="F13:F38" si="1">B13*D13</f>
        <v>0</v>
      </c>
      <c r="G13" s="52">
        <f t="shared" ref="G13:G38" si="2">E13-D13-J13</f>
        <v>51459</v>
      </c>
      <c r="H13" s="33">
        <f t="shared" si="0"/>
        <v>63.284348028924654</v>
      </c>
      <c r="I13" s="2">
        <f t="shared" ref="I13:I38" si="3">G13*B13</f>
        <v>0</v>
      </c>
      <c r="J13" s="56">
        <f t="shared" ref="J13:J38" si="4">((E13/100)*2)+1</f>
        <v>2801</v>
      </c>
    </row>
    <row r="14" spans="2:10" ht="15.75" thickBot="1" x14ac:dyDescent="0.3">
      <c r="B14" s="16"/>
      <c r="C14" s="17" t="str">
        <f>Trophées!H13</f>
        <v>érudit</v>
      </c>
      <c r="D14" s="6">
        <f>Trophées!J22</f>
        <v>309140</v>
      </c>
      <c r="E14" s="7">
        <v>299797</v>
      </c>
      <c r="F14" s="7">
        <f t="shared" si="1"/>
        <v>0</v>
      </c>
      <c r="G14" s="53">
        <f t="shared" si="2"/>
        <v>-15339.939999999999</v>
      </c>
      <c r="H14" s="35">
        <f t="shared" si="0"/>
        <v>-3.0222552888658782</v>
      </c>
      <c r="I14" s="7">
        <f t="shared" si="3"/>
        <v>0</v>
      </c>
      <c r="J14" s="57">
        <f t="shared" si="4"/>
        <v>5996.94</v>
      </c>
    </row>
    <row r="15" spans="2:10" x14ac:dyDescent="0.25">
      <c r="B15" s="14">
        <v>5</v>
      </c>
      <c r="C15" s="14" t="str">
        <f>Trophées!C24</f>
        <v>Vigoureux majeur</v>
      </c>
      <c r="D15" s="10">
        <f>Trophées!E33</f>
        <v>1797440</v>
      </c>
      <c r="E15" s="11">
        <v>1976998</v>
      </c>
      <c r="F15" s="11">
        <f t="shared" si="1"/>
        <v>8987200</v>
      </c>
      <c r="G15" s="51">
        <f t="shared" si="2"/>
        <v>140017.04</v>
      </c>
      <c r="H15" s="34">
        <f t="shared" si="0"/>
        <v>9.9896519494391924</v>
      </c>
      <c r="I15" s="11">
        <f t="shared" si="3"/>
        <v>700085.20000000007</v>
      </c>
      <c r="J15" s="55">
        <f t="shared" si="4"/>
        <v>39540.959999999999</v>
      </c>
    </row>
    <row r="16" spans="2:10" x14ac:dyDescent="0.25">
      <c r="B16" s="15"/>
      <c r="C16" s="15" t="str">
        <f>Trophées!H24</f>
        <v>Vigoureux</v>
      </c>
      <c r="D16" s="5">
        <f>Trophées!J33</f>
        <v>690840</v>
      </c>
      <c r="E16" s="2">
        <v>687999</v>
      </c>
      <c r="F16" s="2">
        <f t="shared" si="1"/>
        <v>0</v>
      </c>
      <c r="G16" s="52">
        <f t="shared" si="2"/>
        <v>-16601.98</v>
      </c>
      <c r="H16" s="33">
        <f t="shared" si="0"/>
        <v>-0.41123849227028586</v>
      </c>
      <c r="I16" s="2">
        <f t="shared" si="3"/>
        <v>0</v>
      </c>
      <c r="J16" s="56">
        <f t="shared" si="4"/>
        <v>13760.98</v>
      </c>
    </row>
    <row r="17" spans="2:10" ht="15.75" thickBot="1" x14ac:dyDescent="0.3">
      <c r="B17" s="16"/>
      <c r="C17" s="17" t="str">
        <f>Trophées!M24</f>
        <v>Vigoureux Mineur</v>
      </c>
      <c r="D17" s="6">
        <f>Trophées!O33</f>
        <v>407440</v>
      </c>
      <c r="E17" s="7">
        <v>443456</v>
      </c>
      <c r="F17" s="7">
        <f t="shared" si="1"/>
        <v>0</v>
      </c>
      <c r="G17" s="53">
        <f t="shared" si="2"/>
        <v>27145.879999999997</v>
      </c>
      <c r="H17" s="35">
        <f t="shared" si="0"/>
        <v>8.8395837423915111</v>
      </c>
      <c r="I17" s="7">
        <f t="shared" si="3"/>
        <v>0</v>
      </c>
      <c r="J17" s="57">
        <f t="shared" si="4"/>
        <v>8870.1200000000008</v>
      </c>
    </row>
    <row r="18" spans="2:10" x14ac:dyDescent="0.25">
      <c r="B18" s="14"/>
      <c r="C18" s="58" t="str">
        <f>Trophées!C35</f>
        <v>Chanceux Majeur</v>
      </c>
      <c r="D18" s="59">
        <f>Trophées!E44</f>
        <v>1334740</v>
      </c>
      <c r="E18" s="18">
        <v>1399986</v>
      </c>
      <c r="F18" s="18">
        <f t="shared" si="1"/>
        <v>0</v>
      </c>
      <c r="G18" s="60">
        <f t="shared" si="2"/>
        <v>37245.279999999999</v>
      </c>
      <c r="H18" s="61">
        <f>(E18/D18*100)-100</f>
        <v>4.8882928510421522</v>
      </c>
      <c r="I18" s="18">
        <f t="shared" si="3"/>
        <v>0</v>
      </c>
      <c r="J18" s="62">
        <f t="shared" si="4"/>
        <v>28000.720000000001</v>
      </c>
    </row>
    <row r="19" spans="2:10" x14ac:dyDescent="0.25">
      <c r="B19" s="15"/>
      <c r="C19" s="15" t="str">
        <f>Trophées!H35</f>
        <v>Chanceux</v>
      </c>
      <c r="D19" s="5">
        <f>Trophées!J44</f>
        <v>300540</v>
      </c>
      <c r="E19" s="2">
        <v>199991</v>
      </c>
      <c r="F19" s="2">
        <f t="shared" si="1"/>
        <v>0</v>
      </c>
      <c r="G19" s="52">
        <f t="shared" si="2"/>
        <v>-104549.82</v>
      </c>
      <c r="H19" s="33">
        <f t="shared" ref="H19:H38" si="5">(E19/D19*100)-100</f>
        <v>-33.456112331137291</v>
      </c>
      <c r="I19" s="2">
        <f t="shared" si="3"/>
        <v>0</v>
      </c>
      <c r="J19" s="56">
        <f t="shared" si="4"/>
        <v>4000.82</v>
      </c>
    </row>
    <row r="20" spans="2:10" ht="15.75" thickBot="1" x14ac:dyDescent="0.3">
      <c r="B20" s="16"/>
      <c r="C20" s="16" t="str">
        <f>Trophées!M35</f>
        <v>Chanceux Mineur</v>
      </c>
      <c r="D20" s="31">
        <f>Trophées!O44</f>
        <v>76140</v>
      </c>
      <c r="E20" s="32">
        <v>89997</v>
      </c>
      <c r="F20" s="32">
        <f t="shared" si="1"/>
        <v>0</v>
      </c>
      <c r="G20" s="63">
        <f t="shared" si="2"/>
        <v>12056.06</v>
      </c>
      <c r="H20" s="45">
        <f t="shared" si="5"/>
        <v>18.199369582348311</v>
      </c>
      <c r="I20" s="32">
        <f t="shared" si="3"/>
        <v>0</v>
      </c>
      <c r="J20" s="64">
        <f t="shared" si="4"/>
        <v>1800.94</v>
      </c>
    </row>
    <row r="21" spans="2:10" x14ac:dyDescent="0.25">
      <c r="B21" s="14"/>
      <c r="C21" s="14" t="str">
        <f>Trophées!C46</f>
        <v>Cascadeur Majeur</v>
      </c>
      <c r="D21" s="10">
        <f>Trophées!E55</f>
        <v>1395240</v>
      </c>
      <c r="E21" s="11">
        <v>1500000</v>
      </c>
      <c r="F21" s="11">
        <f t="shared" si="1"/>
        <v>0</v>
      </c>
      <c r="G21" s="51">
        <f t="shared" si="2"/>
        <v>74759</v>
      </c>
      <c r="H21" s="34">
        <f t="shared" si="5"/>
        <v>7.5083856540810245</v>
      </c>
      <c r="I21" s="11">
        <f t="shared" si="3"/>
        <v>0</v>
      </c>
      <c r="J21" s="55">
        <f t="shared" si="4"/>
        <v>30001</v>
      </c>
    </row>
    <row r="22" spans="2:10" x14ac:dyDescent="0.25">
      <c r="B22" s="15"/>
      <c r="C22" s="15" t="str">
        <f>Trophées!H46</f>
        <v>Cascadeur</v>
      </c>
      <c r="D22" s="5">
        <f>Trophées!J55</f>
        <v>359240</v>
      </c>
      <c r="E22" s="2">
        <v>354997</v>
      </c>
      <c r="F22" s="2">
        <f t="shared" si="1"/>
        <v>0</v>
      </c>
      <c r="G22" s="52">
        <f t="shared" si="2"/>
        <v>-11343.939999999999</v>
      </c>
      <c r="H22" s="33">
        <f t="shared" si="5"/>
        <v>-1.1811045540585638</v>
      </c>
      <c r="I22" s="2">
        <f t="shared" si="3"/>
        <v>0</v>
      </c>
      <c r="J22" s="56">
        <f t="shared" si="4"/>
        <v>7100.94</v>
      </c>
    </row>
    <row r="23" spans="2:10" ht="15.75" thickBot="1" x14ac:dyDescent="0.3">
      <c r="B23" s="16"/>
      <c r="C23" s="17" t="str">
        <f>Trophées!M46</f>
        <v>Cascadeur Mineur</v>
      </c>
      <c r="D23" s="6">
        <f>Trophées!O55</f>
        <v>62840</v>
      </c>
      <c r="E23" s="7">
        <v>55000</v>
      </c>
      <c r="F23" s="7">
        <f t="shared" si="1"/>
        <v>0</v>
      </c>
      <c r="G23" s="53">
        <f t="shared" si="2"/>
        <v>-8941</v>
      </c>
      <c r="H23" s="35">
        <f t="shared" si="5"/>
        <v>-12.476129853596447</v>
      </c>
      <c r="I23" s="7">
        <f t="shared" si="3"/>
        <v>0</v>
      </c>
      <c r="J23" s="57">
        <f t="shared" si="4"/>
        <v>1101</v>
      </c>
    </row>
    <row r="24" spans="2:10" x14ac:dyDescent="0.25">
      <c r="B24" s="14">
        <v>5</v>
      </c>
      <c r="C24" s="58" t="str">
        <f>Trophées!C57</f>
        <v>Enragé majeur</v>
      </c>
      <c r="D24" s="59">
        <f>Trophées!E66</f>
        <v>1334140</v>
      </c>
      <c r="E24" s="32">
        <v>1469999</v>
      </c>
      <c r="F24" s="18">
        <f t="shared" si="1"/>
        <v>6670700</v>
      </c>
      <c r="G24" s="60">
        <f t="shared" si="2"/>
        <v>106458.02</v>
      </c>
      <c r="H24" s="61">
        <f t="shared" si="5"/>
        <v>10.183264125204246</v>
      </c>
      <c r="I24" s="18">
        <f t="shared" si="3"/>
        <v>532290.1</v>
      </c>
      <c r="J24" s="62">
        <f t="shared" si="4"/>
        <v>29400.98</v>
      </c>
    </row>
    <row r="25" spans="2:10" x14ac:dyDescent="0.25">
      <c r="B25" s="15"/>
      <c r="C25" s="15" t="str">
        <f>Trophées!H57</f>
        <v>Enragé</v>
      </c>
      <c r="D25" s="5">
        <f>Trophées!J66</f>
        <v>292140</v>
      </c>
      <c r="E25" s="2">
        <v>316899</v>
      </c>
      <c r="F25" s="2">
        <f t="shared" si="1"/>
        <v>0</v>
      </c>
      <c r="G25" s="52">
        <f t="shared" si="2"/>
        <v>18420.02</v>
      </c>
      <c r="H25" s="33">
        <f t="shared" si="5"/>
        <v>8.4750462107208762</v>
      </c>
      <c r="I25" s="2">
        <f t="shared" si="3"/>
        <v>0</v>
      </c>
      <c r="J25" s="56">
        <f t="shared" si="4"/>
        <v>6338.98</v>
      </c>
    </row>
    <row r="26" spans="2:10" ht="15.75" thickBot="1" x14ac:dyDescent="0.3">
      <c r="B26" s="16"/>
      <c r="C26" s="16" t="str">
        <f>Trophées!M57</f>
        <v>Enragé mineur</v>
      </c>
      <c r="D26" s="31">
        <f>Trophées!O66</f>
        <v>65240</v>
      </c>
      <c r="E26" s="32">
        <v>113435</v>
      </c>
      <c r="F26" s="32">
        <f t="shared" si="1"/>
        <v>0</v>
      </c>
      <c r="G26" s="63">
        <f t="shared" si="2"/>
        <v>45925.3</v>
      </c>
      <c r="H26" s="45">
        <f t="shared" si="5"/>
        <v>73.873390557939899</v>
      </c>
      <c r="I26" s="32">
        <f t="shared" si="3"/>
        <v>0</v>
      </c>
      <c r="J26" s="64">
        <f t="shared" si="4"/>
        <v>2269.6999999999998</v>
      </c>
    </row>
    <row r="27" spans="2:10" x14ac:dyDescent="0.25">
      <c r="B27" s="14"/>
      <c r="C27" s="14" t="str">
        <f>Trophées!C2</f>
        <v>Porteur Majeur</v>
      </c>
      <c r="D27" s="10">
        <f>Trophées!E11</f>
        <v>933900</v>
      </c>
      <c r="E27" s="11">
        <v>1229999</v>
      </c>
      <c r="F27" s="11">
        <f t="shared" si="1"/>
        <v>0</v>
      </c>
      <c r="G27" s="51">
        <f t="shared" si="2"/>
        <v>271498.02</v>
      </c>
      <c r="H27" s="34">
        <f t="shared" si="5"/>
        <v>31.705643002462779</v>
      </c>
      <c r="I27" s="11">
        <f t="shared" si="3"/>
        <v>0</v>
      </c>
      <c r="J27" s="55">
        <f t="shared" si="4"/>
        <v>24600.98</v>
      </c>
    </row>
    <row r="28" spans="2:10" x14ac:dyDescent="0.25">
      <c r="B28" s="15"/>
      <c r="C28" s="15" t="str">
        <f>Trophées!H2</f>
        <v>Porteur</v>
      </c>
      <c r="D28" s="5">
        <f>Trophées!J11</f>
        <v>253200</v>
      </c>
      <c r="E28" s="2">
        <v>279999</v>
      </c>
      <c r="F28" s="2">
        <f t="shared" si="1"/>
        <v>0</v>
      </c>
      <c r="G28" s="52">
        <f t="shared" si="2"/>
        <v>21198.02</v>
      </c>
      <c r="H28" s="33">
        <f t="shared" si="5"/>
        <v>10.584123222748815</v>
      </c>
      <c r="I28" s="2">
        <f t="shared" si="3"/>
        <v>0</v>
      </c>
      <c r="J28" s="56">
        <f t="shared" si="4"/>
        <v>5600.98</v>
      </c>
    </row>
    <row r="29" spans="2:10" ht="15.75" thickBot="1" x14ac:dyDescent="0.3">
      <c r="B29" s="16"/>
      <c r="C29" s="17" t="str">
        <f>Trophées!M2</f>
        <v>Porteur Mineur</v>
      </c>
      <c r="D29" s="6">
        <f>Trophées!O11</f>
        <v>60200</v>
      </c>
      <c r="E29" s="7">
        <v>59000</v>
      </c>
      <c r="F29" s="7">
        <f t="shared" si="1"/>
        <v>0</v>
      </c>
      <c r="G29" s="53">
        <f t="shared" si="2"/>
        <v>-2381</v>
      </c>
      <c r="H29" s="35">
        <f t="shared" si="5"/>
        <v>-1.9933554817275763</v>
      </c>
      <c r="I29" s="7">
        <f t="shared" si="3"/>
        <v>0</v>
      </c>
      <c r="J29" s="57">
        <f t="shared" si="4"/>
        <v>1181</v>
      </c>
    </row>
    <row r="30" spans="2:10" x14ac:dyDescent="0.25">
      <c r="B30" s="14">
        <v>5</v>
      </c>
      <c r="C30" s="58" t="str">
        <f>Trophées!C68</f>
        <v>Fonceur majeur</v>
      </c>
      <c r="D30" s="59">
        <f>Trophées!E77</f>
        <v>1327840</v>
      </c>
      <c r="E30" s="18">
        <v>1638940</v>
      </c>
      <c r="F30" s="18">
        <f t="shared" si="1"/>
        <v>6639200</v>
      </c>
      <c r="G30" s="60">
        <f t="shared" si="2"/>
        <v>278320.2</v>
      </c>
      <c r="H30" s="61">
        <f t="shared" si="5"/>
        <v>23.429027593685987</v>
      </c>
      <c r="I30" s="18">
        <f t="shared" si="3"/>
        <v>1391601</v>
      </c>
      <c r="J30" s="62">
        <f t="shared" si="4"/>
        <v>32779.800000000003</v>
      </c>
    </row>
    <row r="31" spans="2:10" x14ac:dyDescent="0.25">
      <c r="B31" s="15"/>
      <c r="C31" s="15" t="str">
        <f>Trophées!H68</f>
        <v>Fonceur</v>
      </c>
      <c r="D31" s="5">
        <f>Trophées!J77</f>
        <v>293840</v>
      </c>
      <c r="E31" s="2">
        <v>365500</v>
      </c>
      <c r="F31" s="2">
        <f t="shared" si="1"/>
        <v>0</v>
      </c>
      <c r="G31" s="52">
        <f t="shared" si="2"/>
        <v>64349</v>
      </c>
      <c r="H31" s="33">
        <f t="shared" si="5"/>
        <v>24.387421726109437</v>
      </c>
      <c r="I31" s="2">
        <f t="shared" si="3"/>
        <v>0</v>
      </c>
      <c r="J31" s="56">
        <f t="shared" si="4"/>
        <v>7311</v>
      </c>
    </row>
    <row r="32" spans="2:10" ht="15.75" thickBot="1" x14ac:dyDescent="0.3">
      <c r="B32" s="16"/>
      <c r="C32" s="16" t="str">
        <f>Trophées!M68</f>
        <v>Fonceur Mineur</v>
      </c>
      <c r="D32" s="31">
        <f>Trophées!O77</f>
        <v>70740</v>
      </c>
      <c r="E32" s="32">
        <v>104989</v>
      </c>
      <c r="F32" s="32">
        <f t="shared" si="1"/>
        <v>0</v>
      </c>
      <c r="G32" s="63">
        <f t="shared" si="2"/>
        <v>32148.22</v>
      </c>
      <c r="H32" s="45">
        <f t="shared" si="5"/>
        <v>48.415323720667232</v>
      </c>
      <c r="I32" s="32">
        <f t="shared" si="3"/>
        <v>0</v>
      </c>
      <c r="J32" s="64">
        <f t="shared" si="4"/>
        <v>2100.7800000000002</v>
      </c>
    </row>
    <row r="33" spans="2:10" x14ac:dyDescent="0.25">
      <c r="B33" s="14">
        <v>5</v>
      </c>
      <c r="C33" s="20" t="str">
        <f>Trophées!C79</f>
        <v>Miraculé Majeur</v>
      </c>
      <c r="D33" s="36">
        <f>Trophées!E88</f>
        <v>1396590</v>
      </c>
      <c r="E33" s="11">
        <v>1696989</v>
      </c>
      <c r="F33" s="11">
        <f t="shared" si="1"/>
        <v>6982950</v>
      </c>
      <c r="G33" s="51">
        <f t="shared" si="2"/>
        <v>266458.21999999997</v>
      </c>
      <c r="H33" s="34">
        <f t="shared" si="5"/>
        <v>21.509462333254575</v>
      </c>
      <c r="I33" s="11">
        <f t="shared" si="3"/>
        <v>1332291.0999999999</v>
      </c>
      <c r="J33" s="55">
        <f t="shared" si="4"/>
        <v>33940.78</v>
      </c>
    </row>
    <row r="34" spans="2:10" x14ac:dyDescent="0.25">
      <c r="B34" s="15"/>
      <c r="C34" s="21" t="str">
        <f>Trophées!H79</f>
        <v>Miraculé</v>
      </c>
      <c r="D34" s="37">
        <f>Trophées!J88</f>
        <v>347190</v>
      </c>
      <c r="E34" s="2">
        <v>367800</v>
      </c>
      <c r="F34" s="2">
        <f t="shared" si="1"/>
        <v>0</v>
      </c>
      <c r="G34" s="52">
        <f t="shared" si="2"/>
        <v>13253</v>
      </c>
      <c r="H34" s="33">
        <f t="shared" si="5"/>
        <v>5.9362308822258854</v>
      </c>
      <c r="I34" s="2">
        <f t="shared" si="3"/>
        <v>0</v>
      </c>
      <c r="J34" s="56">
        <f t="shared" si="4"/>
        <v>7357</v>
      </c>
    </row>
    <row r="35" spans="2:10" ht="15.75" thickBot="1" x14ac:dyDescent="0.3">
      <c r="B35" s="16"/>
      <c r="C35" s="66" t="str">
        <f>Trophées!M79</f>
        <v>Miraculé Mineur</v>
      </c>
      <c r="D35" s="67">
        <f>Trophées!O88</f>
        <v>91790</v>
      </c>
      <c r="E35" s="32">
        <v>84998</v>
      </c>
      <c r="F35" s="32">
        <f t="shared" si="1"/>
        <v>0</v>
      </c>
      <c r="G35" s="63">
        <f t="shared" si="2"/>
        <v>-8492.9599999999991</v>
      </c>
      <c r="H35" s="45">
        <f t="shared" si="5"/>
        <v>-7.3994988560845343</v>
      </c>
      <c r="I35" s="32">
        <f t="shared" si="3"/>
        <v>0</v>
      </c>
      <c r="J35" s="64">
        <f t="shared" si="4"/>
        <v>1700.96</v>
      </c>
    </row>
    <row r="36" spans="2:10" x14ac:dyDescent="0.25">
      <c r="B36" s="14"/>
      <c r="C36" s="20" t="str">
        <f>Trophées!C90</f>
        <v>Guérisseur Majeur</v>
      </c>
      <c r="D36" s="36">
        <f>Trophées!E99</f>
        <v>1344640</v>
      </c>
      <c r="E36" s="11">
        <v>1022989</v>
      </c>
      <c r="F36" s="11">
        <f t="shared" si="1"/>
        <v>0</v>
      </c>
      <c r="G36" s="51">
        <f t="shared" si="2"/>
        <v>-342111.78</v>
      </c>
      <c r="H36" s="34">
        <f t="shared" si="5"/>
        <v>-23.920975130890056</v>
      </c>
      <c r="I36" s="11">
        <f t="shared" si="3"/>
        <v>0</v>
      </c>
      <c r="J36" s="55">
        <f t="shared" si="4"/>
        <v>20460.78</v>
      </c>
    </row>
    <row r="37" spans="2:10" x14ac:dyDescent="0.25">
      <c r="B37" s="15"/>
      <c r="C37" s="21" t="str">
        <f>Trophées!H90</f>
        <v>Guérisseur</v>
      </c>
      <c r="D37" s="37">
        <f>Trophées!J99</f>
        <v>306640</v>
      </c>
      <c r="E37" s="2">
        <v>348986</v>
      </c>
      <c r="F37" s="2">
        <f t="shared" si="1"/>
        <v>0</v>
      </c>
      <c r="G37" s="52">
        <f t="shared" si="2"/>
        <v>35365.279999999999</v>
      </c>
      <c r="H37" s="33">
        <f t="shared" si="5"/>
        <v>13.809679102530652</v>
      </c>
      <c r="I37" s="2">
        <f t="shared" si="3"/>
        <v>0</v>
      </c>
      <c r="J37" s="56">
        <f t="shared" si="4"/>
        <v>6980.72</v>
      </c>
    </row>
    <row r="38" spans="2:10" ht="15.75" thickBot="1" x14ac:dyDescent="0.3">
      <c r="B38" s="17"/>
      <c r="C38" s="22" t="str">
        <f>Trophées!M90</f>
        <v>Guérisseur mineur</v>
      </c>
      <c r="D38" s="38">
        <f>Trophées!O99</f>
        <v>60240</v>
      </c>
      <c r="E38" s="7">
        <v>96399</v>
      </c>
      <c r="F38" s="7">
        <f t="shared" si="1"/>
        <v>0</v>
      </c>
      <c r="G38" s="53">
        <f t="shared" si="2"/>
        <v>34230.019999999997</v>
      </c>
      <c r="H38" s="35">
        <f t="shared" si="5"/>
        <v>60.024900398406373</v>
      </c>
      <c r="I38" s="7">
        <f t="shared" si="3"/>
        <v>0</v>
      </c>
      <c r="J38" s="57">
        <f t="shared" si="4"/>
        <v>1928.98</v>
      </c>
    </row>
  </sheetData>
  <mergeCells count="1">
    <mergeCell ref="B8:I8"/>
  </mergeCells>
  <conditionalFormatting sqref="G10 G12:G1048576">
    <cfRule type="cellIs" dxfId="30" priority="5" operator="lessThan">
      <formula>0</formula>
    </cfRule>
  </conditionalFormatting>
  <conditionalFormatting sqref="H10 H12:H1048576">
    <cfRule type="cellIs" dxfId="29" priority="4" operator="greaterThan">
      <formula>40</formula>
    </cfRule>
  </conditionalFormatting>
  <conditionalFormatting sqref="G10 G12:G1048576">
    <cfRule type="cellIs" dxfId="28" priority="3" operator="greaterThan">
      <formula>500000</formula>
    </cfRule>
  </conditionalFormatting>
  <conditionalFormatting sqref="G1:G7 G9:G1048576">
    <cfRule type="cellIs" dxfId="27" priority="2" operator="between">
      <formula>300000</formula>
      <formula>499999</formula>
    </cfRule>
  </conditionalFormatting>
  <conditionalFormatting sqref="H1:H7 H9:H1048576">
    <cfRule type="cellIs" dxfId="26" priority="1" operator="between">
      <formula>20</formula>
      <formula>39.99</formula>
    </cfRule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8"/>
  <sheetViews>
    <sheetView workbookViewId="0">
      <selection activeCell="D34" sqref="D34"/>
    </sheetView>
  </sheetViews>
  <sheetFormatPr baseColWidth="10" defaultRowHeight="15" x14ac:dyDescent="0.25"/>
  <cols>
    <col min="1" max="1" width="11.42578125" style="1"/>
    <col min="2" max="2" width="7" style="1" customWidth="1"/>
    <col min="3" max="3" width="30.5703125" style="1" customWidth="1"/>
    <col min="4" max="16384" width="11.42578125" style="1"/>
  </cols>
  <sheetData>
    <row r="2" spans="2:4" x14ac:dyDescent="0.25">
      <c r="B2" s="2">
        <f>Idoles!B5+Idoles!G4</f>
        <v>2000</v>
      </c>
      <c r="C2" s="2" t="s">
        <v>3</v>
      </c>
      <c r="D2" s="41">
        <f>Ressources!D2</f>
        <v>274</v>
      </c>
    </row>
    <row r="3" spans="2:4" x14ac:dyDescent="0.25">
      <c r="B3" s="2">
        <f>Idoles!B6</f>
        <v>4</v>
      </c>
      <c r="C3" s="2" t="s">
        <v>72</v>
      </c>
      <c r="D3" s="2">
        <v>2999</v>
      </c>
    </row>
    <row r="4" spans="2:4" x14ac:dyDescent="0.25">
      <c r="B4" s="2">
        <f>Idoles!G5</f>
        <v>0</v>
      </c>
      <c r="C4" s="2" t="s">
        <v>19</v>
      </c>
      <c r="D4" s="41">
        <f>Ressources!D6</f>
        <v>125000</v>
      </c>
    </row>
    <row r="5" spans="2:4" x14ac:dyDescent="0.25">
      <c r="B5" s="2">
        <f>Idoles!G6</f>
        <v>0</v>
      </c>
      <c r="C5" s="2" t="s">
        <v>4</v>
      </c>
      <c r="D5" s="41">
        <f>Ressources!D3</f>
        <v>80000</v>
      </c>
    </row>
    <row r="6" spans="2:4" x14ac:dyDescent="0.25">
      <c r="B6" s="2"/>
      <c r="C6" s="2"/>
      <c r="D6" s="2"/>
    </row>
    <row r="7" spans="2:4" x14ac:dyDescent="0.25">
      <c r="B7" s="2">
        <f>Idoles!B3+Idoles!G3</f>
        <v>2</v>
      </c>
      <c r="C7" s="2" t="s">
        <v>2</v>
      </c>
      <c r="D7" s="41">
        <f>Ressources!D18</f>
        <v>250000</v>
      </c>
    </row>
    <row r="8" spans="2:4" x14ac:dyDescent="0.25">
      <c r="B8" s="2"/>
      <c r="C8" s="2"/>
      <c r="D8" s="2"/>
    </row>
    <row r="9" spans="2:4" x14ac:dyDescent="0.25">
      <c r="B9" s="2">
        <f>Idoles!B7</f>
        <v>1</v>
      </c>
      <c r="C9" s="2" t="s">
        <v>73</v>
      </c>
      <c r="D9" s="2">
        <v>2297</v>
      </c>
    </row>
    <row r="10" spans="2:4" x14ac:dyDescent="0.25">
      <c r="B10" s="2"/>
      <c r="C10" s="2"/>
      <c r="D10" s="2"/>
    </row>
    <row r="11" spans="2:4" x14ac:dyDescent="0.25">
      <c r="B11" s="2">
        <f>Idoles!B4</f>
        <v>2</v>
      </c>
      <c r="C11" s="2" t="s">
        <v>71</v>
      </c>
      <c r="D11" s="2">
        <v>38000</v>
      </c>
    </row>
    <row r="12" spans="2:4" x14ac:dyDescent="0.25">
      <c r="B12" s="2">
        <f>Idoles!G7</f>
        <v>0</v>
      </c>
      <c r="C12" s="2"/>
      <c r="D12" s="2"/>
    </row>
    <row r="13" spans="2:4" x14ac:dyDescent="0.25">
      <c r="B13" s="2"/>
      <c r="C13" s="2"/>
      <c r="D13" s="2"/>
    </row>
    <row r="14" spans="2:4" x14ac:dyDescent="0.25">
      <c r="B14" s="2">
        <f>Idoles!B8</f>
        <v>1</v>
      </c>
      <c r="C14" s="2" t="s">
        <v>74</v>
      </c>
      <c r="D14" s="2">
        <v>1538</v>
      </c>
    </row>
    <row r="15" spans="2:4" x14ac:dyDescent="0.25">
      <c r="B15" s="2">
        <f>Idoles!B9</f>
        <v>10</v>
      </c>
      <c r="C15" s="2" t="s">
        <v>75</v>
      </c>
      <c r="D15" s="2">
        <v>200</v>
      </c>
    </row>
    <row r="16" spans="2:4" x14ac:dyDescent="0.25">
      <c r="B16" s="2">
        <f>Idoles!G8</f>
        <v>0</v>
      </c>
      <c r="C16" s="2"/>
      <c r="D16" s="2"/>
    </row>
    <row r="17" spans="2:4" x14ac:dyDescent="0.25">
      <c r="B17" s="2">
        <f>Idoles!G9</f>
        <v>0</v>
      </c>
      <c r="C17" s="2"/>
      <c r="D17" s="2"/>
    </row>
    <row r="18" spans="2:4" x14ac:dyDescent="0.25">
      <c r="B18" s="2">
        <f>Idoles!G10</f>
        <v>0</v>
      </c>
      <c r="C18" s="2"/>
      <c r="D18" s="2"/>
    </row>
  </sheetData>
  <conditionalFormatting sqref="B1:B1048576">
    <cfRule type="cellIs" dxfId="25" priority="1" operator="equal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1"/>
  <sheetViews>
    <sheetView workbookViewId="0">
      <selection activeCell="B2" sqref="B2:E11"/>
    </sheetView>
  </sheetViews>
  <sheetFormatPr baseColWidth="10" defaultRowHeight="15" x14ac:dyDescent="0.25"/>
  <cols>
    <col min="2" max="2" width="5.42578125" style="1" customWidth="1"/>
    <col min="3" max="3" width="6.140625" style="1" customWidth="1"/>
    <col min="4" max="4" width="30.7109375" customWidth="1"/>
    <col min="7" max="7" width="5.42578125" style="1" customWidth="1"/>
    <col min="8" max="8" width="6.140625" style="1" customWidth="1"/>
    <col min="9" max="9" width="30.7109375" customWidth="1"/>
    <col min="12" max="12" width="5.42578125" style="1" customWidth="1"/>
    <col min="13" max="13" width="6.140625" style="1" customWidth="1"/>
    <col min="14" max="14" width="30.7109375" customWidth="1"/>
  </cols>
  <sheetData>
    <row r="1" spans="2:15" ht="15.75" thickBot="1" x14ac:dyDescent="0.3"/>
    <row r="2" spans="2:15" ht="15.75" thickBot="1" x14ac:dyDescent="0.3">
      <c r="B2" s="8">
        <f>'Comparatifs Idoles'!B12</f>
        <v>1</v>
      </c>
      <c r="C2" s="134" t="s">
        <v>70</v>
      </c>
      <c r="D2" s="134"/>
      <c r="E2" s="135"/>
      <c r="G2" s="8">
        <f>'Comparatifs Idoles'!B13</f>
        <v>0</v>
      </c>
      <c r="H2" s="134"/>
      <c r="I2" s="134"/>
      <c r="J2" s="135"/>
      <c r="L2" s="8">
        <f>Comparatifs!B13+G9</f>
        <v>0</v>
      </c>
      <c r="M2" s="134"/>
      <c r="N2" s="134"/>
      <c r="O2" s="135"/>
    </row>
    <row r="3" spans="2:15" x14ac:dyDescent="0.25">
      <c r="B3" s="10">
        <f>C3*B2</f>
        <v>2</v>
      </c>
      <c r="C3" s="11">
        <v>2</v>
      </c>
      <c r="D3" s="11" t="str">
        <f>'Ressources Idoles'!C7</f>
        <v>Galet brasillant</v>
      </c>
      <c r="E3" s="12">
        <f>C3*'Ressources Idoles'!D7</f>
        <v>500000</v>
      </c>
      <c r="G3" s="10">
        <f>H3*G2</f>
        <v>0</v>
      </c>
      <c r="H3" s="11"/>
      <c r="I3" s="11"/>
      <c r="J3" s="12"/>
      <c r="L3" s="10">
        <f>M3*L2</f>
        <v>0</v>
      </c>
      <c r="M3" s="11"/>
      <c r="N3" s="11"/>
      <c r="O3" s="12"/>
    </row>
    <row r="4" spans="2:15" x14ac:dyDescent="0.25">
      <c r="B4" s="5">
        <f>C4*B2</f>
        <v>2</v>
      </c>
      <c r="C4" s="2">
        <v>2</v>
      </c>
      <c r="D4" s="2" t="str">
        <f>'Ressources Idoles'!C11</f>
        <v>Essence de chêne mou</v>
      </c>
      <c r="E4" s="3">
        <f>C4*'Ressources Idoles'!D11</f>
        <v>76000</v>
      </c>
      <c r="G4" s="5">
        <f>H4*G2</f>
        <v>0</v>
      </c>
      <c r="H4" s="2"/>
      <c r="I4" s="2"/>
      <c r="J4" s="3"/>
      <c r="L4" s="5">
        <f>M4*L2</f>
        <v>0</v>
      </c>
      <c r="M4" s="2"/>
      <c r="N4" s="2"/>
      <c r="O4" s="3"/>
    </row>
    <row r="5" spans="2:15" x14ac:dyDescent="0.25">
      <c r="B5" s="5">
        <f>C5*B2</f>
        <v>2000</v>
      </c>
      <c r="C5" s="2">
        <v>2000</v>
      </c>
      <c r="D5" s="2" t="str">
        <f>'Ressources Idoles'!C2</f>
        <v>pépite</v>
      </c>
      <c r="E5" s="3">
        <f>C5*'Ressources Idoles'!D2</f>
        <v>548000</v>
      </c>
      <c r="G5" s="5">
        <f>H5*G2</f>
        <v>0</v>
      </c>
      <c r="H5" s="2"/>
      <c r="I5" s="2"/>
      <c r="J5" s="3"/>
      <c r="L5" s="5">
        <f>M5*L2</f>
        <v>0</v>
      </c>
      <c r="M5" s="2"/>
      <c r="N5" s="2"/>
      <c r="O5" s="3"/>
    </row>
    <row r="6" spans="2:15" x14ac:dyDescent="0.25">
      <c r="B6" s="5">
        <f>C6*B2</f>
        <v>4</v>
      </c>
      <c r="C6" s="2">
        <v>4</v>
      </c>
      <c r="D6" s="2" t="str">
        <f>'Ressources Idoles'!C3</f>
        <v>Kobalite</v>
      </c>
      <c r="E6" s="3">
        <f>C6*'Ressources Idoles'!D3</f>
        <v>11996</v>
      </c>
      <c r="G6" s="5">
        <f>H6*G2</f>
        <v>0</v>
      </c>
      <c r="H6" s="2"/>
      <c r="I6" s="2"/>
      <c r="J6" s="3"/>
      <c r="L6" s="5">
        <f>M6*L2</f>
        <v>0</v>
      </c>
      <c r="M6" s="2"/>
      <c r="N6" s="2"/>
      <c r="O6" s="3"/>
    </row>
    <row r="7" spans="2:15" x14ac:dyDescent="0.25">
      <c r="B7" s="5">
        <f>C7*B2</f>
        <v>1</v>
      </c>
      <c r="C7" s="2">
        <v>1</v>
      </c>
      <c r="D7" s="2" t="str">
        <f>'Ressources Idoles'!C9</f>
        <v>écorce de floribonde</v>
      </c>
      <c r="E7" s="3">
        <f>'Ressources Idoles'!D9</f>
        <v>2297</v>
      </c>
      <c r="G7" s="5">
        <f>H7*G2</f>
        <v>0</v>
      </c>
      <c r="H7" s="2"/>
      <c r="I7" s="2"/>
      <c r="J7" s="3"/>
      <c r="L7" s="5">
        <f>M7*L2</f>
        <v>0</v>
      </c>
      <c r="M7" s="2"/>
      <c r="N7" s="2"/>
      <c r="O7" s="3"/>
    </row>
    <row r="8" spans="2:15" x14ac:dyDescent="0.25">
      <c r="B8" s="5">
        <f>C8*B2</f>
        <v>1</v>
      </c>
      <c r="C8" s="2">
        <v>1</v>
      </c>
      <c r="D8" s="2" t="str">
        <f>'Ressources Idoles'!C14</f>
        <v>Corde du fancrôme</v>
      </c>
      <c r="E8" s="3">
        <f>'Ressources Idoles'!D14</f>
        <v>1538</v>
      </c>
      <c r="G8" s="5">
        <f>H8*G2</f>
        <v>0</v>
      </c>
      <c r="H8" s="2"/>
      <c r="I8" s="2"/>
      <c r="J8" s="3"/>
      <c r="L8" s="5">
        <f>M8*L2</f>
        <v>0</v>
      </c>
      <c r="M8" s="2"/>
      <c r="N8" s="2"/>
      <c r="O8" s="3"/>
    </row>
    <row r="9" spans="2:15" x14ac:dyDescent="0.25">
      <c r="B9" s="5">
        <f>C9*B2</f>
        <v>10</v>
      </c>
      <c r="C9" s="2">
        <v>10</v>
      </c>
      <c r="D9" s="2" t="str">
        <f>'Ressources Idoles'!C15</f>
        <v>Patte de gruche</v>
      </c>
      <c r="E9" s="3">
        <f>C9*'Ressources Idoles'!D15</f>
        <v>2000</v>
      </c>
      <c r="G9" s="5">
        <f>H9*G2</f>
        <v>0</v>
      </c>
      <c r="H9" s="2"/>
      <c r="I9" s="2"/>
      <c r="J9" s="3"/>
      <c r="L9" s="5"/>
      <c r="M9" s="2"/>
      <c r="N9" s="2"/>
      <c r="O9" s="3"/>
    </row>
    <row r="10" spans="2:15" ht="15.75" thickBot="1" x14ac:dyDescent="0.3">
      <c r="B10" s="6"/>
      <c r="C10" s="7"/>
      <c r="D10" s="7"/>
      <c r="E10" s="4"/>
      <c r="G10" s="5">
        <f>H10*G2</f>
        <v>0</v>
      </c>
      <c r="H10" s="7"/>
      <c r="I10" s="7"/>
      <c r="J10" s="4"/>
      <c r="L10" s="6"/>
      <c r="M10" s="7"/>
      <c r="N10" s="7"/>
      <c r="O10" s="4"/>
    </row>
    <row r="11" spans="2:15" ht="15.75" thickBot="1" x14ac:dyDescent="0.3">
      <c r="D11" s="1"/>
      <c r="E11" s="9">
        <f>SUM(E3:E9)</f>
        <v>1141831</v>
      </c>
      <c r="I11" s="1"/>
      <c r="J11" s="9">
        <f>SUM(J3:J9)</f>
        <v>0</v>
      </c>
      <c r="N11" s="1"/>
      <c r="O11" s="9">
        <f>SUM(O3:O9)</f>
        <v>0</v>
      </c>
    </row>
  </sheetData>
  <mergeCells count="3">
    <mergeCell ref="C2:E2"/>
    <mergeCell ref="H2:J2"/>
    <mergeCell ref="M2:O2"/>
  </mergeCell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4"/>
  <sheetViews>
    <sheetView workbookViewId="0">
      <selection activeCell="F31" sqref="F31"/>
    </sheetView>
  </sheetViews>
  <sheetFormatPr baseColWidth="10" defaultRowHeight="15" x14ac:dyDescent="0.25"/>
  <cols>
    <col min="1" max="1" width="11.42578125" style="1"/>
    <col min="2" max="2" width="4.140625" style="1" customWidth="1"/>
    <col min="3" max="3" width="23" style="1" customWidth="1"/>
    <col min="4" max="7" width="11.42578125" style="1"/>
    <col min="8" max="8" width="12" style="1" bestFit="1" customWidth="1"/>
    <col min="9" max="16384" width="11.42578125" style="1"/>
  </cols>
  <sheetData>
    <row r="1" spans="2:9" ht="15.75" thickBot="1" x14ac:dyDescent="0.3"/>
    <row r="2" spans="2:9" x14ac:dyDescent="0.25">
      <c r="C2" s="24" t="s">
        <v>54</v>
      </c>
      <c r="D2" s="12"/>
    </row>
    <row r="3" spans="2:9" ht="15.75" thickBot="1" x14ac:dyDescent="0.3">
      <c r="C3" s="25" t="s">
        <v>55</v>
      </c>
      <c r="D3" s="4"/>
    </row>
    <row r="4" spans="2:9" x14ac:dyDescent="0.25">
      <c r="C4" s="26" t="s">
        <v>56</v>
      </c>
      <c r="D4" s="27">
        <f>D2-D3</f>
        <v>0</v>
      </c>
    </row>
    <row r="5" spans="2:9" x14ac:dyDescent="0.25">
      <c r="C5" s="28" t="s">
        <v>58</v>
      </c>
      <c r="D5" s="29">
        <f>D4-F10</f>
        <v>-1141831</v>
      </c>
    </row>
    <row r="6" spans="2:9" ht="15.75" thickBot="1" x14ac:dyDescent="0.3">
      <c r="C6" s="25" t="s">
        <v>57</v>
      </c>
      <c r="D6" s="30">
        <f>I10-D5</f>
        <v>1399882</v>
      </c>
    </row>
    <row r="7" spans="2:9" ht="15.75" thickBot="1" x14ac:dyDescent="0.3">
      <c r="C7" s="39"/>
      <c r="D7" s="40"/>
    </row>
    <row r="8" spans="2:9" ht="15.75" thickBot="1" x14ac:dyDescent="0.3">
      <c r="B8" s="136" t="s">
        <v>69</v>
      </c>
      <c r="C8" s="137"/>
      <c r="D8" s="137"/>
      <c r="E8" s="137"/>
      <c r="F8" s="137"/>
      <c r="G8" s="137"/>
      <c r="H8" s="137"/>
      <c r="I8" s="138"/>
    </row>
    <row r="9" spans="2:9" ht="15.75" thickBot="1" x14ac:dyDescent="0.3">
      <c r="C9" s="39"/>
      <c r="D9" s="40"/>
    </row>
    <row r="10" spans="2:9" ht="15.75" thickBot="1" x14ac:dyDescent="0.3">
      <c r="F10" s="23">
        <f>SUM(F12:F650)</f>
        <v>1141831</v>
      </c>
      <c r="I10" s="23">
        <f>SUM(I12:I311)</f>
        <v>258051</v>
      </c>
    </row>
    <row r="11" spans="2:9" ht="15.75" thickBot="1" x14ac:dyDescent="0.3">
      <c r="B11" s="13"/>
      <c r="C11" s="19" t="s">
        <v>8</v>
      </c>
      <c r="D11" s="42" t="s">
        <v>9</v>
      </c>
      <c r="E11" s="43" t="s">
        <v>10</v>
      </c>
      <c r="F11" s="43" t="s">
        <v>53</v>
      </c>
      <c r="G11" s="43" t="s">
        <v>11</v>
      </c>
      <c r="H11" s="44" t="s">
        <v>43</v>
      </c>
      <c r="I11" s="44" t="s">
        <v>33</v>
      </c>
    </row>
    <row r="12" spans="2:9" x14ac:dyDescent="0.25">
      <c r="B12" s="14">
        <v>1</v>
      </c>
      <c r="C12" s="14" t="str">
        <f>Idoles!C2</f>
        <v>Pého Magistrale</v>
      </c>
      <c r="D12" s="10">
        <f>Idoles!E11</f>
        <v>1141831</v>
      </c>
      <c r="E12" s="11">
        <v>1399882</v>
      </c>
      <c r="F12" s="11">
        <f>B12*D12</f>
        <v>1141831</v>
      </c>
      <c r="G12" s="11">
        <f>E12-D12</f>
        <v>258051</v>
      </c>
      <c r="H12" s="34">
        <f t="shared" ref="H12" si="0">(E12/D12*100)-100</f>
        <v>22.599754254351126</v>
      </c>
      <c r="I12" s="12">
        <f t="shared" ref="I12" si="1">G12*B12</f>
        <v>258051</v>
      </c>
    </row>
    <row r="13" spans="2:9" x14ac:dyDescent="0.25">
      <c r="B13" s="15"/>
      <c r="C13" s="15"/>
      <c r="D13" s="5"/>
      <c r="E13" s="2"/>
      <c r="F13" s="2"/>
      <c r="G13" s="2"/>
      <c r="H13" s="33"/>
      <c r="I13" s="3"/>
    </row>
    <row r="14" spans="2:9" ht="15.75" thickBot="1" x14ac:dyDescent="0.3">
      <c r="B14" s="17"/>
      <c r="C14" s="17"/>
      <c r="D14" s="6"/>
      <c r="E14" s="7"/>
      <c r="F14" s="7"/>
      <c r="G14" s="7"/>
      <c r="H14" s="35"/>
      <c r="I14" s="4"/>
    </row>
  </sheetData>
  <mergeCells count="1">
    <mergeCell ref="B8:I8"/>
  </mergeCells>
  <conditionalFormatting sqref="G10 G12:G1048576">
    <cfRule type="cellIs" dxfId="24" priority="7" operator="lessThan">
      <formula>0</formula>
    </cfRule>
  </conditionalFormatting>
  <conditionalFormatting sqref="H10 H12:H1048576">
    <cfRule type="cellIs" dxfId="23" priority="6" operator="greaterThan">
      <formula>40</formula>
    </cfRule>
  </conditionalFormatting>
  <conditionalFormatting sqref="G10 G12:G1048576">
    <cfRule type="cellIs" dxfId="22" priority="5" operator="greaterThan">
      <formula>500000</formula>
    </cfRule>
  </conditionalFormatting>
  <conditionalFormatting sqref="G1:G6 G10:G1048576">
    <cfRule type="cellIs" dxfId="21" priority="4" operator="between">
      <formula>300000</formula>
      <formula>499999</formula>
    </cfRule>
  </conditionalFormatting>
  <conditionalFormatting sqref="H1:H6 H10:H1048576">
    <cfRule type="cellIs" dxfId="20" priority="3" operator="between">
      <formula>20</formula>
      <formula>39.99</formula>
    </cfRule>
  </conditionalFormatting>
  <conditionalFormatting sqref="G7 G9">
    <cfRule type="cellIs" dxfId="19" priority="2" operator="between">
      <formula>300000</formula>
      <formula>499999</formula>
    </cfRule>
  </conditionalFormatting>
  <conditionalFormatting sqref="H7 H9">
    <cfRule type="cellIs" dxfId="18" priority="1" operator="between">
      <formula>20</formula>
      <formula>39.99</formula>
    </cfRule>
  </conditionalFormatting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5"/>
  <sheetViews>
    <sheetView zoomScaleNormal="100" workbookViewId="0">
      <selection activeCell="H28" sqref="H28"/>
    </sheetView>
  </sheetViews>
  <sheetFormatPr baseColWidth="10" defaultRowHeight="15" x14ac:dyDescent="0.25"/>
  <cols>
    <col min="2" max="2" width="7.140625" customWidth="1"/>
    <col min="3" max="3" width="16.28515625" style="1" customWidth="1"/>
    <col min="4" max="4" width="26.140625" style="1" customWidth="1"/>
    <col min="5" max="5" width="11.42578125" style="1"/>
    <col min="6" max="6" width="11.42578125" style="1" customWidth="1"/>
    <col min="7" max="7" width="5" customWidth="1"/>
    <col min="8" max="8" width="17.5703125" customWidth="1"/>
  </cols>
  <sheetData>
    <row r="1" spans="2:11" s="1" customFormat="1" ht="15.75" thickBot="1" x14ac:dyDescent="0.3"/>
    <row r="2" spans="2:11" s="1" customFormat="1" x14ac:dyDescent="0.25">
      <c r="C2" s="24" t="s">
        <v>54</v>
      </c>
      <c r="D2" s="12"/>
    </row>
    <row r="3" spans="2:11" s="1" customFormat="1" ht="15.75" thickBot="1" x14ac:dyDescent="0.3">
      <c r="C3" s="25" t="s">
        <v>55</v>
      </c>
      <c r="D3" s="4"/>
    </row>
    <row r="4" spans="2:11" s="1" customFormat="1" x14ac:dyDescent="0.25">
      <c r="C4" s="26" t="s">
        <v>56</v>
      </c>
      <c r="D4" s="27">
        <f>D2-D3</f>
        <v>0</v>
      </c>
    </row>
    <row r="5" spans="2:11" s="1" customFormat="1" x14ac:dyDescent="0.25">
      <c r="C5" s="28" t="s">
        <v>58</v>
      </c>
      <c r="D5" s="29">
        <f>D4-I8</f>
        <v>-7162322</v>
      </c>
    </row>
    <row r="6" spans="2:11" s="1" customFormat="1" ht="15.75" thickBot="1" x14ac:dyDescent="0.3">
      <c r="C6" s="25" t="s">
        <v>57</v>
      </c>
      <c r="D6" s="30">
        <f>K8-D5</f>
        <v>10849998</v>
      </c>
    </row>
    <row r="7" spans="2:11" s="1" customFormat="1" x14ac:dyDescent="0.25">
      <c r="C7" s="39"/>
      <c r="D7" s="40"/>
    </row>
    <row r="8" spans="2:11" ht="15.75" thickBot="1" x14ac:dyDescent="0.3">
      <c r="I8">
        <f>I10*G10+I11-G11</f>
        <v>7162322</v>
      </c>
      <c r="K8">
        <f>K10*G10+K11-G11</f>
        <v>3687676</v>
      </c>
    </row>
    <row r="9" spans="2:11" ht="15.75" thickBot="1" x14ac:dyDescent="0.3">
      <c r="B9" s="8">
        <v>0</v>
      </c>
      <c r="C9" s="134" t="s">
        <v>91</v>
      </c>
      <c r="D9" s="134"/>
      <c r="E9" s="139"/>
      <c r="F9" s="48"/>
      <c r="H9" t="s">
        <v>8</v>
      </c>
      <c r="I9" t="s">
        <v>9</v>
      </c>
      <c r="J9" t="s">
        <v>96</v>
      </c>
      <c r="K9" t="s">
        <v>57</v>
      </c>
    </row>
    <row r="10" spans="2:11" x14ac:dyDescent="0.25">
      <c r="B10" s="10">
        <f>C10*B9</f>
        <v>0</v>
      </c>
      <c r="C10" s="11">
        <v>2</v>
      </c>
      <c r="D10" s="11" t="str">
        <f t="shared" ref="D10:D11" si="0">D32</f>
        <v>Galet brasillant</v>
      </c>
      <c r="E10" s="12">
        <f>C10*E32</f>
        <v>828000</v>
      </c>
      <c r="F10" s="47"/>
      <c r="G10">
        <v>1</v>
      </c>
      <c r="H10" t="str">
        <f>C9</f>
        <v>Bouclier taverne</v>
      </c>
      <c r="I10">
        <f>E18</f>
        <v>960529</v>
      </c>
      <c r="J10">
        <v>1500000</v>
      </c>
      <c r="K10">
        <f>J10-I10</f>
        <v>539471</v>
      </c>
    </row>
    <row r="11" spans="2:11" x14ac:dyDescent="0.25">
      <c r="B11" s="5">
        <f>C11*B9</f>
        <v>0</v>
      </c>
      <c r="C11" s="2">
        <v>7</v>
      </c>
      <c r="D11" s="2" t="str">
        <f t="shared" si="0"/>
        <v>Kobalite</v>
      </c>
      <c r="E11" s="3">
        <f>C11*E33</f>
        <v>38430</v>
      </c>
      <c r="F11" s="47"/>
      <c r="G11">
        <v>1</v>
      </c>
      <c r="H11" t="str">
        <f>C20</f>
        <v>Quatre-feuilles</v>
      </c>
      <c r="I11">
        <f>E29</f>
        <v>6201794</v>
      </c>
      <c r="J11">
        <v>9350000</v>
      </c>
      <c r="K11">
        <f>J11-I11</f>
        <v>3148206</v>
      </c>
    </row>
    <row r="12" spans="2:11" x14ac:dyDescent="0.25">
      <c r="B12" s="5">
        <f>C12*B9</f>
        <v>0</v>
      </c>
      <c r="C12" s="2">
        <v>3</v>
      </c>
      <c r="D12" s="2" t="str">
        <f>D35</f>
        <v>Substrat de forêt</v>
      </c>
      <c r="E12" s="3">
        <f>C12*E35</f>
        <v>18000</v>
      </c>
      <c r="F12" s="47"/>
    </row>
    <row r="13" spans="2:11" x14ac:dyDescent="0.25">
      <c r="B13" s="5">
        <f>C13*B9</f>
        <v>0</v>
      </c>
      <c r="C13" s="2">
        <v>1</v>
      </c>
      <c r="D13" s="2" t="str">
        <f>D37</f>
        <v>Essence de ben le ripate</v>
      </c>
      <c r="E13" s="3">
        <f>C13*E37</f>
        <v>24899</v>
      </c>
      <c r="F13" s="47"/>
    </row>
    <row r="14" spans="2:11" x14ac:dyDescent="0.25">
      <c r="B14" s="5">
        <f>C14*B9</f>
        <v>0</v>
      </c>
      <c r="C14" s="2">
        <v>4</v>
      </c>
      <c r="D14" s="2" t="str">
        <f>D39</f>
        <v>Bouée de Fantomalamère</v>
      </c>
      <c r="E14" s="3">
        <f>C14*E39</f>
        <v>16800</v>
      </c>
      <c r="F14" s="47"/>
    </row>
    <row r="15" spans="2:11" x14ac:dyDescent="0.25">
      <c r="B15" s="5">
        <f>C15*B9</f>
        <v>0</v>
      </c>
      <c r="C15" s="2">
        <v>38</v>
      </c>
      <c r="D15" s="2" t="str">
        <f>D40</f>
        <v>Défense de gliglicérin</v>
      </c>
      <c r="E15" s="3">
        <f>C15*E40</f>
        <v>3800</v>
      </c>
      <c r="F15" s="47"/>
    </row>
    <row r="16" spans="2:11" x14ac:dyDescent="0.25">
      <c r="B16" s="5">
        <f>C16*B9</f>
        <v>0</v>
      </c>
      <c r="C16" s="2">
        <v>34</v>
      </c>
      <c r="D16" s="2" t="str">
        <f>D41</f>
        <v>oreille de kaniblou</v>
      </c>
      <c r="E16" s="3">
        <f>C16*E41</f>
        <v>30600</v>
      </c>
      <c r="F16" s="47"/>
    </row>
    <row r="17" spans="2:6" ht="15.75" thickBot="1" x14ac:dyDescent="0.3">
      <c r="B17" s="6"/>
      <c r="C17" s="7"/>
      <c r="D17" s="7"/>
      <c r="E17" s="3">
        <f>C17*E42</f>
        <v>0</v>
      </c>
      <c r="F17" s="47"/>
    </row>
    <row r="18" spans="2:6" ht="15.75" thickBot="1" x14ac:dyDescent="0.3">
      <c r="B18" s="1"/>
      <c r="E18" s="9">
        <f>SUM(E10:E16)</f>
        <v>960529</v>
      </c>
      <c r="F18" s="49"/>
    </row>
    <row r="19" spans="2:6" ht="15.75" thickBot="1" x14ac:dyDescent="0.3">
      <c r="B19" s="1"/>
      <c r="E19" s="50"/>
      <c r="F19" s="49"/>
    </row>
    <row r="20" spans="2:6" ht="15.75" thickBot="1" x14ac:dyDescent="0.3">
      <c r="B20" s="8">
        <f>G11</f>
        <v>1</v>
      </c>
      <c r="C20" s="134" t="s">
        <v>97</v>
      </c>
      <c r="D20" s="134"/>
      <c r="E20" s="139"/>
      <c r="F20" s="48"/>
    </row>
    <row r="21" spans="2:6" x14ac:dyDescent="0.25">
      <c r="B21" s="10">
        <f>C21*B20</f>
        <v>3</v>
      </c>
      <c r="C21" s="11">
        <v>3</v>
      </c>
      <c r="D21" s="11" t="str">
        <f>D32</f>
        <v>Galet brasillant</v>
      </c>
      <c r="E21" s="12">
        <f>C21*E32</f>
        <v>1242000</v>
      </c>
      <c r="F21" s="47"/>
    </row>
    <row r="22" spans="2:6" x14ac:dyDescent="0.25">
      <c r="B22" s="5">
        <f>C22*B20</f>
        <v>8</v>
      </c>
      <c r="C22" s="2">
        <v>8</v>
      </c>
      <c r="D22" s="2" t="str">
        <f>D34</f>
        <v>Pyrute</v>
      </c>
      <c r="E22" s="3">
        <f>C22*E34</f>
        <v>615176</v>
      </c>
      <c r="F22" s="47"/>
    </row>
    <row r="23" spans="2:6" x14ac:dyDescent="0.25">
      <c r="B23" s="5">
        <f>C23*B20</f>
        <v>4</v>
      </c>
      <c r="C23" s="2">
        <v>4</v>
      </c>
      <c r="D23" s="2" t="str">
        <f>D36</f>
        <v>Substrat de forêt vierge</v>
      </c>
      <c r="E23" s="3">
        <f>C23*E36</f>
        <v>136000</v>
      </c>
      <c r="F23" s="47"/>
    </row>
    <row r="24" spans="2:6" x14ac:dyDescent="0.25">
      <c r="B24" s="5">
        <f>C24*B20</f>
        <v>1</v>
      </c>
      <c r="C24" s="2">
        <v>1</v>
      </c>
      <c r="D24" s="2" t="str">
        <f>D38</f>
        <v>Essence de missiz frizz</v>
      </c>
      <c r="E24" s="3">
        <f>E38</f>
        <v>349996</v>
      </c>
      <c r="F24" s="47"/>
    </row>
    <row r="25" spans="2:6" x14ac:dyDescent="0.25">
      <c r="B25" s="5">
        <f>C25*B20</f>
        <v>5</v>
      </c>
      <c r="C25" s="2">
        <v>5</v>
      </c>
      <c r="D25" s="2" t="str">
        <f>D42</f>
        <v>étoffe de fantôme pandore</v>
      </c>
      <c r="E25" s="3">
        <f>C25*E42</f>
        <v>2649970</v>
      </c>
      <c r="F25" s="47"/>
    </row>
    <row r="26" spans="2:6" x14ac:dyDescent="0.25">
      <c r="B26" s="5">
        <f>C26*B20</f>
        <v>5</v>
      </c>
      <c r="C26" s="2">
        <v>5</v>
      </c>
      <c r="D26" s="2" t="str">
        <f>D43</f>
        <v>Pédoncule de fongeur</v>
      </c>
      <c r="E26" s="3">
        <f>C26*E43</f>
        <v>8995</v>
      </c>
      <c r="F26" s="47"/>
    </row>
    <row r="27" spans="2:6" x14ac:dyDescent="0.25">
      <c r="B27" s="5">
        <f>C27*B20</f>
        <v>43</v>
      </c>
      <c r="C27" s="2">
        <v>43</v>
      </c>
      <c r="D27" s="2" t="str">
        <f>D44</f>
        <v>Stapes de Frimar</v>
      </c>
      <c r="E27" s="3">
        <f>C27*E44</f>
        <v>1199657</v>
      </c>
      <c r="F27" s="47"/>
    </row>
    <row r="28" spans="2:6" ht="15.75" thickBot="1" x14ac:dyDescent="0.3">
      <c r="B28" s="6">
        <f>C28*B20</f>
        <v>46</v>
      </c>
      <c r="C28" s="7">
        <v>46</v>
      </c>
      <c r="D28" s="7" t="str">
        <f>D45</f>
        <v>Cuir de glouragan</v>
      </c>
      <c r="E28" s="3">
        <f>C28*E45</f>
        <v>413678</v>
      </c>
      <c r="F28" s="47"/>
    </row>
    <row r="29" spans="2:6" ht="15.75" thickBot="1" x14ac:dyDescent="0.3">
      <c r="B29" s="1"/>
      <c r="E29" s="9">
        <f>SUM(E21:E27)</f>
        <v>6201794</v>
      </c>
      <c r="F29" s="49"/>
    </row>
    <row r="31" spans="2:6" ht="15.75" thickBot="1" x14ac:dyDescent="0.3"/>
    <row r="32" spans="2:6" x14ac:dyDescent="0.25">
      <c r="C32" s="10">
        <f>B10+B21</f>
        <v>3</v>
      </c>
      <c r="D32" s="11" t="s">
        <v>2</v>
      </c>
      <c r="E32" s="12">
        <v>414000</v>
      </c>
      <c r="F32" s="47"/>
    </row>
    <row r="33" spans="3:6" x14ac:dyDescent="0.25">
      <c r="C33" s="5">
        <f t="shared" ref="C33" si="1">B11</f>
        <v>0</v>
      </c>
      <c r="D33" s="2" t="s">
        <v>72</v>
      </c>
      <c r="E33" s="3">
        <v>5490</v>
      </c>
      <c r="F33" s="47"/>
    </row>
    <row r="34" spans="3:6" x14ac:dyDescent="0.25">
      <c r="C34" s="5">
        <f>B22</f>
        <v>8</v>
      </c>
      <c r="D34" s="2" t="s">
        <v>19</v>
      </c>
      <c r="E34" s="3">
        <v>76897</v>
      </c>
      <c r="F34" s="47"/>
    </row>
    <row r="35" spans="3:6" x14ac:dyDescent="0.25">
      <c r="C35" s="5">
        <f>B12</f>
        <v>0</v>
      </c>
      <c r="D35" s="2" t="s">
        <v>1</v>
      </c>
      <c r="E35" s="3">
        <f>Ressources!D14</f>
        <v>6000</v>
      </c>
      <c r="F35" s="47"/>
    </row>
    <row r="36" spans="3:6" x14ac:dyDescent="0.25">
      <c r="C36" s="5">
        <f>B23</f>
        <v>4</v>
      </c>
      <c r="D36" s="2" t="s">
        <v>98</v>
      </c>
      <c r="E36" s="3">
        <v>34000</v>
      </c>
      <c r="F36" s="47"/>
    </row>
    <row r="37" spans="3:6" x14ac:dyDescent="0.25">
      <c r="C37" s="5">
        <f>B13</f>
        <v>0</v>
      </c>
      <c r="D37" s="2" t="s">
        <v>92</v>
      </c>
      <c r="E37" s="3">
        <v>24899</v>
      </c>
      <c r="F37" s="47"/>
    </row>
    <row r="38" spans="3:6" x14ac:dyDescent="0.25">
      <c r="C38" s="5">
        <f>B24</f>
        <v>1</v>
      </c>
      <c r="D38" s="2" t="s">
        <v>99</v>
      </c>
      <c r="E38" s="3">
        <v>349996</v>
      </c>
      <c r="F38" s="47"/>
    </row>
    <row r="39" spans="3:6" x14ac:dyDescent="0.25">
      <c r="C39" s="5">
        <f>B14</f>
        <v>0</v>
      </c>
      <c r="D39" s="2" t="s">
        <v>93</v>
      </c>
      <c r="E39" s="3">
        <v>4200</v>
      </c>
      <c r="F39" s="47"/>
    </row>
    <row r="40" spans="3:6" x14ac:dyDescent="0.25">
      <c r="C40" s="5">
        <f>B15</f>
        <v>0</v>
      </c>
      <c r="D40" s="2" t="s">
        <v>94</v>
      </c>
      <c r="E40" s="3">
        <v>100</v>
      </c>
      <c r="F40" s="47"/>
    </row>
    <row r="41" spans="3:6" x14ac:dyDescent="0.25">
      <c r="C41" s="5">
        <f>B16</f>
        <v>0</v>
      </c>
      <c r="D41" s="2" t="s">
        <v>95</v>
      </c>
      <c r="E41" s="3">
        <v>900</v>
      </c>
      <c r="F41" s="47"/>
    </row>
    <row r="42" spans="3:6" x14ac:dyDescent="0.25">
      <c r="C42" s="5">
        <f>B25</f>
        <v>5</v>
      </c>
      <c r="D42" s="2" t="s">
        <v>100</v>
      </c>
      <c r="E42" s="3">
        <v>529994</v>
      </c>
    </row>
    <row r="43" spans="3:6" x14ac:dyDescent="0.25">
      <c r="C43" s="5">
        <f>B26</f>
        <v>5</v>
      </c>
      <c r="D43" s="2" t="s">
        <v>101</v>
      </c>
      <c r="E43" s="3">
        <v>1799</v>
      </c>
    </row>
    <row r="44" spans="3:6" x14ac:dyDescent="0.25">
      <c r="C44" s="5">
        <f>B27</f>
        <v>43</v>
      </c>
      <c r="D44" s="2" t="s">
        <v>102</v>
      </c>
      <c r="E44" s="3">
        <v>27899</v>
      </c>
    </row>
    <row r="45" spans="3:6" ht="15.75" thickBot="1" x14ac:dyDescent="0.3">
      <c r="C45" s="6">
        <f>B28</f>
        <v>46</v>
      </c>
      <c r="D45" s="7" t="s">
        <v>103</v>
      </c>
      <c r="E45" s="4">
        <v>8993</v>
      </c>
    </row>
  </sheetData>
  <mergeCells count="2">
    <mergeCell ref="C9:E9"/>
    <mergeCell ref="C20:E20"/>
  </mergeCells>
  <conditionalFormatting sqref="G1:G7">
    <cfRule type="cellIs" dxfId="17" priority="3" operator="between">
      <formula>300000</formula>
      <formula>499999</formula>
    </cfRule>
  </conditionalFormatting>
  <conditionalFormatting sqref="H1:H7">
    <cfRule type="cellIs" dxfId="16" priority="2" operator="between">
      <formula>20</formula>
      <formula>39.99</formula>
    </cfRule>
  </conditionalFormatting>
  <conditionalFormatting sqref="C32:C45">
    <cfRule type="cellIs" dxfId="15" priority="1" operator="equal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39"/>
  <sheetViews>
    <sheetView workbookViewId="0">
      <selection activeCell="K6" sqref="K6"/>
    </sheetView>
  </sheetViews>
  <sheetFormatPr baseColWidth="10" defaultRowHeight="15" x14ac:dyDescent="0.25"/>
  <cols>
    <col min="2" max="2" width="16.140625" customWidth="1"/>
    <col min="3" max="3" width="11.42578125" style="1"/>
    <col min="6" max="6" width="12.85546875" customWidth="1"/>
  </cols>
  <sheetData>
    <row r="1" spans="2:16" ht="15.75" thickBot="1" x14ac:dyDescent="0.3">
      <c r="E1" s="97" t="s">
        <v>206</v>
      </c>
      <c r="F1" s="98">
        <v>56195</v>
      </c>
    </row>
    <row r="2" spans="2:16" ht="15.75" thickBot="1" x14ac:dyDescent="0.3">
      <c r="B2" s="78" t="s">
        <v>8</v>
      </c>
      <c r="C2" s="79" t="s">
        <v>183</v>
      </c>
    </row>
    <row r="3" spans="2:16" ht="15.75" thickBot="1" x14ac:dyDescent="0.3">
      <c r="E3" s="8"/>
      <c r="F3" s="87" t="s">
        <v>178</v>
      </c>
      <c r="G3" s="88" t="s">
        <v>179</v>
      </c>
      <c r="H3" s="89" t="s">
        <v>180</v>
      </c>
      <c r="I3" s="87" t="s">
        <v>181</v>
      </c>
      <c r="J3" s="89" t="s">
        <v>182</v>
      </c>
      <c r="K3" s="87" t="s">
        <v>176</v>
      </c>
      <c r="L3" s="89" t="s">
        <v>57</v>
      </c>
      <c r="M3" s="99"/>
      <c r="N3" s="90" t="s">
        <v>177</v>
      </c>
      <c r="O3" s="99"/>
      <c r="P3" s="89" t="s">
        <v>57</v>
      </c>
    </row>
    <row r="4" spans="2:16" ht="15.75" thickBot="1" x14ac:dyDescent="0.3">
      <c r="B4" s="94" t="s">
        <v>133</v>
      </c>
      <c r="C4" s="12">
        <f>Raw!D2</f>
        <v>8094</v>
      </c>
      <c r="E4" s="75" t="s">
        <v>164</v>
      </c>
      <c r="F4" s="71">
        <f>C4</f>
        <v>8094</v>
      </c>
      <c r="G4" s="72">
        <f>F4*3</f>
        <v>24282</v>
      </c>
      <c r="H4" s="72">
        <f>G4*3</f>
        <v>72846</v>
      </c>
      <c r="I4" s="93">
        <f t="shared" ref="I4:I12" si="0">C18</f>
        <v>31447</v>
      </c>
      <c r="J4" s="101">
        <f>C32</f>
        <v>82991</v>
      </c>
      <c r="K4" s="20">
        <f>I4-G4-(I4*0.01)</f>
        <v>6850.53</v>
      </c>
      <c r="L4" s="103">
        <f t="shared" ref="L4:L14" si="1">1-(G4/I4)</f>
        <v>0.22784367348236712</v>
      </c>
      <c r="M4" s="105">
        <f>K4/G4</f>
        <v>0.28212379540400295</v>
      </c>
      <c r="N4" s="20">
        <f>J4-H4-(J4*0.01)</f>
        <v>9315.09</v>
      </c>
      <c r="O4" s="103">
        <f>N4/H4</f>
        <v>0.12787373362984927</v>
      </c>
      <c r="P4" s="69">
        <f>1-(H4/J4)</f>
        <v>0.12224217083780164</v>
      </c>
    </row>
    <row r="5" spans="2:16" ht="15.75" thickBot="1" x14ac:dyDescent="0.3">
      <c r="B5" s="95" t="s">
        <v>132</v>
      </c>
      <c r="C5" s="3">
        <f>Raw!D4</f>
        <v>9199</v>
      </c>
      <c r="E5" s="76" t="s">
        <v>165</v>
      </c>
      <c r="F5" s="73">
        <f>C5</f>
        <v>9199</v>
      </c>
      <c r="G5" s="74">
        <f t="shared" ref="G5:H16" si="2">F5*3</f>
        <v>27597</v>
      </c>
      <c r="H5" s="74">
        <f t="shared" si="2"/>
        <v>82791</v>
      </c>
      <c r="I5" s="91">
        <f t="shared" si="0"/>
        <v>34465</v>
      </c>
      <c r="J5" s="102">
        <f t="shared" ref="J5:J11" si="3">C33</f>
        <v>94990</v>
      </c>
      <c r="K5" s="21">
        <f t="shared" ref="K5:K16" si="4">I5-G5-(I5*0.01)</f>
        <v>6523.35</v>
      </c>
      <c r="L5" s="104">
        <f t="shared" si="1"/>
        <v>0.19927462643261284</v>
      </c>
      <c r="M5" s="106">
        <f t="shared" ref="M5:M7" si="5">K5/G5</f>
        <v>0.23637895423415589</v>
      </c>
      <c r="N5" s="21">
        <f t="shared" ref="N5:N11" si="6">J5-H5-(J5*0.01)</f>
        <v>11249.1</v>
      </c>
      <c r="O5" s="103">
        <f t="shared" ref="O5:O11" si="7">N5/H5</f>
        <v>0.13587346450701163</v>
      </c>
      <c r="P5" s="70">
        <f t="shared" ref="P5:P11" si="8">1-(H5/J5)</f>
        <v>0.12842404463627755</v>
      </c>
    </row>
    <row r="6" spans="2:16" ht="15.75" thickBot="1" x14ac:dyDescent="0.3">
      <c r="B6" s="95" t="s">
        <v>134</v>
      </c>
      <c r="C6" s="3">
        <f>Raw!D6</f>
        <v>4681</v>
      </c>
      <c r="E6" s="76" t="s">
        <v>166</v>
      </c>
      <c r="F6" s="73">
        <f t="shared" ref="F6:F16" si="9">C6</f>
        <v>4681</v>
      </c>
      <c r="G6" s="74">
        <f t="shared" si="2"/>
        <v>14043</v>
      </c>
      <c r="H6" s="74">
        <f t="shared" si="2"/>
        <v>42129</v>
      </c>
      <c r="I6" s="91">
        <f t="shared" si="0"/>
        <v>18862</v>
      </c>
      <c r="J6" s="102">
        <f t="shared" si="3"/>
        <v>33199</v>
      </c>
      <c r="K6" s="21">
        <f t="shared" si="4"/>
        <v>4630.38</v>
      </c>
      <c r="L6" s="104">
        <f t="shared" si="1"/>
        <v>0.25548722298801829</v>
      </c>
      <c r="M6" s="106">
        <f t="shared" si="5"/>
        <v>0.32972869045075837</v>
      </c>
      <c r="N6" s="21">
        <f t="shared" si="6"/>
        <v>-9261.99</v>
      </c>
      <c r="O6" s="103">
        <f t="shared" si="7"/>
        <v>-0.2198483230079043</v>
      </c>
      <c r="P6" s="70">
        <f t="shared" si="8"/>
        <v>-0.26898400554233559</v>
      </c>
    </row>
    <row r="7" spans="2:16" ht="15.75" thickBot="1" x14ac:dyDescent="0.3">
      <c r="B7" s="95" t="s">
        <v>135</v>
      </c>
      <c r="C7" s="3">
        <f>Raw!D8</f>
        <v>5663</v>
      </c>
      <c r="E7" s="76" t="s">
        <v>167</v>
      </c>
      <c r="F7" s="73">
        <f t="shared" si="9"/>
        <v>5663</v>
      </c>
      <c r="G7" s="74">
        <f t="shared" si="2"/>
        <v>16989</v>
      </c>
      <c r="H7" s="74">
        <f t="shared" si="2"/>
        <v>50967</v>
      </c>
      <c r="I7" s="91">
        <f t="shared" si="0"/>
        <v>20848</v>
      </c>
      <c r="J7" s="102">
        <f t="shared" si="3"/>
        <v>59995</v>
      </c>
      <c r="K7" s="21">
        <f t="shared" si="4"/>
        <v>3650.52</v>
      </c>
      <c r="L7" s="104">
        <f t="shared" si="1"/>
        <v>0.18510168841135843</v>
      </c>
      <c r="M7" s="106">
        <f t="shared" si="5"/>
        <v>0.21487550768144092</v>
      </c>
      <c r="N7" s="21">
        <f t="shared" si="6"/>
        <v>8428.0499999999993</v>
      </c>
      <c r="O7" s="103">
        <f t="shared" si="7"/>
        <v>0.16536288186473599</v>
      </c>
      <c r="P7" s="70">
        <f t="shared" si="8"/>
        <v>0.15047920660055003</v>
      </c>
    </row>
    <row r="8" spans="2:16" ht="15.75" thickBot="1" x14ac:dyDescent="0.3">
      <c r="B8" s="95" t="s">
        <v>136</v>
      </c>
      <c r="C8" s="3">
        <f>Raw!D10</f>
        <v>11994</v>
      </c>
      <c r="E8" s="76" t="s">
        <v>168</v>
      </c>
      <c r="F8" s="73">
        <f t="shared" si="9"/>
        <v>11994</v>
      </c>
      <c r="G8" s="74">
        <f t="shared" si="2"/>
        <v>35982</v>
      </c>
      <c r="H8" s="74">
        <f t="shared" si="2"/>
        <v>107946</v>
      </c>
      <c r="I8" s="91">
        <f t="shared" si="0"/>
        <v>34497</v>
      </c>
      <c r="J8" s="102">
        <f t="shared" si="3"/>
        <v>143793</v>
      </c>
      <c r="K8" s="21">
        <f t="shared" si="4"/>
        <v>-1829.97</v>
      </c>
      <c r="L8" s="104">
        <f t="shared" si="1"/>
        <v>-4.3047221497521493E-2</v>
      </c>
      <c r="M8" s="106">
        <f>K8/G8</f>
        <v>-5.0857928964482241E-2</v>
      </c>
      <c r="N8" s="21">
        <f t="shared" si="6"/>
        <v>34409.07</v>
      </c>
      <c r="O8" s="103">
        <f t="shared" si="7"/>
        <v>0.31876188094047025</v>
      </c>
      <c r="P8" s="70">
        <f t="shared" si="8"/>
        <v>0.24929586280277904</v>
      </c>
    </row>
    <row r="9" spans="2:16" ht="15.75" thickBot="1" x14ac:dyDescent="0.3">
      <c r="B9" s="95" t="s">
        <v>137</v>
      </c>
      <c r="C9" s="3">
        <f>Raw!D12</f>
        <v>16547</v>
      </c>
      <c r="E9" s="76" t="s">
        <v>169</v>
      </c>
      <c r="F9" s="73">
        <f t="shared" si="9"/>
        <v>16547</v>
      </c>
      <c r="G9" s="74">
        <f t="shared" si="2"/>
        <v>49641</v>
      </c>
      <c r="H9" s="74">
        <f t="shared" si="2"/>
        <v>148923</v>
      </c>
      <c r="I9" s="91">
        <f t="shared" si="0"/>
        <v>52178</v>
      </c>
      <c r="J9" s="102">
        <f t="shared" si="3"/>
        <v>146880</v>
      </c>
      <c r="K9" s="21">
        <f t="shared" si="4"/>
        <v>2015.22</v>
      </c>
      <c r="L9" s="104">
        <f t="shared" si="1"/>
        <v>4.8622024608072412E-2</v>
      </c>
      <c r="M9" s="106">
        <f>K9/G9</f>
        <v>4.0595878406961987E-2</v>
      </c>
      <c r="N9" s="21">
        <f t="shared" si="6"/>
        <v>-3511.8</v>
      </c>
      <c r="O9" s="103">
        <f t="shared" si="7"/>
        <v>-2.3581313833323261E-2</v>
      </c>
      <c r="P9" s="70">
        <f t="shared" si="8"/>
        <v>-1.3909313725490202E-2</v>
      </c>
    </row>
    <row r="10" spans="2:16" ht="15.75" thickBot="1" x14ac:dyDescent="0.3">
      <c r="B10" s="95" t="s">
        <v>138</v>
      </c>
      <c r="C10" s="3">
        <f>Raw!D14</f>
        <v>15986</v>
      </c>
      <c r="E10" s="76" t="s">
        <v>170</v>
      </c>
      <c r="F10" s="73">
        <f t="shared" si="9"/>
        <v>15986</v>
      </c>
      <c r="G10" s="74">
        <f t="shared" si="2"/>
        <v>47958</v>
      </c>
      <c r="H10" s="74">
        <f t="shared" si="2"/>
        <v>143874</v>
      </c>
      <c r="I10" s="91">
        <f t="shared" si="0"/>
        <v>50572</v>
      </c>
      <c r="J10" s="102">
        <f t="shared" si="3"/>
        <v>106830</v>
      </c>
      <c r="K10" s="21">
        <f t="shared" si="4"/>
        <v>2108.2799999999997</v>
      </c>
      <c r="L10" s="104">
        <f t="shared" si="1"/>
        <v>5.1688681483824994E-2</v>
      </c>
      <c r="M10" s="106">
        <f t="shared" ref="M10:M16" si="10">K10/G10</f>
        <v>4.3960965845114469E-2</v>
      </c>
      <c r="N10" s="21">
        <f t="shared" si="6"/>
        <v>-38112.300000000003</v>
      </c>
      <c r="O10" s="103">
        <f t="shared" si="7"/>
        <v>-0.26490053797072438</v>
      </c>
      <c r="P10" s="70">
        <f t="shared" si="8"/>
        <v>-0.34675652906486931</v>
      </c>
    </row>
    <row r="11" spans="2:16" ht="15.75" thickBot="1" x14ac:dyDescent="0.3">
      <c r="B11" s="95" t="s">
        <v>139</v>
      </c>
      <c r="C11" s="3">
        <f>Raw!D16</f>
        <v>31500</v>
      </c>
      <c r="E11" s="76" t="s">
        <v>171</v>
      </c>
      <c r="F11" s="73">
        <f t="shared" si="9"/>
        <v>31500</v>
      </c>
      <c r="G11" s="74">
        <f t="shared" si="2"/>
        <v>94500</v>
      </c>
      <c r="H11" s="74">
        <f t="shared" si="2"/>
        <v>283500</v>
      </c>
      <c r="I11" s="91">
        <f t="shared" si="0"/>
        <v>94996</v>
      </c>
      <c r="J11" s="102">
        <f t="shared" si="3"/>
        <v>319939</v>
      </c>
      <c r="K11" s="21">
        <f t="shared" si="4"/>
        <v>-453.96000000000004</v>
      </c>
      <c r="L11" s="104">
        <f t="shared" si="1"/>
        <v>5.2212724746305561E-3</v>
      </c>
      <c r="M11" s="106">
        <f t="shared" si="10"/>
        <v>-4.8038095238095244E-3</v>
      </c>
      <c r="N11" s="22">
        <f t="shared" si="6"/>
        <v>33239.61</v>
      </c>
      <c r="O11" s="103">
        <f t="shared" si="7"/>
        <v>0.11724730158730159</v>
      </c>
      <c r="P11" s="70">
        <f t="shared" si="8"/>
        <v>0.11389358596482457</v>
      </c>
    </row>
    <row r="12" spans="2:16" x14ac:dyDescent="0.25">
      <c r="B12" s="95" t="s">
        <v>201</v>
      </c>
      <c r="C12" s="3">
        <f>Raw!D18</f>
        <v>57949</v>
      </c>
      <c r="E12" s="76" t="s">
        <v>199</v>
      </c>
      <c r="F12" s="73">
        <f>C12</f>
        <v>57949</v>
      </c>
      <c r="G12" s="74">
        <f t="shared" si="2"/>
        <v>173847</v>
      </c>
      <c r="H12" s="74"/>
      <c r="I12" s="91">
        <f t="shared" si="0"/>
        <v>128928</v>
      </c>
      <c r="J12" s="102"/>
      <c r="K12" s="21">
        <f t="shared" si="4"/>
        <v>-46208.28</v>
      </c>
      <c r="L12" s="104">
        <f t="shared" si="1"/>
        <v>-0.34840376023827258</v>
      </c>
      <c r="M12" s="92">
        <f t="shared" si="10"/>
        <v>-0.26579854699822258</v>
      </c>
      <c r="N12" s="18"/>
      <c r="O12" s="100"/>
      <c r="P12" s="70"/>
    </row>
    <row r="13" spans="2:16" x14ac:dyDescent="0.25">
      <c r="B13" s="95" t="s">
        <v>140</v>
      </c>
      <c r="C13" s="3">
        <f>Raw!D20</f>
        <v>118590</v>
      </c>
      <c r="E13" s="76" t="s">
        <v>172</v>
      </c>
      <c r="F13" s="73">
        <f t="shared" si="9"/>
        <v>118590</v>
      </c>
      <c r="G13" s="74">
        <f t="shared" si="2"/>
        <v>355770</v>
      </c>
      <c r="H13" s="74"/>
      <c r="I13" s="91">
        <f t="shared" ref="I13:I16" si="11">C27</f>
        <v>319786</v>
      </c>
      <c r="J13" s="102"/>
      <c r="K13" s="21">
        <f t="shared" si="4"/>
        <v>-39181.86</v>
      </c>
      <c r="L13" s="104">
        <f t="shared" si="1"/>
        <v>-0.11252525126178137</v>
      </c>
      <c r="M13" s="92">
        <f t="shared" si="10"/>
        <v>-0.11013255755122692</v>
      </c>
      <c r="N13" s="2"/>
      <c r="O13" s="100"/>
      <c r="P13" s="3"/>
    </row>
    <row r="14" spans="2:16" x14ac:dyDescent="0.25">
      <c r="B14" s="95" t="s">
        <v>141</v>
      </c>
      <c r="C14" s="3">
        <f>Raw!D22</f>
        <v>129990</v>
      </c>
      <c r="E14" s="76" t="s">
        <v>173</v>
      </c>
      <c r="F14" s="73">
        <f t="shared" si="9"/>
        <v>129990</v>
      </c>
      <c r="G14" s="74">
        <f t="shared" si="2"/>
        <v>389970</v>
      </c>
      <c r="H14" s="74"/>
      <c r="I14" s="91">
        <f t="shared" si="11"/>
        <v>397000</v>
      </c>
      <c r="J14" s="102"/>
      <c r="K14" s="21">
        <f t="shared" si="4"/>
        <v>3060</v>
      </c>
      <c r="L14" s="104">
        <f t="shared" si="1"/>
        <v>1.7707808564231708E-2</v>
      </c>
      <c r="M14" s="92">
        <f t="shared" si="10"/>
        <v>7.8467574428802214E-3</v>
      </c>
      <c r="N14" s="2"/>
      <c r="O14" s="100"/>
      <c r="P14" s="3"/>
    </row>
    <row r="15" spans="2:16" x14ac:dyDescent="0.25">
      <c r="B15" s="95" t="s">
        <v>142</v>
      </c>
      <c r="C15" s="3">
        <f>Raw!D24</f>
        <v>93991</v>
      </c>
      <c r="E15" s="76" t="s">
        <v>174</v>
      </c>
      <c r="F15" s="73">
        <f t="shared" si="9"/>
        <v>93991</v>
      </c>
      <c r="G15" s="74">
        <f t="shared" si="2"/>
        <v>281973</v>
      </c>
      <c r="H15" s="74"/>
      <c r="I15" s="91">
        <f t="shared" si="11"/>
        <v>275997</v>
      </c>
      <c r="J15" s="102"/>
      <c r="K15" s="21">
        <f t="shared" si="4"/>
        <v>-8735.9700000000012</v>
      </c>
      <c r="L15" s="104">
        <f>1-(G15/I15)</f>
        <v>-2.1652409265318084E-2</v>
      </c>
      <c r="M15" s="92">
        <f t="shared" si="10"/>
        <v>-3.0981583343086046E-2</v>
      </c>
      <c r="N15" s="2"/>
      <c r="O15" s="100"/>
      <c r="P15" s="3"/>
    </row>
    <row r="16" spans="2:16" ht="15.75" thickBot="1" x14ac:dyDescent="0.3">
      <c r="B16" s="96" t="s">
        <v>143</v>
      </c>
      <c r="C16" s="4">
        <f>Raw!D26</f>
        <v>72847</v>
      </c>
      <c r="E16" s="76" t="s">
        <v>175</v>
      </c>
      <c r="F16" s="73">
        <f t="shared" si="9"/>
        <v>72847</v>
      </c>
      <c r="G16" s="74">
        <f t="shared" si="2"/>
        <v>218541</v>
      </c>
      <c r="H16" s="74"/>
      <c r="I16" s="91">
        <f t="shared" si="11"/>
        <v>188988</v>
      </c>
      <c r="J16" s="102"/>
      <c r="K16" s="22">
        <f t="shared" si="4"/>
        <v>-31442.880000000001</v>
      </c>
      <c r="L16" s="104">
        <f>1-(G16/I16)</f>
        <v>-0.15637500793701187</v>
      </c>
      <c r="M16" s="92">
        <f t="shared" si="10"/>
        <v>-0.14387634356939888</v>
      </c>
      <c r="N16" s="2"/>
      <c r="O16" s="100"/>
      <c r="P16" s="3"/>
    </row>
    <row r="17" spans="2:6" ht="15.75" thickBot="1" x14ac:dyDescent="0.3">
      <c r="B17" s="68"/>
    </row>
    <row r="18" spans="2:6" x14ac:dyDescent="0.25">
      <c r="B18" s="75" t="s">
        <v>144</v>
      </c>
      <c r="C18" s="20">
        <f>Raw!D28</f>
        <v>31447</v>
      </c>
    </row>
    <row r="19" spans="2:6" x14ac:dyDescent="0.25">
      <c r="B19" s="76" t="s">
        <v>145</v>
      </c>
      <c r="C19" s="21">
        <f>Raw!D30</f>
        <v>34465</v>
      </c>
    </row>
    <row r="20" spans="2:6" x14ac:dyDescent="0.25">
      <c r="B20" s="76" t="s">
        <v>146</v>
      </c>
      <c r="C20" s="21">
        <f>Raw!D32</f>
        <v>18862</v>
      </c>
    </row>
    <row r="21" spans="2:6" x14ac:dyDescent="0.25">
      <c r="B21" s="76" t="s">
        <v>147</v>
      </c>
      <c r="C21" s="21">
        <f>Raw!D34</f>
        <v>20848</v>
      </c>
    </row>
    <row r="22" spans="2:6" x14ac:dyDescent="0.25">
      <c r="B22" s="76" t="s">
        <v>148</v>
      </c>
      <c r="C22" s="21">
        <f>Raw!D36</f>
        <v>34497</v>
      </c>
      <c r="E22" t="s">
        <v>797</v>
      </c>
      <c r="F22">
        <v>2771974</v>
      </c>
    </row>
    <row r="23" spans="2:6" x14ac:dyDescent="0.25">
      <c r="B23" s="76" t="s">
        <v>149</v>
      </c>
      <c r="C23" s="21">
        <f>Raw!D38</f>
        <v>52178</v>
      </c>
      <c r="E23" t="s">
        <v>10</v>
      </c>
      <c r="F23">
        <v>0</v>
      </c>
    </row>
    <row r="24" spans="2:6" x14ac:dyDescent="0.25">
      <c r="B24" s="76" t="s">
        <v>150</v>
      </c>
      <c r="C24" s="21">
        <f>Raw!D40</f>
        <v>50572</v>
      </c>
      <c r="F24">
        <f>SUM(F22:F23)</f>
        <v>2771974</v>
      </c>
    </row>
    <row r="25" spans="2:6" x14ac:dyDescent="0.25">
      <c r="B25" s="76" t="s">
        <v>151</v>
      </c>
      <c r="C25" s="21">
        <f>Raw!D42</f>
        <v>94996</v>
      </c>
      <c r="E25" t="s">
        <v>797</v>
      </c>
      <c r="F25">
        <v>1530592</v>
      </c>
    </row>
    <row r="26" spans="2:6" x14ac:dyDescent="0.25">
      <c r="B26" s="76" t="s">
        <v>198</v>
      </c>
      <c r="C26" s="21">
        <f>Raw!D44</f>
        <v>128928</v>
      </c>
      <c r="E26" t="s">
        <v>10</v>
      </c>
      <c r="F26">
        <f>634314+828788</f>
        <v>1463102</v>
      </c>
    </row>
    <row r="27" spans="2:6" x14ac:dyDescent="0.25">
      <c r="B27" s="76" t="s">
        <v>152</v>
      </c>
      <c r="C27" s="21">
        <f>Raw!D46</f>
        <v>319786</v>
      </c>
      <c r="F27">
        <f>SUM(F25:F26)</f>
        <v>2993694</v>
      </c>
    </row>
    <row r="28" spans="2:6" x14ac:dyDescent="0.25">
      <c r="B28" s="76" t="s">
        <v>153</v>
      </c>
      <c r="C28" s="21">
        <f>Raw!D48</f>
        <v>397000</v>
      </c>
      <c r="E28" t="s">
        <v>798</v>
      </c>
      <c r="F28">
        <f>F27-F24</f>
        <v>221720</v>
      </c>
    </row>
    <row r="29" spans="2:6" x14ac:dyDescent="0.25">
      <c r="B29" s="76" t="s">
        <v>154</v>
      </c>
      <c r="C29" s="21">
        <f>Raw!D50</f>
        <v>275997</v>
      </c>
    </row>
    <row r="30" spans="2:6" ht="15.75" thickBot="1" x14ac:dyDescent="0.3">
      <c r="B30" s="77" t="s">
        <v>155</v>
      </c>
      <c r="C30" s="22">
        <f>Raw!D52</f>
        <v>188988</v>
      </c>
    </row>
    <row r="31" spans="2:6" ht="15.75" thickBot="1" x14ac:dyDescent="0.3">
      <c r="B31" s="68"/>
    </row>
    <row r="32" spans="2:6" x14ac:dyDescent="0.25">
      <c r="B32" s="75" t="s">
        <v>156</v>
      </c>
      <c r="C32" s="20">
        <f>Raw!D54</f>
        <v>82991</v>
      </c>
    </row>
    <row r="33" spans="2:3" x14ac:dyDescent="0.25">
      <c r="B33" s="76" t="s">
        <v>157</v>
      </c>
      <c r="C33" s="21">
        <f>Raw!D56</f>
        <v>94990</v>
      </c>
    </row>
    <row r="34" spans="2:3" x14ac:dyDescent="0.25">
      <c r="B34" s="76" t="s">
        <v>158</v>
      </c>
      <c r="C34" s="21">
        <f>Raw!D58</f>
        <v>33199</v>
      </c>
    </row>
    <row r="35" spans="2:3" x14ac:dyDescent="0.25">
      <c r="B35" s="76" t="s">
        <v>159</v>
      </c>
      <c r="C35" s="21">
        <f>Raw!D60</f>
        <v>59995</v>
      </c>
    </row>
    <row r="36" spans="2:3" x14ac:dyDescent="0.25">
      <c r="B36" s="76" t="s">
        <v>160</v>
      </c>
      <c r="C36" s="21">
        <f>Raw!D62</f>
        <v>143793</v>
      </c>
    </row>
    <row r="37" spans="2:3" x14ac:dyDescent="0.25">
      <c r="B37" s="76" t="s">
        <v>161</v>
      </c>
      <c r="C37" s="21">
        <f>Raw!D64</f>
        <v>146880</v>
      </c>
    </row>
    <row r="38" spans="2:3" x14ac:dyDescent="0.25">
      <c r="B38" s="76" t="s">
        <v>162</v>
      </c>
      <c r="C38" s="21">
        <f>Raw!D66</f>
        <v>106830</v>
      </c>
    </row>
    <row r="39" spans="2:3" ht="15.75" thickBot="1" x14ac:dyDescent="0.3">
      <c r="B39" s="77" t="s">
        <v>163</v>
      </c>
      <c r="C39" s="22">
        <f>Raw!D68</f>
        <v>319939</v>
      </c>
    </row>
  </sheetData>
  <conditionalFormatting sqref="K4:K16">
    <cfRule type="cellIs" dxfId="14" priority="16" operator="lessThan">
      <formula>1</formula>
    </cfRule>
    <cfRule type="cellIs" dxfId="13" priority="17" operator="greaterThan">
      <formula>5000</formula>
    </cfRule>
  </conditionalFormatting>
  <conditionalFormatting sqref="N12:O12 N4:N11">
    <cfRule type="cellIs" dxfId="12" priority="14" operator="lessThan">
      <formula>1</formula>
    </cfRule>
    <cfRule type="cellIs" dxfId="11" priority="15" operator="greaterThan">
      <formula>5000</formula>
    </cfRule>
  </conditionalFormatting>
  <conditionalFormatting sqref="P4:P12">
    <cfRule type="cellIs" dxfId="10" priority="5" operator="lessThan">
      <formula>0.0001</formula>
    </cfRule>
    <cfRule type="cellIs" dxfId="9" priority="6" operator="greaterThan">
      <formula>0.25</formula>
    </cfRule>
    <cfRule type="cellIs" dxfId="8" priority="7" operator="between">
      <formula>0.15</formula>
      <formula>0.25</formula>
    </cfRule>
    <cfRule type="cellIs" dxfId="7" priority="12" operator="greaterThan">
      <formula>0.25</formula>
    </cfRule>
  </conditionalFormatting>
  <conditionalFormatting sqref="L4:M16">
    <cfRule type="cellIs" dxfId="6" priority="8" operator="lessThan">
      <formula>0.0001</formula>
    </cfRule>
    <cfRule type="cellIs" dxfId="5" priority="9" operator="greaterThan">
      <formula>0.25</formula>
    </cfRule>
    <cfRule type="cellIs" dxfId="4" priority="10" operator="between">
      <formula>0.15</formula>
      <formula>0.25</formula>
    </cfRule>
  </conditionalFormatting>
  <conditionalFormatting sqref="G4:G16">
    <cfRule type="cellIs" dxfId="3" priority="4" operator="lessThan">
      <formula>$F$1</formula>
    </cfRule>
  </conditionalFormatting>
  <conditionalFormatting sqref="O4:O11">
    <cfRule type="cellIs" dxfId="2" priority="1" operator="lessThan">
      <formula>0.0001</formula>
    </cfRule>
    <cfRule type="cellIs" dxfId="1" priority="2" operator="greaterThan">
      <formula>0.25</formula>
    </cfRule>
    <cfRule type="cellIs" dxfId="0" priority="3" operator="between">
      <formula>0.15</formula>
      <formula>0.25</formula>
    </cfRule>
  </conditionalFormatting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8"/>
  <sheetViews>
    <sheetView workbookViewId="0">
      <selection activeCell="D5" sqref="D5"/>
    </sheetView>
  </sheetViews>
  <sheetFormatPr baseColWidth="10" defaultRowHeight="15" x14ac:dyDescent="0.25"/>
  <cols>
    <col min="4" max="4" width="15.7109375" customWidth="1"/>
    <col min="11" max="31" width="15.7109375" customWidth="1"/>
  </cols>
  <sheetData>
    <row r="1" spans="1:31" x14ac:dyDescent="0.25">
      <c r="A1" t="s">
        <v>133</v>
      </c>
    </row>
    <row r="2" spans="1:31" x14ac:dyDescent="0.25">
      <c r="D2">
        <v>8094</v>
      </c>
      <c r="K2" t="s">
        <v>219</v>
      </c>
      <c r="L2" t="s">
        <v>239</v>
      </c>
      <c r="M2" t="s">
        <v>285</v>
      </c>
      <c r="N2" t="s">
        <v>314</v>
      </c>
      <c r="O2" t="s">
        <v>339</v>
      </c>
      <c r="P2" t="s">
        <v>363</v>
      </c>
      <c r="Q2" t="s">
        <v>393</v>
      </c>
      <c r="R2">
        <v>11894</v>
      </c>
      <c r="S2" t="s">
        <v>447</v>
      </c>
      <c r="T2" t="s">
        <v>318</v>
      </c>
      <c r="U2" t="s">
        <v>511</v>
      </c>
      <c r="V2" t="s">
        <v>544</v>
      </c>
      <c r="W2" t="s">
        <v>578</v>
      </c>
      <c r="X2" t="s">
        <v>609</v>
      </c>
      <c r="Y2" t="s">
        <v>642</v>
      </c>
      <c r="Z2" t="s">
        <v>668</v>
      </c>
      <c r="AA2" t="s">
        <v>701</v>
      </c>
      <c r="AB2" t="s">
        <v>732</v>
      </c>
      <c r="AC2" t="s">
        <v>764</v>
      </c>
      <c r="AD2" t="s">
        <v>802</v>
      </c>
      <c r="AE2" t="s">
        <v>834</v>
      </c>
    </row>
    <row r="3" spans="1:31" x14ac:dyDescent="0.25">
      <c r="A3" t="s">
        <v>132</v>
      </c>
    </row>
    <row r="4" spans="1:31" x14ac:dyDescent="0.25">
      <c r="D4">
        <v>9199</v>
      </c>
      <c r="K4" t="s">
        <v>220</v>
      </c>
      <c r="L4" t="s">
        <v>240</v>
      </c>
      <c r="M4" t="s">
        <v>286</v>
      </c>
      <c r="N4">
        <v>9900</v>
      </c>
      <c r="O4" t="s">
        <v>286</v>
      </c>
      <c r="P4" t="s">
        <v>364</v>
      </c>
      <c r="Q4" t="s">
        <v>364</v>
      </c>
      <c r="R4" t="s">
        <v>418</v>
      </c>
      <c r="S4" t="s">
        <v>448</v>
      </c>
      <c r="T4" t="s">
        <v>476</v>
      </c>
      <c r="U4" t="s">
        <v>512</v>
      </c>
      <c r="V4" t="s">
        <v>545</v>
      </c>
      <c r="W4" t="s">
        <v>579</v>
      </c>
      <c r="X4" t="s">
        <v>610</v>
      </c>
      <c r="Y4" t="s">
        <v>643</v>
      </c>
      <c r="Z4" t="s">
        <v>669</v>
      </c>
      <c r="AA4" t="s">
        <v>702</v>
      </c>
      <c r="AB4" t="s">
        <v>733</v>
      </c>
      <c r="AC4" t="s">
        <v>765</v>
      </c>
      <c r="AD4" t="s">
        <v>803</v>
      </c>
      <c r="AE4" t="s">
        <v>835</v>
      </c>
    </row>
    <row r="5" spans="1:31" x14ac:dyDescent="0.25">
      <c r="A5" t="s">
        <v>134</v>
      </c>
    </row>
    <row r="6" spans="1:31" x14ac:dyDescent="0.25">
      <c r="D6">
        <v>4681</v>
      </c>
      <c r="K6" t="s">
        <v>221</v>
      </c>
      <c r="L6" t="s">
        <v>241</v>
      </c>
      <c r="M6" t="s">
        <v>287</v>
      </c>
      <c r="N6" t="s">
        <v>315</v>
      </c>
      <c r="O6" t="s">
        <v>340</v>
      </c>
      <c r="P6" t="s">
        <v>365</v>
      </c>
      <c r="Q6" t="s">
        <v>394</v>
      </c>
      <c r="R6" t="s">
        <v>419</v>
      </c>
      <c r="S6" t="s">
        <v>449</v>
      </c>
      <c r="T6" t="s">
        <v>477</v>
      </c>
      <c r="U6" t="s">
        <v>513</v>
      </c>
      <c r="V6" t="s">
        <v>546</v>
      </c>
      <c r="W6" t="s">
        <v>580</v>
      </c>
      <c r="X6" t="s">
        <v>611</v>
      </c>
      <c r="Y6" t="s">
        <v>644</v>
      </c>
      <c r="Z6" t="s">
        <v>670</v>
      </c>
      <c r="AA6" t="s">
        <v>703</v>
      </c>
      <c r="AB6" t="s">
        <v>734</v>
      </c>
      <c r="AC6" t="s">
        <v>766</v>
      </c>
      <c r="AD6" t="s">
        <v>804</v>
      </c>
      <c r="AE6" t="s">
        <v>836</v>
      </c>
    </row>
    <row r="7" spans="1:31" x14ac:dyDescent="0.25">
      <c r="A7" t="s">
        <v>135</v>
      </c>
    </row>
    <row r="8" spans="1:31" x14ac:dyDescent="0.25">
      <c r="D8">
        <v>5663</v>
      </c>
      <c r="K8" t="s">
        <v>222</v>
      </c>
      <c r="L8" t="s">
        <v>242</v>
      </c>
      <c r="M8" t="s">
        <v>288</v>
      </c>
      <c r="N8" t="s">
        <v>316</v>
      </c>
      <c r="O8" t="s">
        <v>316</v>
      </c>
      <c r="P8" t="s">
        <v>366</v>
      </c>
      <c r="Q8" t="s">
        <v>395</v>
      </c>
      <c r="R8" t="s">
        <v>420</v>
      </c>
      <c r="S8" t="s">
        <v>450</v>
      </c>
      <c r="T8" t="s">
        <v>478</v>
      </c>
      <c r="U8" t="s">
        <v>514</v>
      </c>
      <c r="V8" t="s">
        <v>547</v>
      </c>
      <c r="W8" t="s">
        <v>581</v>
      </c>
      <c r="X8" t="s">
        <v>612</v>
      </c>
      <c r="Y8" t="s">
        <v>645</v>
      </c>
      <c r="Z8" t="s">
        <v>671</v>
      </c>
      <c r="AA8" t="s">
        <v>704</v>
      </c>
      <c r="AB8" t="s">
        <v>735</v>
      </c>
      <c r="AC8" t="s">
        <v>767</v>
      </c>
      <c r="AD8" t="s">
        <v>805</v>
      </c>
      <c r="AE8" t="s">
        <v>837</v>
      </c>
    </row>
    <row r="9" spans="1:31" x14ac:dyDescent="0.25">
      <c r="A9" t="s">
        <v>136</v>
      </c>
    </row>
    <row r="10" spans="1:31" x14ac:dyDescent="0.25">
      <c r="D10">
        <v>11994</v>
      </c>
      <c r="K10" t="s">
        <v>209</v>
      </c>
      <c r="L10" t="s">
        <v>243</v>
      </c>
      <c r="M10" t="s">
        <v>243</v>
      </c>
      <c r="N10" t="s">
        <v>243</v>
      </c>
      <c r="O10" t="s">
        <v>341</v>
      </c>
      <c r="P10" t="s">
        <v>367</v>
      </c>
      <c r="Q10" t="s">
        <v>367</v>
      </c>
      <c r="R10" t="s">
        <v>421</v>
      </c>
      <c r="S10" t="s">
        <v>421</v>
      </c>
      <c r="T10" t="s">
        <v>479</v>
      </c>
      <c r="U10" t="s">
        <v>515</v>
      </c>
      <c r="V10" t="s">
        <v>548</v>
      </c>
      <c r="W10" t="s">
        <v>548</v>
      </c>
      <c r="X10" t="s">
        <v>613</v>
      </c>
      <c r="Y10" t="s">
        <v>646</v>
      </c>
      <c r="Z10" t="s">
        <v>672</v>
      </c>
      <c r="AA10" t="s">
        <v>705</v>
      </c>
      <c r="AB10" t="s">
        <v>672</v>
      </c>
      <c r="AC10" t="s">
        <v>768</v>
      </c>
      <c r="AD10" t="s">
        <v>806</v>
      </c>
      <c r="AE10" t="s">
        <v>838</v>
      </c>
    </row>
    <row r="11" spans="1:31" x14ac:dyDescent="0.25">
      <c r="A11" t="s">
        <v>137</v>
      </c>
    </row>
    <row r="12" spans="1:31" x14ac:dyDescent="0.25">
      <c r="D12">
        <v>16547</v>
      </c>
      <c r="K12" t="s">
        <v>223</v>
      </c>
      <c r="L12" t="s">
        <v>244</v>
      </c>
      <c r="M12" t="s">
        <v>289</v>
      </c>
      <c r="N12" t="s">
        <v>317</v>
      </c>
      <c r="O12" t="s">
        <v>342</v>
      </c>
      <c r="P12" t="s">
        <v>368</v>
      </c>
      <c r="Q12" t="s">
        <v>396</v>
      </c>
      <c r="R12" t="s">
        <v>422</v>
      </c>
      <c r="S12" t="s">
        <v>451</v>
      </c>
      <c r="T12" t="s">
        <v>480</v>
      </c>
      <c r="U12" t="s">
        <v>516</v>
      </c>
      <c r="V12" t="s">
        <v>549</v>
      </c>
      <c r="W12" t="s">
        <v>582</v>
      </c>
      <c r="X12" t="s">
        <v>614</v>
      </c>
      <c r="Y12" t="s">
        <v>647</v>
      </c>
      <c r="Z12" t="s">
        <v>673</v>
      </c>
      <c r="AA12" t="s">
        <v>706</v>
      </c>
      <c r="AB12" t="s">
        <v>736</v>
      </c>
      <c r="AC12" t="s">
        <v>769</v>
      </c>
      <c r="AD12" t="s">
        <v>807</v>
      </c>
      <c r="AE12" t="s">
        <v>839</v>
      </c>
    </row>
    <row r="13" spans="1:31" x14ac:dyDescent="0.25">
      <c r="A13" t="s">
        <v>138</v>
      </c>
    </row>
    <row r="14" spans="1:31" x14ac:dyDescent="0.25">
      <c r="D14">
        <v>15986</v>
      </c>
      <c r="K14" t="s">
        <v>224</v>
      </c>
      <c r="L14" t="s">
        <v>245</v>
      </c>
      <c r="M14" t="s">
        <v>290</v>
      </c>
      <c r="N14" t="s">
        <v>318</v>
      </c>
      <c r="O14" t="s">
        <v>343</v>
      </c>
      <c r="P14" t="s">
        <v>369</v>
      </c>
      <c r="Q14" t="s">
        <v>397</v>
      </c>
      <c r="R14" t="s">
        <v>423</v>
      </c>
      <c r="S14" t="s">
        <v>452</v>
      </c>
      <c r="T14" t="s">
        <v>481</v>
      </c>
      <c r="U14" t="s">
        <v>517</v>
      </c>
      <c r="V14" t="s">
        <v>550</v>
      </c>
      <c r="W14" t="s">
        <v>583</v>
      </c>
      <c r="X14" t="s">
        <v>615</v>
      </c>
      <c r="Y14" t="s">
        <v>648</v>
      </c>
      <c r="Z14" t="s">
        <v>674</v>
      </c>
      <c r="AA14" t="s">
        <v>707</v>
      </c>
      <c r="AB14" t="s">
        <v>737</v>
      </c>
      <c r="AC14" t="s">
        <v>770</v>
      </c>
      <c r="AD14" t="s">
        <v>808</v>
      </c>
      <c r="AE14" t="s">
        <v>840</v>
      </c>
    </row>
    <row r="15" spans="1:31" x14ac:dyDescent="0.25">
      <c r="A15" t="s">
        <v>200</v>
      </c>
    </row>
    <row r="16" spans="1:31" x14ac:dyDescent="0.25">
      <c r="D16">
        <v>31500</v>
      </c>
      <c r="K16" t="s">
        <v>225</v>
      </c>
      <c r="L16" t="s">
        <v>246</v>
      </c>
      <c r="M16" t="s">
        <v>291</v>
      </c>
      <c r="N16" t="s">
        <v>319</v>
      </c>
      <c r="O16" t="s">
        <v>344</v>
      </c>
      <c r="P16" t="s">
        <v>370</v>
      </c>
      <c r="Q16" t="s">
        <v>398</v>
      </c>
      <c r="R16" t="s">
        <v>398</v>
      </c>
      <c r="S16" t="s">
        <v>453</v>
      </c>
      <c r="T16" t="s">
        <v>482</v>
      </c>
      <c r="U16" t="s">
        <v>518</v>
      </c>
      <c r="V16" t="s">
        <v>551</v>
      </c>
      <c r="W16" t="s">
        <v>584</v>
      </c>
      <c r="X16" t="s">
        <v>616</v>
      </c>
      <c r="Y16" t="s">
        <v>649</v>
      </c>
      <c r="Z16" t="s">
        <v>675</v>
      </c>
      <c r="AA16" t="s">
        <v>708</v>
      </c>
      <c r="AB16" t="s">
        <v>738</v>
      </c>
      <c r="AC16" t="s">
        <v>771</v>
      </c>
      <c r="AD16" t="s">
        <v>809</v>
      </c>
      <c r="AE16" t="s">
        <v>591</v>
      </c>
    </row>
    <row r="17" spans="1:31" x14ac:dyDescent="0.25">
      <c r="A17" t="s">
        <v>201</v>
      </c>
    </row>
    <row r="18" spans="1:31" x14ac:dyDescent="0.25">
      <c r="D18">
        <v>57949</v>
      </c>
      <c r="K18" t="s">
        <v>210</v>
      </c>
      <c r="L18">
        <v>37589</v>
      </c>
      <c r="M18" t="s">
        <v>292</v>
      </c>
      <c r="N18" t="s">
        <v>320</v>
      </c>
      <c r="O18" t="s">
        <v>320</v>
      </c>
      <c r="P18" t="s">
        <v>371</v>
      </c>
      <c r="Q18" t="s">
        <v>310</v>
      </c>
      <c r="R18" t="s">
        <v>424</v>
      </c>
      <c r="S18" t="s">
        <v>454</v>
      </c>
      <c r="T18" t="s">
        <v>483</v>
      </c>
      <c r="U18" t="s">
        <v>519</v>
      </c>
      <c r="V18" t="s">
        <v>552</v>
      </c>
      <c r="W18" t="s">
        <v>585</v>
      </c>
      <c r="X18" t="s">
        <v>617</v>
      </c>
      <c r="Y18" t="s">
        <v>650</v>
      </c>
      <c r="Z18" t="s">
        <v>676</v>
      </c>
      <c r="AA18" t="s">
        <v>709</v>
      </c>
      <c r="AB18" t="s">
        <v>739</v>
      </c>
      <c r="AC18" t="s">
        <v>772</v>
      </c>
      <c r="AD18" t="s">
        <v>810</v>
      </c>
      <c r="AE18" t="s">
        <v>841</v>
      </c>
    </row>
    <row r="19" spans="1:31" x14ac:dyDescent="0.25">
      <c r="A19" t="s">
        <v>202</v>
      </c>
    </row>
    <row r="20" spans="1:31" x14ac:dyDescent="0.25">
      <c r="D20">
        <v>118590</v>
      </c>
      <c r="K20" t="s">
        <v>226</v>
      </c>
      <c r="L20" t="s">
        <v>247</v>
      </c>
      <c r="M20" t="s">
        <v>293</v>
      </c>
      <c r="N20" t="s">
        <v>293</v>
      </c>
      <c r="O20" t="s">
        <v>345</v>
      </c>
      <c r="P20" t="s">
        <v>372</v>
      </c>
      <c r="Q20" t="s">
        <v>399</v>
      </c>
      <c r="R20" t="s">
        <v>425</v>
      </c>
      <c r="S20" t="s">
        <v>455</v>
      </c>
      <c r="T20" t="s">
        <v>484</v>
      </c>
      <c r="U20" t="s">
        <v>520</v>
      </c>
      <c r="V20" t="s">
        <v>553</v>
      </c>
      <c r="W20" t="s">
        <v>586</v>
      </c>
      <c r="X20" t="s">
        <v>618</v>
      </c>
      <c r="Y20">
        <v>112799</v>
      </c>
      <c r="Z20" t="s">
        <v>677</v>
      </c>
      <c r="AA20" t="s">
        <v>710</v>
      </c>
      <c r="AB20" t="s">
        <v>740</v>
      </c>
      <c r="AC20" t="s">
        <v>773</v>
      </c>
      <c r="AD20" t="s">
        <v>811</v>
      </c>
      <c r="AE20" t="s">
        <v>842</v>
      </c>
    </row>
    <row r="21" spans="1:31" x14ac:dyDescent="0.25">
      <c r="A21" t="s">
        <v>203</v>
      </c>
    </row>
    <row r="22" spans="1:31" x14ac:dyDescent="0.25">
      <c r="D22">
        <v>129990</v>
      </c>
      <c r="K22" t="s">
        <v>227</v>
      </c>
      <c r="L22" t="s">
        <v>248</v>
      </c>
      <c r="M22">
        <v>119646</v>
      </c>
      <c r="N22" t="s">
        <v>321</v>
      </c>
      <c r="O22" t="s">
        <v>346</v>
      </c>
      <c r="P22" t="s">
        <v>373</v>
      </c>
      <c r="Q22" t="s">
        <v>400</v>
      </c>
      <c r="R22" t="s">
        <v>426</v>
      </c>
      <c r="S22" t="s">
        <v>456</v>
      </c>
      <c r="T22" t="s">
        <v>485</v>
      </c>
      <c r="U22" t="s">
        <v>521</v>
      </c>
      <c r="V22" t="s">
        <v>554</v>
      </c>
      <c r="W22" t="s">
        <v>587</v>
      </c>
      <c r="X22" t="s">
        <v>619</v>
      </c>
      <c r="Y22" t="s">
        <v>651</v>
      </c>
      <c r="Z22" t="s">
        <v>678</v>
      </c>
      <c r="AA22" t="s">
        <v>711</v>
      </c>
      <c r="AB22" t="s">
        <v>741</v>
      </c>
      <c r="AC22" t="s">
        <v>774</v>
      </c>
      <c r="AD22" t="s">
        <v>812</v>
      </c>
      <c r="AE22" t="s">
        <v>843</v>
      </c>
    </row>
    <row r="23" spans="1:31" x14ac:dyDescent="0.25">
      <c r="A23" t="s">
        <v>204</v>
      </c>
    </row>
    <row r="24" spans="1:31" x14ac:dyDescent="0.25">
      <c r="D24">
        <v>93991</v>
      </c>
      <c r="K24" t="s">
        <v>228</v>
      </c>
      <c r="L24" t="s">
        <v>249</v>
      </c>
      <c r="M24" t="s">
        <v>294</v>
      </c>
      <c r="N24" t="s">
        <v>294</v>
      </c>
      <c r="O24" t="s">
        <v>347</v>
      </c>
      <c r="P24" t="s">
        <v>374</v>
      </c>
      <c r="Q24" t="s">
        <v>401</v>
      </c>
      <c r="R24" t="s">
        <v>427</v>
      </c>
      <c r="S24" t="s">
        <v>401</v>
      </c>
      <c r="T24" t="s">
        <v>486</v>
      </c>
      <c r="U24" t="s">
        <v>522</v>
      </c>
      <c r="V24" t="s">
        <v>555</v>
      </c>
      <c r="W24" t="s">
        <v>588</v>
      </c>
      <c r="X24" t="s">
        <v>620</v>
      </c>
      <c r="Y24" t="s">
        <v>652</v>
      </c>
      <c r="Z24" t="s">
        <v>679</v>
      </c>
      <c r="AA24" t="s">
        <v>712</v>
      </c>
      <c r="AB24" t="s">
        <v>742</v>
      </c>
      <c r="AC24" t="s">
        <v>775</v>
      </c>
      <c r="AD24" t="s">
        <v>813</v>
      </c>
      <c r="AE24" t="s">
        <v>844</v>
      </c>
    </row>
    <row r="25" spans="1:31" x14ac:dyDescent="0.25">
      <c r="A25" t="s">
        <v>205</v>
      </c>
    </row>
    <row r="26" spans="1:31" x14ac:dyDescent="0.25">
      <c r="D26">
        <v>72847</v>
      </c>
      <c r="K26" t="s">
        <v>229</v>
      </c>
      <c r="L26" t="s">
        <v>250</v>
      </c>
      <c r="M26" t="s">
        <v>295</v>
      </c>
      <c r="N26" t="s">
        <v>322</v>
      </c>
      <c r="O26" t="s">
        <v>348</v>
      </c>
      <c r="P26" t="s">
        <v>375</v>
      </c>
      <c r="Q26" t="s">
        <v>402</v>
      </c>
      <c r="R26" t="s">
        <v>428</v>
      </c>
      <c r="S26" t="s">
        <v>457</v>
      </c>
      <c r="T26" t="s">
        <v>487</v>
      </c>
      <c r="U26" t="s">
        <v>523</v>
      </c>
      <c r="V26" t="s">
        <v>556</v>
      </c>
      <c r="W26" t="s">
        <v>589</v>
      </c>
      <c r="X26" t="s">
        <v>621</v>
      </c>
      <c r="Y26">
        <v>76590</v>
      </c>
      <c r="Z26" t="s">
        <v>680</v>
      </c>
      <c r="AA26" t="s">
        <v>457</v>
      </c>
      <c r="AB26" t="s">
        <v>743</v>
      </c>
      <c r="AC26" t="s">
        <v>776</v>
      </c>
      <c r="AD26" t="s">
        <v>814</v>
      </c>
      <c r="AE26" t="s">
        <v>845</v>
      </c>
    </row>
    <row r="27" spans="1:31" x14ac:dyDescent="0.25">
      <c r="A27" t="s">
        <v>144</v>
      </c>
    </row>
    <row r="28" spans="1:31" x14ac:dyDescent="0.25">
      <c r="D28">
        <v>31447</v>
      </c>
      <c r="K28" t="s">
        <v>230</v>
      </c>
      <c r="L28" t="s">
        <v>251</v>
      </c>
      <c r="M28" t="s">
        <v>296</v>
      </c>
      <c r="N28" t="s">
        <v>323</v>
      </c>
      <c r="O28" t="s">
        <v>310</v>
      </c>
      <c r="P28" t="s">
        <v>376</v>
      </c>
      <c r="Q28" t="s">
        <v>403</v>
      </c>
      <c r="R28" t="s">
        <v>429</v>
      </c>
      <c r="S28" t="s">
        <v>458</v>
      </c>
      <c r="T28" t="s">
        <v>488</v>
      </c>
      <c r="U28" t="s">
        <v>524</v>
      </c>
      <c r="V28" t="s">
        <v>557</v>
      </c>
      <c r="W28" t="s">
        <v>590</v>
      </c>
      <c r="X28" t="s">
        <v>622</v>
      </c>
      <c r="Y28" t="s">
        <v>653</v>
      </c>
      <c r="Z28" t="s">
        <v>681</v>
      </c>
      <c r="AA28" t="s">
        <v>713</v>
      </c>
      <c r="AB28" t="s">
        <v>744</v>
      </c>
      <c r="AC28" t="s">
        <v>777</v>
      </c>
      <c r="AD28" t="s">
        <v>815</v>
      </c>
      <c r="AE28" t="s">
        <v>846</v>
      </c>
    </row>
    <row r="29" spans="1:31" x14ac:dyDescent="0.25">
      <c r="A29" t="s">
        <v>145</v>
      </c>
    </row>
    <row r="30" spans="1:31" x14ac:dyDescent="0.25">
      <c r="D30">
        <v>34465</v>
      </c>
      <c r="K30" t="s">
        <v>231</v>
      </c>
      <c r="L30" t="s">
        <v>252</v>
      </c>
      <c r="M30" t="s">
        <v>297</v>
      </c>
      <c r="N30">
        <v>31663</v>
      </c>
      <c r="O30" t="s">
        <v>349</v>
      </c>
      <c r="P30" t="s">
        <v>252</v>
      </c>
      <c r="Q30" t="s">
        <v>404</v>
      </c>
      <c r="R30" t="s">
        <v>430</v>
      </c>
      <c r="S30" t="s">
        <v>459</v>
      </c>
      <c r="T30" t="s">
        <v>489</v>
      </c>
      <c r="U30" t="s">
        <v>525</v>
      </c>
      <c r="V30" t="s">
        <v>558</v>
      </c>
      <c r="W30" t="s">
        <v>591</v>
      </c>
      <c r="X30" t="s">
        <v>623</v>
      </c>
      <c r="Y30" t="s">
        <v>654</v>
      </c>
      <c r="Z30" t="s">
        <v>682</v>
      </c>
      <c r="AA30" t="s">
        <v>714</v>
      </c>
      <c r="AB30" t="s">
        <v>745</v>
      </c>
      <c r="AC30" t="s">
        <v>778</v>
      </c>
      <c r="AD30" t="s">
        <v>816</v>
      </c>
      <c r="AE30" t="s">
        <v>847</v>
      </c>
    </row>
    <row r="31" spans="1:31" x14ac:dyDescent="0.25">
      <c r="A31" t="s">
        <v>146</v>
      </c>
    </row>
    <row r="32" spans="1:31" x14ac:dyDescent="0.25">
      <c r="D32">
        <v>18862</v>
      </c>
      <c r="K32" t="s">
        <v>211</v>
      </c>
      <c r="L32" t="s">
        <v>253</v>
      </c>
      <c r="M32" t="s">
        <v>253</v>
      </c>
      <c r="N32" t="s">
        <v>324</v>
      </c>
      <c r="O32" t="s">
        <v>350</v>
      </c>
      <c r="P32" t="s">
        <v>350</v>
      </c>
      <c r="Q32" t="s">
        <v>405</v>
      </c>
      <c r="R32" t="s">
        <v>431</v>
      </c>
      <c r="S32" t="s">
        <v>405</v>
      </c>
      <c r="T32" t="s">
        <v>490</v>
      </c>
      <c r="U32" t="s">
        <v>526</v>
      </c>
      <c r="V32" t="s">
        <v>559</v>
      </c>
      <c r="W32" t="s">
        <v>592</v>
      </c>
      <c r="X32" t="s">
        <v>624</v>
      </c>
      <c r="Y32" t="s">
        <v>655</v>
      </c>
      <c r="Z32" t="s">
        <v>683</v>
      </c>
      <c r="AA32" t="s">
        <v>715</v>
      </c>
      <c r="AB32" t="s">
        <v>746</v>
      </c>
      <c r="AC32" t="s">
        <v>779</v>
      </c>
      <c r="AD32" t="s">
        <v>817</v>
      </c>
      <c r="AE32" t="s">
        <v>848</v>
      </c>
    </row>
    <row r="33" spans="1:31" x14ac:dyDescent="0.25">
      <c r="A33" t="s">
        <v>147</v>
      </c>
    </row>
    <row r="34" spans="1:31" x14ac:dyDescent="0.25">
      <c r="D34">
        <v>20848</v>
      </c>
      <c r="K34" t="s">
        <v>232</v>
      </c>
      <c r="L34" t="s">
        <v>254</v>
      </c>
      <c r="M34" t="s">
        <v>298</v>
      </c>
      <c r="N34" t="s">
        <v>325</v>
      </c>
      <c r="O34" t="s">
        <v>351</v>
      </c>
      <c r="P34" t="s">
        <v>377</v>
      </c>
      <c r="Q34" t="s">
        <v>406</v>
      </c>
      <c r="R34" t="s">
        <v>432</v>
      </c>
      <c r="S34" t="s">
        <v>460</v>
      </c>
      <c r="T34" t="s">
        <v>491</v>
      </c>
      <c r="U34" t="s">
        <v>527</v>
      </c>
      <c r="V34" t="s">
        <v>560</v>
      </c>
      <c r="W34" t="s">
        <v>593</v>
      </c>
      <c r="X34" t="s">
        <v>625</v>
      </c>
      <c r="Y34">
        <v>24197</v>
      </c>
      <c r="Z34" t="s">
        <v>684</v>
      </c>
      <c r="AA34" t="s">
        <v>377</v>
      </c>
      <c r="AB34" t="s">
        <v>747</v>
      </c>
      <c r="AC34" t="s">
        <v>780</v>
      </c>
      <c r="AD34" t="s">
        <v>818</v>
      </c>
      <c r="AE34" t="s">
        <v>849</v>
      </c>
    </row>
    <row r="35" spans="1:31" x14ac:dyDescent="0.25">
      <c r="A35" t="s">
        <v>148</v>
      </c>
    </row>
    <row r="36" spans="1:31" x14ac:dyDescent="0.25">
      <c r="D36">
        <v>34497</v>
      </c>
      <c r="K36" t="s">
        <v>208</v>
      </c>
      <c r="L36" t="s">
        <v>255</v>
      </c>
      <c r="M36" t="s">
        <v>299</v>
      </c>
      <c r="N36" t="s">
        <v>326</v>
      </c>
      <c r="O36" t="s">
        <v>326</v>
      </c>
      <c r="P36" t="s">
        <v>378</v>
      </c>
      <c r="Q36" t="s">
        <v>378</v>
      </c>
      <c r="R36" t="s">
        <v>433</v>
      </c>
      <c r="S36" t="s">
        <v>461</v>
      </c>
      <c r="T36" t="s">
        <v>492</v>
      </c>
      <c r="U36" t="s">
        <v>528</v>
      </c>
      <c r="V36" t="s">
        <v>561</v>
      </c>
      <c r="W36" t="s">
        <v>594</v>
      </c>
      <c r="X36" t="s">
        <v>626</v>
      </c>
      <c r="Y36">
        <v>51995</v>
      </c>
      <c r="Z36" t="s">
        <v>685</v>
      </c>
      <c r="AA36" t="s">
        <v>716</v>
      </c>
      <c r="AB36" t="s">
        <v>748</v>
      </c>
      <c r="AC36" t="s">
        <v>781</v>
      </c>
      <c r="AD36" t="s">
        <v>781</v>
      </c>
      <c r="AE36" t="s">
        <v>850</v>
      </c>
    </row>
    <row r="37" spans="1:31" x14ac:dyDescent="0.25">
      <c r="A37" t="s">
        <v>149</v>
      </c>
    </row>
    <row r="38" spans="1:31" x14ac:dyDescent="0.25">
      <c r="D38">
        <v>52178</v>
      </c>
      <c r="K38" t="s">
        <v>212</v>
      </c>
      <c r="L38" t="s">
        <v>256</v>
      </c>
      <c r="M38" t="s">
        <v>300</v>
      </c>
      <c r="N38" t="s">
        <v>327</v>
      </c>
      <c r="O38" t="s">
        <v>352</v>
      </c>
      <c r="P38">
        <v>57998</v>
      </c>
      <c r="Q38" t="s">
        <v>407</v>
      </c>
      <c r="R38" t="s">
        <v>434</v>
      </c>
      <c r="S38" t="s">
        <v>462</v>
      </c>
      <c r="T38" t="s">
        <v>493</v>
      </c>
      <c r="U38" t="s">
        <v>529</v>
      </c>
      <c r="V38" t="s">
        <v>562</v>
      </c>
      <c r="W38" t="s">
        <v>595</v>
      </c>
      <c r="X38" t="s">
        <v>627</v>
      </c>
      <c r="Y38" t="s">
        <v>656</v>
      </c>
      <c r="Z38" t="s">
        <v>686</v>
      </c>
      <c r="AA38" t="s">
        <v>717</v>
      </c>
      <c r="AB38" t="s">
        <v>749</v>
      </c>
      <c r="AC38" t="s">
        <v>782</v>
      </c>
      <c r="AD38" t="s">
        <v>819</v>
      </c>
      <c r="AE38" t="s">
        <v>851</v>
      </c>
    </row>
    <row r="39" spans="1:31" x14ac:dyDescent="0.25">
      <c r="A39" t="s">
        <v>150</v>
      </c>
    </row>
    <row r="40" spans="1:31" x14ac:dyDescent="0.25">
      <c r="D40">
        <v>50572</v>
      </c>
      <c r="K40" t="s">
        <v>213</v>
      </c>
      <c r="L40" t="s">
        <v>257</v>
      </c>
      <c r="M40" t="s">
        <v>301</v>
      </c>
      <c r="N40" t="s">
        <v>328</v>
      </c>
      <c r="O40" t="s">
        <v>353</v>
      </c>
      <c r="P40" t="s">
        <v>379</v>
      </c>
      <c r="Q40" t="s">
        <v>408</v>
      </c>
      <c r="R40" t="s">
        <v>435</v>
      </c>
      <c r="S40">
        <v>38060</v>
      </c>
      <c r="T40" t="s">
        <v>494</v>
      </c>
      <c r="U40" t="s">
        <v>530</v>
      </c>
      <c r="V40" t="s">
        <v>563</v>
      </c>
      <c r="W40" t="s">
        <v>596</v>
      </c>
      <c r="X40" t="s">
        <v>628</v>
      </c>
      <c r="Y40" t="s">
        <v>657</v>
      </c>
      <c r="Z40" t="s">
        <v>687</v>
      </c>
      <c r="AA40" t="s">
        <v>718</v>
      </c>
      <c r="AB40">
        <v>53792</v>
      </c>
      <c r="AC40" t="s">
        <v>783</v>
      </c>
      <c r="AD40" t="s">
        <v>820</v>
      </c>
      <c r="AE40" t="s">
        <v>852</v>
      </c>
    </row>
    <row r="41" spans="1:31" x14ac:dyDescent="0.25">
      <c r="A41" t="s">
        <v>151</v>
      </c>
    </row>
    <row r="42" spans="1:31" x14ac:dyDescent="0.25">
      <c r="D42">
        <v>94996</v>
      </c>
      <c r="K42" t="s">
        <v>233</v>
      </c>
      <c r="L42" t="s">
        <v>258</v>
      </c>
      <c r="M42" t="s">
        <v>302</v>
      </c>
      <c r="N42">
        <v>110000</v>
      </c>
      <c r="O42" t="s">
        <v>354</v>
      </c>
      <c r="P42" t="s">
        <v>380</v>
      </c>
      <c r="Q42" t="s">
        <v>409</v>
      </c>
      <c r="R42" t="s">
        <v>436</v>
      </c>
      <c r="S42" t="s">
        <v>463</v>
      </c>
      <c r="T42" t="s">
        <v>495</v>
      </c>
      <c r="U42" t="s">
        <v>531</v>
      </c>
      <c r="V42" t="s">
        <v>564</v>
      </c>
      <c r="W42" t="s">
        <v>597</v>
      </c>
      <c r="X42" t="s">
        <v>629</v>
      </c>
      <c r="Y42" t="s">
        <v>658</v>
      </c>
      <c r="Z42" t="s">
        <v>688</v>
      </c>
      <c r="AA42" t="s">
        <v>719</v>
      </c>
      <c r="AB42" t="s">
        <v>750</v>
      </c>
      <c r="AC42" t="s">
        <v>784</v>
      </c>
      <c r="AD42" t="s">
        <v>821</v>
      </c>
      <c r="AE42" t="s">
        <v>853</v>
      </c>
    </row>
    <row r="43" spans="1:31" x14ac:dyDescent="0.25">
      <c r="A43" t="s">
        <v>198</v>
      </c>
    </row>
    <row r="44" spans="1:31" x14ac:dyDescent="0.25">
      <c r="D44">
        <v>128928</v>
      </c>
      <c r="K44" t="s">
        <v>214</v>
      </c>
      <c r="L44" t="s">
        <v>259</v>
      </c>
      <c r="M44" t="s">
        <v>303</v>
      </c>
      <c r="N44" t="s">
        <v>329</v>
      </c>
      <c r="O44" t="s">
        <v>303</v>
      </c>
      <c r="P44" t="s">
        <v>381</v>
      </c>
      <c r="Q44" t="s">
        <v>381</v>
      </c>
      <c r="R44" t="s">
        <v>381</v>
      </c>
      <c r="S44" t="s">
        <v>464</v>
      </c>
      <c r="T44" t="s">
        <v>496</v>
      </c>
      <c r="U44" t="s">
        <v>235</v>
      </c>
      <c r="V44" t="s">
        <v>565</v>
      </c>
      <c r="W44" t="s">
        <v>598</v>
      </c>
      <c r="X44" t="s">
        <v>598</v>
      </c>
      <c r="Y44" t="s">
        <v>659</v>
      </c>
      <c r="Z44" t="s">
        <v>689</v>
      </c>
      <c r="AA44" t="s">
        <v>720</v>
      </c>
      <c r="AB44" t="s">
        <v>751</v>
      </c>
      <c r="AC44" t="s">
        <v>785</v>
      </c>
      <c r="AD44" t="s">
        <v>822</v>
      </c>
      <c r="AE44" t="s">
        <v>854</v>
      </c>
    </row>
    <row r="45" spans="1:31" x14ac:dyDescent="0.25">
      <c r="A45" t="s">
        <v>152</v>
      </c>
    </row>
    <row r="46" spans="1:31" x14ac:dyDescent="0.25">
      <c r="D46">
        <v>319786</v>
      </c>
      <c r="K46" t="s">
        <v>234</v>
      </c>
      <c r="L46" t="s">
        <v>260</v>
      </c>
      <c r="M46" t="s">
        <v>304</v>
      </c>
      <c r="N46" t="s">
        <v>330</v>
      </c>
      <c r="O46" t="s">
        <v>330</v>
      </c>
      <c r="P46" t="s">
        <v>382</v>
      </c>
      <c r="Q46" t="s">
        <v>410</v>
      </c>
      <c r="R46" t="s">
        <v>437</v>
      </c>
      <c r="S46" t="s">
        <v>465</v>
      </c>
      <c r="T46" t="s">
        <v>497</v>
      </c>
      <c r="U46" t="s">
        <v>532</v>
      </c>
      <c r="V46" t="s">
        <v>566</v>
      </c>
      <c r="W46" t="s">
        <v>599</v>
      </c>
      <c r="X46" t="s">
        <v>630</v>
      </c>
      <c r="Y46" t="s">
        <v>660</v>
      </c>
      <c r="Z46" t="s">
        <v>690</v>
      </c>
      <c r="AA46" t="s">
        <v>721</v>
      </c>
      <c r="AB46" t="s">
        <v>752</v>
      </c>
      <c r="AC46" t="s">
        <v>786</v>
      </c>
      <c r="AD46" t="s">
        <v>823</v>
      </c>
      <c r="AE46" t="s">
        <v>855</v>
      </c>
    </row>
    <row r="47" spans="1:31" x14ac:dyDescent="0.25">
      <c r="A47" t="s">
        <v>153</v>
      </c>
    </row>
    <row r="48" spans="1:31" x14ac:dyDescent="0.25">
      <c r="D48">
        <v>397000</v>
      </c>
      <c r="K48" t="s">
        <v>215</v>
      </c>
      <c r="L48" t="s">
        <v>261</v>
      </c>
      <c r="M48" t="s">
        <v>305</v>
      </c>
      <c r="N48" t="s">
        <v>331</v>
      </c>
      <c r="O48" t="s">
        <v>355</v>
      </c>
      <c r="P48" t="s">
        <v>383</v>
      </c>
      <c r="Q48" t="s">
        <v>411</v>
      </c>
      <c r="R48" t="s">
        <v>438</v>
      </c>
      <c r="S48" t="s">
        <v>466</v>
      </c>
      <c r="T48" t="s">
        <v>498</v>
      </c>
      <c r="U48" t="s">
        <v>533</v>
      </c>
      <c r="V48" t="s">
        <v>567</v>
      </c>
      <c r="W48" t="s">
        <v>600</v>
      </c>
      <c r="X48" t="s">
        <v>631</v>
      </c>
      <c r="Y48" t="s">
        <v>661</v>
      </c>
      <c r="Z48" t="s">
        <v>691</v>
      </c>
      <c r="AA48" t="s">
        <v>661</v>
      </c>
      <c r="AB48" t="s">
        <v>753</v>
      </c>
      <c r="AC48" t="s">
        <v>787</v>
      </c>
      <c r="AD48" t="s">
        <v>824</v>
      </c>
      <c r="AE48" t="s">
        <v>856</v>
      </c>
    </row>
    <row r="49" spans="1:31" x14ac:dyDescent="0.25">
      <c r="A49" t="s">
        <v>154</v>
      </c>
    </row>
    <row r="50" spans="1:31" x14ac:dyDescent="0.25">
      <c r="D50">
        <v>275997</v>
      </c>
      <c r="K50" t="s">
        <v>216</v>
      </c>
      <c r="L50" t="s">
        <v>262</v>
      </c>
      <c r="M50" t="s">
        <v>306</v>
      </c>
      <c r="N50" t="s">
        <v>332</v>
      </c>
      <c r="O50" t="s">
        <v>356</v>
      </c>
      <c r="P50" t="s">
        <v>384</v>
      </c>
      <c r="Q50" t="s">
        <v>412</v>
      </c>
      <c r="R50" t="s">
        <v>439</v>
      </c>
      <c r="S50" t="s">
        <v>467</v>
      </c>
      <c r="T50" t="s">
        <v>499</v>
      </c>
      <c r="U50" t="s">
        <v>534</v>
      </c>
      <c r="V50" t="s">
        <v>568</v>
      </c>
      <c r="W50" t="s">
        <v>601</v>
      </c>
      <c r="X50" t="s">
        <v>632</v>
      </c>
      <c r="Y50" t="s">
        <v>662</v>
      </c>
      <c r="Z50" t="s">
        <v>662</v>
      </c>
      <c r="AA50" t="s">
        <v>722</v>
      </c>
      <c r="AB50" t="s">
        <v>754</v>
      </c>
      <c r="AC50" t="s">
        <v>601</v>
      </c>
      <c r="AD50" t="s">
        <v>825</v>
      </c>
      <c r="AE50" t="s">
        <v>857</v>
      </c>
    </row>
    <row r="51" spans="1:31" x14ac:dyDescent="0.25">
      <c r="A51" t="s">
        <v>155</v>
      </c>
    </row>
    <row r="52" spans="1:31" x14ac:dyDescent="0.25">
      <c r="D52">
        <v>188988</v>
      </c>
      <c r="K52" t="s">
        <v>217</v>
      </c>
      <c r="L52" t="s">
        <v>263</v>
      </c>
      <c r="M52" t="s">
        <v>307</v>
      </c>
      <c r="N52" t="s">
        <v>333</v>
      </c>
      <c r="O52" t="s">
        <v>357</v>
      </c>
      <c r="P52" t="s">
        <v>385</v>
      </c>
      <c r="Q52" t="s">
        <v>385</v>
      </c>
      <c r="R52" t="s">
        <v>440</v>
      </c>
      <c r="S52" t="s">
        <v>468</v>
      </c>
      <c r="T52" t="s">
        <v>468</v>
      </c>
      <c r="U52" t="s">
        <v>535</v>
      </c>
      <c r="V52" t="s">
        <v>569</v>
      </c>
      <c r="W52" t="s">
        <v>602</v>
      </c>
      <c r="X52" t="s">
        <v>633</v>
      </c>
      <c r="Y52" t="s">
        <v>663</v>
      </c>
      <c r="Z52" t="s">
        <v>692</v>
      </c>
      <c r="AA52" t="s">
        <v>723</v>
      </c>
      <c r="AB52" t="s">
        <v>755</v>
      </c>
      <c r="AC52" t="s">
        <v>788</v>
      </c>
      <c r="AD52" t="s">
        <v>826</v>
      </c>
      <c r="AE52" t="s">
        <v>858</v>
      </c>
    </row>
    <row r="53" spans="1:31" x14ac:dyDescent="0.25">
      <c r="A53" t="s">
        <v>156</v>
      </c>
    </row>
    <row r="54" spans="1:31" x14ac:dyDescent="0.25">
      <c r="D54">
        <v>82991</v>
      </c>
      <c r="K54" t="s">
        <v>235</v>
      </c>
      <c r="L54" t="s">
        <v>264</v>
      </c>
      <c r="M54" t="s">
        <v>308</v>
      </c>
      <c r="N54" t="s">
        <v>334</v>
      </c>
      <c r="O54" t="s">
        <v>334</v>
      </c>
      <c r="P54" t="s">
        <v>386</v>
      </c>
      <c r="Q54" t="s">
        <v>413</v>
      </c>
      <c r="R54">
        <v>115693</v>
      </c>
      <c r="S54" t="s">
        <v>469</v>
      </c>
      <c r="T54" t="s">
        <v>500</v>
      </c>
      <c r="U54" t="s">
        <v>536</v>
      </c>
      <c r="V54" t="s">
        <v>570</v>
      </c>
      <c r="W54" t="s">
        <v>603</v>
      </c>
      <c r="X54" t="s">
        <v>634</v>
      </c>
      <c r="Y54" t="s">
        <v>387</v>
      </c>
      <c r="Z54" t="s">
        <v>693</v>
      </c>
      <c r="AA54" t="s">
        <v>724</v>
      </c>
      <c r="AB54" t="s">
        <v>756</v>
      </c>
      <c r="AC54" t="s">
        <v>789</v>
      </c>
      <c r="AD54" t="s">
        <v>827</v>
      </c>
      <c r="AE54" t="s">
        <v>859</v>
      </c>
    </row>
    <row r="55" spans="1:31" x14ac:dyDescent="0.25">
      <c r="A55" t="s">
        <v>157</v>
      </c>
    </row>
    <row r="56" spans="1:31" x14ac:dyDescent="0.25">
      <c r="D56">
        <v>94990</v>
      </c>
      <c r="K56" t="s">
        <v>218</v>
      </c>
      <c r="L56" t="s">
        <v>265</v>
      </c>
      <c r="M56" t="s">
        <v>309</v>
      </c>
      <c r="N56">
        <v>100992</v>
      </c>
      <c r="O56" t="s">
        <v>358</v>
      </c>
      <c r="P56" t="s">
        <v>387</v>
      </c>
      <c r="Q56" t="s">
        <v>414</v>
      </c>
      <c r="R56" t="s">
        <v>441</v>
      </c>
      <c r="S56" t="s">
        <v>470</v>
      </c>
      <c r="T56" t="s">
        <v>501</v>
      </c>
      <c r="U56" t="s">
        <v>537</v>
      </c>
      <c r="V56" t="s">
        <v>571</v>
      </c>
      <c r="W56" t="s">
        <v>604</v>
      </c>
      <c r="X56" t="s">
        <v>635</v>
      </c>
      <c r="Y56" t="s">
        <v>664</v>
      </c>
      <c r="Z56" t="s">
        <v>694</v>
      </c>
      <c r="AA56" t="s">
        <v>725</v>
      </c>
      <c r="AB56" t="s">
        <v>757</v>
      </c>
      <c r="AC56" t="s">
        <v>790</v>
      </c>
      <c r="AD56" t="s">
        <v>828</v>
      </c>
      <c r="AE56" t="s">
        <v>860</v>
      </c>
    </row>
    <row r="57" spans="1:31" x14ac:dyDescent="0.25">
      <c r="A57" t="s">
        <v>158</v>
      </c>
    </row>
    <row r="58" spans="1:31" x14ac:dyDescent="0.25">
      <c r="D58">
        <v>33199</v>
      </c>
      <c r="K58" t="s">
        <v>236</v>
      </c>
      <c r="L58" t="s">
        <v>266</v>
      </c>
      <c r="M58" t="s">
        <v>310</v>
      </c>
      <c r="N58" t="s">
        <v>335</v>
      </c>
      <c r="O58" t="s">
        <v>359</v>
      </c>
      <c r="P58" t="s">
        <v>388</v>
      </c>
      <c r="Q58" t="s">
        <v>415</v>
      </c>
      <c r="R58" t="s">
        <v>442</v>
      </c>
      <c r="S58" t="s">
        <v>471</v>
      </c>
      <c r="T58" t="s">
        <v>502</v>
      </c>
      <c r="U58" t="s">
        <v>538</v>
      </c>
      <c r="V58" t="s">
        <v>572</v>
      </c>
      <c r="W58" t="s">
        <v>605</v>
      </c>
      <c r="X58" t="s">
        <v>636</v>
      </c>
      <c r="Y58" t="s">
        <v>665</v>
      </c>
      <c r="Z58" t="s">
        <v>695</v>
      </c>
      <c r="AA58" t="s">
        <v>726</v>
      </c>
      <c r="AB58" t="s">
        <v>758</v>
      </c>
      <c r="AC58" t="s">
        <v>791</v>
      </c>
      <c r="AD58" t="s">
        <v>829</v>
      </c>
      <c r="AE58" t="s">
        <v>861</v>
      </c>
    </row>
    <row r="59" spans="1:31" x14ac:dyDescent="0.25">
      <c r="A59" t="s">
        <v>159</v>
      </c>
    </row>
    <row r="60" spans="1:31" x14ac:dyDescent="0.25">
      <c r="D60">
        <v>59995</v>
      </c>
      <c r="K60" t="s">
        <v>237</v>
      </c>
      <c r="L60" t="s">
        <v>267</v>
      </c>
      <c r="M60" t="s">
        <v>267</v>
      </c>
      <c r="N60" t="s">
        <v>336</v>
      </c>
      <c r="O60" t="s">
        <v>360</v>
      </c>
      <c r="P60" t="s">
        <v>389</v>
      </c>
      <c r="Q60" t="s">
        <v>416</v>
      </c>
      <c r="R60" t="s">
        <v>443</v>
      </c>
      <c r="S60" t="s">
        <v>472</v>
      </c>
      <c r="T60" t="s">
        <v>503</v>
      </c>
      <c r="U60" t="s">
        <v>539</v>
      </c>
      <c r="V60" t="s">
        <v>573</v>
      </c>
      <c r="W60" t="s">
        <v>573</v>
      </c>
      <c r="X60" t="s">
        <v>637</v>
      </c>
      <c r="Y60" t="s">
        <v>666</v>
      </c>
      <c r="Z60" t="s">
        <v>696</v>
      </c>
      <c r="AA60" t="s">
        <v>727</v>
      </c>
      <c r="AB60" t="s">
        <v>759</v>
      </c>
      <c r="AC60" t="s">
        <v>792</v>
      </c>
      <c r="AD60" t="s">
        <v>830</v>
      </c>
      <c r="AE60" t="s">
        <v>862</v>
      </c>
    </row>
    <row r="61" spans="1:31" x14ac:dyDescent="0.25">
      <c r="A61" t="s">
        <v>160</v>
      </c>
    </row>
    <row r="62" spans="1:31" x14ac:dyDescent="0.25">
      <c r="D62">
        <v>143793</v>
      </c>
      <c r="K62" t="s">
        <v>207</v>
      </c>
      <c r="L62" t="s">
        <v>268</v>
      </c>
      <c r="M62" t="s">
        <v>311</v>
      </c>
      <c r="N62" t="s">
        <v>337</v>
      </c>
      <c r="O62" t="s">
        <v>337</v>
      </c>
      <c r="P62" t="s">
        <v>390</v>
      </c>
      <c r="Q62" t="s">
        <v>390</v>
      </c>
      <c r="R62" t="s">
        <v>444</v>
      </c>
      <c r="S62" t="s">
        <v>473</v>
      </c>
      <c r="T62" t="s">
        <v>473</v>
      </c>
      <c r="U62" t="s">
        <v>540</v>
      </c>
      <c r="V62" t="s">
        <v>574</v>
      </c>
      <c r="W62" t="s">
        <v>574</v>
      </c>
      <c r="X62" t="s">
        <v>638</v>
      </c>
      <c r="Y62">
        <v>139997</v>
      </c>
      <c r="Z62" t="s">
        <v>697</v>
      </c>
      <c r="AA62" t="s">
        <v>728</v>
      </c>
      <c r="AB62" t="s">
        <v>760</v>
      </c>
      <c r="AC62" t="s">
        <v>793</v>
      </c>
      <c r="AD62" t="s">
        <v>831</v>
      </c>
      <c r="AE62" t="s">
        <v>863</v>
      </c>
    </row>
    <row r="63" spans="1:31" x14ac:dyDescent="0.25">
      <c r="A63" t="s">
        <v>161</v>
      </c>
    </row>
    <row r="64" spans="1:31" x14ac:dyDescent="0.25">
      <c r="D64">
        <v>146880</v>
      </c>
      <c r="K64" t="s">
        <v>238</v>
      </c>
      <c r="L64" t="s">
        <v>269</v>
      </c>
      <c r="M64" t="s">
        <v>312</v>
      </c>
      <c r="N64" t="s">
        <v>338</v>
      </c>
      <c r="O64" t="s">
        <v>361</v>
      </c>
      <c r="P64" t="s">
        <v>391</v>
      </c>
      <c r="Q64" t="s">
        <v>417</v>
      </c>
      <c r="R64" t="s">
        <v>445</v>
      </c>
      <c r="S64" t="s">
        <v>474</v>
      </c>
      <c r="T64" t="s">
        <v>504</v>
      </c>
      <c r="U64" t="s">
        <v>541</v>
      </c>
      <c r="V64" t="s">
        <v>575</v>
      </c>
      <c r="W64" t="s">
        <v>606</v>
      </c>
      <c r="X64" t="s">
        <v>639</v>
      </c>
      <c r="Y64" t="s">
        <v>667</v>
      </c>
      <c r="Z64" t="s">
        <v>698</v>
      </c>
      <c r="AA64" t="s">
        <v>729</v>
      </c>
      <c r="AB64" t="s">
        <v>761</v>
      </c>
      <c r="AC64" t="s">
        <v>794</v>
      </c>
      <c r="AD64" t="s">
        <v>832</v>
      </c>
      <c r="AE64" t="s">
        <v>864</v>
      </c>
    </row>
    <row r="65" spans="1:31" x14ac:dyDescent="0.25">
      <c r="A65" t="s">
        <v>162</v>
      </c>
    </row>
    <row r="66" spans="1:31" x14ac:dyDescent="0.25">
      <c r="D66">
        <v>106830</v>
      </c>
      <c r="K66">
        <v>99948</v>
      </c>
      <c r="L66" t="s">
        <v>270</v>
      </c>
      <c r="M66" t="s">
        <v>313</v>
      </c>
      <c r="N66">
        <v>1</v>
      </c>
      <c r="O66" t="s">
        <v>362</v>
      </c>
      <c r="P66" t="s">
        <v>392</v>
      </c>
      <c r="Q66" t="s">
        <v>392</v>
      </c>
      <c r="R66" t="s">
        <v>446</v>
      </c>
      <c r="S66" t="s">
        <v>475</v>
      </c>
      <c r="T66" t="s">
        <v>505</v>
      </c>
      <c r="U66" t="s">
        <v>542</v>
      </c>
      <c r="V66" t="s">
        <v>576</v>
      </c>
      <c r="W66" t="s">
        <v>607</v>
      </c>
      <c r="X66" t="s">
        <v>640</v>
      </c>
      <c r="Y66">
        <v>106969</v>
      </c>
      <c r="Z66" t="s">
        <v>699</v>
      </c>
      <c r="AA66" t="s">
        <v>730</v>
      </c>
      <c r="AB66" t="s">
        <v>762</v>
      </c>
      <c r="AC66" t="s">
        <v>795</v>
      </c>
      <c r="AD66" t="s">
        <v>833</v>
      </c>
      <c r="AE66" t="s">
        <v>865</v>
      </c>
    </row>
    <row r="67" spans="1:31" x14ac:dyDescent="0.25">
      <c r="A67" t="s">
        <v>163</v>
      </c>
    </row>
    <row r="68" spans="1:31" x14ac:dyDescent="0.25">
      <c r="D68">
        <v>319939</v>
      </c>
      <c r="K68">
        <v>1</v>
      </c>
      <c r="L68" t="s">
        <v>271</v>
      </c>
      <c r="M68">
        <v>1</v>
      </c>
      <c r="N68">
        <v>1</v>
      </c>
      <c r="O68">
        <v>288999</v>
      </c>
      <c r="P68">
        <v>299999</v>
      </c>
      <c r="Q68">
        <v>299999</v>
      </c>
      <c r="R68">
        <v>39987</v>
      </c>
      <c r="S68">
        <v>39845</v>
      </c>
      <c r="T68" t="s">
        <v>506</v>
      </c>
      <c r="U68" t="s">
        <v>543</v>
      </c>
      <c r="V68" t="s">
        <v>577</v>
      </c>
      <c r="W68" t="s">
        <v>608</v>
      </c>
      <c r="X68" t="s">
        <v>641</v>
      </c>
      <c r="Y68">
        <v>349966</v>
      </c>
      <c r="Z68" t="s">
        <v>700</v>
      </c>
      <c r="AA68" t="s">
        <v>731</v>
      </c>
      <c r="AB68" t="s">
        <v>763</v>
      </c>
      <c r="AC68" t="s">
        <v>796</v>
      </c>
      <c r="AD68" t="s">
        <v>497</v>
      </c>
      <c r="AE68" t="s">
        <v>866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11</vt:i4>
      </vt:variant>
    </vt:vector>
  </HeadingPairs>
  <TitlesOfParts>
    <vt:vector size="11" baseType="lpstr">
      <vt:lpstr>Ressources</vt:lpstr>
      <vt:lpstr>Trophées</vt:lpstr>
      <vt:lpstr>Comparatifs</vt:lpstr>
      <vt:lpstr>Ressources Idoles</vt:lpstr>
      <vt:lpstr>Idoles</vt:lpstr>
      <vt:lpstr>Comparatifs Idoles</vt:lpstr>
      <vt:lpstr>Taverne</vt:lpstr>
      <vt:lpstr>Runes</vt:lpstr>
      <vt:lpstr>Raw</vt:lpstr>
      <vt:lpstr>rose</vt:lpstr>
      <vt:lpstr>Feuil1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Greenlamp</dc:creator>
  <cp:lastModifiedBy>Greenlamp Greenlamp</cp:lastModifiedBy>
  <dcterms:created xsi:type="dcterms:W3CDTF">2017-10-14T13:58:45Z</dcterms:created>
  <dcterms:modified xsi:type="dcterms:W3CDTF">2021-03-05T10:10:36Z</dcterms:modified>
</cp:coreProperties>
</file>