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o365skku-my.sharepoint.com/personal/greg_nicaise_o365_skku_edu/Documents/OneDrive_1_11-12-2025/Decision Analytics/Group Project - Decision Analytics/"/>
    </mc:Choice>
  </mc:AlternateContent>
  <xr:revisionPtr revIDLastSave="6388" documentId="13_ncr:1_{7894675D-8B68-47E2-A6D9-480E1A60D5DE}" xr6:coauthVersionLast="47" xr6:coauthVersionMax="47" xr10:uidLastSave="{178AF5BB-2793-4EDA-9404-680C07392D18}"/>
  <bookViews>
    <workbookView xWindow="0" yWindow="380" windowWidth="19200" windowHeight="11210" firstSheet="1" activeTab="1" xr2:uid="{15077716-6AF5-4F62-9EF5-908E6E8A6AC2}"/>
  </bookViews>
  <sheets>
    <sheet name="Summary" sheetId="6" r:id="rId1"/>
    <sheet name="Model" sheetId="4" r:id="rId2"/>
    <sheet name="Fact Sheet" sheetId="5" r:id="rId3"/>
    <sheet name="Appendix 1" sheetId="8" r:id="rId4"/>
    <sheet name="Appendix 2" sheetId="7" r:id="rId5"/>
  </sheets>
  <definedNames>
    <definedName name="solver_adj" localSheetId="1" hidden="1">Model!$N$2:$N$15,Model!$C$2,Model!$D$3,Model!$E$4,Model!$I$5,Model!$J$6,Model!$F$7,Model!$G$8,Model!$H$9,Model!$F$10,Model!$G$11,Model!$D$12,Model!$I$13,Model!$E$14,Model!$B$15</definedName>
    <definedName name="solver_cvg" localSheetId="1" hidden="1">0.0001</definedName>
    <definedName name="solver_drv" localSheetId="1" hidden="1">1</definedName>
    <definedName name="solver_eng" localSheetId="2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Model!$AF$44</definedName>
    <definedName name="solver_lhs10" localSheetId="1" hidden="1">Model!$N$2:$N$15</definedName>
    <definedName name="solver_lhs11" localSheetId="1" hidden="1">Model!$N$2:$N$15</definedName>
    <definedName name="solver_lhs12" localSheetId="1" hidden="1">Model!$N$2:$N$15</definedName>
    <definedName name="solver_lhs13" localSheetId="1" hidden="1">Model!$N$2:$N$15</definedName>
    <definedName name="solver_lhs2" localSheetId="1" hidden="1">Model!$B$16:$M$16</definedName>
    <definedName name="solver_lhs3" localSheetId="1" hidden="1">Model!$B$38:$M$38</definedName>
    <definedName name="solver_lhs4" localSheetId="1" hidden="1">Model!$B$48:$M$48</definedName>
    <definedName name="solver_lhs5" localSheetId="1" hidden="1">Model!$B$58:$M$58</definedName>
    <definedName name="solver_lhs6" localSheetId="1" hidden="1">Model!$N$22:$N$27</definedName>
    <definedName name="solver_lhs7" localSheetId="1" hidden="1">Model!$N$2:$N$15</definedName>
    <definedName name="solver_lhs8" localSheetId="1" hidden="1">Model!$O$2:$O$15</definedName>
    <definedName name="solver_lhs9" localSheetId="1" hidden="1">Model!$N$2:$N$15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1" hidden="1">2147483647</definedName>
    <definedName name="solver_num" localSheetId="2" hidden="1">0</definedName>
    <definedName name="solver_num" localSheetId="1" hidden="1">8</definedName>
    <definedName name="solver_nwt" localSheetId="1" hidden="1">1</definedName>
    <definedName name="solver_opt" localSheetId="2" hidden="1">'Fact Sheet'!$J$9</definedName>
    <definedName name="solver_opt" localSheetId="1" hidden="1">Model!$AF$48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5</definedName>
    <definedName name="solver_rel11" localSheetId="1" hidden="1">5</definedName>
    <definedName name="solver_rel12" localSheetId="1" hidden="1">5</definedName>
    <definedName name="solver_rel13" localSheetId="1" hidden="1">5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5</definedName>
    <definedName name="solver_rel8" localSheetId="1" hidden="1">1</definedName>
    <definedName name="solver_rel9" localSheetId="1" hidden="1">5</definedName>
    <definedName name="solver_rhs1" localSheetId="1" hidden="1">Model!$AH$44</definedName>
    <definedName name="solver_rhs10" localSheetId="1" hidden="1">"binary"</definedName>
    <definedName name="solver_rhs11" localSheetId="1" hidden="1">"binary"</definedName>
    <definedName name="solver_rhs12" localSheetId="1" hidden="1">"binary"</definedName>
    <definedName name="solver_rhs13" localSheetId="1" hidden="1">"binary"</definedName>
    <definedName name="solver_rhs2" localSheetId="1" hidden="1">Model!$B$18:$M$18</definedName>
    <definedName name="solver_rhs3" localSheetId="1" hidden="1">Model!$B$40:$M$40</definedName>
    <definedName name="solver_rhs4" localSheetId="1" hidden="1">Model!$B$50:$M$50</definedName>
    <definedName name="solver_rhs5" localSheetId="1" hidden="1">Model!$B$60:$M$60</definedName>
    <definedName name="solver_rhs6" localSheetId="1" hidden="1">Model!$P$22:$P$27</definedName>
    <definedName name="solver_rhs7" localSheetId="1" hidden="1">"binary"</definedName>
    <definedName name="solver_rhs8" localSheetId="1" hidden="1">Model!$Q$2:$Q$15</definedName>
    <definedName name="solver_rhs9" localSheetId="1" hidden="1">"binary"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7" l="1" a="1"/>
  <c r="G32" i="7"/>
  <c r="G26" i="7" a="1"/>
  <c r="G26" i="7"/>
  <c r="G20" i="7" a="1"/>
  <c r="G20" i="7"/>
  <c r="G14" i="7" a="1"/>
  <c r="G14" i="7"/>
  <c r="G8" i="7" a="1"/>
  <c r="G8" i="7"/>
  <c r="T16" i="4"/>
  <c r="T14" i="4"/>
  <c r="G2" i="7" a="1"/>
  <c r="G2" i="7" s="1"/>
  <c r="Q13" i="4"/>
  <c r="Q14" i="4"/>
  <c r="Q12" i="4"/>
  <c r="Q11" i="4"/>
  <c r="Q10" i="4"/>
  <c r="Q9" i="4"/>
  <c r="Q8" i="4"/>
  <c r="Q7" i="4"/>
  <c r="Q6" i="4"/>
  <c r="Q5" i="4"/>
  <c r="Q4" i="4"/>
  <c r="Q3" i="4"/>
  <c r="Q2" i="4"/>
  <c r="Q15" i="4"/>
  <c r="T11" i="4"/>
  <c r="T15" i="4"/>
  <c r="T13" i="4"/>
  <c r="T12" i="4"/>
  <c r="M50" i="4"/>
  <c r="L50" i="4"/>
  <c r="K50" i="4"/>
  <c r="J50" i="4"/>
  <c r="I50" i="4"/>
  <c r="H50" i="4"/>
  <c r="G50" i="4"/>
  <c r="F50" i="4"/>
  <c r="E50" i="4"/>
  <c r="D50" i="4"/>
  <c r="C50" i="4"/>
  <c r="B50" i="4"/>
  <c r="G53" i="5"/>
  <c r="H53" i="5"/>
  <c r="I53" i="5"/>
  <c r="L53" i="5" l="1"/>
  <c r="K53" i="5"/>
  <c r="J53" i="5"/>
  <c r="L25" i="5"/>
  <c r="K25" i="5"/>
  <c r="J25" i="5"/>
  <c r="I25" i="5"/>
  <c r="H25" i="5"/>
  <c r="G25" i="5"/>
  <c r="H20" i="5"/>
  <c r="I20" i="5"/>
  <c r="J20" i="5"/>
  <c r="K20" i="5"/>
  <c r="L20" i="5"/>
  <c r="G20" i="5"/>
  <c r="H48" i="5"/>
  <c r="I48" i="5"/>
  <c r="J48" i="5"/>
  <c r="K48" i="5"/>
  <c r="L48" i="5"/>
  <c r="G48" i="5"/>
  <c r="G15" i="5"/>
  <c r="H15" i="5"/>
  <c r="I15" i="5"/>
  <c r="J15" i="5"/>
  <c r="K15" i="5"/>
  <c r="L15" i="5"/>
  <c r="L34" i="5"/>
  <c r="P27" i="4" s="1"/>
  <c r="K34" i="5"/>
  <c r="P26" i="4" s="1"/>
  <c r="J34" i="5"/>
  <c r="P25" i="4" s="1"/>
  <c r="I34" i="5"/>
  <c r="P24" i="4" s="1"/>
  <c r="H34" i="5"/>
  <c r="P23" i="4" s="1"/>
  <c r="G34" i="5"/>
  <c r="P22" i="4" s="1"/>
  <c r="E37" i="7" l="1"/>
  <c r="D37" i="7"/>
  <c r="E36" i="7"/>
  <c r="D36" i="7"/>
  <c r="E35" i="7"/>
  <c r="D35" i="7"/>
  <c r="E31" i="7"/>
  <c r="D31" i="7"/>
  <c r="E30" i="7"/>
  <c r="D30" i="7"/>
  <c r="E29" i="7"/>
  <c r="D29" i="7"/>
  <c r="E25" i="7"/>
  <c r="D25" i="7"/>
  <c r="E24" i="7"/>
  <c r="D24" i="7"/>
  <c r="E23" i="7"/>
  <c r="D23" i="7"/>
  <c r="E19" i="7"/>
  <c r="D19" i="7"/>
  <c r="E18" i="7"/>
  <c r="D18" i="7"/>
  <c r="E17" i="7"/>
  <c r="D17" i="7"/>
  <c r="E13" i="7"/>
  <c r="D13" i="7"/>
  <c r="E12" i="7"/>
  <c r="D12" i="7"/>
  <c r="E11" i="7"/>
  <c r="D11" i="7"/>
  <c r="E7" i="7"/>
  <c r="D7" i="7"/>
  <c r="E6" i="7"/>
  <c r="D6" i="7"/>
  <c r="E5" i="7"/>
  <c r="D5" i="7"/>
  <c r="M26" i="7" l="1"/>
  <c r="M32" i="7"/>
  <c r="M8" i="7"/>
  <c r="M14" i="7"/>
  <c r="M20" i="7"/>
  <c r="M2" i="7"/>
  <c r="N2" i="7" s="1"/>
  <c r="M33" i="7" l="1"/>
  <c r="N33" i="7" s="1"/>
  <c r="M3" i="7"/>
  <c r="N3" i="7" s="1"/>
  <c r="M15" i="7"/>
  <c r="N15" i="7" s="1"/>
  <c r="M9" i="7"/>
  <c r="N9" i="7" s="1"/>
  <c r="N8" i="7"/>
  <c r="N14" i="7"/>
  <c r="M27" i="7"/>
  <c r="N27" i="7" s="1"/>
  <c r="M21" i="7"/>
  <c r="N21" i="7" s="1"/>
  <c r="M22" i="7"/>
  <c r="N22" i="7" s="1"/>
  <c r="N20" i="7"/>
  <c r="N32" i="7"/>
  <c r="N26" i="7"/>
  <c r="M28" i="7" l="1"/>
  <c r="N28" i="7" s="1"/>
  <c r="M16" i="7"/>
  <c r="N16" i="7" s="1"/>
  <c r="M10" i="7"/>
  <c r="N10" i="7" s="1"/>
  <c r="M17" i="7"/>
  <c r="N17" i="7" s="1"/>
  <c r="M34" i="7"/>
  <c r="N34" i="7" s="1"/>
  <c r="M23" i="7"/>
  <c r="M4" i="7"/>
  <c r="M5" i="7" s="1"/>
  <c r="N5" i="7" s="1"/>
  <c r="AH44" i="4"/>
  <c r="M29" i="7" l="1"/>
  <c r="M35" i="7"/>
  <c r="N35" i="7" s="1"/>
  <c r="M18" i="7"/>
  <c r="N18" i="7" s="1"/>
  <c r="N4" i="7"/>
  <c r="M6" i="7"/>
  <c r="N6" i="7" s="1"/>
  <c r="N23" i="7"/>
  <c r="M24" i="7"/>
  <c r="N24" i="7" s="1"/>
  <c r="M11" i="7"/>
  <c r="N11" i="7" s="1"/>
  <c r="T36" i="4"/>
  <c r="T34" i="4"/>
  <c r="AE38" i="4"/>
  <c r="AE43" i="4" s="1"/>
  <c r="AE44" i="4" s="1"/>
  <c r="AB32" i="4"/>
  <c r="AA32" i="4"/>
  <c r="Z32" i="4"/>
  <c r="Y32" i="4"/>
  <c r="X32" i="4"/>
  <c r="W32" i="4"/>
  <c r="V32" i="4"/>
  <c r="U32" i="4"/>
  <c r="T32" i="4"/>
  <c r="U28" i="4"/>
  <c r="V28" i="4"/>
  <c r="AE28" i="4"/>
  <c r="T28" i="4"/>
  <c r="M40" i="4"/>
  <c r="L40" i="4"/>
  <c r="K40" i="4"/>
  <c r="J40" i="4"/>
  <c r="I40" i="4"/>
  <c r="H40" i="4"/>
  <c r="G40" i="4"/>
  <c r="F40" i="4"/>
  <c r="E40" i="4"/>
  <c r="D40" i="4"/>
  <c r="C40" i="4"/>
  <c r="M18" i="4"/>
  <c r="L18" i="4"/>
  <c r="K18" i="4"/>
  <c r="J18" i="4"/>
  <c r="I18" i="4"/>
  <c r="H18" i="4"/>
  <c r="G18" i="4"/>
  <c r="F18" i="4"/>
  <c r="E18" i="4"/>
  <c r="D18" i="4"/>
  <c r="C18" i="4"/>
  <c r="B18" i="4"/>
  <c r="B40" i="4"/>
  <c r="AE48" i="4" l="1"/>
  <c r="M7" i="7"/>
  <c r="N7" i="7" s="1"/>
  <c r="N29" i="7"/>
  <c r="M30" i="7"/>
  <c r="M36" i="7"/>
  <c r="N36" i="7" s="1"/>
  <c r="M25" i="7"/>
  <c r="N25" i="7" s="1"/>
  <c r="M19" i="7"/>
  <c r="N19" i="7" s="1"/>
  <c r="M12" i="7"/>
  <c r="N12" i="7" s="1"/>
  <c r="T17" i="4"/>
  <c r="B37" i="4"/>
  <c r="E36" i="4"/>
  <c r="I35" i="4"/>
  <c r="D35" i="4"/>
  <c r="F34" i="4"/>
  <c r="F33" i="4"/>
  <c r="I32" i="4"/>
  <c r="C32" i="4"/>
  <c r="B47" i="4"/>
  <c r="E46" i="4"/>
  <c r="I45" i="4"/>
  <c r="D45" i="4"/>
  <c r="F44" i="4"/>
  <c r="F43" i="4"/>
  <c r="I42" i="4"/>
  <c r="C42" i="4"/>
  <c r="C15" i="4"/>
  <c r="D15" i="4"/>
  <c r="D47" i="4" s="1"/>
  <c r="E15" i="4"/>
  <c r="E47" i="4" s="1"/>
  <c r="F15" i="4"/>
  <c r="F37" i="4" s="1"/>
  <c r="G15" i="4"/>
  <c r="G47" i="4" s="1"/>
  <c r="H15" i="4"/>
  <c r="F14" i="4"/>
  <c r="F46" i="4" s="1"/>
  <c r="G14" i="4"/>
  <c r="G36" i="4" s="1"/>
  <c r="H14" i="4"/>
  <c r="H36" i="4" s="1"/>
  <c r="I14" i="4"/>
  <c r="J14" i="4"/>
  <c r="K14" i="4"/>
  <c r="J13" i="4"/>
  <c r="J45" i="4" s="1"/>
  <c r="K13" i="4"/>
  <c r="K35" i="4" s="1"/>
  <c r="L13" i="4"/>
  <c r="E12" i="4"/>
  <c r="E35" i="4" s="1"/>
  <c r="F12" i="4"/>
  <c r="F35" i="4" s="1"/>
  <c r="G12" i="4"/>
  <c r="H11" i="4"/>
  <c r="I11" i="4"/>
  <c r="J11" i="4"/>
  <c r="I10" i="4"/>
  <c r="H10" i="4"/>
  <c r="G10" i="4"/>
  <c r="G44" i="4" s="1"/>
  <c r="J9" i="4"/>
  <c r="I8" i="4"/>
  <c r="I9" i="4"/>
  <c r="H8" i="4"/>
  <c r="H7" i="4"/>
  <c r="G7" i="4"/>
  <c r="G33" i="4" s="1"/>
  <c r="L6" i="4"/>
  <c r="K6" i="4"/>
  <c r="K5" i="4"/>
  <c r="J5" i="4"/>
  <c r="G4" i="4"/>
  <c r="F4" i="4"/>
  <c r="F3" i="4"/>
  <c r="E3" i="4"/>
  <c r="E2" i="4"/>
  <c r="D2" i="4"/>
  <c r="M60" i="4"/>
  <c r="L60" i="4"/>
  <c r="K60" i="4"/>
  <c r="J60" i="4"/>
  <c r="I60" i="4"/>
  <c r="H60" i="4"/>
  <c r="G60" i="4"/>
  <c r="F60" i="4"/>
  <c r="E60" i="4"/>
  <c r="D60" i="4"/>
  <c r="C60" i="4"/>
  <c r="B60" i="4"/>
  <c r="M58" i="4"/>
  <c r="B58" i="4"/>
  <c r="M48" i="4"/>
  <c r="M38" i="4"/>
  <c r="M16" i="4"/>
  <c r="B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H58" i="5"/>
  <c r="J58" i="5"/>
  <c r="I58" i="5"/>
  <c r="K58" i="5"/>
  <c r="L58" i="5"/>
  <c r="G58" i="5"/>
  <c r="M37" i="7" l="1"/>
  <c r="N37" i="7" s="1"/>
  <c r="N30" i="7"/>
  <c r="M31" i="7"/>
  <c r="N31" i="7" s="1"/>
  <c r="M13" i="7"/>
  <c r="N13" i="7" s="1"/>
  <c r="U42" i="4"/>
  <c r="AD42" i="4"/>
  <c r="AC42" i="4"/>
  <c r="AB42" i="4"/>
  <c r="AA42" i="4"/>
  <c r="Z42" i="4"/>
  <c r="Y42" i="4"/>
  <c r="X42" i="4"/>
  <c r="W42" i="4"/>
  <c r="V42" i="4"/>
  <c r="T42" i="4"/>
  <c r="W34" i="4"/>
  <c r="W36" i="4"/>
  <c r="D42" i="4"/>
  <c r="D48" i="4" s="1"/>
  <c r="V33" i="4" s="1"/>
  <c r="V34" i="4"/>
  <c r="V36" i="4"/>
  <c r="AA34" i="4"/>
  <c r="AA36" i="4"/>
  <c r="X34" i="4"/>
  <c r="X36" i="4"/>
  <c r="C47" i="4"/>
  <c r="C48" i="4" s="1"/>
  <c r="U33" i="4" s="1"/>
  <c r="U34" i="4"/>
  <c r="U36" i="4"/>
  <c r="Y34" i="4"/>
  <c r="Y36" i="4"/>
  <c r="J32" i="4"/>
  <c r="AB34" i="4"/>
  <c r="AB36" i="4"/>
  <c r="AC34" i="4"/>
  <c r="AC36" i="4"/>
  <c r="AD36" i="4"/>
  <c r="AD34" i="4"/>
  <c r="Z34" i="4"/>
  <c r="Z36" i="4"/>
  <c r="L25" i="4"/>
  <c r="I23" i="4"/>
  <c r="J43" i="4"/>
  <c r="I36" i="4"/>
  <c r="G45" i="4"/>
  <c r="K26" i="4"/>
  <c r="K56" i="4" s="1"/>
  <c r="J36" i="4"/>
  <c r="I24" i="4"/>
  <c r="I54" i="4" s="1"/>
  <c r="J24" i="4"/>
  <c r="H23" i="4"/>
  <c r="E22" i="4"/>
  <c r="K22" i="4"/>
  <c r="L22" i="4"/>
  <c r="H47" i="4"/>
  <c r="F22" i="4"/>
  <c r="G32" i="4"/>
  <c r="J39" i="5"/>
  <c r="K39" i="5"/>
  <c r="H39" i="5"/>
  <c r="G39" i="5"/>
  <c r="I39" i="5"/>
  <c r="L39" i="5"/>
  <c r="B48" i="4"/>
  <c r="T33" i="4" s="1"/>
  <c r="B38" i="4"/>
  <c r="T37" i="4" s="1"/>
  <c r="H34" i="4"/>
  <c r="J23" i="4"/>
  <c r="G35" i="4"/>
  <c r="I33" i="4"/>
  <c r="J35" i="4"/>
  <c r="K32" i="4"/>
  <c r="I34" i="4"/>
  <c r="E32" i="4"/>
  <c r="J33" i="4"/>
  <c r="L32" i="4"/>
  <c r="H33" i="4"/>
  <c r="H27" i="4"/>
  <c r="F32" i="4"/>
  <c r="J34" i="4"/>
  <c r="C37" i="4"/>
  <c r="C38" i="4" s="1"/>
  <c r="U37" i="4" s="1"/>
  <c r="D37" i="4"/>
  <c r="E37" i="4"/>
  <c r="D32" i="4"/>
  <c r="L35" i="4"/>
  <c r="K36" i="4"/>
  <c r="G34" i="4"/>
  <c r="G37" i="4"/>
  <c r="F36" i="4"/>
  <c r="H37" i="4"/>
  <c r="G25" i="4"/>
  <c r="I26" i="4"/>
  <c r="J26" i="4"/>
  <c r="G22" i="4"/>
  <c r="K42" i="4"/>
  <c r="G43" i="4"/>
  <c r="G46" i="4"/>
  <c r="L42" i="4"/>
  <c r="G42" i="4"/>
  <c r="J42" i="4"/>
  <c r="F42" i="4"/>
  <c r="H43" i="4"/>
  <c r="E45" i="4"/>
  <c r="F45" i="4"/>
  <c r="H44" i="4"/>
  <c r="I44" i="4"/>
  <c r="E42" i="4"/>
  <c r="H46" i="4"/>
  <c r="I46" i="4"/>
  <c r="J44" i="4"/>
  <c r="K46" i="4"/>
  <c r="L16" i="4"/>
  <c r="I43" i="4"/>
  <c r="K45" i="4"/>
  <c r="D16" i="4"/>
  <c r="L45" i="4"/>
  <c r="F47" i="4"/>
  <c r="J46" i="4"/>
  <c r="C16" i="4"/>
  <c r="F16" i="4"/>
  <c r="K16" i="4"/>
  <c r="J16" i="4"/>
  <c r="I16" i="4"/>
  <c r="H16" i="4"/>
  <c r="G16" i="4"/>
  <c r="E16" i="4"/>
  <c r="C58" i="4"/>
  <c r="D58" i="4"/>
  <c r="Y35" i="4" l="1"/>
  <c r="AF42" i="4"/>
  <c r="U38" i="4"/>
  <c r="U43" i="4" s="1"/>
  <c r="U44" i="4" s="1"/>
  <c r="U48" i="4" s="1"/>
  <c r="AF36" i="4"/>
  <c r="K52" i="4"/>
  <c r="K58" i="4" s="1"/>
  <c r="AC35" i="4"/>
  <c r="E52" i="4"/>
  <c r="E58" i="4" s="1"/>
  <c r="W35" i="4"/>
  <c r="H53" i="4"/>
  <c r="Z35" i="4"/>
  <c r="AB35" i="4"/>
  <c r="F52" i="4"/>
  <c r="F58" i="4" s="1"/>
  <c r="X35" i="4"/>
  <c r="AF32" i="4" s="1"/>
  <c r="I53" i="4"/>
  <c r="AA35" i="4"/>
  <c r="L52" i="4"/>
  <c r="AD35" i="4"/>
  <c r="T38" i="4"/>
  <c r="T43" i="4" s="1"/>
  <c r="T44" i="4" s="1"/>
  <c r="AD25" i="4"/>
  <c r="L55" i="4"/>
  <c r="AA23" i="4"/>
  <c r="N36" i="4"/>
  <c r="N24" i="4"/>
  <c r="Z27" i="4"/>
  <c r="AF27" i="4" s="1"/>
  <c r="AB24" i="4"/>
  <c r="J54" i="4"/>
  <c r="AC26" i="4"/>
  <c r="N47" i="4"/>
  <c r="W22" i="4"/>
  <c r="X22" i="4"/>
  <c r="X28" i="4" s="1"/>
  <c r="Z23" i="4"/>
  <c r="AD22" i="4"/>
  <c r="AB26" i="4"/>
  <c r="AC22" i="4"/>
  <c r="AA24" i="4"/>
  <c r="AA26" i="4"/>
  <c r="N45" i="4"/>
  <c r="N33" i="4"/>
  <c r="N35" i="4"/>
  <c r="N34" i="4"/>
  <c r="N32" i="4"/>
  <c r="N46" i="4"/>
  <c r="N43" i="4"/>
  <c r="N42" i="4"/>
  <c r="N44" i="4"/>
  <c r="N37" i="4"/>
  <c r="N22" i="4"/>
  <c r="Y22" i="4"/>
  <c r="N25" i="4"/>
  <c r="Y25" i="4"/>
  <c r="J53" i="4"/>
  <c r="AB23" i="4"/>
  <c r="L38" i="4"/>
  <c r="AD37" i="4" s="1"/>
  <c r="N23" i="4"/>
  <c r="N26" i="4"/>
  <c r="H57" i="4"/>
  <c r="N27" i="4"/>
  <c r="I38" i="4"/>
  <c r="AA37" i="4" s="1"/>
  <c r="G55" i="4"/>
  <c r="G52" i="4"/>
  <c r="J56" i="4"/>
  <c r="I56" i="4"/>
  <c r="E48" i="4"/>
  <c r="W33" i="4" s="1"/>
  <c r="H38" i="4"/>
  <c r="Z37" i="4" s="1"/>
  <c r="L48" i="4"/>
  <c r="AD33" i="4" s="1"/>
  <c r="D38" i="4"/>
  <c r="V37" i="4" s="1"/>
  <c r="V38" i="4" s="1"/>
  <c r="V43" i="4" s="1"/>
  <c r="V44" i="4" s="1"/>
  <c r="V48" i="4" s="1"/>
  <c r="K48" i="4"/>
  <c r="AC33" i="4" s="1"/>
  <c r="F48" i="4"/>
  <c r="X33" i="4" s="1"/>
  <c r="I48" i="4"/>
  <c r="AA33" i="4" s="1"/>
  <c r="G38" i="4"/>
  <c r="Y37" i="4" s="1"/>
  <c r="J48" i="4"/>
  <c r="AB33" i="4" s="1"/>
  <c r="F38" i="4"/>
  <c r="X37" i="4" s="1"/>
  <c r="AF34" i="4" s="1"/>
  <c r="G48" i="4"/>
  <c r="Y33" i="4" s="1"/>
  <c r="K38" i="4"/>
  <c r="AC37" i="4" s="1"/>
  <c r="J38" i="4"/>
  <c r="AB37" i="4" s="1"/>
  <c r="E38" i="4"/>
  <c r="W37" i="4" s="1"/>
  <c r="H48" i="4"/>
  <c r="Z33" i="4" s="1"/>
  <c r="T48" i="4" l="1"/>
  <c r="L58" i="4"/>
  <c r="H58" i="4"/>
  <c r="AB38" i="4"/>
  <c r="AB43" i="4" s="1"/>
  <c r="AB44" i="4" s="1"/>
  <c r="AF37" i="4"/>
  <c r="Z38" i="4"/>
  <c r="Z43" i="4" s="1"/>
  <c r="Z44" i="4" s="1"/>
  <c r="AA38" i="4"/>
  <c r="AA43" i="4" s="1"/>
  <c r="AA44" i="4" s="1"/>
  <c r="X38" i="4"/>
  <c r="X43" i="4" s="1"/>
  <c r="X44" i="4" s="1"/>
  <c r="X48" i="4" s="1"/>
  <c r="AC38" i="4"/>
  <c r="AC43" i="4" s="1"/>
  <c r="AC44" i="4" s="1"/>
  <c r="AD38" i="4"/>
  <c r="AD43" i="4" s="1"/>
  <c r="AD44" i="4" s="1"/>
  <c r="W38" i="4"/>
  <c r="W43" i="4" s="1"/>
  <c r="W44" i="4" s="1"/>
  <c r="AF35" i="4"/>
  <c r="Y38" i="4"/>
  <c r="Y43" i="4" s="1"/>
  <c r="Y44" i="4" s="1"/>
  <c r="I58" i="4"/>
  <c r="AF33" i="4"/>
  <c r="Y28" i="4"/>
  <c r="AC28" i="4"/>
  <c r="AD28" i="4"/>
  <c r="AF26" i="4"/>
  <c r="Z28" i="4"/>
  <c r="AF23" i="4"/>
  <c r="AB28" i="4"/>
  <c r="AF22" i="4"/>
  <c r="W28" i="4"/>
  <c r="AF24" i="4"/>
  <c r="AA28" i="4"/>
  <c r="N38" i="4"/>
  <c r="N48" i="4"/>
  <c r="J58" i="4"/>
  <c r="G58" i="4"/>
  <c r="AD48" i="4" l="1"/>
  <c r="AC48" i="4"/>
  <c r="AA48" i="4"/>
  <c r="Z48" i="4"/>
  <c r="AB48" i="4"/>
  <c r="Y48" i="4"/>
  <c r="AF44" i="4"/>
  <c r="W48" i="4"/>
  <c r="AF43" i="4"/>
  <c r="AF25" i="4"/>
  <c r="AF38" i="4"/>
  <c r="AF28" i="4"/>
  <c r="AF48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<sst xmlns="http://schemas.openxmlformats.org/spreadsheetml/2006/main" count="1020" uniqueCount="262">
  <si>
    <t>Objective:</t>
  </si>
  <si>
    <t>Maximize farm profit through optimal crop mix across successions while keeping land, water, labor, storage, demand and budget constraints.</t>
  </si>
  <si>
    <t>Workflow:</t>
  </si>
  <si>
    <t>1. Input crop data &amp; constraints  →  2. LP + binary optimization  →  3. Planting schedules &amp; financials  →  4. Scenario testing</t>
  </si>
  <si>
    <t>Applications:</t>
  </si>
  <si>
    <t>Farm management software  •  Agricultural consulting  •  Cooperative planning  •  Education  •  Climate adaptation</t>
  </si>
  <si>
    <t>Limitations</t>
  </si>
  <si>
    <t>Rigid crop calendar (6 crops)</t>
  </si>
  <si>
    <t>Simplified for model-building. Real farms typically include more crops. Each succession has a hardcoded planting month (orange DV), growing months, and harvest month (purple). Adding new successions or crops requires manually building formulas throughout the sheet. Improvement: an app where farmers input crop, days to maturity, and seasonality — then successions auto-generate.</t>
  </si>
  <si>
    <t>No channel optimization</t>
  </si>
  <si>
    <t>Sales are not allocated across channels by the optimizer. See Appendix 1 (DV-based channel partitioning) or Appendix 2 (waterfall method using =SORT functions to prioritize) for more accurate approaches — both too complex for this assignment.</t>
  </si>
  <si>
    <t>Monthly time resolution (not 52 weeks)</t>
  </si>
  <si>
    <t>Days to maturity and planting/harvesting are simplified into whole months. A 52-week model would be more accurate but was not feasible for this assignment due to complexity.</t>
  </si>
  <si>
    <t>Fixed cost ≥ budget → infeasible</t>
  </si>
  <si>
    <t>Fixed costs (storage, irrigation, equipment, machinery) are set by user parameters, not DVs. If land &gt; 462 acres, storage &gt; 84,400 m³, or budget &lt; $1.17M, fixed costs alone exceed the budget and Solver fails. An app must warn users before this happens.</t>
  </si>
  <si>
    <t>Stress-tested: 120 scenarios</t>
  </si>
  <si>
    <t>Model confirmed fully linear across all tests. Simplex LP is the correct and sufficient method.</t>
  </si>
  <si>
    <t>Core Assumptions</t>
  </si>
  <si>
    <t>Fixed yields, zero crop failure</t>
  </si>
  <si>
    <t>Yield, demand, prices, and other externally variable parameters are set values with no variance. No pest/disease loss. Monte Carlo simulation could capture risk (drought, price swings, crop failure).</t>
  </si>
  <si>
    <t>Strict 3–7 month crop cycles</t>
  </si>
  <si>
    <t>Each crop has a fixed planting → growing → harvesting timeline. No early harvest, delayed planting, or weather-adjusted schedules.</t>
  </si>
  <si>
    <t>80/20 price split</t>
  </si>
  <si>
    <t>Revenue = yield × avg_price × 1.04 (80% sold at base price, 20% at 120% premium). This is a constant multiplier that preserves LP linearity, but if actual channel mix shifts, revenue estimates will be off.</t>
  </si>
  <si>
    <t>Equal sales across channels</t>
  </si>
  <si>
    <t>Weighted-average price and packaging costs are computed from fixed demand proportions across wholesale, D2C, and B2B. The optimizer does not allocate volume between channels.</t>
  </si>
  <si>
    <t>Yearly demand cap (not monthly)</t>
  </si>
  <si>
    <t>Monthly demand is aggregated into an annual cap, meaning buyers are not time-sensitive. Simplified due to constraint count limits.</t>
  </si>
  <si>
    <t>Profit-only objective</t>
  </si>
  <si>
    <t>Maximizes revenue minus cost. Does not consider soil health, crop rotation benefits, sustainability, or multi-year planning.</t>
  </si>
  <si>
    <t>Fixed infrastructure costs</t>
  </si>
  <si>
    <t>Storage, irrigation, equipment, and machinery costs are determined by user-set parameters (land, capacity) and are incurred regardless of what is planted. Not controlled by the optimizer.</t>
  </si>
  <si>
    <t>Binary planting decisions</t>
  </si>
  <si>
    <t>Each succession is either planted or not (0/1). This is not fully utilized right now, but is built in to control any succession specific fixed costs for future adaptations</t>
  </si>
  <si>
    <t>Field Crops</t>
    <phoneticPr fontId="4" type="noConversion"/>
  </si>
  <si>
    <t>JAN</t>
    <phoneticPr fontId="4" type="noConversion"/>
  </si>
  <si>
    <t>FEB</t>
    <phoneticPr fontId="4" type="noConversion"/>
  </si>
  <si>
    <t>MAR</t>
    <phoneticPr fontId="4" type="noConversion"/>
  </si>
  <si>
    <t>APR</t>
    <phoneticPr fontId="4" type="noConversion"/>
  </si>
  <si>
    <t>MAY</t>
    <phoneticPr fontId="4" type="noConversion"/>
  </si>
  <si>
    <t>JUN</t>
    <phoneticPr fontId="4" type="noConversion"/>
  </si>
  <si>
    <t>JUL</t>
    <phoneticPr fontId="4" type="noConversion"/>
  </si>
  <si>
    <t>AUG</t>
    <phoneticPr fontId="4" type="noConversion"/>
  </si>
  <si>
    <t>SEP</t>
    <phoneticPr fontId="4" type="noConversion"/>
  </si>
  <si>
    <t>OCT</t>
    <phoneticPr fontId="4" type="noConversion"/>
  </si>
  <si>
    <t>NOV</t>
    <phoneticPr fontId="4" type="noConversion"/>
  </si>
  <si>
    <t>DEC</t>
    <phoneticPr fontId="4" type="noConversion"/>
  </si>
  <si>
    <t>Plant (Y/N)
(Bin Const)</t>
    <phoneticPr fontId="4" type="noConversion"/>
  </si>
  <si>
    <t>Crop Diversity
Constraint</t>
    <phoneticPr fontId="4" type="noConversion"/>
  </si>
  <si>
    <t>Spinach (seed) #1</t>
  </si>
  <si>
    <t>&lt;=</t>
    <phoneticPr fontId="4" type="noConversion"/>
  </si>
  <si>
    <t>Spinach (seed) #2</t>
  </si>
  <si>
    <t>Spinach (seed) #3</t>
  </si>
  <si>
    <t>Spinach (seed) #4</t>
  </si>
  <si>
    <t>Spinach (seed) #5</t>
  </si>
  <si>
    <t>Cucumbers (seed) #1</t>
  </si>
  <si>
    <t>Cucumbers (seed) #2</t>
  </si>
  <si>
    <t>Cucumbers (seed) #3</t>
  </si>
  <si>
    <t>Sweet Corn #1</t>
  </si>
  <si>
    <t>Sweet Corn #2</t>
  </si>
  <si>
    <t>Harvest &amp; Seed/Sapling Storage</t>
    <phoneticPr fontId="4" type="noConversion"/>
  </si>
  <si>
    <t>Napa Cabbage (transplant) #1</t>
  </si>
  <si>
    <t>Water Storage</t>
    <phoneticPr fontId="4" type="noConversion"/>
  </si>
  <si>
    <t>Napa Cabbage (transplant) #2</t>
  </si>
  <si>
    <t>Irrigation System</t>
    <phoneticPr fontId="4" type="noConversion"/>
  </si>
  <si>
    <t>Hot Peppers (transplant) #1</t>
  </si>
  <si>
    <t>Equipment &amp; General Storage</t>
    <phoneticPr fontId="4" type="noConversion"/>
  </si>
  <si>
    <t>Garlic (seed) #1</t>
    <phoneticPr fontId="4" type="noConversion"/>
  </si>
  <si>
    <t>Fuel Storage</t>
    <phoneticPr fontId="4" type="noConversion"/>
  </si>
  <si>
    <t>Available
Land Constraint</t>
    <phoneticPr fontId="4" type="noConversion"/>
  </si>
  <si>
    <t>Machinery</t>
    <phoneticPr fontId="4" type="noConversion"/>
  </si>
  <si>
    <t>Total Fixed Cost
(Annual)</t>
    <phoneticPr fontId="4" type="noConversion"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</si>
  <si>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</si>
  <si>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</si>
  <si>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</si>
  <si>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</si>
  <si>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</si>
  <si>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</si>
  <si>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</si>
  <si>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</si>
  <si>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</si>
  <si>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</si>
  <si>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</si>
  <si>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</si>
  <si>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Spinach</t>
  </si>
  <si>
    <t>Cucumbers</t>
  </si>
  <si>
    <t>Sweet Corn</t>
  </si>
  <si>
    <t>Napa Cabbage</t>
  </si>
  <si>
    <t>Hot Peppers</t>
  </si>
  <si>
    <t>Garlic</t>
  </si>
  <si>
    <t>Yield vs Demand
Constraint</t>
    <phoneticPr fontId="4" type="noConversion"/>
  </si>
  <si>
    <t>Total Revenue</t>
    <phoneticPr fontId="4" type="noConversion"/>
  </si>
  <si>
    <t>Seed</t>
    <phoneticPr fontId="4" type="noConversion"/>
  </si>
  <si>
    <t>Water Supply</t>
    <phoneticPr fontId="4" type="noConversion"/>
  </si>
  <si>
    <t>Fertilizer &amp; Pesticide</t>
    <phoneticPr fontId="4" type="noConversion"/>
  </si>
  <si>
    <t>Packaging</t>
    <phoneticPr fontId="4" type="noConversion"/>
  </si>
  <si>
    <t>Fuel</t>
    <phoneticPr fontId="4" type="noConversion"/>
  </si>
  <si>
    <t>Seasonal Labor</t>
    <phoneticPr fontId="4" type="noConversion"/>
  </si>
  <si>
    <t>Seasonal
Labor Constraint</t>
    <phoneticPr fontId="4" type="noConversion"/>
  </si>
  <si>
    <t>Total Variable Cost</t>
    <phoneticPr fontId="4" type="noConversion"/>
  </si>
  <si>
    <t>Total Fixed Cost</t>
    <phoneticPr fontId="4" type="noConversion"/>
  </si>
  <si>
    <t>Total Cost</t>
    <phoneticPr fontId="4" type="noConversion"/>
  </si>
  <si>
    <t>Water Supply &amp;
Storage Constraint</t>
    <phoneticPr fontId="4" type="noConversion"/>
  </si>
  <si>
    <t>Total Profit</t>
    <phoneticPr fontId="4" type="noConversion"/>
  </si>
  <si>
    <t>Harvest Storage
Constraint</t>
    <phoneticPr fontId="4" type="noConversion"/>
  </si>
  <si>
    <t>Month-specific Constraint</t>
    <phoneticPr fontId="4" type="noConversion"/>
  </si>
  <si>
    <t>Type</t>
    <phoneticPr fontId="4" type="noConversion"/>
  </si>
  <si>
    <t>Units</t>
    <phoneticPr fontId="4" type="noConversion"/>
  </si>
  <si>
    <t>Editable?</t>
    <phoneticPr fontId="4" type="noConversion"/>
  </si>
  <si>
    <t>Available Water (catchment potential)</t>
  </si>
  <si>
    <t>Liter</t>
    <phoneticPr fontId="4" type="noConversion"/>
  </si>
  <si>
    <t>Yes</t>
  </si>
  <si>
    <t>Available Seasonal Labor</t>
    <phoneticPr fontId="4" type="noConversion"/>
  </si>
  <si>
    <t>hours</t>
  </si>
  <si>
    <t>Yes</t>
    <phoneticPr fontId="4" type="noConversion"/>
  </si>
  <si>
    <t>Generic Information</t>
    <phoneticPr fontId="4" type="noConversion"/>
  </si>
  <si>
    <t>Crop-specific Information</t>
    <phoneticPr fontId="4" type="noConversion"/>
  </si>
  <si>
    <t>Value</t>
    <phoneticPr fontId="4" type="noConversion"/>
  </si>
  <si>
    <t>Units</t>
  </si>
  <si>
    <t>Editable?</t>
  </si>
  <si>
    <t>Total Available Land</t>
    <phoneticPr fontId="4" type="noConversion"/>
  </si>
  <si>
    <t>Acre</t>
    <phoneticPr fontId="4" type="noConversion"/>
  </si>
  <si>
    <t>Seed Required</t>
    <phoneticPr fontId="4" type="noConversion"/>
  </si>
  <si>
    <t>Pounds / Acre / Month</t>
    <phoneticPr fontId="4" type="noConversion"/>
  </si>
  <si>
    <t>No</t>
  </si>
  <si>
    <t>Total Available Harvest &amp; Seed Storage</t>
  </si>
  <si>
    <t>Cubic Meter</t>
    <phoneticPr fontId="4" type="noConversion"/>
  </si>
  <si>
    <t>Yield</t>
    <phoneticPr fontId="4" type="noConversion"/>
  </si>
  <si>
    <t>Total Available Water Storage</t>
    <phoneticPr fontId="4" type="noConversion"/>
  </si>
  <si>
    <t>Crop Size</t>
    <phoneticPr fontId="4" type="noConversion"/>
  </si>
  <si>
    <t>Cubic Meter / Pound</t>
    <phoneticPr fontId="4" type="noConversion"/>
  </si>
  <si>
    <t>Cubic Meter</t>
  </si>
  <si>
    <t>Seed to Harvest Time Required</t>
    <phoneticPr fontId="4" type="noConversion"/>
  </si>
  <si>
    <t xml:space="preserve">  - Planting</t>
    <phoneticPr fontId="4" type="noConversion"/>
  </si>
  <si>
    <t>Months / Crop Phase</t>
    <phoneticPr fontId="4" type="noConversion"/>
  </si>
  <si>
    <t>Total Available Budget</t>
    <phoneticPr fontId="4" type="noConversion"/>
  </si>
  <si>
    <t>US$ / Year</t>
    <phoneticPr fontId="4" type="noConversion"/>
  </si>
  <si>
    <t xml:space="preserve">  - Growing</t>
    <phoneticPr fontId="4" type="noConversion"/>
  </si>
  <si>
    <t xml:space="preserve">  - Harvesting</t>
    <phoneticPr fontId="4" type="noConversion"/>
  </si>
  <si>
    <t>Fixed Cost Information</t>
    <phoneticPr fontId="4" type="noConversion"/>
  </si>
  <si>
    <t>Total Seed to Harvest Time Required</t>
    <phoneticPr fontId="4" type="noConversion"/>
  </si>
  <si>
    <t>Months</t>
    <phoneticPr fontId="4" type="noConversion"/>
  </si>
  <si>
    <t>No</t>
    <phoneticPr fontId="4" type="noConversion"/>
  </si>
  <si>
    <t>Cost</t>
    <phoneticPr fontId="4" type="noConversion"/>
  </si>
  <si>
    <t>Water Required</t>
    <phoneticPr fontId="4" type="noConversion"/>
  </si>
  <si>
    <t>Harvest &amp; Seed Storage</t>
  </si>
  <si>
    <t>US$ / Cubic Meter / Month</t>
    <phoneticPr fontId="4" type="noConversion"/>
  </si>
  <si>
    <t>Liter / Crop Phase / Acre / Month</t>
    <phoneticPr fontId="4" type="noConversion"/>
  </si>
  <si>
    <t>US$ / Liter / Month</t>
    <phoneticPr fontId="4" type="noConversion"/>
  </si>
  <si>
    <t>US$ / Acre / Month</t>
    <phoneticPr fontId="4" type="noConversion"/>
  </si>
  <si>
    <t>Total Water Required</t>
    <phoneticPr fontId="4" type="noConversion"/>
  </si>
  <si>
    <t>Liter / Acre / Month</t>
    <phoneticPr fontId="4" type="noConversion"/>
  </si>
  <si>
    <t>Fertilizer &amp; Pesticide Required</t>
    <phoneticPr fontId="4" type="noConversion"/>
  </si>
  <si>
    <t>US$ / Month</t>
  </si>
  <si>
    <t>Pounds / Crop Phase / Acre / Month</t>
    <phoneticPr fontId="4" type="noConversion"/>
  </si>
  <si>
    <t>Variable Cost Information</t>
    <phoneticPr fontId="4" type="noConversion"/>
  </si>
  <si>
    <t>Total Fertilizer &amp; Pesticide Required</t>
    <phoneticPr fontId="4" type="noConversion"/>
  </si>
  <si>
    <t>US$ / Pound</t>
    <phoneticPr fontId="4" type="noConversion"/>
  </si>
  <si>
    <t>Crop Diversity</t>
    <phoneticPr fontId="4" type="noConversion"/>
  </si>
  <si>
    <t>Percentage</t>
    <phoneticPr fontId="4" type="noConversion"/>
  </si>
  <si>
    <t>US$ / hour</t>
  </si>
  <si>
    <t>US$ / Liter</t>
    <phoneticPr fontId="4" type="noConversion"/>
  </si>
  <si>
    <t>Crop-specific Revenue-related Information</t>
    <phoneticPr fontId="4" type="noConversion"/>
  </si>
  <si>
    <t>US$ / Liter</t>
  </si>
  <si>
    <t>Demand</t>
    <phoneticPr fontId="4" type="noConversion"/>
  </si>
  <si>
    <t xml:space="preserve">  - Wholesale Distributer</t>
    <phoneticPr fontId="4" type="noConversion"/>
  </si>
  <si>
    <t>Pounds / Marketing Channel / Month</t>
    <phoneticPr fontId="4" type="noConversion"/>
  </si>
  <si>
    <t xml:space="preserve">  - D2C (Digital / Farmer's Market)</t>
    <phoneticPr fontId="4" type="noConversion"/>
  </si>
  <si>
    <t xml:space="preserve">  - B2B (Restaurants, etc.)</t>
    <phoneticPr fontId="4" type="noConversion"/>
  </si>
  <si>
    <t>Total Demand (monthly)</t>
  </si>
  <si>
    <t>Pounds / Month</t>
    <phoneticPr fontId="4" type="noConversion"/>
  </si>
  <si>
    <t>Price</t>
    <phoneticPr fontId="4" type="noConversion"/>
  </si>
  <si>
    <t>US$ / Pound / Marketing Channel</t>
    <phoneticPr fontId="4" type="noConversion"/>
  </si>
  <si>
    <t>Weighed Average Price</t>
    <phoneticPr fontId="4" type="noConversion"/>
  </si>
  <si>
    <t>Crop-specific Variable Cost Information</t>
    <phoneticPr fontId="4" type="noConversion"/>
  </si>
  <si>
    <t>Seed Cost</t>
    <phoneticPr fontId="4" type="noConversion"/>
  </si>
  <si>
    <t>Labor Required</t>
    <phoneticPr fontId="4" type="noConversion"/>
  </si>
  <si>
    <t># / Crop Phase / Acre / Month</t>
    <phoneticPr fontId="4" type="noConversion"/>
  </si>
  <si>
    <t>Total Labor Required</t>
    <phoneticPr fontId="4" type="noConversion"/>
  </si>
  <si>
    <t># / Acre / Month</t>
    <phoneticPr fontId="4" type="noConversion"/>
  </si>
  <si>
    <t>Fuel Required</t>
    <phoneticPr fontId="4" type="noConversion"/>
  </si>
  <si>
    <t>Total Fuel Required</t>
    <phoneticPr fontId="4" type="noConversion"/>
  </si>
  <si>
    <t>Packaging and SG&amp;A Cost</t>
    <phoneticPr fontId="4" type="noConversion"/>
  </si>
  <si>
    <t>Weighed Average Packaging and SG&amp;A Cost</t>
    <phoneticPr fontId="4" type="noConversion"/>
  </si>
  <si>
    <t>Crop Planting Calendar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</si>
  <si>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</si>
  <si>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</si>
  <si>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</si>
  <si>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</si>
  <si>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</si>
  <si>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</si>
  <si>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</si>
  <si>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</si>
  <si>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</si>
  <si>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</si>
  <si>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</si>
  <si>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</si>
  <si>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Plant</t>
  </si>
  <si>
    <t>Crop Diversity</t>
  </si>
  <si>
    <t>Model Summary</t>
  </si>
  <si>
    <t>(Y/N)</t>
  </si>
  <si>
    <t>Spinach #1</t>
  </si>
  <si>
    <t>&lt;=</t>
  </si>
  <si>
    <t>Spinach #2</t>
  </si>
  <si>
    <t>Spinach #3</t>
  </si>
  <si>
    <t>Spinach #4</t>
  </si>
  <si>
    <t>Spinach #5</t>
  </si>
  <si>
    <t>Cucumbers #1</t>
  </si>
  <si>
    <t>Cucumbers  #2</t>
  </si>
  <si>
    <t>Cucumbers #3</t>
  </si>
  <si>
    <t xml:space="preserve">- </t>
  </si>
  <si>
    <t xml:space="preserve"> - </t>
  </si>
  <si>
    <t>Napa Cabbage #1</t>
  </si>
  <si>
    <t>Napa Cabbage  #2</t>
  </si>
  <si>
    <t>Hot Peppers  #1</t>
  </si>
  <si>
    <t>Garlic #1</t>
  </si>
  <si>
    <t>^Binary^ Constraint</t>
  </si>
  <si>
    <t>Labor Constraints</t>
  </si>
  <si>
    <t>Water Supply Constraint</t>
  </si>
  <si>
    <t>IMAGE</t>
  </si>
  <si>
    <t>Harvest Storage</t>
  </si>
  <si>
    <t>Channel Sales &amp; Yield (lbs)</t>
  </si>
  <si>
    <t>Demand Cap</t>
  </si>
  <si>
    <t>Total Sales (lbs)</t>
  </si>
  <si>
    <t>UCM (lb/ Channel/Crop)</t>
  </si>
  <si>
    <t>Contributions (Channel/Crop)</t>
  </si>
  <si>
    <t>Succession Fixed Costs (by Crop)</t>
  </si>
  <si>
    <t>Total Variable Costs</t>
  </si>
  <si>
    <t>Total Fixed Costs</t>
  </si>
  <si>
    <t>Total Costs</t>
  </si>
  <si>
    <t>(Lbs/Mo)</t>
  </si>
  <si>
    <t>Spinach  (Harvest)</t>
  </si>
  <si>
    <t>=</t>
  </si>
  <si>
    <t>Wholesale</t>
  </si>
  <si>
    <t>D2C</t>
  </si>
  <si>
    <t>B2B</t>
  </si>
  <si>
    <t>Cucumbers  (Harvest)</t>
  </si>
  <si>
    <t>Sweet Corn  (Harvest)</t>
  </si>
  <si>
    <t>Napa Cabbage  (Harvest)</t>
  </si>
  <si>
    <t>Hot Peppers  (Harvest)</t>
  </si>
  <si>
    <t>Garlic  (Harvest)</t>
  </si>
  <si>
    <t>*</t>
  </si>
  <si>
    <t>Gross Profit</t>
  </si>
  <si>
    <t>Succ. Fixed Costs</t>
  </si>
  <si>
    <t>Operating Profit</t>
  </si>
  <si>
    <t>Farm Fixed Costs</t>
  </si>
  <si>
    <t>Total Profit</t>
  </si>
  <si>
    <t>Type of Crop</t>
  </si>
  <si>
    <t>Marketing Channel</t>
    <phoneticPr fontId="4" type="noConversion"/>
  </si>
  <si>
    <t>Grade</t>
    <phoneticPr fontId="4" type="noConversion"/>
  </si>
  <si>
    <t>Sorted Marketing Channel</t>
    <phoneticPr fontId="4" type="noConversion"/>
  </si>
  <si>
    <t>Sorted Grade</t>
    <phoneticPr fontId="4" type="noConversion"/>
  </si>
  <si>
    <t>Sorted Demand</t>
    <phoneticPr fontId="4" type="noConversion"/>
  </si>
  <si>
    <t>Sorted Price</t>
    <phoneticPr fontId="4" type="noConversion"/>
  </si>
  <si>
    <t>Annual Yield / Year</t>
    <phoneticPr fontId="4" type="noConversion"/>
  </si>
  <si>
    <t>Sales / Sales Channel / Year</t>
    <phoneticPr fontId="4" type="noConversion"/>
  </si>
  <si>
    <t>Revenue / Sales Channel / Year</t>
    <phoneticPr fontId="4" type="noConversion"/>
  </si>
  <si>
    <t>Wholesale Distributer</t>
  </si>
  <si>
    <t>Normal</t>
    <phoneticPr fontId="4" type="noConversion"/>
  </si>
  <si>
    <t>D2C (Digital / Farmer's Market)</t>
  </si>
  <si>
    <t>B2B (Restaurants, etc.)</t>
  </si>
  <si>
    <t>Premium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</si>
</sst>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&quot;$&quot;#,##0.00_);[Red]\(&quot;$&quot;#,##0.00\)"/>
    <numFmt numFmtId="177" formatCode="_-[$$-409]* #,##0.00_ ;_-[$$-409]* \-#,##0.00\ ;_-[$$-409]* &quot;-&quot;??_ ;_-@_ "/>
    <numFmt numFmtId="178" formatCode="_-* #,##0.00_-;\-* #,##0.00_-;_-* &quot;-&quot;_-;_-@_-"/>
    <numFmt numFmtId="179" formatCode="_-[$$-409]* #,##0.000_ ;_-[$$-409]* \-#,##0.000\ ;_-[$$-409]* &quot;-&quot;??_ ;_-@_ "/>
    <numFmt numFmtId="180" formatCode="_-* #,##0.000_-;\-* #,##0.000_-;_-* &quot;-&quot;_-;_-@_-"/>
    <numFmt numFmtId="181" formatCode="_-[$$-409]* #,##0_ ;_-[$$-409]* \-#,##0\ ;_-[$$-409]* &quot;-&quot;??_ ;_-@_ "/>
    <numFmt numFmtId="182" formatCode="_(* #,##0.0_);_(* \(#,##0.0\);_(* &quot;-&quot;?_);_(@_)"/>
  </numFmts>
  <fonts count="2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29"/>
      <scheme val="minor"/>
    </font>
    <font>
      <b/>
      <sz val="11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b/>
      <sz val="10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000000"/>
      <name val="Aptos Narrow"/>
      <family val="2"/>
      <charset val="129"/>
      <scheme val="minor"/>
    </font>
    <font>
      <sz val="14"/>
      <color rgb="FF00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F1D4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4A8DA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3C7D22"/>
        <bgColor rgb="FF000000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44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178" fontId="6" fillId="0" borderId="32" xfId="1" applyNumberFormat="1" applyFont="1" applyBorder="1" applyAlignment="1">
      <alignment horizontal="center" vertical="center"/>
    </xf>
    <xf numFmtId="178" fontId="6" fillId="6" borderId="33" xfId="1" applyNumberFormat="1" applyFont="1" applyFill="1" applyBorder="1" applyAlignment="1">
      <alignment horizontal="center" vertical="center"/>
    </xf>
    <xf numFmtId="178" fontId="6" fillId="0" borderId="33" xfId="1" applyNumberFormat="1" applyFont="1" applyBorder="1" applyAlignment="1">
      <alignment horizontal="center" vertical="center"/>
    </xf>
    <xf numFmtId="178" fontId="6" fillId="7" borderId="33" xfId="1" applyNumberFormat="1" applyFont="1" applyFill="1" applyBorder="1" applyAlignment="1">
      <alignment horizontal="center" vertical="center"/>
    </xf>
    <xf numFmtId="178" fontId="6" fillId="0" borderId="38" xfId="1" applyNumberFormat="1" applyFont="1" applyBorder="1" applyAlignment="1">
      <alignment horizontal="center" vertical="center"/>
    </xf>
    <xf numFmtId="178" fontId="6" fillId="0" borderId="35" xfId="1" applyNumberFormat="1" applyFont="1" applyBorder="1" applyAlignment="1">
      <alignment horizontal="center" vertical="center"/>
    </xf>
    <xf numFmtId="178" fontId="6" fillId="0" borderId="36" xfId="1" applyNumberFormat="1" applyFont="1" applyBorder="1" applyAlignment="1">
      <alignment horizontal="center" vertical="center"/>
    </xf>
    <xf numFmtId="178" fontId="6" fillId="6" borderId="36" xfId="1" applyNumberFormat="1" applyFont="1" applyFill="1" applyBorder="1" applyAlignment="1">
      <alignment horizontal="center" vertical="center"/>
    </xf>
    <xf numFmtId="178" fontId="6" fillId="7" borderId="36" xfId="1" applyNumberFormat="1" applyFont="1" applyFill="1" applyBorder="1" applyAlignment="1">
      <alignment horizontal="center" vertical="center"/>
    </xf>
    <xf numFmtId="178" fontId="6" fillId="0" borderId="39" xfId="1" applyNumberFormat="1" applyFont="1" applyBorder="1" applyAlignment="1">
      <alignment horizontal="center" vertical="center"/>
    </xf>
    <xf numFmtId="178" fontId="6" fillId="0" borderId="22" xfId="1" applyNumberFormat="1" applyFont="1" applyBorder="1" applyAlignment="1">
      <alignment horizontal="center" vertical="center"/>
    </xf>
    <xf numFmtId="178" fontId="6" fillId="0" borderId="23" xfId="1" applyNumberFormat="1" applyFont="1" applyBorder="1" applyAlignment="1">
      <alignment horizontal="center" vertical="center"/>
    </xf>
    <xf numFmtId="178" fontId="6" fillId="6" borderId="23" xfId="1" applyNumberFormat="1" applyFont="1" applyFill="1" applyBorder="1" applyAlignment="1">
      <alignment horizontal="center" vertical="center"/>
    </xf>
    <xf numFmtId="178" fontId="6" fillId="7" borderId="23" xfId="1" applyNumberFormat="1" applyFont="1" applyFill="1" applyBorder="1" applyAlignment="1">
      <alignment horizontal="center" vertical="center"/>
    </xf>
    <xf numFmtId="178" fontId="6" fillId="0" borderId="40" xfId="1" applyNumberFormat="1" applyFont="1" applyBorder="1" applyAlignment="1">
      <alignment horizontal="center" vertical="center"/>
    </xf>
    <xf numFmtId="178" fontId="6" fillId="0" borderId="19" xfId="1" applyNumberFormat="1" applyFont="1" applyBorder="1" applyAlignment="1">
      <alignment horizontal="center" vertical="center"/>
    </xf>
    <xf numFmtId="178" fontId="6" fillId="0" borderId="20" xfId="1" applyNumberFormat="1" applyFont="1" applyBorder="1" applyAlignment="1">
      <alignment horizontal="center" vertical="center"/>
    </xf>
    <xf numFmtId="178" fontId="6" fillId="6" borderId="20" xfId="1" applyNumberFormat="1" applyFont="1" applyFill="1" applyBorder="1" applyAlignment="1">
      <alignment horizontal="center" vertical="center"/>
    </xf>
    <xf numFmtId="178" fontId="6" fillId="5" borderId="20" xfId="1" applyNumberFormat="1" applyFont="1" applyFill="1" applyBorder="1" applyAlignment="1">
      <alignment horizontal="center" vertical="center"/>
    </xf>
    <xf numFmtId="178" fontId="6" fillId="7" borderId="20" xfId="1" applyNumberFormat="1" applyFont="1" applyFill="1" applyBorder="1" applyAlignment="1">
      <alignment horizontal="center" vertical="center"/>
    </xf>
    <xf numFmtId="178" fontId="6" fillId="0" borderId="21" xfId="1" applyNumberFormat="1" applyFont="1" applyBorder="1" applyAlignment="1">
      <alignment horizontal="center" vertical="center"/>
    </xf>
    <xf numFmtId="178" fontId="6" fillId="2" borderId="24" xfId="1" applyNumberFormat="1" applyFont="1" applyFill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8" borderId="25" xfId="1" applyNumberFormat="1" applyFont="1" applyFill="1" applyBorder="1" applyAlignment="1">
      <alignment horizontal="center" vertical="center"/>
    </xf>
    <xf numFmtId="178" fontId="6" fillId="0" borderId="26" xfId="1" applyNumberFormat="1" applyFont="1" applyBorder="1" applyAlignment="1">
      <alignment horizontal="center" vertical="center"/>
    </xf>
    <xf numFmtId="178" fontId="6" fillId="3" borderId="2" xfId="1" applyNumberFormat="1" applyFont="1" applyFill="1" applyBorder="1" applyAlignment="1">
      <alignment horizontal="center" vertical="center"/>
    </xf>
    <xf numFmtId="178" fontId="6" fillId="3" borderId="3" xfId="1" applyNumberFormat="1" applyFont="1" applyFill="1" applyBorder="1" applyAlignment="1">
      <alignment horizontal="center" vertical="center"/>
    </xf>
    <xf numFmtId="178" fontId="0" fillId="3" borderId="3" xfId="1" applyNumberFormat="1" applyFont="1" applyFill="1" applyBorder="1" applyAlignment="1">
      <alignment horizontal="center" vertical="center"/>
    </xf>
    <xf numFmtId="178" fontId="0" fillId="3" borderId="5" xfId="1" applyNumberFormat="1" applyFont="1" applyFill="1" applyBorder="1" applyAlignment="1">
      <alignment horizontal="center" vertical="center"/>
    </xf>
    <xf numFmtId="178" fontId="0" fillId="3" borderId="8" xfId="1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left" vertical="center"/>
    </xf>
    <xf numFmtId="177" fontId="6" fillId="0" borderId="30" xfId="1" applyNumberFormat="1" applyFont="1" applyFill="1" applyBorder="1" applyAlignment="1">
      <alignment horizontal="center" vertical="center"/>
    </xf>
    <xf numFmtId="177" fontId="6" fillId="0" borderId="31" xfId="1" applyNumberFormat="1" applyFont="1" applyFill="1" applyBorder="1" applyAlignment="1">
      <alignment horizontal="center" vertical="center"/>
    </xf>
    <xf numFmtId="177" fontId="6" fillId="0" borderId="44" xfId="1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177" fontId="9" fillId="9" borderId="11" xfId="0" applyNumberFormat="1" applyFont="1" applyFill="1" applyBorder="1" applyAlignment="1">
      <alignment horizontal="center" vertical="center"/>
    </xf>
    <xf numFmtId="177" fontId="11" fillId="0" borderId="11" xfId="1" applyNumberFormat="1" applyFont="1" applyFill="1" applyBorder="1" applyAlignment="1">
      <alignment vertical="center"/>
    </xf>
    <xf numFmtId="177" fontId="9" fillId="3" borderId="12" xfId="1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8" fontId="0" fillId="0" borderId="0" xfId="1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1" applyNumberFormat="1" applyFont="1" applyBorder="1">
      <alignment vertical="center"/>
    </xf>
    <xf numFmtId="178" fontId="0" fillId="0" borderId="7" xfId="1" applyNumberFormat="1" applyFont="1" applyBorder="1">
      <alignment vertical="center"/>
    </xf>
    <xf numFmtId="177" fontId="0" fillId="0" borderId="9" xfId="0" applyNumberFormat="1" applyBorder="1">
      <alignment vertical="center"/>
    </xf>
    <xf numFmtId="0" fontId="0" fillId="0" borderId="9" xfId="0" applyBorder="1">
      <alignment vertical="center"/>
    </xf>
    <xf numFmtId="178" fontId="0" fillId="0" borderId="9" xfId="1" applyNumberFormat="1" applyFont="1" applyBorder="1">
      <alignment vertical="center"/>
    </xf>
    <xf numFmtId="177" fontId="9" fillId="0" borderId="23" xfId="1" applyNumberFormat="1" applyFont="1" applyBorder="1" applyAlignment="1">
      <alignment vertical="center"/>
    </xf>
    <xf numFmtId="177" fontId="9" fillId="0" borderId="23" xfId="1" applyNumberFormat="1" applyFont="1" applyBorder="1" applyAlignment="1">
      <alignment horizontal="center" vertical="center"/>
    </xf>
    <xf numFmtId="178" fontId="9" fillId="0" borderId="45" xfId="1" applyNumberFormat="1" applyFont="1" applyBorder="1" applyAlignment="1">
      <alignment vertical="center"/>
    </xf>
    <xf numFmtId="178" fontId="9" fillId="0" borderId="57" xfId="1" applyNumberFormat="1" applyFont="1" applyBorder="1" applyAlignment="1">
      <alignment vertical="center"/>
    </xf>
    <xf numFmtId="0" fontId="0" fillId="0" borderId="41" xfId="0" applyBorder="1">
      <alignment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50" xfId="0" applyFont="1" applyFill="1" applyBorder="1" applyAlignment="1">
      <alignment horizontal="center" vertical="center"/>
    </xf>
    <xf numFmtId="0" fontId="7" fillId="10" borderId="51" xfId="0" applyFont="1" applyFill="1" applyBorder="1" applyAlignment="1">
      <alignment horizontal="center" vertical="center"/>
    </xf>
    <xf numFmtId="177" fontId="9" fillId="0" borderId="27" xfId="1" applyNumberFormat="1" applyFont="1" applyBorder="1" applyAlignment="1">
      <alignment vertical="center"/>
    </xf>
    <xf numFmtId="178" fontId="6" fillId="0" borderId="23" xfId="1" applyNumberFormat="1" applyFont="1" applyBorder="1" applyAlignment="1">
      <alignment vertical="center"/>
    </xf>
    <xf numFmtId="178" fontId="6" fillId="0" borderId="27" xfId="1" applyNumberFormat="1" applyFont="1" applyBorder="1" applyAlignment="1">
      <alignment vertical="center"/>
    </xf>
    <xf numFmtId="178" fontId="9" fillId="0" borderId="45" xfId="0" applyNumberFormat="1" applyFont="1" applyBorder="1" applyAlignment="1">
      <alignment horizontal="left" vertical="center"/>
    </xf>
    <xf numFmtId="41" fontId="9" fillId="0" borderId="45" xfId="1" applyFont="1" applyBorder="1" applyAlignment="1">
      <alignment horizontal="left" vertical="center"/>
    </xf>
    <xf numFmtId="0" fontId="0" fillId="0" borderId="25" xfId="0" applyBorder="1">
      <alignment vertical="center"/>
    </xf>
    <xf numFmtId="41" fontId="9" fillId="0" borderId="57" xfId="1" applyFont="1" applyBorder="1" applyAlignment="1">
      <alignment horizontal="left" vertical="center"/>
    </xf>
    <xf numFmtId="178" fontId="9" fillId="0" borderId="57" xfId="0" applyNumberFormat="1" applyFont="1" applyBorder="1" applyAlignment="1">
      <alignment horizontal="left" vertical="center"/>
    </xf>
    <xf numFmtId="177" fontId="9" fillId="0" borderId="27" xfId="1" applyNumberFormat="1" applyFont="1" applyBorder="1" applyAlignment="1">
      <alignment horizontal="center" vertical="center"/>
    </xf>
    <xf numFmtId="0" fontId="0" fillId="0" borderId="28" xfId="0" applyBorder="1">
      <alignment vertical="center"/>
    </xf>
    <xf numFmtId="0" fontId="7" fillId="4" borderId="49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41" fontId="6" fillId="0" borderId="23" xfId="1" applyFont="1" applyBorder="1" applyAlignment="1">
      <alignment vertical="center"/>
    </xf>
    <xf numFmtId="41" fontId="6" fillId="0" borderId="27" xfId="1" applyFont="1" applyBorder="1" applyAlignment="1">
      <alignment vertical="center"/>
    </xf>
    <xf numFmtId="0" fontId="0" fillId="0" borderId="30" xfId="0" applyBorder="1">
      <alignment vertical="center"/>
    </xf>
    <xf numFmtId="0" fontId="0" fillId="0" borderId="15" xfId="0" applyBorder="1">
      <alignment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1" xfId="0" applyNumberFormat="1" applyFont="1" applyBorder="1">
      <alignment vertical="center"/>
    </xf>
    <xf numFmtId="41" fontId="6" fillId="2" borderId="61" xfId="1" applyFont="1" applyFill="1" applyBorder="1" applyAlignment="1">
      <alignment horizontal="center" vertical="center"/>
    </xf>
    <xf numFmtId="41" fontId="6" fillId="2" borderId="62" xfId="1" applyFont="1" applyFill="1" applyBorder="1" applyAlignment="1">
      <alignment horizontal="center" vertical="center"/>
    </xf>
    <xf numFmtId="41" fontId="6" fillId="2" borderId="6" xfId="1" applyFont="1" applyFill="1" applyBorder="1" applyAlignment="1">
      <alignment horizontal="center" vertical="center"/>
    </xf>
    <xf numFmtId="41" fontId="6" fillId="2" borderId="12" xfId="1" applyFont="1" applyFill="1" applyBorder="1" applyAlignment="1">
      <alignment horizontal="center" vertical="center"/>
    </xf>
    <xf numFmtId="177" fontId="6" fillId="0" borderId="32" xfId="1" applyNumberFormat="1" applyFont="1" applyFill="1" applyBorder="1" applyAlignment="1">
      <alignment horizontal="center" vertical="center"/>
    </xf>
    <xf numFmtId="177" fontId="6" fillId="0" borderId="33" xfId="1" applyNumberFormat="1" applyFont="1" applyFill="1" applyBorder="1" applyAlignment="1">
      <alignment horizontal="center" vertical="center"/>
    </xf>
    <xf numFmtId="177" fontId="6" fillId="0" borderId="38" xfId="1" applyNumberFormat="1" applyFont="1" applyFill="1" applyBorder="1" applyAlignment="1">
      <alignment horizontal="center" vertical="center"/>
    </xf>
    <xf numFmtId="177" fontId="6" fillId="0" borderId="35" xfId="1" applyNumberFormat="1" applyFont="1" applyFill="1" applyBorder="1" applyAlignment="1">
      <alignment horizontal="center" vertical="center"/>
    </xf>
    <xf numFmtId="177" fontId="6" fillId="0" borderId="36" xfId="1" applyNumberFormat="1" applyFont="1" applyFill="1" applyBorder="1" applyAlignment="1">
      <alignment horizontal="center" vertical="center"/>
    </xf>
    <xf numFmtId="177" fontId="6" fillId="0" borderId="39" xfId="1" applyNumberFormat="1" applyFont="1" applyFill="1" applyBorder="1" applyAlignment="1">
      <alignment horizontal="center" vertical="center"/>
    </xf>
    <xf numFmtId="177" fontId="6" fillId="0" borderId="48" xfId="1" applyNumberFormat="1" applyFont="1" applyFill="1" applyBorder="1" applyAlignment="1">
      <alignment horizontal="center" vertical="center"/>
    </xf>
    <xf numFmtId="177" fontId="6" fillId="0" borderId="45" xfId="1" applyNumberFormat="1" applyFont="1" applyFill="1" applyBorder="1" applyAlignment="1">
      <alignment horizontal="center" vertical="center"/>
    </xf>
    <xf numFmtId="177" fontId="6" fillId="0" borderId="46" xfId="1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41" fontId="6" fillId="0" borderId="59" xfId="1" applyFont="1" applyBorder="1" applyAlignment="1">
      <alignment vertical="center"/>
    </xf>
    <xf numFmtId="41" fontId="6" fillId="0" borderId="41" xfId="1" applyFont="1" applyBorder="1" applyAlignment="1">
      <alignment vertical="center"/>
    </xf>
    <xf numFmtId="41" fontId="6" fillId="0" borderId="42" xfId="1" applyFont="1" applyBorder="1" applyAlignment="1">
      <alignment vertical="center"/>
    </xf>
    <xf numFmtId="41" fontId="9" fillId="0" borderId="57" xfId="1" applyFont="1" applyBorder="1" applyAlignment="1">
      <alignment vertical="center"/>
    </xf>
    <xf numFmtId="41" fontId="9" fillId="0" borderId="45" xfId="1" applyFont="1" applyBorder="1" applyAlignment="1">
      <alignment vertical="center"/>
    </xf>
    <xf numFmtId="41" fontId="9" fillId="0" borderId="27" xfId="1" applyFont="1" applyBorder="1" applyAlignment="1">
      <alignment vertical="center"/>
    </xf>
    <xf numFmtId="41" fontId="9" fillId="0" borderId="23" xfId="1" applyFont="1" applyBorder="1" applyAlignment="1">
      <alignment vertical="center"/>
    </xf>
    <xf numFmtId="178" fontId="6" fillId="0" borderId="65" xfId="1" applyNumberFormat="1" applyFont="1" applyBorder="1" applyAlignment="1">
      <alignment horizontal="center" vertical="center"/>
    </xf>
    <xf numFmtId="0" fontId="15" fillId="16" borderId="3" xfId="0" applyFont="1" applyFill="1" applyBorder="1" applyAlignment="1">
      <alignment vertical="center" wrapText="1"/>
    </xf>
    <xf numFmtId="0" fontId="15" fillId="16" borderId="5" xfId="0" applyFont="1" applyFill="1" applyBorder="1" applyAlignment="1">
      <alignment vertical="center" wrapText="1"/>
    </xf>
    <xf numFmtId="0" fontId="15" fillId="16" borderId="8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14" fillId="11" borderId="63" xfId="0" applyFont="1" applyFill="1" applyBorder="1" applyAlignment="1">
      <alignment horizontal="center" vertical="center"/>
    </xf>
    <xf numFmtId="0" fontId="16" fillId="13" borderId="66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vertical="center" wrapText="1"/>
    </xf>
    <xf numFmtId="0" fontId="9" fillId="15" borderId="4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0" fontId="9" fillId="12" borderId="6" xfId="0" applyFont="1" applyFill="1" applyBorder="1" applyAlignment="1">
      <alignment vertical="center" wrapText="1"/>
    </xf>
    <xf numFmtId="0" fontId="17" fillId="16" borderId="1" xfId="0" applyFont="1" applyFill="1" applyBorder="1" applyAlignment="1">
      <alignment vertical="center" wrapText="1"/>
    </xf>
    <xf numFmtId="0" fontId="17" fillId="16" borderId="4" xfId="0" applyFont="1" applyFill="1" applyBorder="1" applyAlignment="1">
      <alignment vertical="center" wrapText="1"/>
    </xf>
    <xf numFmtId="0" fontId="17" fillId="16" borderId="6" xfId="0" applyFont="1" applyFill="1" applyBorder="1" applyAlignment="1">
      <alignment vertical="center" wrapText="1"/>
    </xf>
    <xf numFmtId="0" fontId="18" fillId="20" borderId="67" xfId="0" applyFont="1" applyFill="1" applyBorder="1" applyAlignment="1">
      <alignment horizontal="center" vertical="center"/>
    </xf>
    <xf numFmtId="0" fontId="18" fillId="20" borderId="68" xfId="0" applyFont="1" applyFill="1" applyBorder="1" applyAlignment="1">
      <alignment horizontal="center" vertical="center"/>
    </xf>
    <xf numFmtId="0" fontId="18" fillId="20" borderId="69" xfId="0" applyFont="1" applyFill="1" applyBorder="1" applyAlignment="1">
      <alignment horizontal="center" vertical="center"/>
    </xf>
    <xf numFmtId="0" fontId="18" fillId="19" borderId="28" xfId="0" applyFont="1" applyFill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0" borderId="56" xfId="0" applyFont="1" applyBorder="1" applyAlignment="1">
      <alignment horizontal="center" vertical="center"/>
    </xf>
    <xf numFmtId="0" fontId="6" fillId="21" borderId="33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2" borderId="33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21" borderId="30" xfId="0" applyFont="1" applyFill="1" applyBorder="1" applyAlignment="1">
      <alignment horizontal="center" vertical="center"/>
    </xf>
    <xf numFmtId="0" fontId="6" fillId="23" borderId="71" xfId="0" applyFont="1" applyFill="1" applyBorder="1" applyAlignment="1">
      <alignment horizontal="center" vertical="center"/>
    </xf>
    <xf numFmtId="0" fontId="6" fillId="23" borderId="72" xfId="0" applyFont="1" applyFill="1" applyBorder="1" applyAlignment="1">
      <alignment horizontal="center" vertical="center"/>
    </xf>
    <xf numFmtId="0" fontId="6" fillId="23" borderId="73" xfId="0" applyFont="1" applyFill="1" applyBorder="1" applyAlignment="1">
      <alignment horizontal="center" vertical="center"/>
    </xf>
    <xf numFmtId="0" fontId="6" fillId="0" borderId="74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21" borderId="36" xfId="0" applyFont="1" applyFill="1" applyBorder="1" applyAlignment="1">
      <alignment horizontal="center" vertical="center"/>
    </xf>
    <xf numFmtId="0" fontId="6" fillId="22" borderId="36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21" borderId="31" xfId="0" applyFont="1" applyFill="1" applyBorder="1" applyAlignment="1">
      <alignment horizontal="center" vertical="center"/>
    </xf>
    <xf numFmtId="0" fontId="6" fillId="23" borderId="75" xfId="0" applyFont="1" applyFill="1" applyBorder="1" applyAlignment="1">
      <alignment horizontal="center" vertical="center"/>
    </xf>
    <xf numFmtId="0" fontId="6" fillId="23" borderId="76" xfId="0" applyFont="1" applyFill="1" applyBorder="1" applyAlignment="1">
      <alignment horizontal="center" vertical="center"/>
    </xf>
    <xf numFmtId="0" fontId="6" fillId="23" borderId="77" xfId="0" applyFont="1" applyFill="1" applyBorder="1" applyAlignment="1">
      <alignment horizontal="center" vertical="center"/>
    </xf>
    <xf numFmtId="0" fontId="6" fillId="0" borderId="78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1" borderId="23" xfId="0" applyFont="1" applyFill="1" applyBorder="1" applyAlignment="1">
      <alignment horizontal="center" vertical="center"/>
    </xf>
    <xf numFmtId="0" fontId="6" fillId="22" borderId="23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21" borderId="15" xfId="0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8" fillId="20" borderId="19" xfId="0" applyFont="1" applyFill="1" applyBorder="1" applyAlignment="1">
      <alignment horizontal="center" vertical="center"/>
    </xf>
    <xf numFmtId="0" fontId="18" fillId="20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left" vertical="center"/>
    </xf>
    <xf numFmtId="3" fontId="6" fillId="0" borderId="33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22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1" borderId="11" xfId="0" applyFont="1" applyFill="1" applyBorder="1" applyAlignment="1">
      <alignment horizontal="center" vertical="center"/>
    </xf>
    <xf numFmtId="0" fontId="6" fillId="23" borderId="12" xfId="0" applyFont="1" applyFill="1" applyBorder="1" applyAlignment="1">
      <alignment horizontal="center" vertical="center"/>
    </xf>
    <xf numFmtId="0" fontId="6" fillId="23" borderId="13" xfId="0" applyFont="1" applyFill="1" applyBorder="1" applyAlignment="1">
      <alignment horizontal="center" vertical="center"/>
    </xf>
    <xf numFmtId="0" fontId="6" fillId="23" borderId="14" xfId="0" applyFont="1" applyFill="1" applyBorder="1" applyAlignment="1">
      <alignment horizontal="center" vertical="center"/>
    </xf>
    <xf numFmtId="0" fontId="6" fillId="21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22" borderId="25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/>
    </xf>
    <xf numFmtId="0" fontId="6" fillId="23" borderId="1" xfId="0" applyFont="1" applyFill="1" applyBorder="1" applyAlignment="1">
      <alignment horizontal="center" vertical="center"/>
    </xf>
    <xf numFmtId="0" fontId="6" fillId="23" borderId="2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 wrapText="1"/>
    </xf>
    <xf numFmtId="3" fontId="6" fillId="23" borderId="2" xfId="0" applyNumberFormat="1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3" borderId="5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3" fontId="6" fillId="23" borderId="6" xfId="0" applyNumberFormat="1" applyFont="1" applyFill="1" applyBorder="1" applyAlignment="1">
      <alignment horizontal="center" vertical="center"/>
    </xf>
    <xf numFmtId="0" fontId="18" fillId="19" borderId="28" xfId="0" applyFont="1" applyFill="1" applyBorder="1" applyAlignment="1">
      <alignment vertical="center" wrapText="1"/>
    </xf>
    <xf numFmtId="0" fontId="18" fillId="20" borderId="21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3" fontId="6" fillId="23" borderId="7" xfId="0" applyNumberFormat="1" applyFont="1" applyFill="1" applyBorder="1" applyAlignment="1">
      <alignment horizontal="center" vertical="center"/>
    </xf>
    <xf numFmtId="0" fontId="11" fillId="23" borderId="4" xfId="0" applyFont="1" applyFill="1" applyBorder="1" applyAlignment="1">
      <alignment horizontal="left" vertical="center"/>
    </xf>
    <xf numFmtId="3" fontId="6" fillId="2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176" fontId="20" fillId="0" borderId="0" xfId="0" applyNumberFormat="1" applyFont="1" applyAlignment="1">
      <alignment horizontal="left" vertical="center"/>
    </xf>
    <xf numFmtId="0" fontId="11" fillId="23" borderId="0" xfId="0" applyFont="1" applyFill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19" fillId="0" borderId="79" xfId="0" applyFont="1" applyBorder="1" applyAlignment="1">
      <alignment horizontal="center" vertical="center"/>
    </xf>
    <xf numFmtId="0" fontId="19" fillId="21" borderId="79" xfId="0" applyFont="1" applyFill="1" applyBorder="1" applyAlignment="1">
      <alignment horizontal="center" vertical="center"/>
    </xf>
    <xf numFmtId="3" fontId="19" fillId="21" borderId="79" xfId="0" applyNumberFormat="1" applyFont="1" applyFill="1" applyBorder="1" applyAlignment="1">
      <alignment horizontal="center" vertical="center"/>
    </xf>
    <xf numFmtId="0" fontId="19" fillId="23" borderId="79" xfId="0" applyFont="1" applyFill="1" applyBorder="1" applyAlignment="1">
      <alignment horizontal="center" vertical="center"/>
    </xf>
    <xf numFmtId="3" fontId="19" fillId="23" borderId="80" xfId="0" applyNumberFormat="1" applyFont="1" applyFill="1" applyBorder="1" applyAlignment="1">
      <alignment horizontal="center" vertical="center"/>
    </xf>
    <xf numFmtId="176" fontId="6" fillId="0" borderId="81" xfId="0" applyNumberFormat="1" applyFont="1" applyBorder="1" applyAlignment="1">
      <alignment horizontal="left" vertical="center"/>
    </xf>
    <xf numFmtId="176" fontId="6" fillId="0" borderId="79" xfId="0" applyNumberFormat="1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21" borderId="76" xfId="0" applyFont="1" applyFill="1" applyBorder="1" applyAlignment="1">
      <alignment horizontal="center" vertical="center"/>
    </xf>
    <xf numFmtId="3" fontId="19" fillId="21" borderId="76" xfId="0" applyNumberFormat="1" applyFont="1" applyFill="1" applyBorder="1" applyAlignment="1">
      <alignment horizontal="center" vertical="center"/>
    </xf>
    <xf numFmtId="0" fontId="19" fillId="23" borderId="76" xfId="0" applyFont="1" applyFill="1" applyBorder="1" applyAlignment="1">
      <alignment horizontal="center" vertical="center"/>
    </xf>
    <xf numFmtId="3" fontId="19" fillId="23" borderId="77" xfId="0" applyNumberFormat="1" applyFont="1" applyFill="1" applyBorder="1" applyAlignment="1">
      <alignment horizontal="center" vertical="center"/>
    </xf>
    <xf numFmtId="3" fontId="6" fillId="0" borderId="13" xfId="0" applyNumberFormat="1" applyFont="1" applyBorder="1" applyAlignment="1">
      <alignment horizontal="left" vertical="center"/>
    </xf>
    <xf numFmtId="176" fontId="6" fillId="0" borderId="13" xfId="0" applyNumberFormat="1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3" fontId="19" fillId="21" borderId="0" xfId="0" applyNumberFormat="1" applyFont="1" applyFill="1" applyAlignment="1">
      <alignment horizontal="center" vertical="center"/>
    </xf>
    <xf numFmtId="0" fontId="19" fillId="23" borderId="0" xfId="0" applyFont="1" applyFill="1" applyAlignment="1">
      <alignment horizontal="center" vertical="center"/>
    </xf>
    <xf numFmtId="3" fontId="19" fillId="23" borderId="5" xfId="0" applyNumberFormat="1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1" fillId="23" borderId="0" xfId="0" applyFont="1" applyFill="1" applyAlignment="1">
      <alignment horizontal="left" vertical="center"/>
    </xf>
    <xf numFmtId="176" fontId="6" fillId="0" borderId="2" xfId="0" applyNumberFormat="1" applyFont="1" applyBorder="1" applyAlignment="1">
      <alignment horizontal="center" vertical="center"/>
    </xf>
    <xf numFmtId="0" fontId="19" fillId="21" borderId="7" xfId="0" applyFont="1" applyFill="1" applyBorder="1" applyAlignment="1">
      <alignment horizontal="center" vertical="center"/>
    </xf>
    <xf numFmtId="0" fontId="19" fillId="23" borderId="7" xfId="0" applyFont="1" applyFill="1" applyBorder="1" applyAlignment="1">
      <alignment horizontal="center" vertical="center"/>
    </xf>
    <xf numFmtId="3" fontId="19" fillId="23" borderId="8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left" vertical="center"/>
    </xf>
    <xf numFmtId="176" fontId="5" fillId="24" borderId="0" xfId="0" applyNumberFormat="1" applyFont="1" applyFill="1" applyAlignment="1">
      <alignment horizontal="left" vertical="center"/>
    </xf>
    <xf numFmtId="0" fontId="18" fillId="19" borderId="20" xfId="0" applyFont="1" applyFill="1" applyBorder="1" applyAlignment="1">
      <alignment horizontal="center" vertical="center" wrapText="1"/>
    </xf>
    <xf numFmtId="0" fontId="18" fillId="25" borderId="20" xfId="0" applyFont="1" applyFill="1" applyBorder="1" applyAlignment="1">
      <alignment horizontal="center" vertical="center" wrapText="1"/>
    </xf>
    <xf numFmtId="0" fontId="18" fillId="19" borderId="2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18" fillId="20" borderId="22" xfId="0" applyFont="1" applyFill="1" applyBorder="1" applyAlignment="1">
      <alignment horizontal="center" vertical="center"/>
    </xf>
    <xf numFmtId="0" fontId="18" fillId="20" borderId="23" xfId="0" applyFont="1" applyFill="1" applyBorder="1" applyAlignment="1">
      <alignment horizontal="center" vertical="center"/>
    </xf>
    <xf numFmtId="0" fontId="18" fillId="20" borderId="4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3" fontId="6" fillId="23" borderId="8" xfId="0" applyNumberFormat="1" applyFont="1" applyFill="1" applyBorder="1" applyAlignment="1">
      <alignment horizontal="center" vertical="center"/>
    </xf>
    <xf numFmtId="0" fontId="6" fillId="0" borderId="65" xfId="0" applyFont="1" applyBorder="1" applyAlignment="1">
      <alignment horizontal="left" vertical="center"/>
    </xf>
    <xf numFmtId="0" fontId="19" fillId="0" borderId="7" xfId="0" applyFont="1" applyBorder="1">
      <alignment vertical="center"/>
    </xf>
    <xf numFmtId="0" fontId="6" fillId="23" borderId="4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177" fontId="6" fillId="0" borderId="19" xfId="1" applyNumberFormat="1" applyFont="1" applyFill="1" applyBorder="1" applyAlignment="1">
      <alignment vertical="center"/>
    </xf>
    <xf numFmtId="177" fontId="6" fillId="0" borderId="20" xfId="1" applyNumberFormat="1" applyFont="1" applyFill="1" applyBorder="1" applyAlignment="1">
      <alignment vertical="center"/>
    </xf>
    <xf numFmtId="177" fontId="6" fillId="0" borderId="21" xfId="1" applyNumberFormat="1" applyFont="1" applyFill="1" applyBorder="1" applyAlignment="1">
      <alignment vertical="center"/>
    </xf>
    <xf numFmtId="0" fontId="1" fillId="0" borderId="36" xfId="0" applyFont="1" applyBorder="1">
      <alignment vertical="center"/>
    </xf>
    <xf numFmtId="0" fontId="1" fillId="0" borderId="23" xfId="0" applyFont="1" applyBorder="1">
      <alignment vertical="center"/>
    </xf>
    <xf numFmtId="0" fontId="15" fillId="15" borderId="5" xfId="0" applyFont="1" applyFill="1" applyBorder="1" applyAlignment="1">
      <alignment horizontal="left" vertical="center" wrapText="1"/>
    </xf>
    <xf numFmtId="0" fontId="15" fillId="12" borderId="5" xfId="0" applyFont="1" applyFill="1" applyBorder="1" applyAlignment="1">
      <alignment horizontal="left" vertical="center" wrapText="1"/>
    </xf>
    <xf numFmtId="0" fontId="15" fillId="12" borderId="0" xfId="0" applyFont="1" applyFill="1" applyAlignment="1">
      <alignment horizontal="left" vertical="center" wrapText="1"/>
    </xf>
    <xf numFmtId="0" fontId="16" fillId="18" borderId="4" xfId="0" applyFont="1" applyFill="1" applyBorder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left" vertical="center" wrapText="1"/>
    </xf>
    <xf numFmtId="0" fontId="5" fillId="8" borderId="28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8" fillId="19" borderId="28" xfId="0" applyFont="1" applyFill="1" applyBorder="1" applyAlignment="1">
      <alignment horizontal="center" vertical="center" wrapText="1"/>
    </xf>
    <xf numFmtId="0" fontId="18" fillId="19" borderId="2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0" fontId="18" fillId="19" borderId="6" xfId="0" applyFont="1" applyFill="1" applyBorder="1" applyAlignment="1">
      <alignment horizontal="center" vertical="center"/>
    </xf>
    <xf numFmtId="0" fontId="18" fillId="19" borderId="7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center" vertical="center" wrapText="1"/>
    </xf>
    <xf numFmtId="0" fontId="18" fillId="19" borderId="6" xfId="0" applyFont="1" applyFill="1" applyBorder="1" applyAlignment="1">
      <alignment horizontal="center" vertical="center" wrapText="1"/>
    </xf>
    <xf numFmtId="0" fontId="18" fillId="19" borderId="7" xfId="0" applyFont="1" applyFill="1" applyBorder="1" applyAlignment="1">
      <alignment horizontal="center" vertical="center" wrapText="1"/>
    </xf>
    <xf numFmtId="0" fontId="18" fillId="19" borderId="15" xfId="0" applyFont="1" applyFill="1" applyBorder="1" applyAlignment="1">
      <alignment horizontal="center" vertical="center" wrapText="1"/>
    </xf>
    <xf numFmtId="0" fontId="18" fillId="19" borderId="68" xfId="0" applyFont="1" applyFill="1" applyBorder="1" applyAlignment="1">
      <alignment horizontal="center" vertical="center" wrapText="1"/>
    </xf>
    <xf numFmtId="0" fontId="18" fillId="19" borderId="23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 wrapText="1"/>
    </xf>
    <xf numFmtId="0" fontId="18" fillId="19" borderId="67" xfId="0" applyFont="1" applyFill="1" applyBorder="1" applyAlignment="1">
      <alignment horizontal="center" vertical="center" wrapText="1"/>
    </xf>
    <xf numFmtId="0" fontId="18" fillId="19" borderId="22" xfId="0" applyFont="1" applyFill="1" applyBorder="1" applyAlignment="1">
      <alignment horizontal="center" vertical="center" wrapText="1"/>
    </xf>
    <xf numFmtId="0" fontId="18" fillId="19" borderId="28" xfId="0" applyFont="1" applyFill="1" applyBorder="1" applyAlignment="1">
      <alignment horizontal="center" vertical="center" textRotation="90" wrapText="1"/>
    </xf>
    <xf numFmtId="0" fontId="18" fillId="19" borderId="29" xfId="0" applyFont="1" applyFill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9" borderId="64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8" fontId="1" fillId="3" borderId="1" xfId="1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78" fontId="1" fillId="3" borderId="2" xfId="1" applyNumberFormat="1" applyFont="1" applyFill="1" applyBorder="1" applyAlignment="1">
      <alignment horizontal="center" vertical="center"/>
    </xf>
    <xf numFmtId="178" fontId="1" fillId="3" borderId="4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8" fontId="1" fillId="3" borderId="0" xfId="1" applyNumberFormat="1" applyFont="1" applyFill="1" applyBorder="1" applyAlignment="1">
      <alignment horizontal="center" vertical="center"/>
    </xf>
    <xf numFmtId="178" fontId="1" fillId="3" borderId="6" xfId="1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78" fontId="1" fillId="3" borderId="7" xfId="1" applyNumberFormat="1" applyFont="1" applyFill="1" applyBorder="1" applyAlignment="1">
      <alignment horizontal="center" vertical="center"/>
    </xf>
    <xf numFmtId="178" fontId="1" fillId="3" borderId="12" xfId="1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8" fontId="1" fillId="3" borderId="1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78" fontId="1" fillId="3" borderId="8" xfId="1" applyNumberFormat="1" applyFont="1" applyFill="1" applyBorder="1" applyAlignment="1">
      <alignment horizontal="center" vertical="center"/>
    </xf>
    <xf numFmtId="178" fontId="1" fillId="0" borderId="32" xfId="1" applyNumberFormat="1" applyFont="1" applyFill="1" applyBorder="1" applyAlignment="1">
      <alignment horizontal="center" vertical="center"/>
    </xf>
    <xf numFmtId="178" fontId="1" fillId="0" borderId="33" xfId="1" applyNumberFormat="1" applyFont="1" applyFill="1" applyBorder="1" applyAlignment="1">
      <alignment horizontal="center" vertical="center"/>
    </xf>
    <xf numFmtId="41" fontId="1" fillId="0" borderId="33" xfId="1" applyFont="1" applyFill="1" applyBorder="1" applyAlignment="1">
      <alignment horizontal="center" vertical="center"/>
    </xf>
    <xf numFmtId="178" fontId="1" fillId="0" borderId="34" xfId="1" applyNumberFormat="1" applyFont="1" applyFill="1" applyBorder="1" applyAlignment="1">
      <alignment horizontal="center" vertical="center"/>
    </xf>
    <xf numFmtId="178" fontId="1" fillId="3" borderId="1" xfId="1" applyNumberFormat="1" applyFont="1" applyFill="1" applyBorder="1" applyAlignment="1">
      <alignment horizontal="left" vertical="center"/>
    </xf>
    <xf numFmtId="177" fontId="1" fillId="0" borderId="32" xfId="0" applyNumberFormat="1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177" fontId="1" fillId="0" borderId="34" xfId="0" applyNumberFormat="1" applyFont="1" applyBorder="1" applyAlignment="1">
      <alignment horizontal="center" vertical="center"/>
    </xf>
    <xf numFmtId="177" fontId="1" fillId="0" borderId="30" xfId="0" applyNumberFormat="1" applyFont="1" applyBorder="1" applyAlignment="1">
      <alignment horizontal="center" vertical="center"/>
    </xf>
    <xf numFmtId="178" fontId="1" fillId="0" borderId="35" xfId="1" applyNumberFormat="1" applyFont="1" applyFill="1" applyBorder="1" applyAlignment="1">
      <alignment horizontal="center" vertical="center"/>
    </xf>
    <xf numFmtId="178" fontId="1" fillId="0" borderId="36" xfId="1" applyNumberFormat="1" applyFont="1" applyFill="1" applyBorder="1" applyAlignment="1">
      <alignment horizontal="center" vertical="center"/>
    </xf>
    <xf numFmtId="41" fontId="1" fillId="0" borderId="36" xfId="1" applyFont="1" applyFill="1" applyBorder="1" applyAlignment="1">
      <alignment horizontal="center" vertical="center"/>
    </xf>
    <xf numFmtId="178" fontId="1" fillId="0" borderId="37" xfId="1" applyNumberFormat="1" applyFont="1" applyFill="1" applyBorder="1" applyAlignment="1">
      <alignment horizontal="center" vertical="center"/>
    </xf>
    <xf numFmtId="178" fontId="1" fillId="3" borderId="4" xfId="1" applyNumberFormat="1" applyFont="1" applyFill="1" applyBorder="1" applyAlignment="1">
      <alignment horizontal="left" vertical="center"/>
    </xf>
    <xf numFmtId="177" fontId="1" fillId="0" borderId="35" xfId="0" applyNumberFormat="1" applyFont="1" applyBorder="1" applyAlignment="1">
      <alignment horizontal="center" vertical="center"/>
    </xf>
    <xf numFmtId="177" fontId="1" fillId="0" borderId="36" xfId="0" applyNumberFormat="1" applyFont="1" applyBorder="1" applyAlignment="1">
      <alignment horizontal="center" vertical="center"/>
    </xf>
    <xf numFmtId="177" fontId="1" fillId="0" borderId="37" xfId="0" applyNumberFormat="1" applyFont="1" applyBorder="1" applyAlignment="1">
      <alignment horizontal="center" vertical="center"/>
    </xf>
    <xf numFmtId="177" fontId="1" fillId="0" borderId="31" xfId="0" applyNumberFormat="1" applyFont="1" applyBorder="1" applyAlignment="1">
      <alignment horizontal="center" vertical="center"/>
    </xf>
    <xf numFmtId="178" fontId="1" fillId="0" borderId="27" xfId="1" applyNumberFormat="1" applyFont="1" applyFill="1" applyBorder="1" applyAlignment="1">
      <alignment horizontal="center" vertical="center"/>
    </xf>
    <xf numFmtId="178" fontId="1" fillId="0" borderId="23" xfId="1" applyNumberFormat="1" applyFont="1" applyFill="1" applyBorder="1" applyAlignment="1">
      <alignment horizontal="center" vertical="center"/>
    </xf>
    <xf numFmtId="41" fontId="1" fillId="0" borderId="23" xfId="1" applyFont="1" applyFill="1" applyBorder="1" applyAlignment="1">
      <alignment horizontal="center" vertical="center"/>
    </xf>
    <xf numFmtId="178" fontId="1" fillId="0" borderId="8" xfId="1" applyNumberFormat="1" applyFont="1" applyFill="1" applyBorder="1" applyAlignment="1">
      <alignment horizontal="center" vertical="center"/>
    </xf>
    <xf numFmtId="178" fontId="1" fillId="3" borderId="6" xfId="1" applyNumberFormat="1" applyFont="1" applyFill="1" applyBorder="1" applyAlignment="1">
      <alignment horizontal="left" vertical="center"/>
    </xf>
    <xf numFmtId="177" fontId="1" fillId="0" borderId="22" xfId="0" applyNumberFormat="1" applyFont="1" applyBorder="1" applyAlignment="1">
      <alignment horizontal="center" vertical="center"/>
    </xf>
    <xf numFmtId="177" fontId="1" fillId="0" borderId="23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177" fontId="1" fillId="0" borderId="44" xfId="0" applyNumberFormat="1" applyFont="1" applyBorder="1" applyAlignment="1">
      <alignment horizontal="center" vertical="center"/>
    </xf>
    <xf numFmtId="177" fontId="1" fillId="0" borderId="19" xfId="0" applyNumberFormat="1" applyFont="1" applyBorder="1" applyAlignment="1">
      <alignment horizontal="center" vertical="center"/>
    </xf>
    <xf numFmtId="177" fontId="1" fillId="0" borderId="20" xfId="0" applyNumberFormat="1" applyFont="1" applyBorder="1" applyAlignment="1">
      <alignment horizontal="center" vertical="center"/>
    </xf>
    <xf numFmtId="177" fontId="1" fillId="0" borderId="2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left" vertical="center"/>
    </xf>
    <xf numFmtId="41" fontId="1" fillId="0" borderId="32" xfId="1" applyFont="1" applyFill="1" applyBorder="1" applyAlignment="1">
      <alignment horizontal="center" vertical="center"/>
    </xf>
    <xf numFmtId="41" fontId="1" fillId="0" borderId="34" xfId="1" applyFont="1" applyFill="1" applyBorder="1" applyAlignment="1">
      <alignment horizontal="center" vertical="center"/>
    </xf>
    <xf numFmtId="41" fontId="1" fillId="0" borderId="30" xfId="1" applyFont="1" applyBorder="1" applyAlignment="1">
      <alignment horizontal="center" vertical="center"/>
    </xf>
    <xf numFmtId="41" fontId="1" fillId="0" borderId="35" xfId="1" applyFont="1" applyFill="1" applyBorder="1" applyAlignment="1">
      <alignment horizontal="center" vertical="center"/>
    </xf>
    <xf numFmtId="41" fontId="1" fillId="0" borderId="37" xfId="1" applyFont="1" applyFill="1" applyBorder="1" applyAlignment="1">
      <alignment horizontal="center" vertical="center"/>
    </xf>
    <xf numFmtId="41" fontId="1" fillId="0" borderId="31" xfId="1" applyFont="1" applyBorder="1" applyAlignment="1">
      <alignment horizontal="center" vertical="center"/>
    </xf>
    <xf numFmtId="41" fontId="1" fillId="0" borderId="27" xfId="1" applyFont="1" applyFill="1" applyBorder="1" applyAlignment="1">
      <alignment horizontal="center" vertical="center"/>
    </xf>
    <xf numFmtId="41" fontId="1" fillId="0" borderId="8" xfId="1" applyFont="1" applyFill="1" applyBorder="1" applyAlignment="1">
      <alignment horizontal="center" vertical="center"/>
    </xf>
    <xf numFmtId="41" fontId="1" fillId="0" borderId="44" xfId="1" applyFont="1" applyBorder="1" applyAlignment="1">
      <alignment horizontal="center" vertical="center"/>
    </xf>
    <xf numFmtId="41" fontId="1" fillId="3" borderId="1" xfId="1" applyFont="1" applyFill="1" applyBorder="1" applyAlignment="1">
      <alignment horizontal="center" vertical="center"/>
    </xf>
    <xf numFmtId="41" fontId="1" fillId="3" borderId="2" xfId="1" applyFont="1" applyFill="1" applyBorder="1" applyAlignment="1">
      <alignment horizontal="center" vertical="center"/>
    </xf>
    <xf numFmtId="41" fontId="1" fillId="3" borderId="3" xfId="1" applyFont="1" applyFill="1" applyBorder="1" applyAlignment="1">
      <alignment horizontal="center" vertical="center"/>
    </xf>
    <xf numFmtId="41" fontId="1" fillId="0" borderId="0" xfId="0" applyNumberFormat="1" applyFont="1" applyAlignment="1">
      <alignment horizontal="left" vertical="center"/>
    </xf>
    <xf numFmtId="41" fontId="1" fillId="3" borderId="6" xfId="1" applyFont="1" applyFill="1" applyBorder="1" applyAlignment="1">
      <alignment horizontal="center" vertical="center"/>
    </xf>
    <xf numFmtId="41" fontId="1" fillId="3" borderId="7" xfId="1" applyFont="1" applyFill="1" applyBorder="1" applyAlignment="1">
      <alignment horizontal="center" vertical="center"/>
    </xf>
    <xf numFmtId="41" fontId="1" fillId="3" borderId="8" xfId="1" applyFont="1" applyFill="1" applyBorder="1" applyAlignment="1">
      <alignment horizontal="center" vertical="center"/>
    </xf>
    <xf numFmtId="177" fontId="1" fillId="3" borderId="14" xfId="0" applyNumberFormat="1" applyFont="1" applyFill="1" applyBorder="1" applyAlignment="1">
      <alignment horizontal="left" vertical="center"/>
    </xf>
    <xf numFmtId="177" fontId="1" fillId="0" borderId="47" xfId="0" applyNumberFormat="1" applyFont="1" applyBorder="1" applyAlignment="1">
      <alignment horizontal="center" vertical="center"/>
    </xf>
    <xf numFmtId="41" fontId="1" fillId="0" borderId="32" xfId="1" applyFont="1" applyBorder="1" applyAlignment="1">
      <alignment horizontal="center" vertical="center"/>
    </xf>
    <xf numFmtId="41" fontId="1" fillId="0" borderId="33" xfId="1" applyFont="1" applyBorder="1" applyAlignment="1">
      <alignment horizontal="center" vertical="center"/>
    </xf>
    <xf numFmtId="41" fontId="1" fillId="0" borderId="34" xfId="1" applyFont="1" applyBorder="1" applyAlignment="1">
      <alignment horizontal="center" vertical="center"/>
    </xf>
    <xf numFmtId="41" fontId="1" fillId="0" borderId="35" xfId="1" applyFont="1" applyBorder="1" applyAlignment="1">
      <alignment horizontal="center" vertical="center"/>
    </xf>
    <xf numFmtId="41" fontId="1" fillId="0" borderId="36" xfId="1" applyFont="1" applyBorder="1" applyAlignment="1">
      <alignment horizontal="center" vertical="center"/>
    </xf>
    <xf numFmtId="41" fontId="1" fillId="0" borderId="37" xfId="1" applyFont="1" applyBorder="1" applyAlignment="1">
      <alignment horizontal="center" vertical="center"/>
    </xf>
    <xf numFmtId="41" fontId="1" fillId="0" borderId="27" xfId="1" applyFont="1" applyBorder="1" applyAlignment="1">
      <alignment horizontal="center" vertical="center"/>
    </xf>
    <xf numFmtId="41" fontId="1" fillId="0" borderId="23" xfId="1" applyFont="1" applyBorder="1" applyAlignment="1">
      <alignment horizontal="center" vertical="center"/>
    </xf>
    <xf numFmtId="41" fontId="1" fillId="0" borderId="8" xfId="1" applyFont="1" applyBorder="1" applyAlignment="1">
      <alignment horizontal="center" vertical="center"/>
    </xf>
    <xf numFmtId="41" fontId="1" fillId="3" borderId="4" xfId="0" applyNumberFormat="1" applyFont="1" applyFill="1" applyBorder="1" applyAlignment="1">
      <alignment horizontal="center" vertical="center"/>
    </xf>
    <xf numFmtId="41" fontId="1" fillId="3" borderId="0" xfId="0" applyNumberFormat="1" applyFont="1" applyFill="1" applyAlignment="1">
      <alignment horizontal="center" vertical="center"/>
    </xf>
    <xf numFmtId="41" fontId="1" fillId="3" borderId="5" xfId="0" applyNumberFormat="1" applyFont="1" applyFill="1" applyBorder="1" applyAlignment="1">
      <alignment horizontal="center" vertical="center"/>
    </xf>
    <xf numFmtId="0" fontId="1" fillId="0" borderId="41" xfId="0" applyFont="1" applyBorder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left" vertical="center"/>
    </xf>
    <xf numFmtId="0" fontId="1" fillId="0" borderId="43" xfId="0" applyFont="1" applyBorder="1" applyAlignment="1">
      <alignment vertical="center" wrapText="1"/>
    </xf>
    <xf numFmtId="41" fontId="1" fillId="0" borderId="59" xfId="1" applyFont="1" applyBorder="1" applyAlignment="1">
      <alignment vertical="center"/>
    </xf>
    <xf numFmtId="0" fontId="1" fillId="0" borderId="43" xfId="0" applyFont="1" applyBorder="1">
      <alignment vertical="center"/>
    </xf>
    <xf numFmtId="41" fontId="1" fillId="0" borderId="41" xfId="1" applyFont="1" applyBorder="1" applyAlignment="1">
      <alignment vertical="center"/>
    </xf>
    <xf numFmtId="178" fontId="1" fillId="0" borderId="41" xfId="1" applyNumberFormat="1" applyFont="1" applyBorder="1" applyAlignment="1">
      <alignment vertical="center"/>
    </xf>
    <xf numFmtId="0" fontId="1" fillId="0" borderId="31" xfId="0" applyFont="1" applyBorder="1">
      <alignment vertical="center"/>
    </xf>
    <xf numFmtId="41" fontId="1" fillId="0" borderId="42" xfId="1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41" fontId="1" fillId="0" borderId="36" xfId="1" applyFont="1" applyBorder="1" applyAlignment="1">
      <alignment vertical="center"/>
    </xf>
    <xf numFmtId="0" fontId="1" fillId="0" borderId="58" xfId="0" applyFont="1" applyBorder="1">
      <alignment vertical="center"/>
    </xf>
    <xf numFmtId="180" fontId="1" fillId="0" borderId="55" xfId="1" applyNumberFormat="1" applyFont="1" applyBorder="1" applyAlignment="1">
      <alignment vertical="center"/>
    </xf>
    <xf numFmtId="180" fontId="1" fillId="0" borderId="53" xfId="1" applyNumberFormat="1" applyFont="1" applyBorder="1" applyAlignment="1">
      <alignment vertical="center"/>
    </xf>
    <xf numFmtId="0" fontId="1" fillId="0" borderId="53" xfId="0" applyFont="1" applyBorder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41" fontId="1" fillId="0" borderId="56" xfId="0" applyNumberFormat="1" applyFont="1" applyBorder="1" applyAlignment="1">
      <alignment horizontal="left" vertical="center"/>
    </xf>
    <xf numFmtId="41" fontId="1" fillId="0" borderId="33" xfId="0" applyNumberFormat="1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181" fontId="1" fillId="0" borderId="27" xfId="1" applyNumberFormat="1" applyFont="1" applyBorder="1" applyAlignment="1">
      <alignment vertical="center"/>
    </xf>
    <xf numFmtId="0" fontId="1" fillId="0" borderId="44" xfId="0" applyFont="1" applyBorder="1">
      <alignment vertical="center"/>
    </xf>
    <xf numFmtId="0" fontId="1" fillId="0" borderId="45" xfId="0" applyFont="1" applyBorder="1">
      <alignment vertical="center"/>
    </xf>
    <xf numFmtId="0" fontId="1" fillId="0" borderId="46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41" fontId="1" fillId="0" borderId="56" xfId="1" applyFont="1" applyBorder="1" applyAlignment="1">
      <alignment vertical="center"/>
    </xf>
    <xf numFmtId="41" fontId="1" fillId="0" borderId="33" xfId="1" applyFont="1" applyBorder="1" applyAlignment="1">
      <alignment vertical="center"/>
    </xf>
    <xf numFmtId="0" fontId="1" fillId="0" borderId="33" xfId="0" applyFont="1" applyBorder="1">
      <alignment vertical="center"/>
    </xf>
    <xf numFmtId="177" fontId="1" fillId="0" borderId="59" xfId="1" applyNumberFormat="1" applyFont="1" applyBorder="1" applyAlignment="1">
      <alignment vertical="center"/>
    </xf>
    <xf numFmtId="41" fontId="1" fillId="0" borderId="42" xfId="1" applyFont="1" applyBorder="1" applyAlignment="1">
      <alignment horizontal="center" vertical="center"/>
    </xf>
    <xf numFmtId="179" fontId="1" fillId="0" borderId="42" xfId="1" applyNumberFormat="1" applyFont="1" applyBorder="1" applyAlignment="1">
      <alignment vertical="center"/>
    </xf>
    <xf numFmtId="177" fontId="1" fillId="0" borderId="42" xfId="1" applyNumberFormat="1" applyFont="1" applyBorder="1" applyAlignment="1">
      <alignment vertical="center"/>
    </xf>
    <xf numFmtId="0" fontId="1" fillId="0" borderId="44" xfId="0" applyFont="1" applyBorder="1" applyAlignment="1">
      <alignment horizontal="left" vertical="center"/>
    </xf>
    <xf numFmtId="177" fontId="1" fillId="0" borderId="27" xfId="1" applyNumberFormat="1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1" xfId="0" applyFont="1" applyBorder="1">
      <alignment vertical="center"/>
    </xf>
    <xf numFmtId="178" fontId="1" fillId="0" borderId="23" xfId="1" applyNumberFormat="1" applyFont="1" applyBorder="1" applyAlignment="1">
      <alignment vertical="center"/>
    </xf>
    <xf numFmtId="179" fontId="1" fillId="0" borderId="27" xfId="1" applyNumberFormat="1" applyFont="1" applyBorder="1" applyAlignment="1">
      <alignment vertical="center"/>
    </xf>
    <xf numFmtId="0" fontId="1" fillId="0" borderId="56" xfId="0" applyFont="1" applyBorder="1">
      <alignment vertical="center"/>
    </xf>
    <xf numFmtId="178" fontId="1" fillId="0" borderId="42" xfId="1" applyNumberFormat="1" applyFont="1" applyBorder="1" applyAlignment="1">
      <alignment vertical="center"/>
    </xf>
    <xf numFmtId="178" fontId="1" fillId="0" borderId="36" xfId="1" applyNumberFormat="1" applyFont="1" applyBorder="1" applyAlignment="1">
      <alignment vertical="center"/>
    </xf>
    <xf numFmtId="177" fontId="1" fillId="0" borderId="36" xfId="1" applyNumberFormat="1" applyFont="1" applyBorder="1" applyAlignment="1">
      <alignment vertical="center"/>
    </xf>
    <xf numFmtId="177" fontId="1" fillId="0" borderId="60" xfId="1" applyNumberFormat="1" applyFont="1" applyBorder="1" applyAlignment="1">
      <alignment horizontal="center" vertical="center"/>
    </xf>
    <xf numFmtId="177" fontId="1" fillId="0" borderId="25" xfId="1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178" fontId="1" fillId="0" borderId="42" xfId="1" applyNumberFormat="1" applyFont="1" applyBorder="1" applyAlignment="1">
      <alignment horizontal="center" vertical="center"/>
    </xf>
    <xf numFmtId="178" fontId="1" fillId="0" borderId="36" xfId="1" applyNumberFormat="1" applyFont="1" applyBorder="1" applyAlignment="1">
      <alignment horizontal="center" vertical="center"/>
    </xf>
    <xf numFmtId="177" fontId="1" fillId="0" borderId="42" xfId="1" applyNumberFormat="1" applyFont="1" applyBorder="1" applyAlignment="1">
      <alignment horizontal="center" vertical="center"/>
    </xf>
    <xf numFmtId="177" fontId="1" fillId="0" borderId="36" xfId="1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178" fontId="1" fillId="0" borderId="0" xfId="1" applyNumberFormat="1" applyFont="1" applyAlignment="1">
      <alignment horizontal="left" vertical="center"/>
    </xf>
    <xf numFmtId="178" fontId="1" fillId="0" borderId="7" xfId="1" applyNumberFormat="1" applyFont="1" applyBorder="1" applyAlignment="1">
      <alignment horizontal="left" vertical="center"/>
    </xf>
    <xf numFmtId="177" fontId="1" fillId="0" borderId="7" xfId="0" applyNumberFormat="1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F55D05"/>
      <color rgb="FFFAF1D4"/>
      <color rgb="FF156082"/>
      <color rgb="FFF2CEEF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38100</xdr:rowOff>
    </xdr:from>
    <xdr:to>
      <xdr:col>2</xdr:col>
      <xdr:colOff>4293186</xdr:colOff>
      <xdr:row>62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2D0B38-F531-5611-0629-435AF0312056}"/>
            </a:ext>
            <a:ext uri="{147F2762-F138-4A5C-976F-8EAC2B608ADB}">
              <a16:predDERef xmlns:a16="http://schemas.microsoft.com/office/drawing/2014/main" pred="{E6ED432D-5054-47B0-9449-5214BAA06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2300"/>
          <a:ext cx="12814886" cy="8134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4695825</xdr:colOff>
      <xdr:row>18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CF3ADA-6434-480A-A321-B7B78F8D713E}"/>
            </a:ext>
            <a:ext uri="{147F2762-F138-4A5C-976F-8EAC2B608ADB}">
              <a16:predDERef xmlns:a16="http://schemas.microsoft.com/office/drawing/2014/main" pred="{D12D0B38-F531-5611-0629-435AF0312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0" y="2571750"/>
          <a:ext cx="4695825" cy="3067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D407-1952-4F5E-B551-8E942ABE637C}">
  <dimension ref="A1:C18"/>
  <sheetViews>
    <sheetView zoomScale="113" zoomScaleNormal="110" workbookViewId="0">
      <selection activeCell="G18" sqref="G18:G29"/>
    </sheetView>
  </sheetViews>
  <sheetFormatPr defaultColWidth="9" defaultRowHeight="14.45"/>
  <cols>
    <col min="1" max="1" width="35.625" style="96" customWidth="1"/>
    <col min="2" max="2" width="86.375" style="96" customWidth="1"/>
    <col min="3" max="3" width="61.875" style="96" customWidth="1"/>
    <col min="4" max="16384" width="9" style="96"/>
  </cols>
  <sheetData>
    <row r="1" spans="1:3" s="108" customFormat="1" ht="17.100000000000001" customHeight="1" thickBot="1">
      <c r="A1" s="109" t="s">
        <v>0</v>
      </c>
      <c r="B1" s="300" t="s">
        <v>1</v>
      </c>
      <c r="C1" s="301"/>
    </row>
    <row r="2" spans="1:3" s="108" customFormat="1" ht="17.100000000000001" customHeight="1" thickBot="1">
      <c r="A2" s="110" t="s">
        <v>2</v>
      </c>
      <c r="B2" s="302" t="s">
        <v>3</v>
      </c>
      <c r="C2" s="302"/>
    </row>
    <row r="3" spans="1:3" s="108" customFormat="1" ht="17.100000000000001" customHeight="1">
      <c r="A3" s="111" t="s">
        <v>4</v>
      </c>
      <c r="B3" s="303" t="s">
        <v>5</v>
      </c>
      <c r="C3" s="303"/>
    </row>
    <row r="4" spans="1:3" s="108" customFormat="1" ht="18" customHeight="1" thickBot="1">
      <c r="A4" s="259" t="s">
        <v>6</v>
      </c>
      <c r="B4" s="260"/>
      <c r="C4" s="260"/>
    </row>
    <row r="5" spans="1:3" s="108" customFormat="1" ht="27.6" customHeight="1">
      <c r="A5" s="112" t="s">
        <v>7</v>
      </c>
      <c r="B5" s="261" t="s">
        <v>8</v>
      </c>
      <c r="C5" s="261"/>
    </row>
    <row r="6" spans="1:3" s="108" customFormat="1" ht="27.6" customHeight="1">
      <c r="A6" s="113" t="s">
        <v>9</v>
      </c>
      <c r="B6" s="254" t="s">
        <v>10</v>
      </c>
      <c r="C6" s="254"/>
    </row>
    <row r="7" spans="1:3" s="108" customFormat="1" ht="18.95" customHeight="1">
      <c r="A7" s="113" t="s">
        <v>11</v>
      </c>
      <c r="B7" s="254" t="s">
        <v>12</v>
      </c>
      <c r="C7" s="254"/>
    </row>
    <row r="8" spans="1:3" s="108" customFormat="1" ht="27.6" customHeight="1">
      <c r="A8" s="114" t="s">
        <v>13</v>
      </c>
      <c r="B8" s="255" t="s">
        <v>14</v>
      </c>
      <c r="C8" s="255"/>
    </row>
    <row r="9" spans="1:3" s="108" customFormat="1" ht="17.45" customHeight="1" thickBot="1">
      <c r="A9" s="115" t="s">
        <v>15</v>
      </c>
      <c r="B9" s="256" t="s">
        <v>16</v>
      </c>
      <c r="C9" s="256"/>
    </row>
    <row r="10" spans="1:3" s="108" customFormat="1" ht="18" customHeight="1" thickBot="1">
      <c r="A10" s="257" t="s">
        <v>17</v>
      </c>
      <c r="B10" s="258"/>
      <c r="C10" s="258"/>
    </row>
    <row r="11" spans="1:3" s="108" customFormat="1" ht="30" customHeight="1">
      <c r="A11" s="116" t="s">
        <v>18</v>
      </c>
      <c r="B11" s="105" t="s">
        <v>19</v>
      </c>
      <c r="C11"/>
    </row>
    <row r="12" spans="1:3" s="108" customFormat="1" ht="30" customHeight="1">
      <c r="A12" s="117" t="s">
        <v>20</v>
      </c>
      <c r="B12" s="106" t="s">
        <v>21</v>
      </c>
      <c r="C12"/>
    </row>
    <row r="13" spans="1:3" s="108" customFormat="1" ht="30" customHeight="1">
      <c r="A13" s="117" t="s">
        <v>22</v>
      </c>
      <c r="B13" s="106" t="s">
        <v>23</v>
      </c>
      <c r="C13"/>
    </row>
    <row r="14" spans="1:3" s="108" customFormat="1" ht="30" customHeight="1">
      <c r="A14" s="117" t="s">
        <v>24</v>
      </c>
      <c r="B14" s="106" t="s">
        <v>25</v>
      </c>
      <c r="C14"/>
    </row>
    <row r="15" spans="1:3" s="108" customFormat="1" ht="30" customHeight="1">
      <c r="A15" s="117" t="s">
        <v>26</v>
      </c>
      <c r="B15" s="106" t="s">
        <v>27</v>
      </c>
      <c r="C15"/>
    </row>
    <row r="16" spans="1:3" s="108" customFormat="1" ht="30" customHeight="1">
      <c r="A16" s="117" t="s">
        <v>28</v>
      </c>
      <c r="B16" s="106" t="s">
        <v>29</v>
      </c>
      <c r="C16"/>
    </row>
    <row r="17" spans="1:3" s="108" customFormat="1" ht="30" customHeight="1">
      <c r="A17" s="117" t="s">
        <v>30</v>
      </c>
      <c r="B17" s="106" t="s">
        <v>31</v>
      </c>
      <c r="C17"/>
    </row>
    <row r="18" spans="1:3" s="108" customFormat="1" ht="30" customHeight="1" thickBot="1">
      <c r="A18" s="118" t="s">
        <v>32</v>
      </c>
      <c r="B18" s="107" t="s">
        <v>33</v>
      </c>
      <c r="C18"/>
    </row>
  </sheetData>
  <mergeCells count="10">
    <mergeCell ref="B1:C1"/>
    <mergeCell ref="B3:C3"/>
    <mergeCell ref="A4:C4"/>
    <mergeCell ref="B5:C5"/>
    <mergeCell ref="B6:C6"/>
    <mergeCell ref="B7:C7"/>
    <mergeCell ref="B8:C8"/>
    <mergeCell ref="B9:C9"/>
    <mergeCell ref="A10:C10"/>
    <mergeCell ref="B2:C2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99D9-40E8-4832-92DC-ED6A78C9CBBF}">
  <dimension ref="A1:BD60"/>
  <sheetViews>
    <sheetView tabSelected="1" zoomScaleNormal="120" workbookViewId="0">
      <selection activeCell="S1" sqref="S1"/>
    </sheetView>
  </sheetViews>
  <sheetFormatPr defaultColWidth="9" defaultRowHeight="14.45"/>
  <cols>
    <col min="1" max="1" width="29.125" style="1" bestFit="1" customWidth="1"/>
    <col min="2" max="13" width="9.5" style="1" customWidth="1"/>
    <col min="14" max="14" width="16.5" style="1" bestFit="1" customWidth="1"/>
    <col min="15" max="15" width="7.375" style="1" bestFit="1" customWidth="1"/>
    <col min="16" max="16" width="15.625" style="1" bestFit="1" customWidth="1"/>
    <col min="17" max="17" width="7.375" style="1" bestFit="1" customWidth="1"/>
    <col min="18" max="18" width="15.625" style="1" bestFit="1" customWidth="1"/>
    <col min="19" max="19" width="25.625" style="1" bestFit="1" customWidth="1"/>
    <col min="20" max="21" width="16.125" style="1" bestFit="1" customWidth="1"/>
    <col min="22" max="26" width="17" style="1" bestFit="1" customWidth="1"/>
    <col min="27" max="28" width="18.125" style="1" bestFit="1" customWidth="1"/>
    <col min="29" max="30" width="16.875" style="1" bestFit="1" customWidth="1"/>
    <col min="31" max="31" width="7.375" style="1" bestFit="1" customWidth="1"/>
    <col min="32" max="32" width="18.625" style="1" bestFit="1" customWidth="1"/>
    <col min="33" max="33" width="4.875" style="1" bestFit="1" customWidth="1"/>
    <col min="34" max="34" width="16.125" style="1" bestFit="1" customWidth="1"/>
    <col min="35" max="35" width="31.625" style="1" bestFit="1" customWidth="1"/>
    <col min="36" max="37" width="16.5" style="1" bestFit="1" customWidth="1"/>
    <col min="38" max="16384" width="9" style="1"/>
  </cols>
  <sheetData>
    <row r="1" spans="1:23" ht="37.5" thickBot="1">
      <c r="A1" s="43" t="s">
        <v>34</v>
      </c>
      <c r="B1" s="245" t="s">
        <v>35</v>
      </c>
      <c r="C1" s="246" t="s">
        <v>36</v>
      </c>
      <c r="D1" s="246" t="s">
        <v>37</v>
      </c>
      <c r="E1" s="246" t="s">
        <v>38</v>
      </c>
      <c r="F1" s="246" t="s">
        <v>39</v>
      </c>
      <c r="G1" s="246" t="s">
        <v>40</v>
      </c>
      <c r="H1" s="246" t="s">
        <v>41</v>
      </c>
      <c r="I1" s="246" t="s">
        <v>42</v>
      </c>
      <c r="J1" s="246" t="s">
        <v>43</v>
      </c>
      <c r="K1" s="246" t="s">
        <v>44</v>
      </c>
      <c r="L1" s="246" t="s">
        <v>45</v>
      </c>
      <c r="M1" s="247" t="s">
        <v>46</v>
      </c>
      <c r="N1" s="248" t="s">
        <v>47</v>
      </c>
      <c r="O1" s="267" t="s">
        <v>48</v>
      </c>
      <c r="P1" s="268"/>
      <c r="Q1" s="268"/>
      <c r="R1" s="104"/>
      <c r="S1" s="304"/>
      <c r="T1" s="304"/>
      <c r="U1" s="304"/>
      <c r="V1" s="304"/>
      <c r="W1" s="304"/>
    </row>
    <row r="2" spans="1:23">
      <c r="A2" s="7" t="s">
        <v>49</v>
      </c>
      <c r="B2" s="9"/>
      <c r="C2" s="10">
        <v>0.11082611832611848</v>
      </c>
      <c r="D2" s="11">
        <f>C2</f>
        <v>0.11082611832611848</v>
      </c>
      <c r="E2" s="12">
        <f>C2</f>
        <v>0.11082611832611848</v>
      </c>
      <c r="F2" s="11"/>
      <c r="G2" s="11"/>
      <c r="H2" s="11"/>
      <c r="I2" s="11"/>
      <c r="J2" s="11"/>
      <c r="K2" s="11"/>
      <c r="L2" s="11"/>
      <c r="M2" s="13"/>
      <c r="N2" s="83">
        <v>1</v>
      </c>
      <c r="O2" s="305">
        <f>C2</f>
        <v>0.11082611832611848</v>
      </c>
      <c r="P2" s="306" t="s">
        <v>50</v>
      </c>
      <c r="Q2" s="307">
        <f>N2*'Fact Sheet'!$G$26/5</f>
        <v>0.16</v>
      </c>
      <c r="R2" s="104"/>
      <c r="S2" s="304"/>
      <c r="T2" s="304"/>
      <c r="U2" s="304"/>
      <c r="V2" s="304"/>
      <c r="W2" s="304"/>
    </row>
    <row r="3" spans="1:23">
      <c r="A3" s="8" t="s">
        <v>51</v>
      </c>
      <c r="B3" s="14"/>
      <c r="C3" s="15"/>
      <c r="D3" s="16">
        <v>0.16</v>
      </c>
      <c r="E3" s="15">
        <f>D3</f>
        <v>0.16</v>
      </c>
      <c r="F3" s="17">
        <f>D3</f>
        <v>0.16</v>
      </c>
      <c r="G3" s="15"/>
      <c r="H3" s="15"/>
      <c r="I3" s="15"/>
      <c r="J3" s="15"/>
      <c r="K3" s="15"/>
      <c r="L3" s="15"/>
      <c r="M3" s="18"/>
      <c r="N3" s="84">
        <v>1</v>
      </c>
      <c r="O3" s="308">
        <f>D3</f>
        <v>0.16</v>
      </c>
      <c r="P3" s="309" t="s">
        <v>50</v>
      </c>
      <c r="Q3" s="310">
        <f>N3*'Fact Sheet'!$G$26/5</f>
        <v>0.16</v>
      </c>
      <c r="R3" s="104"/>
      <c r="S3" s="304"/>
      <c r="T3"/>
      <c r="U3"/>
      <c r="V3"/>
      <c r="W3"/>
    </row>
    <row r="4" spans="1:23">
      <c r="A4" s="8" t="s">
        <v>52</v>
      </c>
      <c r="B4" s="14"/>
      <c r="C4" s="15"/>
      <c r="D4" s="15"/>
      <c r="E4" s="16">
        <v>0</v>
      </c>
      <c r="F4" s="15">
        <f>E4</f>
        <v>0</v>
      </c>
      <c r="G4" s="17">
        <f>E4</f>
        <v>0</v>
      </c>
      <c r="H4" s="15"/>
      <c r="I4" s="15"/>
      <c r="J4" s="15"/>
      <c r="K4" s="15"/>
      <c r="L4" s="15"/>
      <c r="M4" s="18"/>
      <c r="N4" s="84">
        <v>0</v>
      </c>
      <c r="O4" s="308">
        <f>E4</f>
        <v>0</v>
      </c>
      <c r="P4" s="309" t="s">
        <v>50</v>
      </c>
      <c r="Q4" s="310">
        <f>N4*'Fact Sheet'!$G$26/5</f>
        <v>0</v>
      </c>
      <c r="R4" s="104"/>
      <c r="S4" s="304"/>
      <c r="T4"/>
      <c r="U4"/>
      <c r="V4"/>
      <c r="W4"/>
    </row>
    <row r="5" spans="1:23" ht="15" thickBot="1">
      <c r="A5" s="8" t="s">
        <v>53</v>
      </c>
      <c r="B5" s="14"/>
      <c r="C5" s="15"/>
      <c r="D5" s="15"/>
      <c r="E5" s="15"/>
      <c r="F5" s="20"/>
      <c r="G5" s="15"/>
      <c r="H5" s="15"/>
      <c r="I5" s="16">
        <v>0.12637189199689203</v>
      </c>
      <c r="J5" s="15">
        <f>I5</f>
        <v>0.12637189199689203</v>
      </c>
      <c r="K5" s="17">
        <f>I5</f>
        <v>0.12637189199689203</v>
      </c>
      <c r="L5" s="15"/>
      <c r="M5" s="18"/>
      <c r="N5" s="84">
        <v>1</v>
      </c>
      <c r="O5" s="308">
        <f>I5</f>
        <v>0.12637189199689203</v>
      </c>
      <c r="P5" s="309" t="s">
        <v>50</v>
      </c>
      <c r="Q5" s="310">
        <f>N5*'Fact Sheet'!$G$26/5</f>
        <v>0.16</v>
      </c>
      <c r="R5" s="104"/>
      <c r="S5" s="304"/>
      <c r="T5"/>
      <c r="U5"/>
      <c r="V5"/>
      <c r="W5"/>
    </row>
    <row r="6" spans="1:23" ht="15" thickBot="1">
      <c r="A6" s="3" t="s">
        <v>54</v>
      </c>
      <c r="B6" s="19"/>
      <c r="C6" s="20"/>
      <c r="D6" s="20"/>
      <c r="E6" s="20"/>
      <c r="F6" s="304"/>
      <c r="G6" s="20"/>
      <c r="H6" s="20"/>
      <c r="I6" s="20"/>
      <c r="J6" s="21">
        <v>5.4965451215451003E-2</v>
      </c>
      <c r="K6" s="20">
        <f>J6</f>
        <v>5.4965451215451003E-2</v>
      </c>
      <c r="L6" s="22">
        <f>J6</f>
        <v>5.4965451215451003E-2</v>
      </c>
      <c r="M6" s="23"/>
      <c r="N6" s="85">
        <v>1</v>
      </c>
      <c r="O6" s="311">
        <f>J6</f>
        <v>5.4965451215451003E-2</v>
      </c>
      <c r="P6" s="312" t="s">
        <v>50</v>
      </c>
      <c r="Q6" s="313">
        <f>N6*'Fact Sheet'!$G$26/5</f>
        <v>0.16</v>
      </c>
      <c r="R6" s="104"/>
      <c r="S6" s="304"/>
      <c r="T6"/>
      <c r="U6"/>
      <c r="V6"/>
      <c r="W6"/>
    </row>
    <row r="7" spans="1:23">
      <c r="A7" s="7" t="s">
        <v>55</v>
      </c>
      <c r="B7" s="9"/>
      <c r="C7" s="11"/>
      <c r="D7" s="11"/>
      <c r="E7" s="11"/>
      <c r="F7" s="10">
        <v>9.9999999999999992E-2</v>
      </c>
      <c r="G7" s="11">
        <f>F7</f>
        <v>9.9999999999999992E-2</v>
      </c>
      <c r="H7" s="12">
        <f>F7</f>
        <v>9.9999999999999992E-2</v>
      </c>
      <c r="I7" s="11"/>
      <c r="J7" s="11"/>
      <c r="K7" s="11"/>
      <c r="L7" s="11"/>
      <c r="M7" s="13"/>
      <c r="N7" s="83">
        <v>1</v>
      </c>
      <c r="O7" s="305">
        <f>F7</f>
        <v>9.9999999999999992E-2</v>
      </c>
      <c r="P7" s="306" t="s">
        <v>50</v>
      </c>
      <c r="Q7" s="307">
        <f>N7*'Fact Sheet'!$H$26/3</f>
        <v>9.9999999999999992E-2</v>
      </c>
      <c r="R7" s="104"/>
      <c r="S7" s="304"/>
      <c r="T7"/>
      <c r="U7"/>
      <c r="V7"/>
      <c r="W7"/>
    </row>
    <row r="8" spans="1:23">
      <c r="A8" s="8" t="s">
        <v>56</v>
      </c>
      <c r="B8" s="14"/>
      <c r="C8" s="15"/>
      <c r="D8" s="15"/>
      <c r="E8" s="15"/>
      <c r="F8" s="15"/>
      <c r="G8" s="16">
        <v>9.9999999999999978E-2</v>
      </c>
      <c r="H8" s="15">
        <f>G8</f>
        <v>9.9999999999999978E-2</v>
      </c>
      <c r="I8" s="17">
        <f>G8</f>
        <v>9.9999999999999978E-2</v>
      </c>
      <c r="J8" s="15"/>
      <c r="K8" s="15"/>
      <c r="L8" s="15"/>
      <c r="M8" s="18"/>
      <c r="N8" s="84">
        <v>1</v>
      </c>
      <c r="O8" s="308">
        <f>G8</f>
        <v>9.9999999999999978E-2</v>
      </c>
      <c r="P8" s="309" t="s">
        <v>50</v>
      </c>
      <c r="Q8" s="310">
        <f>N8*'Fact Sheet'!$H$26/3</f>
        <v>9.9999999999999992E-2</v>
      </c>
      <c r="R8" s="104"/>
      <c r="S8" s="304"/>
      <c r="T8" s="304"/>
      <c r="U8" s="304"/>
      <c r="V8" s="304"/>
      <c r="W8" s="304"/>
    </row>
    <row r="9" spans="1:23" ht="15" thickBot="1">
      <c r="A9" s="3" t="s">
        <v>57</v>
      </c>
      <c r="B9" s="19"/>
      <c r="C9" s="20"/>
      <c r="D9" s="20"/>
      <c r="E9" s="20"/>
      <c r="F9" s="20"/>
      <c r="G9" s="20"/>
      <c r="H9" s="21">
        <v>9.4893127705627703E-2</v>
      </c>
      <c r="I9" s="20">
        <f>H9</f>
        <v>9.4893127705627703E-2</v>
      </c>
      <c r="J9" s="22">
        <f>H9</f>
        <v>9.4893127705627703E-2</v>
      </c>
      <c r="K9" s="20"/>
      <c r="L9" s="20"/>
      <c r="M9" s="23"/>
      <c r="N9" s="85">
        <v>1</v>
      </c>
      <c r="O9" s="311">
        <f>H9</f>
        <v>9.4893127705627703E-2</v>
      </c>
      <c r="P9" s="312" t="s">
        <v>50</v>
      </c>
      <c r="Q9" s="313">
        <f>N9*'Fact Sheet'!$H$26/3</f>
        <v>9.9999999999999992E-2</v>
      </c>
      <c r="R9" s="104"/>
      <c r="S9" s="304"/>
      <c r="T9" s="304"/>
      <c r="U9" s="304"/>
      <c r="V9" s="304"/>
      <c r="W9" s="304"/>
    </row>
    <row r="10" spans="1:23" ht="15" thickBot="1">
      <c r="A10" s="7" t="s">
        <v>58</v>
      </c>
      <c r="B10" s="9"/>
      <c r="C10" s="11"/>
      <c r="D10" s="11"/>
      <c r="E10" s="11"/>
      <c r="F10" s="10">
        <v>0</v>
      </c>
      <c r="G10" s="11">
        <f>F10</f>
        <v>0</v>
      </c>
      <c r="H10" s="11">
        <f>F10</f>
        <v>0</v>
      </c>
      <c r="I10" s="12">
        <f>F10</f>
        <v>0</v>
      </c>
      <c r="J10" s="11"/>
      <c r="K10" s="11"/>
      <c r="L10" s="11"/>
      <c r="M10" s="13"/>
      <c r="N10" s="83">
        <v>0</v>
      </c>
      <c r="O10" s="305">
        <f>F10</f>
        <v>0</v>
      </c>
      <c r="P10" s="306" t="s">
        <v>50</v>
      </c>
      <c r="Q10" s="307">
        <f>N10*'Fact Sheet'!$I$26/2</f>
        <v>0</v>
      </c>
      <c r="R10" s="104"/>
      <c r="S10" s="304"/>
      <c r="T10" s="304"/>
      <c r="U10" s="304"/>
      <c r="V10" s="304"/>
      <c r="W10" s="304"/>
    </row>
    <row r="11" spans="1:23" ht="15" thickBot="1">
      <c r="A11" s="3" t="s">
        <v>59</v>
      </c>
      <c r="B11" s="19"/>
      <c r="C11" s="20"/>
      <c r="D11" s="20"/>
      <c r="E11" s="20"/>
      <c r="F11" s="20"/>
      <c r="G11" s="21">
        <v>9.4893127705627717E-2</v>
      </c>
      <c r="H11" s="20">
        <f>G11</f>
        <v>9.4893127705627717E-2</v>
      </c>
      <c r="I11" s="20">
        <f>G11</f>
        <v>9.4893127705627717E-2</v>
      </c>
      <c r="J11" s="22">
        <f>G11</f>
        <v>9.4893127705627717E-2</v>
      </c>
      <c r="K11" s="20"/>
      <c r="L11" s="20"/>
      <c r="M11" s="23"/>
      <c r="N11" s="85">
        <v>1</v>
      </c>
      <c r="O11" s="311">
        <f>G11</f>
        <v>9.4893127705627717E-2</v>
      </c>
      <c r="P11" s="312" t="s">
        <v>50</v>
      </c>
      <c r="Q11" s="313">
        <f>N11*'Fact Sheet'!$I$26/2</f>
        <v>0.15</v>
      </c>
      <c r="R11" s="104"/>
      <c r="S11" s="7" t="s">
        <v>60</v>
      </c>
      <c r="T11" s="40">
        <f>('Fact Sheet'!$B$9*'Fact Sheet'!$B$17)*11</f>
        <v>528000</v>
      </c>
      <c r="U11" s="304"/>
      <c r="V11" s="304"/>
      <c r="W11" s="304"/>
    </row>
    <row r="12" spans="1:23">
      <c r="A12" s="7" t="s">
        <v>61</v>
      </c>
      <c r="B12" s="9"/>
      <c r="C12" s="11"/>
      <c r="D12" s="10">
        <v>9.4893127705627522E-2</v>
      </c>
      <c r="E12" s="11">
        <f>D12</f>
        <v>9.4893127705627522E-2</v>
      </c>
      <c r="F12" s="11">
        <f>D12</f>
        <v>9.4893127705627522E-2</v>
      </c>
      <c r="G12" s="12">
        <f>D12</f>
        <v>9.4893127705627522E-2</v>
      </c>
      <c r="H12" s="11"/>
      <c r="I12" s="11"/>
      <c r="J12" s="11"/>
      <c r="K12" s="11"/>
      <c r="L12" s="11"/>
      <c r="M12" s="13"/>
      <c r="N12" s="83">
        <v>1</v>
      </c>
      <c r="O12" s="305">
        <f>D12</f>
        <v>9.4893127705627522E-2</v>
      </c>
      <c r="P12" s="306" t="s">
        <v>50</v>
      </c>
      <c r="Q12" s="307">
        <f>N12*'Fact Sheet'!$J$26/2</f>
        <v>0.25</v>
      </c>
      <c r="R12" s="104"/>
      <c r="S12" s="8" t="s">
        <v>62</v>
      </c>
      <c r="T12" s="41">
        <f>('Fact Sheet'!$B$10*'Fact Sheet'!$B$18)*11</f>
        <v>330</v>
      </c>
      <c r="U12" s="304"/>
      <c r="V12" s="304"/>
      <c r="W12" s="304"/>
    </row>
    <row r="13" spans="1:23" ht="15" thickBot="1">
      <c r="A13" s="3" t="s">
        <v>63</v>
      </c>
      <c r="B13" s="19"/>
      <c r="C13" s="20"/>
      <c r="D13" s="20"/>
      <c r="E13" s="20"/>
      <c r="F13" s="20"/>
      <c r="G13" s="20"/>
      <c r="H13" s="20"/>
      <c r="I13" s="21">
        <v>0.11823187229437254</v>
      </c>
      <c r="J13" s="20">
        <f>I13</f>
        <v>0.11823187229437254</v>
      </c>
      <c r="K13" s="20">
        <f>I13</f>
        <v>0.11823187229437254</v>
      </c>
      <c r="L13" s="22">
        <f>I13</f>
        <v>0.11823187229437254</v>
      </c>
      <c r="M13" s="23"/>
      <c r="N13" s="85">
        <v>1</v>
      </c>
      <c r="O13" s="311">
        <f>I13</f>
        <v>0.11823187229437254</v>
      </c>
      <c r="P13" s="312" t="s">
        <v>50</v>
      </c>
      <c r="Q13" s="313">
        <f>N13*'Fact Sheet'!$J$26/2</f>
        <v>0.25</v>
      </c>
      <c r="R13" s="104"/>
      <c r="S13" s="8" t="s">
        <v>64</v>
      </c>
      <c r="T13" s="41">
        <f>('Fact Sheet'!$B$8*'Fact Sheet'!$B$19)*11</f>
        <v>288750</v>
      </c>
      <c r="U13" s="304"/>
      <c r="V13" s="304"/>
      <c r="W13" s="304"/>
    </row>
    <row r="14" spans="1:23" ht="15" thickBot="1">
      <c r="A14" s="2" t="s">
        <v>65</v>
      </c>
      <c r="B14" s="24"/>
      <c r="C14" s="25"/>
      <c r="D14" s="25"/>
      <c r="E14" s="26">
        <v>0.21021374458874442</v>
      </c>
      <c r="F14" s="25">
        <f>E14</f>
        <v>0.21021374458874442</v>
      </c>
      <c r="G14" s="25">
        <f>E14</f>
        <v>0.21021374458874442</v>
      </c>
      <c r="H14" s="27">
        <f>E14</f>
        <v>0.21021374458874442</v>
      </c>
      <c r="I14" s="28">
        <f>E14</f>
        <v>0.21021374458874442</v>
      </c>
      <c r="J14" s="28">
        <f>E14</f>
        <v>0.21021374458874442</v>
      </c>
      <c r="K14" s="28">
        <f>E14</f>
        <v>0.21021374458874442</v>
      </c>
      <c r="L14" s="25"/>
      <c r="M14" s="29"/>
      <c r="N14" s="86">
        <v>1</v>
      </c>
      <c r="O14" s="314">
        <f>E14</f>
        <v>0.21021374458874442</v>
      </c>
      <c r="P14" s="315" t="s">
        <v>50</v>
      </c>
      <c r="Q14" s="316">
        <f>N14*'Fact Sheet'!$K$26</f>
        <v>0.3</v>
      </c>
      <c r="R14" s="104"/>
      <c r="S14" s="8" t="s">
        <v>66</v>
      </c>
      <c r="T14" s="41">
        <f>('Fact Sheet'!$B$11*'Fact Sheet'!$B$20)*11</f>
        <v>660000</v>
      </c>
      <c r="U14" s="304"/>
      <c r="V14" s="304"/>
      <c r="W14" s="304"/>
    </row>
    <row r="15" spans="1:23" ht="15" thickBot="1">
      <c r="A15" s="3" t="s">
        <v>67</v>
      </c>
      <c r="B15" s="30">
        <v>0.4</v>
      </c>
      <c r="C15" s="31">
        <f>B15</f>
        <v>0.4</v>
      </c>
      <c r="D15" s="31">
        <f>B15</f>
        <v>0.4</v>
      </c>
      <c r="E15" s="31">
        <f>B15</f>
        <v>0.4</v>
      </c>
      <c r="F15" s="31">
        <f>B15</f>
        <v>0.4</v>
      </c>
      <c r="G15" s="31">
        <f>B15</f>
        <v>0.4</v>
      </c>
      <c r="H15" s="32">
        <f>B15</f>
        <v>0.4</v>
      </c>
      <c r="I15" s="31"/>
      <c r="J15" s="31"/>
      <c r="K15" s="31"/>
      <c r="L15" s="31"/>
      <c r="M15" s="33"/>
      <c r="N15" s="85">
        <v>1</v>
      </c>
      <c r="O15" s="314">
        <f>B15</f>
        <v>0.4</v>
      </c>
      <c r="P15" s="315" t="s">
        <v>50</v>
      </c>
      <c r="Q15" s="316">
        <f>N15*'Fact Sheet'!$L$26</f>
        <v>0.5</v>
      </c>
      <c r="R15" s="104"/>
      <c r="S15" s="8" t="s">
        <v>68</v>
      </c>
      <c r="T15" s="41">
        <f>('Fact Sheet'!$B$12*'Fact Sheet'!$B$21)*11</f>
        <v>1650</v>
      </c>
      <c r="U15" s="304"/>
      <c r="V15" s="304"/>
      <c r="W15" s="304"/>
    </row>
    <row r="16" spans="1:23" ht="15" thickBot="1">
      <c r="A16" s="266" t="s">
        <v>69</v>
      </c>
      <c r="B16" s="305">
        <f t="shared" ref="B16:M16" si="0">SUM(B2:B15)</f>
        <v>0.4</v>
      </c>
      <c r="C16" s="34">
        <f t="shared" si="0"/>
        <v>0.51082611832611846</v>
      </c>
      <c r="D16" s="34">
        <f t="shared" si="0"/>
        <v>0.76571924603174601</v>
      </c>
      <c r="E16" s="34">
        <f t="shared" si="0"/>
        <v>0.97593299062049044</v>
      </c>
      <c r="F16" s="34">
        <f t="shared" si="0"/>
        <v>0.96510687229437198</v>
      </c>
      <c r="G16" s="34">
        <f t="shared" si="0"/>
        <v>0.99999999999999967</v>
      </c>
      <c r="H16" s="34">
        <f t="shared" si="0"/>
        <v>0.99999999999999978</v>
      </c>
      <c r="I16" s="34">
        <f t="shared" si="0"/>
        <v>0.7446037642912644</v>
      </c>
      <c r="J16" s="34">
        <f t="shared" si="0"/>
        <v>0.69956921550671547</v>
      </c>
      <c r="K16" s="34">
        <f t="shared" si="0"/>
        <v>0.50978296009545998</v>
      </c>
      <c r="L16" s="34">
        <f t="shared" si="0"/>
        <v>0.17319732350982353</v>
      </c>
      <c r="M16" s="35">
        <f t="shared" si="0"/>
        <v>0</v>
      </c>
      <c r="N16" s="304"/>
      <c r="O16" s="317"/>
      <c r="P16" s="317"/>
      <c r="Q16" s="317"/>
      <c r="R16" s="304"/>
      <c r="S16" s="39" t="s">
        <v>70</v>
      </c>
      <c r="T16" s="42">
        <f>('Fact Sheet'!$B$22)*11</f>
        <v>28600</v>
      </c>
      <c r="U16" s="304"/>
      <c r="V16" s="304"/>
      <c r="W16" s="304"/>
    </row>
    <row r="17" spans="1:56" ht="15" thickBot="1">
      <c r="A17" s="263"/>
      <c r="B17" s="318" t="s">
        <v>50</v>
      </c>
      <c r="C17" s="309" t="s">
        <v>50</v>
      </c>
      <c r="D17" s="309" t="s">
        <v>50</v>
      </c>
      <c r="E17" s="309" t="s">
        <v>50</v>
      </c>
      <c r="F17" s="309" t="s">
        <v>50</v>
      </c>
      <c r="G17" s="309" t="s">
        <v>50</v>
      </c>
      <c r="H17" s="309" t="s">
        <v>50</v>
      </c>
      <c r="I17" s="309" t="s">
        <v>50</v>
      </c>
      <c r="J17" s="309" t="s">
        <v>50</v>
      </c>
      <c r="K17" s="309" t="s">
        <v>50</v>
      </c>
      <c r="L17" s="309" t="s">
        <v>50</v>
      </c>
      <c r="M17" s="319" t="s">
        <v>50</v>
      </c>
      <c r="N17" s="304"/>
      <c r="O17" s="317"/>
      <c r="P17" s="317"/>
      <c r="Q17"/>
      <c r="R17" s="304"/>
      <c r="S17" s="266" t="s">
        <v>71</v>
      </c>
      <c r="T17" s="46">
        <f>SUM(T11:T16)</f>
        <v>1507330</v>
      </c>
      <c r="U17" s="304"/>
      <c r="V17" s="304"/>
      <c r="W17" s="304"/>
      <c r="X17" s="304"/>
      <c r="Y17" s="304"/>
      <c r="Z17" s="304"/>
      <c r="AA17" s="304"/>
      <c r="AB17"/>
      <c r="AC17"/>
      <c r="AD17"/>
      <c r="AE17"/>
      <c r="AF17"/>
      <c r="AG17"/>
      <c r="AH17"/>
      <c r="AI17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</row>
    <row r="18" spans="1:56" ht="15" thickBot="1">
      <c r="A18" s="264"/>
      <c r="B18" s="311">
        <f>'Fact Sheet'!$B$8/'Fact Sheet'!$B$8</f>
        <v>1</v>
      </c>
      <c r="C18" s="313">
        <f>'Fact Sheet'!$B$8/'Fact Sheet'!$B$8</f>
        <v>1</v>
      </c>
      <c r="D18" s="313">
        <f>'Fact Sheet'!$B$8/'Fact Sheet'!$B$8</f>
        <v>1</v>
      </c>
      <c r="E18" s="313">
        <f>'Fact Sheet'!$B$8/'Fact Sheet'!$B$8</f>
        <v>1</v>
      </c>
      <c r="F18" s="313">
        <f>'Fact Sheet'!$B$8/'Fact Sheet'!$B$8</f>
        <v>1</v>
      </c>
      <c r="G18" s="313">
        <f>'Fact Sheet'!$B$8/'Fact Sheet'!$B$8</f>
        <v>1</v>
      </c>
      <c r="H18" s="313">
        <f>'Fact Sheet'!$B$8/'Fact Sheet'!$B$8</f>
        <v>1</v>
      </c>
      <c r="I18" s="313">
        <f>'Fact Sheet'!$B$8/'Fact Sheet'!$B$8</f>
        <v>1</v>
      </c>
      <c r="J18" s="313">
        <f>'Fact Sheet'!$B$8/'Fact Sheet'!$B$8</f>
        <v>1</v>
      </c>
      <c r="K18" s="313">
        <f>'Fact Sheet'!$B$8/'Fact Sheet'!$B$8</f>
        <v>1</v>
      </c>
      <c r="L18" s="313">
        <f>'Fact Sheet'!$B$8/'Fact Sheet'!$B$8</f>
        <v>1</v>
      </c>
      <c r="M18" s="320">
        <f>'Fact Sheet'!$B$8/'Fact Sheet'!$B$8</f>
        <v>1</v>
      </c>
      <c r="N18" s="304"/>
      <c r="O18" s="317"/>
      <c r="P18" s="317"/>
      <c r="Q18" s="317"/>
      <c r="R18" s="304"/>
      <c r="S18" s="263"/>
      <c r="T18"/>
      <c r="U18" s="304"/>
      <c r="V18" s="304"/>
      <c r="W18" s="304"/>
      <c r="X18" s="304"/>
      <c r="Y18" s="304"/>
      <c r="Z18" s="304"/>
      <c r="AA18" s="304"/>
      <c r="AB18"/>
      <c r="AC18"/>
      <c r="AD18"/>
      <c r="AE18"/>
      <c r="AF18"/>
      <c r="AG18"/>
      <c r="AH18"/>
      <c r="AI18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</row>
    <row r="19" spans="1:56" customFormat="1" ht="15" thickBot="1">
      <c r="S19" s="264"/>
      <c r="U19" s="304"/>
    </row>
    <row r="20" spans="1:56" customFormat="1" thickBot="1"/>
    <row r="21" spans="1:56" customFormat="1" ht="18.95" thickBot="1">
      <c r="A21" s="304"/>
      <c r="B21" s="245" t="s">
        <v>72</v>
      </c>
      <c r="C21" s="246" t="s">
        <v>73</v>
      </c>
      <c r="D21" s="246" t="s">
        <v>74</v>
      </c>
      <c r="E21" s="246" t="s">
        <v>75</v>
      </c>
      <c r="F21" s="246" t="s">
        <v>76</v>
      </c>
      <c r="G21" s="246" t="s">
        <v>77</v>
      </c>
      <c r="H21" s="246" t="s">
        <v>78</v>
      </c>
      <c r="I21" s="246" t="s">
        <v>79</v>
      </c>
      <c r="J21" s="246" t="s">
        <v>80</v>
      </c>
      <c r="K21" s="246" t="s">
        <v>81</v>
      </c>
      <c r="L21" s="246" t="s">
        <v>82</v>
      </c>
      <c r="M21" s="247" t="s">
        <v>83</v>
      </c>
      <c r="N21" s="304"/>
      <c r="O21" s="304"/>
      <c r="P21" s="304"/>
      <c r="Q21" s="304"/>
      <c r="R21" s="304"/>
      <c r="S21" s="304"/>
      <c r="T21" s="245" t="s">
        <v>72</v>
      </c>
      <c r="U21" s="246" t="s">
        <v>73</v>
      </c>
      <c r="V21" s="246" t="s">
        <v>74</v>
      </c>
      <c r="W21" s="246" t="s">
        <v>75</v>
      </c>
      <c r="X21" s="246" t="s">
        <v>76</v>
      </c>
      <c r="Y21" s="246" t="s">
        <v>77</v>
      </c>
      <c r="Z21" s="246" t="s">
        <v>78</v>
      </c>
      <c r="AA21" s="246" t="s">
        <v>79</v>
      </c>
      <c r="AB21" s="246" t="s">
        <v>80</v>
      </c>
      <c r="AC21" s="246" t="s">
        <v>81</v>
      </c>
      <c r="AD21" s="246" t="s">
        <v>82</v>
      </c>
      <c r="AE21" s="247" t="s">
        <v>83</v>
      </c>
      <c r="AK21" s="304"/>
      <c r="AM21" s="304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</row>
    <row r="22" spans="1:56">
      <c r="A22" s="5" t="s">
        <v>84</v>
      </c>
      <c r="B22" s="321">
        <v>0</v>
      </c>
      <c r="C22" s="322">
        <v>0</v>
      </c>
      <c r="D22" s="322">
        <v>0</v>
      </c>
      <c r="E22" s="323">
        <f>$E$2*'Fact Sheet'!$B$8*'Fact Sheet'!$G$9</f>
        <v>216110.93073593103</v>
      </c>
      <c r="F22" s="323">
        <f>$F$3*'Fact Sheet'!$B$8*'Fact Sheet'!$G$9</f>
        <v>312000</v>
      </c>
      <c r="G22" s="323">
        <f>$G$4*'Fact Sheet'!$B$8*'Fact Sheet'!$G$9</f>
        <v>0</v>
      </c>
      <c r="H22" s="323">
        <v>0</v>
      </c>
      <c r="I22" s="323">
        <v>0</v>
      </c>
      <c r="J22" s="323">
        <v>0</v>
      </c>
      <c r="K22" s="323">
        <f>$K$5*'Fact Sheet'!$B$8*'Fact Sheet'!$G$9</f>
        <v>246425.18939393945</v>
      </c>
      <c r="L22" s="323">
        <f>$L$6*'Fact Sheet'!$B$8*'Fact Sheet'!$G$9</f>
        <v>107182.62987012946</v>
      </c>
      <c r="M22" s="324">
        <v>0</v>
      </c>
      <c r="N22" s="325">
        <f>SUM(B22:M22)</f>
        <v>881718.75</v>
      </c>
      <c r="O22" s="306" t="s">
        <v>50</v>
      </c>
      <c r="P22" s="36">
        <f>'Fact Sheet'!$G$34*11</f>
        <v>881718.75</v>
      </c>
      <c r="Q22" s="304"/>
      <c r="R22" s="304"/>
      <c r="S22" s="5" t="s">
        <v>84</v>
      </c>
      <c r="T22" s="326">
        <v>0</v>
      </c>
      <c r="U22" s="327">
        <v>0</v>
      </c>
      <c r="V22" s="327">
        <v>0</v>
      </c>
      <c r="W22" s="327">
        <f>($E$22*0.8*'Fact Sheet'!$G$39)+($E$22*0.2*'Fact Sheet'!$G$39*1.2)</f>
        <v>778757.63461684622</v>
      </c>
      <c r="X22" s="327">
        <f>($F$22*0.8*'Fact Sheet'!$G$39)+($F$22*0.2*'Fact Sheet'!$G$39*1.2)</f>
        <v>1124294.7368421052</v>
      </c>
      <c r="Y22" s="327">
        <f>($G$22*0.8*'Fact Sheet'!$G$39)+($G$22*0.2*'Fact Sheet'!$G$39*1.2)</f>
        <v>0</v>
      </c>
      <c r="Z22" s="327">
        <v>0</v>
      </c>
      <c r="AA22" s="327">
        <v>0</v>
      </c>
      <c r="AB22" s="327">
        <v>0</v>
      </c>
      <c r="AC22" s="327">
        <f>($K$22*0.8*'Fact Sheet'!$G$39)+($K$22*0.2*'Fact Sheet'!$G$39*1.2)</f>
        <v>887995.3316055293</v>
      </c>
      <c r="AD22" s="327">
        <f>($L$22*0.8*'Fact Sheet'!$G$39)+($L$22*0.2*'Fact Sheet'!$G$39*1.2)</f>
        <v>386233.54693551909</v>
      </c>
      <c r="AE22" s="328">
        <v>0</v>
      </c>
      <c r="AF22" s="329">
        <f t="shared" ref="AF22:AF28" si="1">SUM(T22:AE22)</f>
        <v>3177281.25</v>
      </c>
      <c r="AG22" s="304"/>
      <c r="AH22" s="304"/>
      <c r="AI22" s="304"/>
      <c r="AJ22" s="304"/>
      <c r="AK22" s="304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</row>
    <row r="23" spans="1:56">
      <c r="A23" s="6" t="s">
        <v>85</v>
      </c>
      <c r="B23" s="330">
        <v>0</v>
      </c>
      <c r="C23" s="331">
        <v>0</v>
      </c>
      <c r="D23" s="331">
        <v>0</v>
      </c>
      <c r="E23" s="332">
        <v>0</v>
      </c>
      <c r="F23" s="332">
        <v>0</v>
      </c>
      <c r="G23" s="332">
        <v>0</v>
      </c>
      <c r="H23" s="332">
        <f>$H$7*'Fact Sheet'!$B$8*'Fact Sheet'!$H$9</f>
        <v>239999.99999999997</v>
      </c>
      <c r="I23" s="332">
        <f>$I$8*'Fact Sheet'!$B$8*'Fact Sheet'!$H$9</f>
        <v>239999.99999999994</v>
      </c>
      <c r="J23" s="332">
        <f>$J$9*'Fact Sheet'!$B$8*'Fact Sheet'!$H$9</f>
        <v>227743.50649350649</v>
      </c>
      <c r="K23" s="332">
        <v>0</v>
      </c>
      <c r="L23" s="332">
        <v>0</v>
      </c>
      <c r="M23" s="333">
        <v>0</v>
      </c>
      <c r="N23" s="334">
        <f t="shared" ref="N23:N27" si="2">SUM(B23:M23)</f>
        <v>707743.50649350637</v>
      </c>
      <c r="O23" s="309" t="s">
        <v>50</v>
      </c>
      <c r="P23" s="37">
        <f>'Fact Sheet'!$H$34*11</f>
        <v>897187.5</v>
      </c>
      <c r="Q23" s="304"/>
      <c r="R23" s="304"/>
      <c r="S23" s="6" t="s">
        <v>85</v>
      </c>
      <c r="T23" s="335">
        <v>0</v>
      </c>
      <c r="U23" s="336">
        <v>0</v>
      </c>
      <c r="V23" s="336">
        <v>0</v>
      </c>
      <c r="W23" s="336">
        <v>0</v>
      </c>
      <c r="X23" s="336">
        <v>0</v>
      </c>
      <c r="Y23" s="336">
        <v>0</v>
      </c>
      <c r="Z23" s="336">
        <f>($H$23*0.8*'Fact Sheet'!$H$39)+($H$23*0.2*'Fact Sheet'!$H$39*1.2)</f>
        <v>406675.86206896557</v>
      </c>
      <c r="AA23" s="336">
        <f>($I$23*0.8*'Fact Sheet'!$H$39)+($I$23*0.2*'Fact Sheet'!$H$39*1.2)</f>
        <v>406675.86206896545</v>
      </c>
      <c r="AB23" s="336">
        <f>($J$23*0.8*'Fact Sheet'!$H$39)+($J$23*0.2*'Fact Sheet'!$H$39*1.2)</f>
        <v>385907.44514106587</v>
      </c>
      <c r="AC23" s="336">
        <v>0</v>
      </c>
      <c r="AD23" s="336">
        <v>0</v>
      </c>
      <c r="AE23" s="337">
        <v>0</v>
      </c>
      <c r="AF23" s="338">
        <f t="shared" si="1"/>
        <v>1199259.169278997</v>
      </c>
      <c r="AG23" s="304"/>
      <c r="AH23" s="304"/>
      <c r="AI23" s="304"/>
      <c r="AJ23" s="304"/>
      <c r="AK23" s="304"/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304"/>
      <c r="BB23" s="304"/>
      <c r="BC23" s="304"/>
      <c r="BD23" s="304"/>
    </row>
    <row r="24" spans="1:56">
      <c r="A24" s="6" t="s">
        <v>86</v>
      </c>
      <c r="B24" s="330">
        <v>0</v>
      </c>
      <c r="C24" s="331">
        <v>0</v>
      </c>
      <c r="D24" s="331">
        <v>0</v>
      </c>
      <c r="E24" s="332">
        <v>0</v>
      </c>
      <c r="F24" s="332">
        <v>0</v>
      </c>
      <c r="G24" s="332">
        <v>0</v>
      </c>
      <c r="H24" s="332">
        <v>0</v>
      </c>
      <c r="I24" s="332">
        <f>$I$10*'Fact Sheet'!$B$8*'Fact Sheet'!$I$9</f>
        <v>0</v>
      </c>
      <c r="J24" s="332">
        <f>$J$11*'Fact Sheet'!$B$8*'Fact Sheet'!$I$9</f>
        <v>142339.69155844158</v>
      </c>
      <c r="K24" s="332">
        <v>0</v>
      </c>
      <c r="L24" s="332">
        <v>0</v>
      </c>
      <c r="M24" s="333">
        <v>0</v>
      </c>
      <c r="N24" s="334">
        <f t="shared" si="2"/>
        <v>142339.69155844158</v>
      </c>
      <c r="O24" s="309" t="s">
        <v>50</v>
      </c>
      <c r="P24" s="37">
        <f>'Fact Sheet'!$I$34*11</f>
        <v>550000</v>
      </c>
      <c r="Q24" s="304"/>
      <c r="R24" s="304"/>
      <c r="S24" s="6" t="s">
        <v>86</v>
      </c>
      <c r="T24" s="335">
        <v>0</v>
      </c>
      <c r="U24" s="336">
        <v>0</v>
      </c>
      <c r="V24" s="336">
        <v>0</v>
      </c>
      <c r="W24" s="336">
        <v>0</v>
      </c>
      <c r="X24" s="336">
        <v>0</v>
      </c>
      <c r="Y24" s="336">
        <v>0</v>
      </c>
      <c r="Z24" s="336">
        <v>0</v>
      </c>
      <c r="AA24" s="336">
        <f>($I$24*0.8*'Fact Sheet'!$I$39)+($I$24*0.2*'Fact Sheet'!$I$39*1.2)</f>
        <v>0</v>
      </c>
      <c r="AB24" s="336">
        <f>($J$24*0.8*'Fact Sheet'!$I$39)+($J$24*0.2*'Fact Sheet'!$I$39*1.2)</f>
        <v>336775.71022727276</v>
      </c>
      <c r="AC24" s="336">
        <v>0</v>
      </c>
      <c r="AD24" s="336">
        <v>0</v>
      </c>
      <c r="AE24" s="337">
        <v>0</v>
      </c>
      <c r="AF24" s="338">
        <f t="shared" si="1"/>
        <v>336775.71022727276</v>
      </c>
      <c r="AG24" s="304"/>
      <c r="AH24" s="304"/>
      <c r="AI24" s="304"/>
      <c r="AJ24" s="304"/>
      <c r="AK24" s="304"/>
      <c r="AL24" s="304"/>
      <c r="AM24" s="304"/>
      <c r="AN24" s="304"/>
      <c r="AO24" s="304"/>
      <c r="AP24" s="304"/>
      <c r="AQ24" s="304"/>
      <c r="AR24" s="304"/>
      <c r="AS24" s="304"/>
      <c r="AT24" s="304"/>
      <c r="AU24" s="304"/>
      <c r="AV24" s="304"/>
      <c r="AW24" s="304"/>
      <c r="AX24" s="304"/>
      <c r="AY24" s="304"/>
      <c r="AZ24" s="304"/>
      <c r="BA24" s="304"/>
      <c r="BB24" s="304"/>
      <c r="BC24" s="304"/>
      <c r="BD24" s="304"/>
    </row>
    <row r="25" spans="1:56">
      <c r="A25" s="6" t="s">
        <v>87</v>
      </c>
      <c r="B25" s="330">
        <v>0</v>
      </c>
      <c r="C25" s="331">
        <v>0</v>
      </c>
      <c r="D25" s="331">
        <v>0</v>
      </c>
      <c r="E25" s="332">
        <v>0</v>
      </c>
      <c r="F25" s="332">
        <v>0</v>
      </c>
      <c r="G25" s="332">
        <f>$G$12*'Fact Sheet'!$B$8*'Fact Sheet'!$J$9</f>
        <v>640528.61201298574</v>
      </c>
      <c r="H25" s="332">
        <v>0</v>
      </c>
      <c r="I25" s="332">
        <v>0</v>
      </c>
      <c r="J25" s="332">
        <v>0</v>
      </c>
      <c r="K25" s="332">
        <v>0</v>
      </c>
      <c r="L25" s="332">
        <f>$L$13*'Fact Sheet'!$B$8*'Fact Sheet'!$J$9</f>
        <v>798065.13798701472</v>
      </c>
      <c r="M25" s="333">
        <v>0</v>
      </c>
      <c r="N25" s="334">
        <f t="shared" si="2"/>
        <v>1438593.7500000005</v>
      </c>
      <c r="O25" s="309" t="s">
        <v>50</v>
      </c>
      <c r="P25" s="37">
        <f>'Fact Sheet'!$J$34*11</f>
        <v>1438593.75</v>
      </c>
      <c r="Q25" s="304"/>
      <c r="R25" s="304"/>
      <c r="S25" s="6" t="s">
        <v>87</v>
      </c>
      <c r="T25" s="335">
        <v>0</v>
      </c>
      <c r="U25" s="336">
        <v>0</v>
      </c>
      <c r="V25" s="336">
        <v>0</v>
      </c>
      <c r="W25" s="336">
        <v>0</v>
      </c>
      <c r="X25" s="336">
        <v>0</v>
      </c>
      <c r="Y25" s="336">
        <f>($G$25*0.8*'Fact Sheet'!$J$39)+($G$25*0.2*'Fact Sheet'!$J$39*1.2)</f>
        <v>485286.51615521486</v>
      </c>
      <c r="Z25" s="336">
        <v>0</v>
      </c>
      <c r="AA25" s="336">
        <v>0</v>
      </c>
      <c r="AB25" s="336">
        <v>0</v>
      </c>
      <c r="AC25" s="336">
        <v>0</v>
      </c>
      <c r="AD25" s="336">
        <f>($L$25*0.8*'Fact Sheet'!$J$39)+($L$25*0.2*'Fact Sheet'!$J$39*1.2)</f>
        <v>604641.6088447856</v>
      </c>
      <c r="AE25" s="337">
        <v>0</v>
      </c>
      <c r="AF25" s="338">
        <f t="shared" si="1"/>
        <v>1089928.1250000005</v>
      </c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</row>
    <row r="26" spans="1:56">
      <c r="A26" s="6" t="s">
        <v>88</v>
      </c>
      <c r="B26" s="330">
        <v>0</v>
      </c>
      <c r="C26" s="331">
        <v>0</v>
      </c>
      <c r="D26" s="331">
        <v>0</v>
      </c>
      <c r="E26" s="332">
        <v>0</v>
      </c>
      <c r="F26" s="332">
        <v>0</v>
      </c>
      <c r="G26" s="332">
        <v>0</v>
      </c>
      <c r="H26" s="332">
        <v>0</v>
      </c>
      <c r="I26" s="332">
        <f>$I$14*'Fact Sheet'!$B$8*'Fact Sheet'!$K$9</f>
        <v>157660.30844155833</v>
      </c>
      <c r="J26" s="332">
        <f>$J$14*'Fact Sheet'!$B$8*'Fact Sheet'!$K$9</f>
        <v>157660.30844155833</v>
      </c>
      <c r="K26" s="332">
        <f>$K$14*'Fact Sheet'!$B$8*'Fact Sheet'!$K$9</f>
        <v>157660.30844155833</v>
      </c>
      <c r="L26" s="332">
        <v>0</v>
      </c>
      <c r="M26" s="333">
        <v>0</v>
      </c>
      <c r="N26" s="334">
        <f t="shared" si="2"/>
        <v>472980.92532467499</v>
      </c>
      <c r="O26" s="309" t="s">
        <v>50</v>
      </c>
      <c r="P26" s="37">
        <f>'Fact Sheet'!$K$34*11</f>
        <v>634218.75</v>
      </c>
      <c r="Q26" s="304"/>
      <c r="R26" s="304"/>
      <c r="S26" s="6" t="s">
        <v>88</v>
      </c>
      <c r="T26" s="335">
        <v>0</v>
      </c>
      <c r="U26" s="336">
        <v>0</v>
      </c>
      <c r="V26" s="336">
        <v>0</v>
      </c>
      <c r="W26" s="336">
        <v>0</v>
      </c>
      <c r="X26" s="336">
        <v>0</v>
      </c>
      <c r="Y26" s="336">
        <v>0</v>
      </c>
      <c r="Z26" s="336">
        <v>0</v>
      </c>
      <c r="AA26" s="336">
        <f>($I$26*0.8*'Fact Sheet'!$K$39)+($I$26*0.2*'Fact Sheet'!$K$39*1.2)</f>
        <v>435911.5259740256</v>
      </c>
      <c r="AB26" s="336">
        <f>($J$26*0.8*'Fact Sheet'!$K$39)+($J$26*0.2*'Fact Sheet'!$K$39*1.2)</f>
        <v>435911.5259740256</v>
      </c>
      <c r="AC26" s="336">
        <f>($K$26*0.8*'Fact Sheet'!$K$39)+($K$26*0.2*'Fact Sheet'!$K$39*1.2)</f>
        <v>435911.5259740256</v>
      </c>
      <c r="AD26" s="336">
        <v>0</v>
      </c>
      <c r="AE26" s="337">
        <v>0</v>
      </c>
      <c r="AF26" s="338">
        <f t="shared" si="1"/>
        <v>1307734.5779220769</v>
      </c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</row>
    <row r="27" spans="1:56" ht="15" thickBot="1">
      <c r="A27" s="4" t="s">
        <v>89</v>
      </c>
      <c r="B27" s="339">
        <v>0</v>
      </c>
      <c r="C27" s="340">
        <v>0</v>
      </c>
      <c r="D27" s="340">
        <v>0</v>
      </c>
      <c r="E27" s="341">
        <v>0</v>
      </c>
      <c r="F27" s="341">
        <v>0</v>
      </c>
      <c r="G27" s="341">
        <v>0</v>
      </c>
      <c r="H27" s="341">
        <f>$H$15*'Fact Sheet'!$B$8*'Fact Sheet'!$L$9</f>
        <v>660000</v>
      </c>
      <c r="I27" s="341">
        <v>0</v>
      </c>
      <c r="J27" s="341">
        <v>0</v>
      </c>
      <c r="K27" s="341">
        <v>0</v>
      </c>
      <c r="L27" s="341">
        <v>0</v>
      </c>
      <c r="M27" s="342">
        <v>0</v>
      </c>
      <c r="N27" s="343">
        <f t="shared" si="2"/>
        <v>660000</v>
      </c>
      <c r="O27" s="312" t="s">
        <v>50</v>
      </c>
      <c r="P27" s="38">
        <f>'Fact Sheet'!$L$34*11</f>
        <v>1132312.5</v>
      </c>
      <c r="Q27" s="304"/>
      <c r="R27" s="304"/>
      <c r="S27" s="4" t="s">
        <v>89</v>
      </c>
      <c r="T27" s="344">
        <v>0</v>
      </c>
      <c r="U27" s="345">
        <v>0</v>
      </c>
      <c r="V27" s="345">
        <v>0</v>
      </c>
      <c r="W27" s="345">
        <v>0</v>
      </c>
      <c r="X27" s="345">
        <v>0</v>
      </c>
      <c r="Y27" s="345">
        <v>0</v>
      </c>
      <c r="Z27" s="345">
        <f>($H$27*0.8*'Fact Sheet'!$L$39)+($H$27*0.2*'Fact Sheet'!$L$39*1.2)</f>
        <v>1969180.3278688523</v>
      </c>
      <c r="AA27" s="345">
        <v>0</v>
      </c>
      <c r="AB27" s="345">
        <v>0</v>
      </c>
      <c r="AC27" s="345">
        <v>0</v>
      </c>
      <c r="AD27" s="345">
        <v>0</v>
      </c>
      <c r="AE27" s="346">
        <v>0</v>
      </c>
      <c r="AF27" s="347">
        <f t="shared" si="1"/>
        <v>1969180.3278688523</v>
      </c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304"/>
      <c r="BD27" s="304"/>
    </row>
    <row r="28" spans="1:56" ht="15" thickBot="1">
      <c r="A28" s="265" t="s">
        <v>90</v>
      </c>
      <c r="B28"/>
      <c r="C28"/>
      <c r="D28"/>
      <c r="E28"/>
      <c r="F28"/>
      <c r="G28"/>
      <c r="H28"/>
      <c r="I28"/>
      <c r="J28"/>
      <c r="K28"/>
      <c r="L28"/>
      <c r="M28"/>
      <c r="N28" s="304"/>
      <c r="O28" s="304"/>
      <c r="P28" s="304"/>
      <c r="Q28" s="304"/>
      <c r="R28" s="304"/>
      <c r="S28" s="263" t="s">
        <v>91</v>
      </c>
      <c r="T28" s="348">
        <f t="shared" ref="T28:AE28" si="3">SUM(T22:T27)</f>
        <v>0</v>
      </c>
      <c r="U28" s="349">
        <f t="shared" si="3"/>
        <v>0</v>
      </c>
      <c r="V28" s="349">
        <f t="shared" si="3"/>
        <v>0</v>
      </c>
      <c r="W28" s="349">
        <f t="shared" si="3"/>
        <v>778757.63461684622</v>
      </c>
      <c r="X28" s="349">
        <f t="shared" si="3"/>
        <v>1124294.7368421052</v>
      </c>
      <c r="Y28" s="349">
        <f t="shared" si="3"/>
        <v>485286.51615521486</v>
      </c>
      <c r="Z28" s="349">
        <f t="shared" si="3"/>
        <v>2375856.1899378179</v>
      </c>
      <c r="AA28" s="349">
        <f t="shared" si="3"/>
        <v>842587.38804299105</v>
      </c>
      <c r="AB28" s="349">
        <f t="shared" si="3"/>
        <v>1158594.6813423643</v>
      </c>
      <c r="AC28" s="349">
        <f t="shared" si="3"/>
        <v>1323906.8575795549</v>
      </c>
      <c r="AD28" s="349">
        <f t="shared" si="3"/>
        <v>990875.15578030469</v>
      </c>
      <c r="AE28" s="350">
        <f t="shared" si="3"/>
        <v>0</v>
      </c>
      <c r="AF28" s="81">
        <f t="shared" si="1"/>
        <v>9080159.1602971982</v>
      </c>
      <c r="AG28" s="304"/>
      <c r="AH28" s="304"/>
      <c r="AI28" s="304"/>
      <c r="AJ28" s="304"/>
      <c r="AK28" s="304"/>
      <c r="AL28" s="304"/>
      <c r="AM28" s="304"/>
      <c r="AN28" s="304"/>
      <c r="AO28" s="304"/>
      <c r="AP28" s="304"/>
      <c r="AQ28" s="304"/>
      <c r="AR28" s="304"/>
      <c r="AS28" s="304"/>
      <c r="AT28" s="304"/>
      <c r="AU28" s="304"/>
      <c r="AV28" s="304"/>
      <c r="AW28" s="304"/>
      <c r="AX28" s="304"/>
      <c r="AY28" s="304"/>
      <c r="AZ28" s="304"/>
      <c r="BA28" s="304"/>
      <c r="BB28" s="304"/>
      <c r="BC28" s="304"/>
      <c r="BD28" s="304"/>
    </row>
    <row r="29" spans="1:56">
      <c r="A29" s="263"/>
      <c r="B29"/>
      <c r="C29"/>
      <c r="D29"/>
      <c r="E29"/>
      <c r="F29"/>
      <c r="G29"/>
      <c r="H29"/>
      <c r="I29"/>
      <c r="J29"/>
      <c r="K29"/>
      <c r="L29"/>
      <c r="M29"/>
      <c r="N29" s="304"/>
      <c r="O29" s="304"/>
      <c r="P29" s="304"/>
      <c r="Q29" s="304"/>
      <c r="R29" s="304"/>
      <c r="S29" s="263"/>
      <c r="T29"/>
      <c r="U29"/>
      <c r="V29"/>
      <c r="W29"/>
      <c r="X29"/>
      <c r="Y29"/>
      <c r="Z29"/>
      <c r="AA29"/>
      <c r="AB29"/>
      <c r="AC29"/>
      <c r="AD29"/>
      <c r="AE29"/>
      <c r="AF29" s="351"/>
      <c r="AG29" s="304"/>
      <c r="AH29" s="304"/>
      <c r="AI29" s="304"/>
      <c r="AJ29" s="304"/>
      <c r="AK29" s="304"/>
      <c r="AL29" s="304"/>
      <c r="AM29" s="304"/>
      <c r="AN29" s="304"/>
      <c r="AO29" s="304"/>
      <c r="AP29" s="304"/>
      <c r="AQ29" s="304"/>
      <c r="AR29" s="304"/>
      <c r="AS29" s="304"/>
      <c r="AT29" s="304"/>
      <c r="AU29" s="304"/>
      <c r="AV29" s="304"/>
      <c r="AW29" s="304"/>
      <c r="AX29" s="304"/>
      <c r="AY29" s="304"/>
      <c r="AZ29" s="304"/>
      <c r="BA29" s="304"/>
      <c r="BB29" s="304"/>
      <c r="BC29" s="304"/>
      <c r="BD29" s="304"/>
    </row>
    <row r="30" spans="1:56" ht="15" thickBot="1">
      <c r="A30" s="264"/>
      <c r="B30"/>
      <c r="C30"/>
      <c r="D30"/>
      <c r="E30"/>
      <c r="F30"/>
      <c r="G30"/>
      <c r="H30"/>
      <c r="I30"/>
      <c r="J30"/>
      <c r="K30"/>
      <c r="L30"/>
      <c r="M30"/>
      <c r="N30" s="304"/>
      <c r="O30" s="304"/>
      <c r="P30" s="304"/>
      <c r="Q30" s="304"/>
      <c r="R30" s="304"/>
      <c r="S30" s="264"/>
      <c r="T30"/>
      <c r="U30"/>
      <c r="V30"/>
      <c r="W30"/>
      <c r="X30"/>
      <c r="Y30"/>
      <c r="Z30"/>
      <c r="AA30"/>
      <c r="AB30"/>
      <c r="AC30"/>
      <c r="AD30"/>
      <c r="AE30"/>
      <c r="AF30" s="351"/>
      <c r="AG30" s="304"/>
      <c r="AH30" s="304"/>
      <c r="AI30" s="304"/>
      <c r="AJ30" s="304"/>
      <c r="AK30" s="304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</row>
    <row r="31" spans="1:56" ht="15" thickBot="1">
      <c r="A31" s="304"/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/>
      <c r="AG31"/>
      <c r="AH31"/>
      <c r="AI31"/>
      <c r="AJ31"/>
      <c r="AK31" s="304"/>
      <c r="AL31" s="304"/>
      <c r="AM31" s="304"/>
      <c r="AN31" s="304"/>
      <c r="AO31" s="304"/>
      <c r="AP31" s="304"/>
      <c r="AQ31" s="304"/>
      <c r="AR31" s="304"/>
      <c r="AS31" s="304"/>
      <c r="AT31" s="304"/>
      <c r="AU31" s="304"/>
      <c r="AV31" s="304"/>
      <c r="AW31" s="304"/>
      <c r="AX31" s="304"/>
      <c r="AY31" s="304"/>
      <c r="AZ31" s="304"/>
      <c r="BA31" s="304"/>
      <c r="BB31" s="304"/>
      <c r="BC31" s="304"/>
      <c r="BD31" s="304"/>
    </row>
    <row r="32" spans="1:56" customFormat="1">
      <c r="A32" s="5" t="s">
        <v>84</v>
      </c>
      <c r="B32" s="352">
        <v>0</v>
      </c>
      <c r="C32" s="323">
        <f>$C$2*'Fact Sheet'!$B$8*'Fact Sheet'!$G$45</f>
        <v>249.3587662337666</v>
      </c>
      <c r="D32" s="323">
        <f>($D$3*'Fact Sheet'!$B$8*'Fact Sheet'!$G$45)+($D$2*'Fact Sheet'!$B$8*'Fact Sheet'!$G$46)</f>
        <v>559.48701298701326</v>
      </c>
      <c r="E32" s="323">
        <f>($E$4*'Fact Sheet'!$B$8*'Fact Sheet'!$G$45)+($E$3*'Fact Sheet'!$B$8*'Fact Sheet'!$G$46)+($E$2*'Fact Sheet'!$B$8*'Fact Sheet'!$G$47)</f>
        <v>1950.3917748917772</v>
      </c>
      <c r="F32" s="323">
        <f>($F$4*'Fact Sheet'!$B$8*'Fact Sheet'!$G$46)+($F$3*'Fact Sheet'!$B$8*'Fact Sheet'!$G$47)</f>
        <v>2400</v>
      </c>
      <c r="G32" s="323">
        <f>$G$4*'Fact Sheet'!$B$8*'Fact Sheet'!$G$47</f>
        <v>0</v>
      </c>
      <c r="H32" s="323">
        <v>0</v>
      </c>
      <c r="I32" s="323">
        <f>$I$5*'Fact Sheet'!$B$8*'Fact Sheet'!$G$45</f>
        <v>284.33675699300704</v>
      </c>
      <c r="J32" s="323">
        <f>($J$6*'Fact Sheet'!$B$8*'Fact Sheet'!$G$45)+($J$5*'Fact Sheet'!$B$8*'Fact Sheet'!$G$46)</f>
        <v>351.14167082917044</v>
      </c>
      <c r="K32" s="323">
        <f>($K$6*'Fact Sheet'!$B$8*'Fact Sheet'!$G$46)+($K$5*'Fact Sheet'!$B$8*'Fact Sheet'!$G$47)</f>
        <v>1994.5161921411923</v>
      </c>
      <c r="L32" s="323">
        <f>$L$6*'Fact Sheet'!$B$8*'Fact Sheet'!$G$47</f>
        <v>824.48176823176505</v>
      </c>
      <c r="M32" s="353">
        <v>0</v>
      </c>
      <c r="N32" s="354">
        <f t="shared" ref="N32:N38" si="4">SUM(B32:M32)</f>
        <v>8613.7139423076915</v>
      </c>
      <c r="O32" s="304"/>
      <c r="P32" s="304"/>
      <c r="Q32" s="304"/>
      <c r="R32" s="304"/>
      <c r="S32" s="7" t="s">
        <v>92</v>
      </c>
      <c r="T32" s="87">
        <f>$B$15*'Fact Sheet'!$B$8*'Fact Sheet'!$L$8*'Fact Sheet'!$L$43</f>
        <v>300000</v>
      </c>
      <c r="U32" s="88">
        <f>$C$2*'Fact Sheet'!$B$8*'Fact Sheet'!$G$8*'Fact Sheet'!$G$43</f>
        <v>3324.7835497835549</v>
      </c>
      <c r="V32" s="88">
        <f>($D$3*'Fact Sheet'!$B$8*'Fact Sheet'!$G$8*'Fact Sheet'!$G$43)+($D$12*'Fact Sheet'!$B$8*'Fact Sheet'!$J$8*'Fact Sheet'!$J$43)</f>
        <v>5440.5286120129858</v>
      </c>
      <c r="W32" s="88">
        <f>($E$4*'Fact Sheet'!$B$8*'Fact Sheet'!$G$8*'Fact Sheet'!$G$43)+($E$14*'Fact Sheet'!$B$8*'Fact Sheet'!$K$8*'Fact Sheet'!$K$43)</f>
        <v>1324.3465909090896</v>
      </c>
      <c r="X32" s="88">
        <f>($F$7*'Fact Sheet'!$B$8*'Fact Sheet'!$H$8*'Fact Sheet'!$H$43)+($F$10*'Fact Sheet'!$B$8*'Fact Sheet'!$I$8*'Fact Sheet'!$I$43)</f>
        <v>1687.4999999999998</v>
      </c>
      <c r="Y32" s="88">
        <f>($G$8*'Fact Sheet'!$B$8*'Fact Sheet'!$H$8*'Fact Sheet'!$H$43)+($G$11*'Fact Sheet'!$B$8*'Fact Sheet'!$I$8*'Fact Sheet'!$I$43)</f>
        <v>2541.5381493506493</v>
      </c>
      <c r="Z32" s="88">
        <f>$H$9*'Fact Sheet'!$B$8*'Fact Sheet'!$H$8*'Fact Sheet'!$H$43</f>
        <v>1601.3215300324675</v>
      </c>
      <c r="AA32" s="88">
        <f>($I$5*'Fact Sheet'!$B$8*'Fact Sheet'!$G$8*'Fact Sheet'!$G$43)+($I$13*'Fact Sheet'!$B$8*'Fact Sheet'!$J$8*'Fact Sheet'!$J$43)</f>
        <v>4589.2218978937763</v>
      </c>
      <c r="AB32" s="88">
        <f>$J$6*'Fact Sheet'!$B$8*'Fact Sheet'!$G$8*'Fact Sheet'!$G$43</f>
        <v>1648.9635364635301</v>
      </c>
      <c r="AC32" s="88">
        <v>0</v>
      </c>
      <c r="AD32" s="88">
        <v>0</v>
      </c>
      <c r="AE32" s="89">
        <v>0</v>
      </c>
      <c r="AF32" s="40">
        <f t="shared" ref="AF32:AF38" si="5">SUM(T32:AE32)</f>
        <v>322158.2038664461</v>
      </c>
      <c r="AH32" s="304"/>
      <c r="AI32" s="304"/>
      <c r="AJ32" s="304"/>
      <c r="AK32" s="304"/>
      <c r="AM32" s="304"/>
      <c r="AN32" s="304"/>
      <c r="AO32" s="304"/>
      <c r="AP32" s="304"/>
      <c r="AQ32" s="304"/>
      <c r="AR32" s="304"/>
      <c r="AS32" s="304"/>
      <c r="AT32" s="304"/>
      <c r="AU32" s="304"/>
      <c r="AV32" s="304"/>
      <c r="AW32" s="304"/>
      <c r="AX32" s="304"/>
      <c r="AY32" s="304"/>
      <c r="AZ32" s="304"/>
      <c r="BA32" s="304"/>
      <c r="BB32" s="304"/>
      <c r="BC32" s="304"/>
      <c r="BD32" s="304"/>
    </row>
    <row r="33" spans="1:56" customFormat="1">
      <c r="A33" s="6" t="s">
        <v>85</v>
      </c>
      <c r="B33" s="355">
        <v>0</v>
      </c>
      <c r="C33" s="332">
        <v>0</v>
      </c>
      <c r="D33" s="332">
        <v>0</v>
      </c>
      <c r="E33" s="332">
        <v>0</v>
      </c>
      <c r="F33" s="332">
        <f>$F$7*'Fact Sheet'!$B$8*'Fact Sheet'!$H$45</f>
        <v>224.99999999999997</v>
      </c>
      <c r="G33" s="332">
        <f>($G$8*'Fact Sheet'!$B$8*'Fact Sheet'!$H$45)+($G$7*'Fact Sheet'!$B$8*'Fact Sheet'!$H$46)</f>
        <v>404.99999999999989</v>
      </c>
      <c r="H33" s="332">
        <f>($H$9*'Fact Sheet'!$B$8*'Fact Sheet'!$H$45)+($H$8*'Fact Sheet'!$B$8*'Fact Sheet'!$H$46)+($H$7*'Fact Sheet'!$B$8*'Fact Sheet'!$H$47)</f>
        <v>2343.5095373376621</v>
      </c>
      <c r="I33" s="332">
        <f>($I$9*'Fact Sheet'!$B$8*'Fact Sheet'!$H$46)+($I$8*'Fact Sheet'!$B$8*'Fact Sheet'!$H$47)</f>
        <v>2120.8076298701294</v>
      </c>
      <c r="J33" s="332">
        <f>$J$9*'Fact Sheet'!$B$8*'Fact Sheet'!$H$47</f>
        <v>1850.4159902597403</v>
      </c>
      <c r="K33" s="332">
        <v>0</v>
      </c>
      <c r="L33" s="332">
        <v>0</v>
      </c>
      <c r="M33" s="356">
        <v>0</v>
      </c>
      <c r="N33" s="357">
        <f t="shared" si="4"/>
        <v>6944.7331574675318</v>
      </c>
      <c r="O33" s="304"/>
      <c r="P33" s="304"/>
      <c r="Q33" s="304"/>
      <c r="R33" s="304"/>
      <c r="S33" s="8" t="s">
        <v>93</v>
      </c>
      <c r="T33" s="90">
        <f>B48*'Fact Sheet'!$B$29</f>
        <v>180</v>
      </c>
      <c r="U33" s="91">
        <f>C48*'Fact Sheet'!$B$29</f>
        <v>101.55979437229443</v>
      </c>
      <c r="V33" s="91">
        <f>D48*'Fact Sheet'!$B$29</f>
        <v>210.18371212121204</v>
      </c>
      <c r="W33" s="91">
        <f>E48*'Fact Sheet'!$B$29</f>
        <v>299.99999999999989</v>
      </c>
      <c r="X33" s="91">
        <f>F48*'Fact Sheet'!$B$29</f>
        <v>273.79809253246748</v>
      </c>
      <c r="Y33" s="91">
        <f>G48*'Fact Sheet'!$B$29</f>
        <v>262.88301542207779</v>
      </c>
      <c r="Z33" s="91">
        <f>H48*'Fact Sheet'!$B$29</f>
        <v>299.99999999999994</v>
      </c>
      <c r="AA33" s="91">
        <f>I48*'Fact Sheet'!$B$29</f>
        <v>208.71159829753591</v>
      </c>
      <c r="AB33" s="91">
        <f>J48*'Fact Sheet'!$B$29</f>
        <v>179.6686503600566</v>
      </c>
      <c r="AC33" s="91">
        <f>K48*'Fact Sheet'!$B$29</f>
        <v>134.02478771228769</v>
      </c>
      <c r="AD33" s="91">
        <f>L48*'Fact Sheet'!$B$29</f>
        <v>62.887791895604416</v>
      </c>
      <c r="AE33" s="92">
        <v>0</v>
      </c>
      <c r="AF33" s="41">
        <f t="shared" si="5"/>
        <v>2213.7174427135365</v>
      </c>
      <c r="AH33" s="304"/>
      <c r="AI33" s="304"/>
      <c r="AJ33" s="304"/>
      <c r="AK33" s="304"/>
      <c r="AM33" s="304"/>
      <c r="AN33" s="304"/>
      <c r="AO33" s="304"/>
      <c r="AP33" s="304"/>
      <c r="AQ33" s="304"/>
      <c r="AR33" s="304"/>
      <c r="AS33" s="304"/>
      <c r="AT33" s="304"/>
      <c r="AU33" s="304"/>
      <c r="AV33" s="304"/>
      <c r="AW33" s="304"/>
      <c r="AX33" s="304"/>
      <c r="AY33" s="304"/>
      <c r="AZ33" s="304"/>
      <c r="BA33" s="304"/>
      <c r="BB33" s="304"/>
      <c r="BC33" s="304"/>
      <c r="BD33" s="304"/>
    </row>
    <row r="34" spans="1:56" customFormat="1">
      <c r="A34" s="6" t="s">
        <v>86</v>
      </c>
      <c r="B34" s="355">
        <v>0</v>
      </c>
      <c r="C34" s="332">
        <v>0</v>
      </c>
      <c r="D34" s="332">
        <v>0</v>
      </c>
      <c r="E34" s="332">
        <v>0</v>
      </c>
      <c r="F34" s="332">
        <f>$F$10*'Fact Sheet'!$B$8*'Fact Sheet'!$I$45</f>
        <v>0</v>
      </c>
      <c r="G34" s="332">
        <f>($G$11*'Fact Sheet'!$B$8*'Fact Sheet'!$I$45)+($G$10*'Fact Sheet'!$B$8*'Fact Sheet'!$I$46)</f>
        <v>142.33969155844159</v>
      </c>
      <c r="H34" s="332">
        <f>($H$11*'Fact Sheet'!$B$8*'Fact Sheet'!$I$46)+($H$10*'Fact Sheet'!$B$8*'Fact Sheet'!$I$46)</f>
        <v>85.403814935064943</v>
      </c>
      <c r="I34" s="332">
        <f>($I$11*'Fact Sheet'!$B$8*'Fact Sheet'!$I$46)+($I$10*'Fact Sheet'!$B$8*'Fact Sheet'!$I$47)</f>
        <v>85.403814935064943</v>
      </c>
      <c r="J34" s="332">
        <f>$J$11*'Fact Sheet'!$B$8*'Fact Sheet'!$I$47</f>
        <v>2846.7938311688313</v>
      </c>
      <c r="K34" s="332">
        <v>0</v>
      </c>
      <c r="L34" s="332">
        <v>0</v>
      </c>
      <c r="M34" s="356">
        <v>0</v>
      </c>
      <c r="N34" s="357">
        <f t="shared" si="4"/>
        <v>3159.9411525974028</v>
      </c>
      <c r="O34" s="304"/>
      <c r="P34" s="304"/>
      <c r="Q34" s="304"/>
      <c r="R34" s="304"/>
      <c r="S34" s="8" t="s">
        <v>94</v>
      </c>
      <c r="T34" s="90">
        <f>$B$15*'Fact Sheet'!$B$8*'Fact Sheet'!$L$22*'Fact Sheet'!$B$26</f>
        <v>960</v>
      </c>
      <c r="U34" s="91">
        <f>($C$2*'Fact Sheet'!$B$8*'Fact Sheet'!$G$22*'Fact Sheet'!$B$26)+($C$15*'Fact Sheet'!$B$8*'Fact Sheet'!$L$23*'Fact Sheet'!$B$26)</f>
        <v>1098.7175324675331</v>
      </c>
      <c r="V34" s="91">
        <f>($D$2*'Fact Sheet'!$B$8*'Fact Sheet'!$G$23*'Fact Sheet'!$B$26)+($D$3*'Fact Sheet'!$B$8*'Fact Sheet'!$G$22*'Fact Sheet'!$B$26)+($D$12*'Fact Sheet'!$B$8*'Fact Sheet'!$J$22*'Fact Sheet'!$B$26)+($D$15*'Fact Sheet'!$B$8*'Fact Sheet'!$L$23*'Fact Sheet'!$B$26)</f>
        <v>2079.4974296536793</v>
      </c>
      <c r="W34" s="91">
        <f>($E$2*'Fact Sheet'!$B$8*'Fact Sheet'!$G$24*'Fact Sheet'!$B$26)+($E$3*'Fact Sheet'!$B$8*'Fact Sheet'!$G$23*'Fact Sheet'!$B$26)+($E$4*'Fact Sheet'!$B$8*'Fact Sheet'!$G$22*'Fact Sheet'!$B$26)+($E$12*'Fact Sheet'!$B$8*'Fact Sheet'!$J$23*'Fact Sheet'!$B$26)+($E$14*'Fact Sheet'!$B$8*'Fact Sheet'!$K$22*'Fact Sheet'!$B$26)+($E$15*'Fact Sheet'!$B$8*'Fact Sheet'!$L$23*'Fact Sheet'!$B$26)</f>
        <v>2161.5597943722937</v>
      </c>
      <c r="X34" s="91">
        <f>($F$3*'Fact Sheet'!$B$8*'Fact Sheet'!$G$24*'Fact Sheet'!$B$26)+($F$4*'Fact Sheet'!$B$8*'Fact Sheet'!$G$23*'Fact Sheet'!$B$26)+($F$7*'Fact Sheet'!$B$8*'Fact Sheet'!$H$22*'Fact Sheet'!$B$26)+($F$10*'Fact Sheet'!$B$8*'Fact Sheet'!$I$22*'Fact Sheet'!$B$26)+($F$12*'Fact Sheet'!$B$8*'Fact Sheet'!$J$23*'Fact Sheet'!$B$26)+($F$14*'Fact Sheet'!$B$8*'Fact Sheet'!$K$23*'Fact Sheet'!$B$26)+($F$15*'Fact Sheet'!$B$8*'Fact Sheet'!$L$23*'Fact Sheet'!$B$26)</f>
        <v>2241.4488636363626</v>
      </c>
      <c r="Y34" s="91">
        <f>($G$4*'Fact Sheet'!$B$8*'Fact Sheet'!$G$24*'Fact Sheet'!$B$26)+($G$7*'Fact Sheet'!$B$8*'Fact Sheet'!$H$23*'Fact Sheet'!$B$26)+($G$8*'Fact Sheet'!$B$8*'Fact Sheet'!$H$22*'Fact Sheet'!$B$26)+($G$10*'Fact Sheet'!$B$8*'Fact Sheet'!$I$23*'Fact Sheet'!$B$26)+($G$11*'Fact Sheet'!$B$8*'Fact Sheet'!$I$22*'Fact Sheet'!$B$26)+($G$12*'Fact Sheet'!$B$8*'Fact Sheet'!$J$24*'Fact Sheet'!$B$26)+($G$14*'Fact Sheet'!$B$8*'Fact Sheet'!$K$23*'Fact Sheet'!$B$26)+($G$15*'Fact Sheet'!$B$8*'Fact Sheet'!$L$23*'Fact Sheet'!$B$26)</f>
        <v>2668.4679383116872</v>
      </c>
      <c r="Z34" s="91">
        <f>($H$7*'Fact Sheet'!$B$8*'Fact Sheet'!$H$24*'Fact Sheet'!$B$26)+($H$8*'Fact Sheet'!$B$8*'Fact Sheet'!$H$23*'Fact Sheet'!$B$26)+($H$9*'Fact Sheet'!$B$8*'Fact Sheet'!$H$22*'Fact Sheet'!$B$26)+($H$10*'Fact Sheet'!$B$8*'Fact Sheet'!$I$23*'Fact Sheet'!$B$26)+($H$11*'Fact Sheet'!$B$8*'Fact Sheet'!$I$23*'Fact Sheet'!$B$26)+($H$14*'Fact Sheet'!$B$8*'Fact Sheet'!$K$23*'Fact Sheet'!$B$26)+($H$15*'Fact Sheet'!$B$8*'Fact Sheet'!$L$24*'Fact Sheet'!$B$26)</f>
        <v>2275.4038149350645</v>
      </c>
      <c r="AA34" s="91">
        <f>($I$5*'Fact Sheet'!$B$8*'Fact Sheet'!$G$22*'Fact Sheet'!$B$26)+($I$8*'Fact Sheet'!$B$8*'Fact Sheet'!$H$24*'Fact Sheet'!$B$26)+($I$9*'Fact Sheet'!$B$8*'Fact Sheet'!$H$23*'Fact Sheet'!$B$26)+($I$10*'Fact Sheet'!$B$8*'Fact Sheet'!$I$24*'Fact Sheet'!$B$26)+($I$11*'Fact Sheet'!$B$8*'Fact Sheet'!$I$23*'Fact Sheet'!$B$26)+($I$13*'Fact Sheet'!$B$8*'Fact Sheet'!$J$22*'Fact Sheet'!$B$26)+($I$14*'Fact Sheet'!$B$8*'Fact Sheet'!$K$24*'Fact Sheet'!$B$26)</f>
        <v>2283.8642607392617</v>
      </c>
      <c r="AB34" s="91">
        <f>($J$5*'Fact Sheet'!$B$8*'Fact Sheet'!$G$23*'Fact Sheet'!$B$26)+($J$6*'Fact Sheet'!$B$8*'Fact Sheet'!$G$22*'Fact Sheet'!$B$26)+($J$9*'Fact Sheet'!$B$8*'Fact Sheet'!$H$24*'Fact Sheet'!$B$26)+($J$11*'Fact Sheet'!$B$8*'Fact Sheet'!$I$24*'Fact Sheet'!$B$26)+($J$13*'Fact Sheet'!$B$8*'Fact Sheet'!$J$23*'Fact Sheet'!$B$26)+($J$14*'Fact Sheet'!$B$8*'Fact Sheet'!$K$24*'Fact Sheet'!$B$26)</f>
        <v>1729.6237616550111</v>
      </c>
      <c r="AC34" s="91">
        <f>($K$5*'Fact Sheet'!$B$8*'Fact Sheet'!$G$24*'Fact Sheet'!$B$26)+($K$6*'Fact Sheet'!$B$8*'Fact Sheet'!$G$23*'Fact Sheet'!$B$26)+($K$13*'Fact Sheet'!$B$8*'Fact Sheet'!$J$23*'Fact Sheet'!$B$26)+($K$14*'Fact Sheet'!$B$8*'Fact Sheet'!$K$24*'Fact Sheet'!$B$26)</f>
        <v>1087.5345487845486</v>
      </c>
      <c r="AD34" s="91">
        <f>($L$6*'Fact Sheet'!$B$8*'Fact Sheet'!$G$24*'Fact Sheet'!$B$26)+($L$13*'Fact Sheet'!$B$8*'Fact Sheet'!$J$24*'Fact Sheet'!$B$26)</f>
        <v>259.79598526473535</v>
      </c>
      <c r="AE34" s="92">
        <v>0</v>
      </c>
      <c r="AF34" s="41">
        <f t="shared" si="5"/>
        <v>18845.913929820174</v>
      </c>
      <c r="AH34" s="304"/>
      <c r="AI34" s="304"/>
      <c r="AJ34" s="304"/>
      <c r="AK34" s="304"/>
      <c r="AM34" s="304"/>
      <c r="AN34" s="304"/>
      <c r="AO34" s="304"/>
      <c r="AP34" s="304"/>
      <c r="AQ34" s="304"/>
      <c r="AR34" s="304"/>
      <c r="AS34" s="304"/>
      <c r="AT34" s="304"/>
      <c r="AU34" s="304"/>
      <c r="AV34" s="304"/>
      <c r="AW34" s="304"/>
      <c r="AX34" s="304"/>
      <c r="AY34" s="304"/>
      <c r="AZ34" s="304"/>
      <c r="BA34" s="304"/>
      <c r="BB34" s="304"/>
      <c r="BC34" s="304"/>
      <c r="BD34" s="304"/>
    </row>
    <row r="35" spans="1:56" customFormat="1">
      <c r="A35" s="6" t="s">
        <v>87</v>
      </c>
      <c r="B35" s="355">
        <v>0</v>
      </c>
      <c r="C35" s="332">
        <v>0</v>
      </c>
      <c r="D35" s="332">
        <f>$D$12*'Fact Sheet'!$B$8*'Fact Sheet'!$J$45</f>
        <v>142.3396915584413</v>
      </c>
      <c r="E35" s="332">
        <f>$E$12*'Fact Sheet'!$B$8*'Fact Sheet'!$J$46</f>
        <v>85.403814935064773</v>
      </c>
      <c r="F35" s="332">
        <f>$F$12*'Fact Sheet'!$B$8*'Fact Sheet'!$J$46</f>
        <v>85.403814935064773</v>
      </c>
      <c r="G35" s="332">
        <f>$G$12*'Fact Sheet'!$B$8*'Fact Sheet'!$J$47</f>
        <v>1138.7175324675304</v>
      </c>
      <c r="H35" s="332">
        <v>0</v>
      </c>
      <c r="I35" s="332">
        <f>$I$13*'Fact Sheet'!$B$8*'Fact Sheet'!$J$45</f>
        <v>177.34780844155881</v>
      </c>
      <c r="J35" s="332">
        <f>$J$13*'Fact Sheet'!$B$8*'Fact Sheet'!$J$46</f>
        <v>106.4086850649353</v>
      </c>
      <c r="K35" s="332">
        <f>$K$13*'Fact Sheet'!$B$8*'Fact Sheet'!$J$46</f>
        <v>106.4086850649353</v>
      </c>
      <c r="L35" s="332">
        <f>$L$13*'Fact Sheet'!$B$8*'Fact Sheet'!$J$47</f>
        <v>1418.7824675324705</v>
      </c>
      <c r="M35" s="356">
        <v>0</v>
      </c>
      <c r="N35" s="357">
        <f t="shared" si="4"/>
        <v>3260.8125000000009</v>
      </c>
      <c r="O35" s="304"/>
      <c r="P35" s="304"/>
      <c r="Q35" s="304"/>
      <c r="R35" s="304"/>
      <c r="S35" s="8" t="s">
        <v>95</v>
      </c>
      <c r="T35" s="90">
        <v>0</v>
      </c>
      <c r="U35" s="91">
        <v>0</v>
      </c>
      <c r="V35" s="91">
        <v>0</v>
      </c>
      <c r="W35" s="91">
        <f>E22*'Fact Sheet'!$G$58</f>
        <v>13857.639505961894</v>
      </c>
      <c r="X35" s="91">
        <f>F22*'Fact Sheet'!$G$58</f>
        <v>20006.315789473683</v>
      </c>
      <c r="Y35" s="91">
        <f>(G22*'Fact Sheet'!$G$58)+(G25*'Fact Sheet'!$J$58)</f>
        <v>34023.777885420961</v>
      </c>
      <c r="Z35" s="91">
        <f>(H23*'Fact Sheet'!$H$58)+(H27*'Fact Sheet'!$L$58)</f>
        <v>35672.357263990954</v>
      </c>
      <c r="AA35" s="91">
        <f>(I23*'Fact Sheet'!$H$58)+(I24*'Fact Sheet'!$I$58)+(I26*'Fact Sheet'!$K$58)</f>
        <v>19424.507739028202</v>
      </c>
      <c r="AB35" s="91">
        <f>(J23*'Fact Sheet'!$H$58)+(J24*'Fact Sheet'!$I$58)+(J26*'Fact Sheet'!$K$58)</f>
        <v>25454.40235949395</v>
      </c>
      <c r="AC35" s="91">
        <f>(K22*'Fact Sheet'!$G$58)+(K26*'Fact Sheet'!$K$58)</f>
        <v>25088.051568314724</v>
      </c>
      <c r="AD35" s="91">
        <f>(L22*'Fact Sheet'!$G$58)+(L25*'Fact Sheet'!$J$58)</f>
        <v>49264.698205374203</v>
      </c>
      <c r="AE35" s="92">
        <v>0</v>
      </c>
      <c r="AF35" s="41">
        <f t="shared" si="5"/>
        <v>222791.75031705858</v>
      </c>
      <c r="AH35" s="304"/>
      <c r="AI35" s="304"/>
      <c r="AJ35" s="304"/>
      <c r="AK35" s="304"/>
      <c r="AM35" s="304"/>
      <c r="AN35" s="304"/>
      <c r="AO35" s="304"/>
      <c r="AP35" s="304"/>
      <c r="AQ35" s="304"/>
      <c r="AR35" s="304"/>
      <c r="AS35" s="304"/>
      <c r="AT35" s="304"/>
      <c r="AU35" s="304"/>
      <c r="AV35" s="304"/>
      <c r="AW35" s="304"/>
      <c r="AX35" s="304"/>
      <c r="AY35" s="304"/>
      <c r="AZ35" s="304"/>
      <c r="BA35" s="304"/>
      <c r="BB35" s="304"/>
      <c r="BC35" s="304"/>
      <c r="BD35" s="304"/>
    </row>
    <row r="36" spans="1:56" customFormat="1">
      <c r="A36" s="6" t="s">
        <v>88</v>
      </c>
      <c r="B36" s="355">
        <v>0</v>
      </c>
      <c r="C36" s="332">
        <v>0</v>
      </c>
      <c r="D36" s="332">
        <v>0</v>
      </c>
      <c r="E36" s="332">
        <f>$E$14*'Fact Sheet'!$B$8*'Fact Sheet'!$K$45</f>
        <v>630.64123376623331</v>
      </c>
      <c r="F36" s="332">
        <f>$F$14*'Fact Sheet'!$B$8*'Fact Sheet'!$K$46</f>
        <v>472.98092532467496</v>
      </c>
      <c r="G36" s="332">
        <f>$G$14*'Fact Sheet'!$B$8*'Fact Sheet'!$K$46</f>
        <v>472.98092532467496</v>
      </c>
      <c r="H36" s="332">
        <f>$H$14*'Fact Sheet'!$B$8*'Fact Sheet'!$K$46</f>
        <v>472.98092532467496</v>
      </c>
      <c r="I36" s="332">
        <f>$I$14*'Fact Sheet'!$B$8*'Fact Sheet'!$K$47</f>
        <v>2522.5649350649333</v>
      </c>
      <c r="J36" s="332">
        <f>$J$14*'Fact Sheet'!$B$8*'Fact Sheet'!$K$47</f>
        <v>2522.5649350649333</v>
      </c>
      <c r="K36" s="332">
        <f>$K$14*'Fact Sheet'!$B$8*'Fact Sheet'!$K$47</f>
        <v>2522.5649350649333</v>
      </c>
      <c r="L36" s="332">
        <v>0</v>
      </c>
      <c r="M36" s="356">
        <v>0</v>
      </c>
      <c r="N36" s="357">
        <f t="shared" si="4"/>
        <v>9617.2788149350581</v>
      </c>
      <c r="O36" s="304"/>
      <c r="P36" s="304"/>
      <c r="Q36" s="304"/>
      <c r="R36" s="304"/>
      <c r="S36" s="8" t="s">
        <v>96</v>
      </c>
      <c r="T36" s="90">
        <f>$B$15*'Fact Sheet'!$B$8*'Fact Sheet'!$L$50*'Fact Sheet'!$B$28</f>
        <v>600</v>
      </c>
      <c r="U36" s="91">
        <f>($C$2*'Fact Sheet'!$B$8*'Fact Sheet'!$G$50*'Fact Sheet'!$B$28)+($C$15*'Fact Sheet'!$B$8*'Fact Sheet'!$L$51*'Fact Sheet'!$B$28)</f>
        <v>252.99134199134218</v>
      </c>
      <c r="V36" s="91">
        <f>($D$2*'Fact Sheet'!$B$8*'Fact Sheet'!$G$51*'Fact Sheet'!$B$28)+($D$3*'Fact Sheet'!$B$8*'Fact Sheet'!$G$50*'Fact Sheet'!$B$28)+($D$12*'Fact Sheet'!$B$8*'Fact Sheet'!$J$50*'Fact Sheet'!$B$28)+($D$15*'Fact Sheet'!$B$8*'Fact Sheet'!$L$51*'Fact Sheet'!$B$28)</f>
        <v>475.74350649350635</v>
      </c>
      <c r="W36" s="91">
        <f>($E$2*'Fact Sheet'!$B$8*'Fact Sheet'!$G$52*'Fact Sheet'!$B$28)+($E$3*'Fact Sheet'!$B$8*'Fact Sheet'!$G$51*'Fact Sheet'!$B$28)+($E$4*'Fact Sheet'!$B$8*'Fact Sheet'!$G$50*'Fact Sheet'!$B$28)+($E$12*'Fact Sheet'!$B$8*'Fact Sheet'!$J$51*'Fact Sheet'!$B$28)+($E$14*'Fact Sheet'!$B$8*'Fact Sheet'!$K$50*'Fact Sheet'!$B$28)+($E$15*'Fact Sheet'!$B$8*'Fact Sheet'!$L$51*'Fact Sheet'!$B$28)</f>
        <v>555.16984577922062</v>
      </c>
      <c r="X36" s="91">
        <f>($F$3*'Fact Sheet'!$B$8*'Fact Sheet'!$G$52*'Fact Sheet'!$B$28)+($F$4*'Fact Sheet'!$B$8*'Fact Sheet'!$G$51*'Fact Sheet'!$B$28)+($F$7*'Fact Sheet'!$B$8*'Fact Sheet'!$H$50*'Fact Sheet'!$B$28)+($F$10*'Fact Sheet'!$B$8*'Fact Sheet'!$I$50*'Fact Sheet'!$B$28)+($F$12*'Fact Sheet'!$B$8*'Fact Sheet'!$J$51*'Fact Sheet'!$B$28)+($F$14*'Fact Sheet'!$B$8*'Fact Sheet'!$K$51*'Fact Sheet'!$B$28)+($F$15*'Fact Sheet'!$B$8*'Fact Sheet'!$L$51*'Fact Sheet'!$B$28)</f>
        <v>521.29809253246742</v>
      </c>
      <c r="Y36" s="91">
        <f>($G$4*'Fact Sheet'!$B$8*'Fact Sheet'!$G$52*'Fact Sheet'!$B$28)+($G$7*'Fact Sheet'!$B$8*'Fact Sheet'!$H$51*'Fact Sheet'!$B$28)+($G$8*'Fact Sheet'!$B$8*'Fact Sheet'!$H$50*'Fact Sheet'!$B$28)+($G$10*'Fact Sheet'!$B$8*'Fact Sheet'!$I$51*'Fact Sheet'!$B$28)+($G$11*'Fact Sheet'!$B$8*'Fact Sheet'!$I$50*'Fact Sheet'!$B$28)+($G$12*'Fact Sheet'!$B$8*'Fact Sheet'!$J$52*'Fact Sheet'!$B$28)+($G$14*'Fact Sheet'!$B$8*'Fact Sheet'!$K$51*'Fact Sheet'!$B$28)+($G$15*'Fact Sheet'!$B$8*'Fact Sheet'!$L$51*'Fact Sheet'!$B$28)</f>
        <v>578.10572240259717</v>
      </c>
      <c r="Z36" s="91">
        <f>($H$7*'Fact Sheet'!$B$8*'Fact Sheet'!$H$52*'Fact Sheet'!$B$28)+($H$8*'Fact Sheet'!$B$8*'Fact Sheet'!$H$51*'Fact Sheet'!$B$28)+($H$9*'Fact Sheet'!$B$8*'Fact Sheet'!$H$50*'Fact Sheet'!$B$28)+($H$10*'Fact Sheet'!$B$8*'Fact Sheet'!$I$51*'Fact Sheet'!$B$28)+($H$11*'Fact Sheet'!$B$8*'Fact Sheet'!$I$51*'Fact Sheet'!$B$28)+($H$14*'Fact Sheet'!$B$8*'Fact Sheet'!$K$51*'Fact Sheet'!$B$28)+($H$15*'Fact Sheet'!$B$8*'Fact Sheet'!$L$52*'Fact Sheet'!$B$28)</f>
        <v>670.40381493506482</v>
      </c>
      <c r="AA36" s="91">
        <f>($I$5*'Fact Sheet'!$B$8*'Fact Sheet'!$G$50*'Fact Sheet'!$B$28)+($I$8*'Fact Sheet'!$B$8*'Fact Sheet'!$H$52*'Fact Sheet'!$B$28)+($I$9*'Fact Sheet'!$B$8*'Fact Sheet'!$H$51*'Fact Sheet'!$B$28)+($I$10*'Fact Sheet'!$B$8*'Fact Sheet'!$I$52*'Fact Sheet'!$B$28)+($I$11*'Fact Sheet'!$B$8*'Fact Sheet'!$I$51*'Fact Sheet'!$B$28)+($I$13*'Fact Sheet'!$B$8*'Fact Sheet'!$J$50*'Fact Sheet'!$B$28)+($I$14*'Fact Sheet'!$B$8*'Fact Sheet'!$K$52*'Fact Sheet'!$B$28)</f>
        <v>580.05657883782908</v>
      </c>
      <c r="AB36" s="91">
        <f>($J$5*'Fact Sheet'!$B$8*'Fact Sheet'!$G$51*'Fact Sheet'!$B$28)+($J$6*'Fact Sheet'!$B$8*'Fact Sheet'!$G$50*'Fact Sheet'!$B$28)+($J$9*'Fact Sheet'!$B$8*'Fact Sheet'!$H$52*'Fact Sheet'!$B$28)+($J$11*'Fact Sheet'!$B$8*'Fact Sheet'!$I$52*'Fact Sheet'!$B$28)+($J$13*'Fact Sheet'!$B$8*'Fact Sheet'!$J$51*'Fact Sheet'!$B$28)+($J$14*'Fact Sheet'!$B$8*'Fact Sheet'!$K$52*'Fact Sheet'!$B$28)</f>
        <v>487.20008116883093</v>
      </c>
      <c r="AC36" s="91">
        <f>($K$5*'Fact Sheet'!$B$8*'Fact Sheet'!$G$52*'Fact Sheet'!$B$28)+($K$6*'Fact Sheet'!$B$8*'Fact Sheet'!$G$51*'Fact Sheet'!$B$28)+($K$13*'Fact Sheet'!$B$8*'Fact Sheet'!$J$51*'Fact Sheet'!$B$28)+($K$14*'Fact Sheet'!$B$8*'Fact Sheet'!$K$52*'Fact Sheet'!$B$28)</f>
        <v>317.80174512987008</v>
      </c>
      <c r="AD36" s="91">
        <f>($L$6*'Fact Sheet'!$B$8*'Fact Sheet'!$G$52*'Fact Sheet'!$B$28)+($L$13*'Fact Sheet'!$B$8*'Fact Sheet'!$J$52*'Fact Sheet'!$B$28)</f>
        <v>138.14281031468531</v>
      </c>
      <c r="AE36" s="92">
        <v>0</v>
      </c>
      <c r="AF36" s="41">
        <f t="shared" si="5"/>
        <v>5176.9135395854146</v>
      </c>
      <c r="AH36" s="304"/>
      <c r="AI36" s="304"/>
      <c r="AJ36" s="304"/>
      <c r="AK36" s="304"/>
      <c r="AM36" s="304"/>
      <c r="AN36" s="304"/>
      <c r="AO36" s="304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</row>
    <row r="37" spans="1:56" customFormat="1" ht="15" thickBot="1">
      <c r="A37" s="4" t="s">
        <v>89</v>
      </c>
      <c r="B37" s="358">
        <f>$B$15*'Fact Sheet'!$B$8*'Fact Sheet'!$L$45</f>
        <v>1200</v>
      </c>
      <c r="C37" s="341">
        <f>$C$15*'Fact Sheet'!$B$8*'Fact Sheet'!$L$46</f>
        <v>480</v>
      </c>
      <c r="D37" s="341">
        <f>$D$15*'Fact Sheet'!$B$8*'Fact Sheet'!$L$46</f>
        <v>480</v>
      </c>
      <c r="E37" s="341">
        <f>$E$15*'Fact Sheet'!$B$8*'Fact Sheet'!$L$46</f>
        <v>480</v>
      </c>
      <c r="F37" s="341">
        <f>$F$15*'Fact Sheet'!$B$8*'Fact Sheet'!$L$46</f>
        <v>480</v>
      </c>
      <c r="G37" s="341">
        <f>$G$15*'Fact Sheet'!$B$8*'Fact Sheet'!$L$46</f>
        <v>480</v>
      </c>
      <c r="H37" s="341">
        <f>$H$15*'Fact Sheet'!$B$8*'Fact Sheet'!$L$47</f>
        <v>4500</v>
      </c>
      <c r="I37" s="341">
        <v>0</v>
      </c>
      <c r="J37" s="341">
        <v>0</v>
      </c>
      <c r="K37" s="341">
        <v>0</v>
      </c>
      <c r="L37" s="341">
        <v>0</v>
      </c>
      <c r="M37" s="359">
        <v>0</v>
      </c>
      <c r="N37" s="360">
        <f t="shared" si="4"/>
        <v>8100</v>
      </c>
      <c r="O37" s="304"/>
      <c r="P37" s="304"/>
      <c r="Q37" s="304"/>
      <c r="R37" s="304"/>
      <c r="S37" s="39" t="s">
        <v>97</v>
      </c>
      <c r="T37" s="93">
        <f>B38*'Fact Sheet'!$B$27</f>
        <v>24000</v>
      </c>
      <c r="U37" s="94">
        <f>C38*'Fact Sheet'!$B$27</f>
        <v>14587.175324675332</v>
      </c>
      <c r="V37" s="94">
        <f>D38*'Fact Sheet'!$B$27</f>
        <v>23636.534090909088</v>
      </c>
      <c r="W37" s="94">
        <f>E38*'Fact Sheet'!$B$27</f>
        <v>62928.736471861499</v>
      </c>
      <c r="X37" s="94">
        <f>F38*'Fact Sheet'!$B$27</f>
        <v>73267.694805194798</v>
      </c>
      <c r="Y37" s="94">
        <f>G38*'Fact Sheet'!$B$27</f>
        <v>52780.762987012939</v>
      </c>
      <c r="Z37" s="94">
        <f>H38*'Fact Sheet'!$B$27</f>
        <v>148037.88555194804</v>
      </c>
      <c r="AA37" s="94">
        <f>I38*'Fact Sheet'!$B$27</f>
        <v>103809.21890609387</v>
      </c>
      <c r="AB37" s="94">
        <f>J38*'Fact Sheet'!$B$27</f>
        <v>153546.50224775221</v>
      </c>
      <c r="AC37" s="94">
        <f>K38*'Fact Sheet'!$B$27</f>
        <v>92469.796245421196</v>
      </c>
      <c r="AD37" s="94">
        <f>L38*'Fact Sheet'!$B$27</f>
        <v>44865.28471528471</v>
      </c>
      <c r="AE37" s="95">
        <v>0</v>
      </c>
      <c r="AF37" s="42">
        <f>SUM(T37:AE37)</f>
        <v>793929.59134615376</v>
      </c>
      <c r="AH37" s="304"/>
      <c r="AI37" s="304"/>
      <c r="AJ37" s="304"/>
      <c r="AK37" s="304"/>
      <c r="AM37" s="304"/>
      <c r="AN37" s="304"/>
      <c r="AO37" s="304"/>
      <c r="AP37" s="304"/>
      <c r="AQ37" s="304"/>
      <c r="AR37" s="304"/>
      <c r="AS37" s="304"/>
      <c r="AT37" s="304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</row>
    <row r="38" spans="1:56" customFormat="1" ht="15" thickBot="1">
      <c r="A38" s="265" t="s">
        <v>98</v>
      </c>
      <c r="B38" s="361">
        <f>SUM(B32:B37)</f>
        <v>1200</v>
      </c>
      <c r="C38" s="362">
        <f t="shared" ref="C38:M38" si="6">SUM(C32:C37)</f>
        <v>729.35876623376657</v>
      </c>
      <c r="D38" s="362">
        <f t="shared" si="6"/>
        <v>1181.8267045454545</v>
      </c>
      <c r="E38" s="362">
        <f t="shared" si="6"/>
        <v>3146.4368235930751</v>
      </c>
      <c r="F38" s="362">
        <f t="shared" si="6"/>
        <v>3663.3847402597398</v>
      </c>
      <c r="G38" s="362">
        <f t="shared" si="6"/>
        <v>2639.038149350647</v>
      </c>
      <c r="H38" s="362">
        <f t="shared" si="6"/>
        <v>7401.8942775974019</v>
      </c>
      <c r="I38" s="362">
        <f t="shared" si="6"/>
        <v>5190.4609453046933</v>
      </c>
      <c r="J38" s="362">
        <f t="shared" si="6"/>
        <v>7677.3251123876107</v>
      </c>
      <c r="K38" s="362">
        <f t="shared" si="6"/>
        <v>4623.4898122710601</v>
      </c>
      <c r="L38" s="362">
        <f t="shared" si="6"/>
        <v>2243.2642357642353</v>
      </c>
      <c r="M38" s="363">
        <f t="shared" si="6"/>
        <v>0</v>
      </c>
      <c r="N38" s="44">
        <f t="shared" si="4"/>
        <v>39696.479567307681</v>
      </c>
      <c r="O38" s="304"/>
      <c r="P38" s="304"/>
      <c r="Q38" s="304"/>
      <c r="R38" s="304"/>
      <c r="S38" s="262" t="s">
        <v>99</v>
      </c>
      <c r="T38" s="249">
        <f t="shared" ref="T38:AE38" si="7">SUM(T32:T37)</f>
        <v>325740</v>
      </c>
      <c r="U38" s="250">
        <f t="shared" si="7"/>
        <v>19365.227543290057</v>
      </c>
      <c r="V38" s="250">
        <f t="shared" si="7"/>
        <v>31842.487351190473</v>
      </c>
      <c r="W38" s="250">
        <f t="shared" si="7"/>
        <v>81127.452208884002</v>
      </c>
      <c r="X38" s="250">
        <f t="shared" si="7"/>
        <v>97998.055643369778</v>
      </c>
      <c r="Y38" s="250">
        <f t="shared" si="7"/>
        <v>92855.535697920917</v>
      </c>
      <c r="Z38" s="250">
        <f t="shared" si="7"/>
        <v>188557.37197584158</v>
      </c>
      <c r="AA38" s="250">
        <f t="shared" si="7"/>
        <v>130895.58098089047</v>
      </c>
      <c r="AB38" s="250">
        <f t="shared" si="7"/>
        <v>183046.3606368936</v>
      </c>
      <c r="AC38" s="250">
        <f t="shared" si="7"/>
        <v>119097.20889536262</v>
      </c>
      <c r="AD38" s="250">
        <f t="shared" si="7"/>
        <v>94590.809508133942</v>
      </c>
      <c r="AE38" s="251">
        <f t="shared" si="7"/>
        <v>0</v>
      </c>
      <c r="AF38" s="82">
        <f t="shared" si="5"/>
        <v>1365116.0904417774</v>
      </c>
      <c r="AH38" s="304"/>
      <c r="AI38" s="304"/>
      <c r="AJ38" s="304"/>
      <c r="AK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</row>
    <row r="39" spans="1:56">
      <c r="A39" s="263"/>
      <c r="B39" s="318" t="s">
        <v>50</v>
      </c>
      <c r="C39" s="309" t="s">
        <v>50</v>
      </c>
      <c r="D39" s="309" t="s">
        <v>50</v>
      </c>
      <c r="E39" s="309" t="s">
        <v>50</v>
      </c>
      <c r="F39" s="309" t="s">
        <v>50</v>
      </c>
      <c r="G39" s="309" t="s">
        <v>50</v>
      </c>
      <c r="H39" s="309" t="s">
        <v>50</v>
      </c>
      <c r="I39" s="309" t="s">
        <v>50</v>
      </c>
      <c r="J39" s="309" t="s">
        <v>50</v>
      </c>
      <c r="K39" s="309" t="s">
        <v>50</v>
      </c>
      <c r="L39" s="309" t="s">
        <v>50</v>
      </c>
      <c r="M39" s="319" t="s">
        <v>50</v>
      </c>
      <c r="N39" s="364"/>
      <c r="O39" s="304"/>
      <c r="P39" s="304"/>
      <c r="Q39" s="304"/>
      <c r="R39" s="304"/>
      <c r="S39" s="263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s="304"/>
      <c r="AI39" s="304"/>
      <c r="AJ39" s="304"/>
      <c r="AK39" s="304"/>
      <c r="AL39" s="304"/>
      <c r="AM39" s="304"/>
      <c r="AN39" s="304"/>
      <c r="AO39" s="304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</row>
    <row r="40" spans="1:56" ht="15" thickBot="1">
      <c r="A40" s="264"/>
      <c r="B40" s="365">
        <f>'Fact Sheet'!$B$4</f>
        <v>1280</v>
      </c>
      <c r="C40" s="366">
        <f>'Fact Sheet'!$C$4</f>
        <v>1280</v>
      </c>
      <c r="D40" s="366">
        <f>'Fact Sheet'!$D$4</f>
        <v>1280</v>
      </c>
      <c r="E40" s="366">
        <f>'Fact Sheet'!$E$4</f>
        <v>3840</v>
      </c>
      <c r="F40" s="366">
        <f>'Fact Sheet'!$F$4</f>
        <v>3840</v>
      </c>
      <c r="G40" s="366">
        <f>'Fact Sheet'!$G$4</f>
        <v>3840</v>
      </c>
      <c r="H40" s="366">
        <f>'Fact Sheet'!$H$4</f>
        <v>7680</v>
      </c>
      <c r="I40" s="366">
        <f>'Fact Sheet'!$I$4</f>
        <v>7680</v>
      </c>
      <c r="J40" s="366">
        <f>'Fact Sheet'!$J$4</f>
        <v>7680</v>
      </c>
      <c r="K40" s="366">
        <f>'Fact Sheet'!$K$4</f>
        <v>7680</v>
      </c>
      <c r="L40" s="366">
        <f>'Fact Sheet'!$L$4</f>
        <v>3840</v>
      </c>
      <c r="M40" s="367">
        <f>'Fact Sheet'!$M$4</f>
        <v>1280</v>
      </c>
      <c r="N40" s="364"/>
      <c r="O40"/>
      <c r="P40" s="304"/>
      <c r="Q40" s="304"/>
      <c r="R40" s="304"/>
      <c r="S40" s="264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  <c r="BC40" s="304"/>
      <c r="BD40" s="304"/>
    </row>
    <row r="41" spans="1:56" ht="15" thickBot="1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  <c r="BC41" s="304"/>
      <c r="BD41" s="304"/>
    </row>
    <row r="42" spans="1:56">
      <c r="A42" s="5" t="s">
        <v>84</v>
      </c>
      <c r="B42" s="352">
        <v>0</v>
      </c>
      <c r="C42" s="323">
        <f>$C$2*'Fact Sheet'!$B$8*'Fact Sheet'!$G$17</f>
        <v>20779.897186147216</v>
      </c>
      <c r="D42" s="323">
        <f>($D$3*'Fact Sheet'!$B$8*'Fact Sheet'!$G$17)+($D$2*'Fact Sheet'!$B$8*'Fact Sheet'!$G$18)</f>
        <v>46623.917748917767</v>
      </c>
      <c r="E42" s="323">
        <f>($E$4*'Fact Sheet'!$B$8*'Fact Sheet'!$G$17)+($E$3*'Fact Sheet'!$B$8*'Fact Sheet'!$G$18)+($E$2*'Fact Sheet'!$B$8*'Fact Sheet'!$G$19)</f>
        <v>42701.907467532496</v>
      </c>
      <c r="F42" s="323">
        <f>($F$4*'Fact Sheet'!$B$8*'Fact Sheet'!$G$18)+($F$3*'Fact Sheet'!$B$8*'Fact Sheet'!$G$19)</f>
        <v>27000</v>
      </c>
      <c r="G42" s="323">
        <f>$G$4*'Fact Sheet'!$B$8*'Fact Sheet'!$G$19</f>
        <v>0</v>
      </c>
      <c r="H42" s="323">
        <v>0</v>
      </c>
      <c r="I42" s="323">
        <f>$I$5*'Fact Sheet'!$B$8*'Fact Sheet'!$G$17</f>
        <v>23694.729749417256</v>
      </c>
      <c r="J42" s="323">
        <f>($J$6*'Fact Sheet'!$B$8*'Fact Sheet'!$G$17)+($J$5*'Fact Sheet'!$B$8*'Fact Sheet'!$G$18)</f>
        <v>29261.805902430868</v>
      </c>
      <c r="K42" s="323">
        <f>($K$6*'Fact Sheet'!$B$8*'Fact Sheet'!$G$18)+($K$5*'Fact Sheet'!$B$8*'Fact Sheet'!$G$19)</f>
        <v>29570.07445679318</v>
      </c>
      <c r="L42" s="323">
        <f>$L$6*'Fact Sheet'!$B$8*'Fact Sheet'!$G$19</f>
        <v>9275.4198926073568</v>
      </c>
      <c r="M42" s="353">
        <v>0</v>
      </c>
      <c r="N42" s="354">
        <f t="shared" ref="N42:N48" si="8">SUM(B42:M42)</f>
        <v>228907.75240384613</v>
      </c>
      <c r="O42" s="304"/>
      <c r="P42" s="304"/>
      <c r="Q42" s="304"/>
      <c r="R42" s="304"/>
      <c r="S42" s="5" t="s">
        <v>100</v>
      </c>
      <c r="T42" s="326">
        <f t="shared" ref="T42:AD42" si="9">$T$17/11</f>
        <v>137030</v>
      </c>
      <c r="U42" s="327">
        <f t="shared" si="9"/>
        <v>137030</v>
      </c>
      <c r="V42" s="327">
        <f t="shared" si="9"/>
        <v>137030</v>
      </c>
      <c r="W42" s="327">
        <f t="shared" si="9"/>
        <v>137030</v>
      </c>
      <c r="X42" s="327">
        <f t="shared" si="9"/>
        <v>137030</v>
      </c>
      <c r="Y42" s="327">
        <f t="shared" si="9"/>
        <v>137030</v>
      </c>
      <c r="Z42" s="327">
        <f t="shared" si="9"/>
        <v>137030</v>
      </c>
      <c r="AA42" s="327">
        <f t="shared" si="9"/>
        <v>137030</v>
      </c>
      <c r="AB42" s="327">
        <f t="shared" si="9"/>
        <v>137030</v>
      </c>
      <c r="AC42" s="327">
        <f t="shared" si="9"/>
        <v>137030</v>
      </c>
      <c r="AD42" s="327">
        <f t="shared" si="9"/>
        <v>137030</v>
      </c>
      <c r="AE42" s="328">
        <v>0</v>
      </c>
      <c r="AF42" s="329">
        <f>SUM(T42:AE42)</f>
        <v>1507330</v>
      </c>
      <c r="AG42" s="304"/>
      <c r="AH42"/>
      <c r="AI42"/>
      <c r="AJ42" s="304"/>
      <c r="AK42" s="304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</row>
    <row r="43" spans="1:56" ht="15" thickBot="1">
      <c r="A43" s="6" t="s">
        <v>85</v>
      </c>
      <c r="B43" s="355">
        <v>0</v>
      </c>
      <c r="C43" s="332">
        <v>0</v>
      </c>
      <c r="D43" s="332">
        <v>0</v>
      </c>
      <c r="E43" s="332">
        <v>0</v>
      </c>
      <c r="F43" s="332">
        <f>$F$7*'Fact Sheet'!$B$8*'Fact Sheet'!$H$17</f>
        <v>26249.999999999996</v>
      </c>
      <c r="G43" s="332">
        <f>($G$8*'Fact Sheet'!$B$8*'Fact Sheet'!$H$17)+($G$7*'Fact Sheet'!$B$8*'Fact Sheet'!$H$18)</f>
        <v>29999.999999999993</v>
      </c>
      <c r="H43" s="332">
        <f>($H$9*'Fact Sheet'!$B$8*'Fact Sheet'!$H$17)+($H$8*'Fact Sheet'!$B$8*'Fact Sheet'!$H$18)+($H$7*'Fact Sheet'!$B$8*'Fact Sheet'!$H$19)</f>
        <v>39909.446022727272</v>
      </c>
      <c r="I43" s="332">
        <f>($I$9*'Fact Sheet'!$B$8*'Fact Sheet'!$H$18)+($I$8*'Fact Sheet'!$B$8*'Fact Sheet'!$H$19)</f>
        <v>14808.492288961037</v>
      </c>
      <c r="J43" s="332">
        <f>$J$9*'Fact Sheet'!$B$8*'Fact Sheet'!$H$19</f>
        <v>10675.476866883117</v>
      </c>
      <c r="K43" s="332">
        <v>0</v>
      </c>
      <c r="L43" s="332">
        <v>0</v>
      </c>
      <c r="M43" s="356">
        <v>0</v>
      </c>
      <c r="N43" s="357">
        <f t="shared" si="8"/>
        <v>121643.41517857142</v>
      </c>
      <c r="O43" s="304"/>
      <c r="P43" s="304"/>
      <c r="Q43" s="304"/>
      <c r="R43" s="304"/>
      <c r="S43" s="4" t="s">
        <v>99</v>
      </c>
      <c r="T43" s="344">
        <f t="shared" ref="T43:AE43" si="10">T38</f>
        <v>325740</v>
      </c>
      <c r="U43" s="345">
        <f t="shared" si="10"/>
        <v>19365.227543290057</v>
      </c>
      <c r="V43" s="345">
        <f t="shared" si="10"/>
        <v>31842.487351190473</v>
      </c>
      <c r="W43" s="345">
        <f t="shared" si="10"/>
        <v>81127.452208884002</v>
      </c>
      <c r="X43" s="345">
        <f t="shared" si="10"/>
        <v>97998.055643369778</v>
      </c>
      <c r="Y43" s="345">
        <f t="shared" si="10"/>
        <v>92855.535697920917</v>
      </c>
      <c r="Z43" s="345">
        <f t="shared" si="10"/>
        <v>188557.37197584158</v>
      </c>
      <c r="AA43" s="345">
        <f t="shared" si="10"/>
        <v>130895.58098089047</v>
      </c>
      <c r="AB43" s="345">
        <f t="shared" si="10"/>
        <v>183046.3606368936</v>
      </c>
      <c r="AC43" s="345">
        <f t="shared" si="10"/>
        <v>119097.20889536262</v>
      </c>
      <c r="AD43" s="345">
        <f t="shared" si="10"/>
        <v>94590.809508133942</v>
      </c>
      <c r="AE43" s="346">
        <f t="shared" si="10"/>
        <v>0</v>
      </c>
      <c r="AF43" s="347">
        <f>SUM(T43:AE43)</f>
        <v>1365116.0904417774</v>
      </c>
      <c r="AG43" s="304"/>
      <c r="AH43"/>
      <c r="AI43"/>
      <c r="AJ43" s="304"/>
      <c r="AK43" s="304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  <c r="AV43" s="304"/>
      <c r="AW43" s="304"/>
      <c r="AX43" s="304"/>
      <c r="AY43" s="304"/>
      <c r="AZ43" s="304"/>
      <c r="BA43" s="304"/>
      <c r="BB43" s="304"/>
      <c r="BC43" s="304"/>
      <c r="BD43" s="304"/>
    </row>
    <row r="44" spans="1:56" ht="15" thickBot="1">
      <c r="A44" s="6" t="s">
        <v>86</v>
      </c>
      <c r="B44" s="355">
        <v>0</v>
      </c>
      <c r="C44" s="332">
        <v>0</v>
      </c>
      <c r="D44" s="332">
        <v>0</v>
      </c>
      <c r="E44" s="332">
        <v>0</v>
      </c>
      <c r="F44" s="332">
        <f>$F$10*'Fact Sheet'!$B$8*'Fact Sheet'!$I$17</f>
        <v>0</v>
      </c>
      <c r="G44" s="332">
        <f>($G$11*'Fact Sheet'!$B$8*'Fact Sheet'!$I$17)+($G$10*'Fact Sheet'!$B$8*'Fact Sheet'!$I$18)</f>
        <v>14233.969155844157</v>
      </c>
      <c r="H44" s="332">
        <f>($H$11*'Fact Sheet'!$B$8*'Fact Sheet'!$I$18)+($H$10*'Fact Sheet'!$B$8*'Fact Sheet'!$I$18)</f>
        <v>10675.476866883118</v>
      </c>
      <c r="I44" s="332">
        <f>($I$11*'Fact Sheet'!$B$8*'Fact Sheet'!$I$18)+($I$10*'Fact Sheet'!$B$8*'Fact Sheet'!$I$19)</f>
        <v>10675.476866883118</v>
      </c>
      <c r="J44" s="332">
        <f>$J$11*'Fact Sheet'!$B$8*'Fact Sheet'!$I$19</f>
        <v>12454.723011363638</v>
      </c>
      <c r="K44" s="332">
        <v>0</v>
      </c>
      <c r="L44" s="332">
        <v>0</v>
      </c>
      <c r="M44" s="356">
        <v>0</v>
      </c>
      <c r="N44" s="357">
        <f t="shared" si="8"/>
        <v>48039.645900974036</v>
      </c>
      <c r="O44" s="304"/>
      <c r="P44" s="304"/>
      <c r="Q44" s="304"/>
      <c r="R44" s="304"/>
      <c r="S44" s="262" t="s">
        <v>101</v>
      </c>
      <c r="T44" s="348">
        <f>SUM(T42:T43)</f>
        <v>462770</v>
      </c>
      <c r="U44" s="349">
        <f t="shared" ref="U44:AE44" si="11">SUM(U42:U43)</f>
        <v>156395.22754329006</v>
      </c>
      <c r="V44" s="349">
        <f t="shared" si="11"/>
        <v>168872.48735119047</v>
      </c>
      <c r="W44" s="349">
        <f t="shared" si="11"/>
        <v>218157.452208884</v>
      </c>
      <c r="X44" s="349">
        <f t="shared" si="11"/>
        <v>235028.05564336979</v>
      </c>
      <c r="Y44" s="349">
        <f t="shared" si="11"/>
        <v>229885.53569792092</v>
      </c>
      <c r="Z44" s="349">
        <f t="shared" si="11"/>
        <v>325587.37197584158</v>
      </c>
      <c r="AA44" s="349">
        <f t="shared" si="11"/>
        <v>267925.58098089049</v>
      </c>
      <c r="AB44" s="349">
        <f t="shared" si="11"/>
        <v>320076.3606368936</v>
      </c>
      <c r="AC44" s="349">
        <f t="shared" si="11"/>
        <v>256127.20889536262</v>
      </c>
      <c r="AD44" s="349">
        <f t="shared" si="11"/>
        <v>231620.80950813394</v>
      </c>
      <c r="AE44" s="350">
        <f t="shared" si="11"/>
        <v>0</v>
      </c>
      <c r="AF44" s="47">
        <f>SUM(T44:AE44)</f>
        <v>2872446.0904417778</v>
      </c>
      <c r="AG44" s="315" t="s">
        <v>50</v>
      </c>
      <c r="AH44" s="368">
        <f>'Fact Sheet'!$B$13</f>
        <v>3000000</v>
      </c>
      <c r="AI44"/>
      <c r="AJ44" s="304"/>
      <c r="AK44" s="304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</row>
    <row r="45" spans="1:56">
      <c r="A45" s="6" t="s">
        <v>87</v>
      </c>
      <c r="B45" s="355">
        <v>0</v>
      </c>
      <c r="C45" s="332">
        <v>0</v>
      </c>
      <c r="D45" s="332">
        <f>$D$12*'Fact Sheet'!$B$8*'Fact Sheet'!$J$17</f>
        <v>28467.938311688256</v>
      </c>
      <c r="E45" s="332">
        <f>$E$12*'Fact Sheet'!$B$8*'Fact Sheet'!$J$18</f>
        <v>14233.969155844128</v>
      </c>
      <c r="F45" s="332">
        <f>$F$12*'Fact Sheet'!$B$8*'Fact Sheet'!$J$18</f>
        <v>14233.969155844128</v>
      </c>
      <c r="G45" s="332">
        <f>$G$12*'Fact Sheet'!$B$8*'Fact Sheet'!$J$19</f>
        <v>17792.461444805162</v>
      </c>
      <c r="H45" s="332">
        <v>0</v>
      </c>
      <c r="I45" s="332">
        <f>$I$13*'Fact Sheet'!$B$8*'Fact Sheet'!$J$17</f>
        <v>35469.561688311762</v>
      </c>
      <c r="J45" s="332">
        <f>$J$13*'Fact Sheet'!$B$8*'Fact Sheet'!$J$18</f>
        <v>17734.780844155881</v>
      </c>
      <c r="K45" s="332">
        <f>$K$13*'Fact Sheet'!$B$8*'Fact Sheet'!$J$18</f>
        <v>17734.780844155881</v>
      </c>
      <c r="L45" s="332">
        <f>$L$13*'Fact Sheet'!$B$8*'Fact Sheet'!$J$19</f>
        <v>22168.476055194853</v>
      </c>
      <c r="M45" s="356">
        <v>0</v>
      </c>
      <c r="N45" s="357">
        <f t="shared" si="8"/>
        <v>167835.93750000006</v>
      </c>
      <c r="O45" s="304"/>
      <c r="P45" s="304"/>
      <c r="Q45" s="304"/>
      <c r="R45" s="304"/>
      <c r="S45" s="263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/>
      <c r="AI45"/>
      <c r="AJ45" s="304"/>
      <c r="AK45" s="304"/>
      <c r="AL45" s="304"/>
      <c r="AM45" s="304"/>
      <c r="AN45" s="304"/>
      <c r="AO45" s="304"/>
      <c r="AP45" s="304"/>
      <c r="AQ45" s="304"/>
      <c r="AR45" s="304"/>
      <c r="AS45" s="304"/>
      <c r="AT45" s="304"/>
      <c r="AU45" s="304"/>
      <c r="AV45" s="304"/>
      <c r="AW45" s="304"/>
      <c r="AX45" s="304"/>
      <c r="AY45" s="304"/>
      <c r="AZ45" s="304"/>
      <c r="BA45" s="304"/>
      <c r="BB45" s="304"/>
      <c r="BC45" s="304"/>
      <c r="BD45" s="304"/>
    </row>
    <row r="46" spans="1:56" ht="15" thickBot="1">
      <c r="A46" s="6" t="s">
        <v>88</v>
      </c>
      <c r="B46" s="355">
        <v>0</v>
      </c>
      <c r="C46" s="332">
        <v>0</v>
      </c>
      <c r="D46" s="332">
        <v>0</v>
      </c>
      <c r="E46" s="332">
        <f>$E$14*'Fact Sheet'!$B$8*'Fact Sheet'!$K$17</f>
        <v>63064.123376623327</v>
      </c>
      <c r="F46" s="332">
        <f>$F$14*'Fact Sheet'!$B$8*'Fact Sheet'!$K$18</f>
        <v>39415.077110389582</v>
      </c>
      <c r="G46" s="332">
        <f>$G$14*'Fact Sheet'!$B$8*'Fact Sheet'!$K$18</f>
        <v>39415.077110389582</v>
      </c>
      <c r="H46" s="332">
        <f>$H$14*'Fact Sheet'!$B$8*'Fact Sheet'!$K$18</f>
        <v>39415.077110389582</v>
      </c>
      <c r="I46" s="332">
        <f>$I$14*'Fact Sheet'!$B$8*'Fact Sheet'!$K$19</f>
        <v>19707.538555194791</v>
      </c>
      <c r="J46" s="332">
        <f>$J$14*'Fact Sheet'!$B$8*'Fact Sheet'!$K$19</f>
        <v>19707.538555194791</v>
      </c>
      <c r="K46" s="332">
        <f>$K$14*'Fact Sheet'!$B$8*'Fact Sheet'!$K$19</f>
        <v>19707.538555194791</v>
      </c>
      <c r="L46" s="332">
        <v>0</v>
      </c>
      <c r="M46" s="356">
        <v>0</v>
      </c>
      <c r="N46" s="357">
        <f t="shared" si="8"/>
        <v>240431.97037337651</v>
      </c>
      <c r="O46" s="304"/>
      <c r="P46" s="304"/>
      <c r="Q46" s="304"/>
      <c r="R46" s="304"/>
      <c r="S46" s="26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/>
      <c r="AI46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</row>
    <row r="47" spans="1:56" ht="15" thickBot="1">
      <c r="A47" s="4" t="s">
        <v>89</v>
      </c>
      <c r="B47" s="358">
        <f>$B$15*'Fact Sheet'!$B$8*'Fact Sheet'!$L$17</f>
        <v>90000</v>
      </c>
      <c r="C47" s="341">
        <f>$C$15*'Fact Sheet'!$B$8*'Fact Sheet'!$L$18</f>
        <v>30000</v>
      </c>
      <c r="D47" s="341">
        <f>$D$15*'Fact Sheet'!$B$8*'Fact Sheet'!$L$18</f>
        <v>30000</v>
      </c>
      <c r="E47" s="341">
        <f>$E$15*'Fact Sheet'!$B$8*'Fact Sheet'!$L$18</f>
        <v>30000</v>
      </c>
      <c r="F47" s="341">
        <f>$F$15*'Fact Sheet'!$B$8*'Fact Sheet'!$L$18</f>
        <v>30000</v>
      </c>
      <c r="G47" s="341">
        <f>$G$15*'Fact Sheet'!$B$8*'Fact Sheet'!$L$18</f>
        <v>30000</v>
      </c>
      <c r="H47" s="341">
        <f>$H$15*'Fact Sheet'!$B$8*'Fact Sheet'!$L$19</f>
        <v>60000</v>
      </c>
      <c r="I47" s="341">
        <v>0</v>
      </c>
      <c r="J47" s="341">
        <v>0</v>
      </c>
      <c r="K47" s="341">
        <v>0</v>
      </c>
      <c r="L47" s="341">
        <v>0</v>
      </c>
      <c r="M47" s="359">
        <v>0</v>
      </c>
      <c r="N47" s="360">
        <f t="shared" si="8"/>
        <v>300000</v>
      </c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  <c r="AH47"/>
      <c r="AI47"/>
      <c r="AJ47" s="304"/>
      <c r="AK47" s="304"/>
      <c r="AL47" s="304"/>
      <c r="AM47" s="304"/>
      <c r="AN47" s="304"/>
      <c r="AO47" s="304"/>
      <c r="AP47" s="304"/>
      <c r="AQ47" s="304"/>
      <c r="AR47" s="304"/>
      <c r="AS47" s="304"/>
      <c r="AT47" s="304"/>
      <c r="AU47" s="304"/>
      <c r="AV47" s="304"/>
      <c r="AW47" s="304"/>
      <c r="AX47" s="304"/>
      <c r="AY47" s="304"/>
      <c r="AZ47" s="304"/>
      <c r="BA47" s="304"/>
      <c r="BB47" s="304"/>
      <c r="BC47" s="304"/>
      <c r="BD47" s="304"/>
    </row>
    <row r="48" spans="1:56" ht="15" thickBot="1">
      <c r="A48" s="265" t="s">
        <v>102</v>
      </c>
      <c r="B48" s="361">
        <f>SUM(B42:B47)</f>
        <v>90000</v>
      </c>
      <c r="C48" s="362">
        <f t="shared" ref="C48" si="12">SUM(C42:C47)</f>
        <v>50779.897186147216</v>
      </c>
      <c r="D48" s="362">
        <f t="shared" ref="D48" si="13">SUM(D42:D47)</f>
        <v>105091.85606060602</v>
      </c>
      <c r="E48" s="362">
        <f t="shared" ref="E48" si="14">SUM(E42:E47)</f>
        <v>149999.99999999994</v>
      </c>
      <c r="F48" s="362">
        <f t="shared" ref="F48" si="15">SUM(F42:F47)</f>
        <v>136899.04626623372</v>
      </c>
      <c r="G48" s="362">
        <f t="shared" ref="G48" si="16">SUM(G42:G47)</f>
        <v>131441.5077110389</v>
      </c>
      <c r="H48" s="362">
        <f t="shared" ref="H48" si="17">SUM(H42:H47)</f>
        <v>149999.99999999997</v>
      </c>
      <c r="I48" s="362">
        <f t="shared" ref="I48" si="18">SUM(I42:I47)</f>
        <v>104355.79914876795</v>
      </c>
      <c r="J48" s="362">
        <f t="shared" ref="J48" si="19">SUM(J42:J47)</f>
        <v>89834.325180028303</v>
      </c>
      <c r="K48" s="362">
        <f t="shared" ref="K48" si="20">SUM(K42:K47)</f>
        <v>67012.393856143841</v>
      </c>
      <c r="L48" s="362">
        <f t="shared" ref="L48" si="21">SUM(L42:L47)</f>
        <v>31443.895947802208</v>
      </c>
      <c r="M48" s="363">
        <f t="shared" ref="M48" si="22">SUM(M42:M47)</f>
        <v>0</v>
      </c>
      <c r="N48" s="44">
        <f t="shared" si="8"/>
        <v>1106858.7213567682</v>
      </c>
      <c r="O48" s="304"/>
      <c r="P48" s="304"/>
      <c r="Q48" s="304"/>
      <c r="R48" s="304"/>
      <c r="S48" s="262" t="s">
        <v>103</v>
      </c>
      <c r="T48" s="348">
        <f t="shared" ref="T48:AE48" si="23">T28-T44</f>
        <v>-462770</v>
      </c>
      <c r="U48" s="349">
        <f t="shared" si="23"/>
        <v>-156395.22754329006</v>
      </c>
      <c r="V48" s="349">
        <f t="shared" si="23"/>
        <v>-168872.48735119047</v>
      </c>
      <c r="W48" s="349">
        <f t="shared" si="23"/>
        <v>560600.18240796216</v>
      </c>
      <c r="X48" s="349">
        <f t="shared" si="23"/>
        <v>889266.68119873537</v>
      </c>
      <c r="Y48" s="349">
        <f t="shared" si="23"/>
        <v>255400.98045729395</v>
      </c>
      <c r="Z48" s="349">
        <f t="shared" si="23"/>
        <v>2050268.8179619764</v>
      </c>
      <c r="AA48" s="349">
        <f t="shared" si="23"/>
        <v>574661.80706210062</v>
      </c>
      <c r="AB48" s="349">
        <f t="shared" si="23"/>
        <v>838518.32070547063</v>
      </c>
      <c r="AC48" s="349">
        <f t="shared" si="23"/>
        <v>1067779.6486841922</v>
      </c>
      <c r="AD48" s="349">
        <f t="shared" si="23"/>
        <v>759254.34627217078</v>
      </c>
      <c r="AE48" s="369">
        <f t="shared" si="23"/>
        <v>0</v>
      </c>
      <c r="AF48" s="45">
        <f>SUM(T48:AE48)</f>
        <v>6207713.0698554218</v>
      </c>
      <c r="AG48" s="304"/>
      <c r="AH48"/>
      <c r="AI48"/>
      <c r="AJ48" s="304"/>
      <c r="AK48" s="304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</row>
    <row r="49" spans="1:39">
      <c r="A49" s="263"/>
      <c r="B49" s="318" t="s">
        <v>50</v>
      </c>
      <c r="C49" s="309" t="s">
        <v>50</v>
      </c>
      <c r="D49" s="309" t="s">
        <v>50</v>
      </c>
      <c r="E49" s="309" t="s">
        <v>50</v>
      </c>
      <c r="F49" s="309" t="s">
        <v>50</v>
      </c>
      <c r="G49" s="309" t="s">
        <v>50</v>
      </c>
      <c r="H49" s="309" t="s">
        <v>50</v>
      </c>
      <c r="I49" s="309" t="s">
        <v>50</v>
      </c>
      <c r="J49" s="309" t="s">
        <v>50</v>
      </c>
      <c r="K49" s="309" t="s">
        <v>50</v>
      </c>
      <c r="L49" s="309" t="s">
        <v>50</v>
      </c>
      <c r="M49" s="319" t="s">
        <v>50</v>
      </c>
      <c r="N49" s="304"/>
      <c r="O49" s="304"/>
      <c r="P49" s="304"/>
      <c r="Q49" s="304"/>
      <c r="R49" s="304"/>
      <c r="S49" s="263"/>
      <c r="T49"/>
      <c r="U49"/>
      <c r="V49"/>
      <c r="W49"/>
      <c r="X49"/>
      <c r="Y49"/>
      <c r="Z49"/>
      <c r="AA49"/>
      <c r="AB49"/>
      <c r="AC49"/>
      <c r="AD49"/>
      <c r="AE49"/>
      <c r="AF49"/>
      <c r="AG49" s="304"/>
      <c r="AH49" s="304"/>
      <c r="AI49"/>
      <c r="AJ49" s="304"/>
      <c r="AK49" s="304"/>
      <c r="AL49" s="304"/>
      <c r="AM49" s="304"/>
    </row>
    <row r="50" spans="1:39" ht="15" thickBot="1">
      <c r="A50" s="264"/>
      <c r="B50" s="365">
        <f>MIN('Fact Sheet'!$B$3,'Fact Sheet'!$B$10*10)</f>
        <v>90000</v>
      </c>
      <c r="C50" s="366">
        <f>MIN('Fact Sheet'!$C$3,'Fact Sheet'!$B$10*10)</f>
        <v>90000</v>
      </c>
      <c r="D50" s="366">
        <f>MIN('Fact Sheet'!$D$3,'Fact Sheet'!$B$10*10)</f>
        <v>150000</v>
      </c>
      <c r="E50" s="366">
        <f>MIN('Fact Sheet'!$E$3,'Fact Sheet'!$B$10*10)</f>
        <v>150000</v>
      </c>
      <c r="F50" s="366">
        <f>MIN('Fact Sheet'!$F$3,'Fact Sheet'!$B$10*10)</f>
        <v>150000</v>
      </c>
      <c r="G50" s="366">
        <f>MIN('Fact Sheet'!$G$3,'Fact Sheet'!$B$10*10)</f>
        <v>150000</v>
      </c>
      <c r="H50" s="366">
        <f>MIN('Fact Sheet'!$H$3,'Fact Sheet'!$B$10*10)</f>
        <v>150000</v>
      </c>
      <c r="I50" s="366">
        <f>MIN('Fact Sheet'!$I$3,'Fact Sheet'!$B$10*10)</f>
        <v>150000</v>
      </c>
      <c r="J50" s="366">
        <f>MIN('Fact Sheet'!$J$3,'Fact Sheet'!$B$10*10)</f>
        <v>150000</v>
      </c>
      <c r="K50" s="366">
        <f>MIN('Fact Sheet'!$K$3,'Fact Sheet'!$B$10*10)</f>
        <v>150000</v>
      </c>
      <c r="L50" s="366">
        <f>MIN('Fact Sheet'!$L$3,'Fact Sheet'!$B$10*10)</f>
        <v>112500</v>
      </c>
      <c r="M50" s="367">
        <f>MIN('Fact Sheet'!$M$3,'Fact Sheet'!$B$10*10)</f>
        <v>90000</v>
      </c>
      <c r="N50" s="304"/>
      <c r="O50"/>
      <c r="P50" s="304"/>
      <c r="Q50" s="304"/>
      <c r="R50" s="304"/>
      <c r="S50" s="264"/>
      <c r="T50"/>
      <c r="U50"/>
      <c r="V50"/>
      <c r="W50"/>
      <c r="X50"/>
      <c r="Y50"/>
      <c r="Z50"/>
      <c r="AA50"/>
      <c r="AB50"/>
      <c r="AC50"/>
      <c r="AD50"/>
      <c r="AE50"/>
      <c r="AF50"/>
      <c r="AG50" s="304"/>
      <c r="AH50" s="304"/>
      <c r="AI50"/>
      <c r="AJ50" s="304"/>
      <c r="AK50" s="304"/>
      <c r="AL50" s="304"/>
      <c r="AM50" s="304"/>
    </row>
    <row r="51" spans="1:39" ht="15" thickBot="1">
      <c r="A51"/>
      <c r="B51"/>
      <c r="C51"/>
      <c r="D51"/>
      <c r="E51"/>
      <c r="F51"/>
      <c r="G51"/>
      <c r="H51"/>
      <c r="I51"/>
      <c r="J51"/>
      <c r="K51"/>
      <c r="L51"/>
      <c r="M51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4"/>
      <c r="AJ51" s="304"/>
      <c r="AK51" s="304"/>
      <c r="AL51" s="304"/>
      <c r="AM51" s="304"/>
    </row>
    <row r="52" spans="1:39">
      <c r="A52" s="5" t="s">
        <v>84</v>
      </c>
      <c r="B52" s="370">
        <v>0</v>
      </c>
      <c r="C52" s="371">
        <v>0</v>
      </c>
      <c r="D52" s="371">
        <v>0</v>
      </c>
      <c r="E52" s="371">
        <f>$E$22*'Fact Sheet'!$G$10</f>
        <v>16208.319805194827</v>
      </c>
      <c r="F52" s="371">
        <f>$F$22*'Fact Sheet'!$G$10</f>
        <v>23400</v>
      </c>
      <c r="G52" s="371">
        <f>$G$22*'Fact Sheet'!$G$10</f>
        <v>0</v>
      </c>
      <c r="H52" s="371">
        <v>0</v>
      </c>
      <c r="I52" s="371">
        <v>0</v>
      </c>
      <c r="J52" s="371">
        <v>0</v>
      </c>
      <c r="K52" s="371">
        <f>$K$22*'Fact Sheet'!$G$10</f>
        <v>18481.88920454546</v>
      </c>
      <c r="L52" s="371">
        <f>$L$22*'Fact Sheet'!$G$10</f>
        <v>8038.6972402597094</v>
      </c>
      <c r="M52" s="372">
        <v>0</v>
      </c>
      <c r="N52" s="304"/>
      <c r="O52" s="304"/>
      <c r="P52" s="304"/>
      <c r="Q52" s="304"/>
      <c r="R52" s="304"/>
      <c r="S52" s="304"/>
      <c r="T52" s="304"/>
      <c r="U52" s="304"/>
      <c r="V52" s="304"/>
      <c r="W52" s="304"/>
      <c r="X52" s="304"/>
      <c r="Y52" s="304"/>
      <c r="Z52" s="304"/>
      <c r="AA52" s="304"/>
      <c r="AB52" s="304"/>
      <c r="AC52" s="304"/>
      <c r="AD52" s="304"/>
      <c r="AE52" s="304"/>
      <c r="AF52" s="304"/>
      <c r="AG52" s="304"/>
      <c r="AH52" s="304"/>
      <c r="AI52" s="304"/>
      <c r="AJ52" s="304"/>
      <c r="AK52"/>
      <c r="AL52"/>
      <c r="AM52"/>
    </row>
    <row r="53" spans="1:39">
      <c r="A53" s="6" t="s">
        <v>85</v>
      </c>
      <c r="B53" s="373">
        <v>0</v>
      </c>
      <c r="C53" s="374">
        <v>0</v>
      </c>
      <c r="D53" s="374">
        <v>0</v>
      </c>
      <c r="E53" s="374">
        <v>0</v>
      </c>
      <c r="F53" s="374">
        <v>0</v>
      </c>
      <c r="G53" s="374">
        <v>0</v>
      </c>
      <c r="H53" s="374">
        <f>$H$23*'Fact Sheet'!$H$10</f>
        <v>3599.9999999999995</v>
      </c>
      <c r="I53" s="374">
        <f>$I$23*'Fact Sheet'!$H$10</f>
        <v>3599.9999999999991</v>
      </c>
      <c r="J53" s="374">
        <f>$J$23*'Fact Sheet'!$H$10</f>
        <v>3416.1525974025972</v>
      </c>
      <c r="K53" s="374">
        <v>0</v>
      </c>
      <c r="L53" s="374">
        <v>0</v>
      </c>
      <c r="M53" s="375">
        <v>0</v>
      </c>
      <c r="N53" s="304"/>
      <c r="O53" s="304"/>
      <c r="P53" s="304"/>
      <c r="Q53" s="304"/>
      <c r="R53" s="304"/>
      <c r="S53" s="304"/>
      <c r="T53" s="304"/>
      <c r="U53" s="304"/>
      <c r="V53" s="304"/>
      <c r="W53" s="304"/>
      <c r="X53" s="304"/>
      <c r="Y53" s="304"/>
      <c r="Z53" s="304"/>
      <c r="AA53" s="304"/>
      <c r="AB53" s="304"/>
      <c r="AC53" s="304"/>
      <c r="AD53" s="304"/>
      <c r="AE53" s="304"/>
      <c r="AF53" s="304"/>
      <c r="AG53" s="304"/>
      <c r="AH53" s="304"/>
      <c r="AI53" s="304"/>
      <c r="AJ53" s="304"/>
      <c r="AK53"/>
      <c r="AL53"/>
      <c r="AM53"/>
    </row>
    <row r="54" spans="1:39">
      <c r="A54" s="6" t="s">
        <v>86</v>
      </c>
      <c r="B54" s="373">
        <v>0</v>
      </c>
      <c r="C54" s="374">
        <v>0</v>
      </c>
      <c r="D54" s="374">
        <v>0</v>
      </c>
      <c r="E54" s="374">
        <v>0</v>
      </c>
      <c r="F54" s="374">
        <v>0</v>
      </c>
      <c r="G54" s="374">
        <v>0</v>
      </c>
      <c r="H54" s="374">
        <v>0</v>
      </c>
      <c r="I54" s="374">
        <f>$I$24*'Fact Sheet'!$I$10</f>
        <v>0</v>
      </c>
      <c r="J54" s="374">
        <f>$J$24*'Fact Sheet'!$I$10</f>
        <v>2135.0953733766237</v>
      </c>
      <c r="K54" s="374">
        <v>0</v>
      </c>
      <c r="L54" s="374">
        <v>0</v>
      </c>
      <c r="M54" s="375">
        <v>0</v>
      </c>
      <c r="N54" s="304"/>
      <c r="O54" s="304"/>
      <c r="P54" s="304"/>
      <c r="Q54" s="304"/>
      <c r="R54" s="304"/>
      <c r="S54" s="304"/>
      <c r="T54" s="304"/>
      <c r="U54" s="304"/>
      <c r="V54" s="304"/>
      <c r="W54" s="304"/>
      <c r="X54" s="304"/>
      <c r="Y54" s="304"/>
      <c r="Z54" s="304"/>
      <c r="AA54" s="304"/>
      <c r="AB54" s="304"/>
      <c r="AC54" s="304"/>
      <c r="AD54" s="304"/>
      <c r="AE54" s="304"/>
      <c r="AF54" s="304"/>
      <c r="AG54" s="304"/>
      <c r="AH54" s="304"/>
      <c r="AI54" s="304"/>
      <c r="AJ54" s="304"/>
      <c r="AK54"/>
      <c r="AL54"/>
      <c r="AM54"/>
    </row>
    <row r="55" spans="1:39">
      <c r="A55" s="6" t="s">
        <v>87</v>
      </c>
      <c r="B55" s="373">
        <v>0</v>
      </c>
      <c r="C55" s="374">
        <v>0</v>
      </c>
      <c r="D55" s="374">
        <v>0</v>
      </c>
      <c r="E55" s="374">
        <v>0</v>
      </c>
      <c r="F55" s="374">
        <v>0</v>
      </c>
      <c r="G55" s="374">
        <f>$G$25*'Fact Sheet'!$J$10</f>
        <v>12810.572240259715</v>
      </c>
      <c r="H55" s="374">
        <v>0</v>
      </c>
      <c r="I55" s="374">
        <v>0</v>
      </c>
      <c r="J55" s="374">
        <v>0</v>
      </c>
      <c r="K55" s="374">
        <v>0</v>
      </c>
      <c r="L55" s="374">
        <f>$L$25*'Fact Sheet'!$J$10</f>
        <v>15961.302759740294</v>
      </c>
      <c r="M55" s="375">
        <v>0</v>
      </c>
      <c r="N55" s="304"/>
      <c r="O55" s="304"/>
      <c r="P55" s="304"/>
      <c r="Q55" s="304"/>
      <c r="R55" s="304"/>
      <c r="S55" s="304"/>
      <c r="T55" s="304"/>
      <c r="U55" s="304"/>
      <c r="V55" s="304"/>
      <c r="W55" s="304"/>
      <c r="X55" s="304"/>
      <c r="Y55" s="304"/>
      <c r="Z55" s="304"/>
      <c r="AA55" s="304"/>
      <c r="AB55" s="304"/>
      <c r="AC55" s="304"/>
      <c r="AD55" s="304"/>
      <c r="AE55" s="304"/>
      <c r="AF55" s="304"/>
      <c r="AG55" s="304"/>
      <c r="AH55" s="304"/>
      <c r="AI55" s="304"/>
      <c r="AJ55" s="304"/>
      <c r="AK55" s="304"/>
      <c r="AL55" s="304"/>
      <c r="AM55" s="304"/>
    </row>
    <row r="56" spans="1:39">
      <c r="A56" s="6" t="s">
        <v>88</v>
      </c>
      <c r="B56" s="373">
        <v>0</v>
      </c>
      <c r="C56" s="374">
        <v>0</v>
      </c>
      <c r="D56" s="374">
        <v>0</v>
      </c>
      <c r="E56" s="374">
        <v>0</v>
      </c>
      <c r="F56" s="374">
        <v>0</v>
      </c>
      <c r="G56" s="374">
        <v>0</v>
      </c>
      <c r="H56" s="374">
        <v>0</v>
      </c>
      <c r="I56" s="374">
        <f>$I$26*'Fact Sheet'!$K$10</f>
        <v>5518.1107954545423</v>
      </c>
      <c r="J56" s="374">
        <f>$J$26*'Fact Sheet'!$K$10</f>
        <v>5518.1107954545423</v>
      </c>
      <c r="K56" s="374">
        <f>$K$26*'Fact Sheet'!$K$10</f>
        <v>5518.1107954545423</v>
      </c>
      <c r="L56" s="374">
        <v>0</v>
      </c>
      <c r="M56" s="375">
        <v>0</v>
      </c>
      <c r="N56" s="304"/>
      <c r="O56" s="304"/>
      <c r="P56" s="304"/>
      <c r="Q56" s="304"/>
      <c r="R56" s="304"/>
      <c r="S56" s="304"/>
      <c r="T56" s="304"/>
      <c r="U56" s="304"/>
      <c r="V56" s="304"/>
      <c r="W56" s="304"/>
      <c r="X56" s="304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04"/>
      <c r="AL56" s="304"/>
      <c r="AM56" s="304"/>
    </row>
    <row r="57" spans="1:39" ht="15" thickBot="1">
      <c r="A57" s="4" t="s">
        <v>89</v>
      </c>
      <c r="B57" s="376">
        <v>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f>$H$27*'Fact Sheet'!$L$10</f>
        <v>16500</v>
      </c>
      <c r="I57" s="377">
        <v>0</v>
      </c>
      <c r="J57" s="377">
        <v>0</v>
      </c>
      <c r="K57" s="377">
        <v>0</v>
      </c>
      <c r="L57" s="377">
        <v>0</v>
      </c>
      <c r="M57" s="378">
        <v>0</v>
      </c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4"/>
      <c r="AB57" s="304"/>
      <c r="AC57" s="304"/>
      <c r="AD57" s="304"/>
      <c r="AE57" s="304"/>
      <c r="AF57" s="304"/>
      <c r="AG57" s="304"/>
      <c r="AH57" s="304"/>
      <c r="AI57" s="304"/>
      <c r="AJ57" s="304"/>
      <c r="AK57" s="304"/>
      <c r="AL57" s="304"/>
      <c r="AM57" s="304"/>
    </row>
    <row r="58" spans="1:39">
      <c r="A58" s="265" t="s">
        <v>104</v>
      </c>
      <c r="B58" s="361">
        <f t="shared" ref="B58:M58" si="24">SUM(B52:B57)</f>
        <v>0</v>
      </c>
      <c r="C58" s="362">
        <f t="shared" si="24"/>
        <v>0</v>
      </c>
      <c r="D58" s="362">
        <f t="shared" si="24"/>
        <v>0</v>
      </c>
      <c r="E58" s="362">
        <f t="shared" si="24"/>
        <v>16208.319805194827</v>
      </c>
      <c r="F58" s="362">
        <f t="shared" si="24"/>
        <v>23400</v>
      </c>
      <c r="G58" s="362">
        <f t="shared" si="24"/>
        <v>12810.572240259715</v>
      </c>
      <c r="H58" s="362">
        <f t="shared" si="24"/>
        <v>20100</v>
      </c>
      <c r="I58" s="362">
        <f t="shared" si="24"/>
        <v>9118.1107954545405</v>
      </c>
      <c r="J58" s="362">
        <f t="shared" si="24"/>
        <v>11069.358766233763</v>
      </c>
      <c r="K58" s="362">
        <f t="shared" si="24"/>
        <v>24000</v>
      </c>
      <c r="L58" s="362">
        <f t="shared" si="24"/>
        <v>24000.000000000004</v>
      </c>
      <c r="M58" s="363">
        <f t="shared" si="24"/>
        <v>0</v>
      </c>
      <c r="N58" s="304"/>
      <c r="O58" s="304"/>
      <c r="P58" s="304"/>
      <c r="Q58" s="304"/>
      <c r="R58" s="304"/>
      <c r="S58" s="304"/>
      <c r="T58" s="304"/>
      <c r="U58" s="304"/>
      <c r="V58" s="304"/>
      <c r="W58" s="304"/>
      <c r="X58" s="304"/>
      <c r="Y58" s="304"/>
      <c r="Z58" s="304"/>
      <c r="AA58" s="304"/>
      <c r="AB58" s="304"/>
      <c r="AC58" s="304"/>
      <c r="AD58" s="304"/>
      <c r="AE58" s="304"/>
      <c r="AF58" s="304"/>
      <c r="AG58" s="304"/>
      <c r="AH58" s="304"/>
      <c r="AI58" s="304"/>
      <c r="AJ58" s="304"/>
      <c r="AK58" s="304"/>
      <c r="AL58" s="304"/>
      <c r="AM58" s="304"/>
    </row>
    <row r="59" spans="1:39">
      <c r="A59" s="263"/>
      <c r="B59" s="379" t="s">
        <v>50</v>
      </c>
      <c r="C59" s="380" t="s">
        <v>50</v>
      </c>
      <c r="D59" s="380" t="s">
        <v>50</v>
      </c>
      <c r="E59" s="380" t="s">
        <v>50</v>
      </c>
      <c r="F59" s="380" t="s">
        <v>50</v>
      </c>
      <c r="G59" s="380" t="s">
        <v>50</v>
      </c>
      <c r="H59" s="380" t="s">
        <v>50</v>
      </c>
      <c r="I59" s="380" t="s">
        <v>50</v>
      </c>
      <c r="J59" s="380" t="s">
        <v>50</v>
      </c>
      <c r="K59" s="380" t="s">
        <v>50</v>
      </c>
      <c r="L59" s="380" t="s">
        <v>50</v>
      </c>
      <c r="M59" s="381" t="s">
        <v>50</v>
      </c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304"/>
      <c r="AB59" s="304"/>
      <c r="AC59" s="304"/>
      <c r="AD59" s="304"/>
      <c r="AE59" s="304"/>
      <c r="AF59" s="304"/>
      <c r="AG59" s="304"/>
      <c r="AH59" s="304"/>
      <c r="AI59" s="304"/>
      <c r="AJ59" s="304"/>
      <c r="AK59" s="304"/>
      <c r="AL59" s="304"/>
      <c r="AM59" s="304"/>
    </row>
    <row r="60" spans="1:39" ht="15" thickBot="1">
      <c r="A60" s="264"/>
      <c r="B60" s="365">
        <f>'Fact Sheet'!$B$9</f>
        <v>24000</v>
      </c>
      <c r="C60" s="366">
        <f>'Fact Sheet'!$B$9</f>
        <v>24000</v>
      </c>
      <c r="D60" s="366">
        <f>'Fact Sheet'!$B$9</f>
        <v>24000</v>
      </c>
      <c r="E60" s="366">
        <f>'Fact Sheet'!$B$9</f>
        <v>24000</v>
      </c>
      <c r="F60" s="366">
        <f>'Fact Sheet'!$B$9</f>
        <v>24000</v>
      </c>
      <c r="G60" s="366">
        <f>'Fact Sheet'!$B$9</f>
        <v>24000</v>
      </c>
      <c r="H60" s="366">
        <f>'Fact Sheet'!$B$9</f>
        <v>24000</v>
      </c>
      <c r="I60" s="366">
        <f>'Fact Sheet'!$B$9</f>
        <v>24000</v>
      </c>
      <c r="J60" s="366">
        <f>'Fact Sheet'!$B$9</f>
        <v>24000</v>
      </c>
      <c r="K60" s="366">
        <f>'Fact Sheet'!$B$9</f>
        <v>24000</v>
      </c>
      <c r="L60" s="366">
        <f>'Fact Sheet'!$B$9</f>
        <v>24000</v>
      </c>
      <c r="M60" s="367">
        <f>'Fact Sheet'!$B$9</f>
        <v>24000</v>
      </c>
      <c r="N60" s="304"/>
      <c r="O60" s="304"/>
      <c r="P60" s="304"/>
      <c r="Q60" s="304"/>
      <c r="R60" s="304"/>
      <c r="S60" s="304"/>
      <c r="T60" s="304"/>
      <c r="U60" s="304"/>
      <c r="V60" s="304"/>
      <c r="W60" s="304"/>
      <c r="X60" s="304"/>
      <c r="Y60" s="304"/>
      <c r="Z60" s="304"/>
      <c r="AA60" s="304"/>
      <c r="AB60" s="304"/>
      <c r="AC60" s="304"/>
      <c r="AD60" s="304"/>
      <c r="AE60" s="304"/>
      <c r="AF60" s="304"/>
      <c r="AG60" s="304"/>
      <c r="AH60" s="304"/>
      <c r="AI60" s="304"/>
      <c r="AJ60" s="304"/>
      <c r="AK60" s="304"/>
      <c r="AL60" s="304"/>
      <c r="AM60" s="304"/>
    </row>
  </sheetData>
  <mergeCells count="11">
    <mergeCell ref="S17:S19"/>
    <mergeCell ref="A16:A18"/>
    <mergeCell ref="O1:Q1"/>
    <mergeCell ref="A38:A40"/>
    <mergeCell ref="S38:S40"/>
    <mergeCell ref="S44:S46"/>
    <mergeCell ref="S48:S50"/>
    <mergeCell ref="S28:S30"/>
    <mergeCell ref="A28:A30"/>
    <mergeCell ref="A58:A60"/>
    <mergeCell ref="A48:A50"/>
  </mergeCells>
  <phoneticPr fontId="4" type="noConversion"/>
  <conditionalFormatting sqref="N2:N15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8F14-650F-49DF-A6B7-A74C8F842CAB}">
  <dimension ref="A1:AD59"/>
  <sheetViews>
    <sheetView zoomScale="135" zoomScaleNormal="65" workbookViewId="0">
      <selection activeCell="C36" sqref="C36"/>
    </sheetView>
  </sheetViews>
  <sheetFormatPr defaultColWidth="9" defaultRowHeight="14.45"/>
  <cols>
    <col min="1" max="1" width="35.625" style="1" customWidth="1"/>
    <col min="2" max="2" width="13.5" style="1" customWidth="1"/>
    <col min="3" max="3" width="22.875" style="1" customWidth="1"/>
    <col min="4" max="4" width="9.625" style="1" bestFit="1" customWidth="1"/>
    <col min="5" max="5" width="12.5" style="1" customWidth="1"/>
    <col min="6" max="6" width="31.375" style="1" customWidth="1"/>
    <col min="7" max="12" width="13" style="1" customWidth="1"/>
    <col min="13" max="13" width="32.875" style="1" customWidth="1"/>
    <col min="14" max="14" width="9.625" style="1" bestFit="1" customWidth="1"/>
    <col min="15" max="15" width="12.625" style="1" customWidth="1"/>
    <col min="16" max="16" width="24.125" style="1" bestFit="1" customWidth="1"/>
    <col min="17" max="18" width="11.625" style="1" bestFit="1" customWidth="1"/>
    <col min="19" max="27" width="13" style="1" bestFit="1" customWidth="1"/>
    <col min="28" max="28" width="11.625" style="1" bestFit="1" customWidth="1"/>
    <col min="29" max="29" width="6.5" style="1" bestFit="1" customWidth="1"/>
    <col min="30" max="30" width="9.625" style="1" bestFit="1" customWidth="1"/>
    <col min="31" max="16384" width="9" style="1"/>
  </cols>
  <sheetData>
    <row r="1" spans="1:30" ht="18.600000000000001">
      <c r="A1" s="269" t="s">
        <v>105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</row>
    <row r="2" spans="1:30" ht="15" thickBot="1">
      <c r="A2" s="74" t="s">
        <v>106</v>
      </c>
      <c r="B2" s="62" t="s">
        <v>72</v>
      </c>
      <c r="C2" s="62" t="s">
        <v>73</v>
      </c>
      <c r="D2" s="62" t="s">
        <v>74</v>
      </c>
      <c r="E2" s="62" t="s">
        <v>75</v>
      </c>
      <c r="F2" s="62" t="s">
        <v>76</v>
      </c>
      <c r="G2" s="62" t="s">
        <v>77</v>
      </c>
      <c r="H2" s="62" t="s">
        <v>78</v>
      </c>
      <c r="I2" s="62" t="s">
        <v>79</v>
      </c>
      <c r="J2" s="62" t="s">
        <v>80</v>
      </c>
      <c r="K2" s="62" t="s">
        <v>81</v>
      </c>
      <c r="L2" s="62" t="s">
        <v>82</v>
      </c>
      <c r="M2" s="62" t="s">
        <v>83</v>
      </c>
      <c r="N2" s="75" t="s">
        <v>107</v>
      </c>
      <c r="O2" s="76" t="s">
        <v>108</v>
      </c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</row>
    <row r="3" spans="1:30">
      <c r="A3" s="79" t="s">
        <v>109</v>
      </c>
      <c r="B3" s="97">
        <v>90000</v>
      </c>
      <c r="C3" s="98">
        <v>90000</v>
      </c>
      <c r="D3" s="98">
        <v>157500</v>
      </c>
      <c r="E3" s="98">
        <v>180000</v>
      </c>
      <c r="F3" s="98">
        <v>225000</v>
      </c>
      <c r="G3" s="98">
        <v>225000</v>
      </c>
      <c r="H3" s="98">
        <v>225000</v>
      </c>
      <c r="I3" s="98">
        <v>225000</v>
      </c>
      <c r="J3" s="98">
        <v>202500</v>
      </c>
      <c r="K3" s="98">
        <v>157500</v>
      </c>
      <c r="L3" s="98">
        <v>112500</v>
      </c>
      <c r="M3" s="98">
        <v>90000</v>
      </c>
      <c r="N3" s="382" t="s">
        <v>110</v>
      </c>
      <c r="O3" s="383" t="s">
        <v>111</v>
      </c>
      <c r="P3" s="304"/>
      <c r="Q3" s="304"/>
      <c r="R3" s="304"/>
      <c r="S3" s="304"/>
      <c r="T3" s="304"/>
      <c r="U3" s="304"/>
      <c r="V3" s="304"/>
      <c r="W3" s="304"/>
      <c r="X3" s="304"/>
      <c r="Y3" s="304"/>
      <c r="Z3" s="304"/>
      <c r="AA3" s="304"/>
      <c r="AB3" s="304"/>
      <c r="AC3" s="304"/>
      <c r="AD3" s="304"/>
    </row>
    <row r="4" spans="1:30" ht="15" thickBot="1">
      <c r="A4" s="80" t="s">
        <v>112</v>
      </c>
      <c r="B4" s="78">
        <v>1280</v>
      </c>
      <c r="C4" s="77">
        <v>1280</v>
      </c>
      <c r="D4" s="77">
        <v>1280</v>
      </c>
      <c r="E4" s="77">
        <v>3840</v>
      </c>
      <c r="F4" s="77">
        <v>3840</v>
      </c>
      <c r="G4" s="77">
        <v>3840</v>
      </c>
      <c r="H4" s="77">
        <v>7680</v>
      </c>
      <c r="I4" s="77">
        <v>7680</v>
      </c>
      <c r="J4" s="77">
        <v>7680</v>
      </c>
      <c r="K4" s="77">
        <v>7680</v>
      </c>
      <c r="L4" s="77">
        <v>3840</v>
      </c>
      <c r="M4" s="77">
        <v>1280</v>
      </c>
      <c r="N4" s="253" t="s">
        <v>113</v>
      </c>
      <c r="O4" s="384" t="s">
        <v>114</v>
      </c>
      <c r="P4" s="304"/>
      <c r="Q4" s="304"/>
      <c r="R4" s="304"/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</row>
    <row r="5" spans="1:30" ht="15" thickBot="1">
      <c r="A5" s="304"/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4"/>
      <c r="AA5" s="304"/>
      <c r="AB5" s="304"/>
      <c r="AC5" s="304"/>
      <c r="AD5" s="304"/>
    </row>
    <row r="6" spans="1:30" ht="18.600000000000001">
      <c r="A6" s="272" t="s">
        <v>115</v>
      </c>
      <c r="B6" s="273"/>
      <c r="C6" s="273"/>
      <c r="D6" s="274"/>
      <c r="E6" s="304"/>
      <c r="F6" s="269" t="s">
        <v>116</v>
      </c>
      <c r="G6" s="270"/>
      <c r="H6" s="270"/>
      <c r="I6" s="270"/>
      <c r="J6" s="270"/>
      <c r="K6" s="270"/>
      <c r="L6" s="270"/>
      <c r="M6" s="270"/>
      <c r="N6" s="271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A6" s="304"/>
      <c r="AB6" s="304"/>
      <c r="AC6" s="304"/>
      <c r="AD6" s="304"/>
    </row>
    <row r="7" spans="1:30" ht="15" thickBot="1">
      <c r="A7" s="74" t="s">
        <v>106</v>
      </c>
      <c r="B7" s="75" t="s">
        <v>117</v>
      </c>
      <c r="C7" s="75" t="s">
        <v>107</v>
      </c>
      <c r="D7" s="76" t="s">
        <v>108</v>
      </c>
      <c r="E7" s="304"/>
      <c r="F7" s="61" t="s">
        <v>106</v>
      </c>
      <c r="G7" s="62" t="s">
        <v>84</v>
      </c>
      <c r="H7" s="62" t="s">
        <v>85</v>
      </c>
      <c r="I7" s="62" t="s">
        <v>86</v>
      </c>
      <c r="J7" s="62" t="s">
        <v>87</v>
      </c>
      <c r="K7" s="62" t="s">
        <v>88</v>
      </c>
      <c r="L7" s="62" t="s">
        <v>89</v>
      </c>
      <c r="M7" s="62" t="s">
        <v>118</v>
      </c>
      <c r="N7" s="63" t="s">
        <v>119</v>
      </c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</row>
    <row r="8" spans="1:30">
      <c r="A8" s="386" t="s">
        <v>120</v>
      </c>
      <c r="B8" s="387">
        <v>150</v>
      </c>
      <c r="C8" s="382" t="s">
        <v>121</v>
      </c>
      <c r="D8" s="383" t="s">
        <v>111</v>
      </c>
      <c r="E8" s="304"/>
      <c r="F8" s="388" t="s">
        <v>122</v>
      </c>
      <c r="G8" s="387">
        <v>10</v>
      </c>
      <c r="H8" s="389">
        <v>2.5</v>
      </c>
      <c r="I8" s="389">
        <v>12</v>
      </c>
      <c r="J8" s="389">
        <v>0.75</v>
      </c>
      <c r="K8" s="390">
        <v>0.35</v>
      </c>
      <c r="L8" s="389">
        <v>1000</v>
      </c>
      <c r="M8" s="60" t="s">
        <v>123</v>
      </c>
      <c r="N8" s="383" t="s">
        <v>124</v>
      </c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/>
      <c r="Z8" s="304"/>
      <c r="AA8" s="304"/>
      <c r="AB8" s="304"/>
      <c r="AC8" s="304"/>
      <c r="AD8" s="304"/>
    </row>
    <row r="9" spans="1:30">
      <c r="A9" s="391" t="s">
        <v>125</v>
      </c>
      <c r="B9" s="392">
        <v>24000</v>
      </c>
      <c r="C9" s="252" t="s">
        <v>126</v>
      </c>
      <c r="D9" s="393" t="s">
        <v>111</v>
      </c>
      <c r="E9" s="304"/>
      <c r="F9" s="391" t="s">
        <v>127</v>
      </c>
      <c r="G9" s="392">
        <v>13000</v>
      </c>
      <c r="H9" s="394">
        <v>16000</v>
      </c>
      <c r="I9" s="394">
        <v>10000</v>
      </c>
      <c r="J9" s="394">
        <v>45000</v>
      </c>
      <c r="K9" s="394">
        <v>5000</v>
      </c>
      <c r="L9" s="394">
        <v>11000</v>
      </c>
      <c r="M9" s="252" t="s">
        <v>123</v>
      </c>
      <c r="N9" s="393" t="s">
        <v>114</v>
      </c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</row>
    <row r="10" spans="1:30" ht="15" thickBot="1">
      <c r="A10" s="391" t="s">
        <v>128</v>
      </c>
      <c r="B10" s="392">
        <v>15000</v>
      </c>
      <c r="C10" s="252" t="s">
        <v>110</v>
      </c>
      <c r="D10" s="393" t="s">
        <v>111</v>
      </c>
      <c r="E10" s="304"/>
      <c r="F10" s="395" t="s">
        <v>129</v>
      </c>
      <c r="G10" s="396">
        <v>7.4999999999999997E-2</v>
      </c>
      <c r="H10" s="397">
        <v>1.4999999999999999E-2</v>
      </c>
      <c r="I10" s="397">
        <v>1.4999999999999999E-2</v>
      </c>
      <c r="J10" s="397">
        <v>0.02</v>
      </c>
      <c r="K10" s="397">
        <v>3.5000000000000003E-2</v>
      </c>
      <c r="L10" s="397">
        <v>2.5000000000000001E-2</v>
      </c>
      <c r="M10" s="398" t="s">
        <v>130</v>
      </c>
      <c r="N10" s="399" t="s">
        <v>111</v>
      </c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</row>
    <row r="11" spans="1:30">
      <c r="A11" s="391" t="s">
        <v>66</v>
      </c>
      <c r="B11" s="392">
        <v>30000</v>
      </c>
      <c r="C11" s="252" t="s">
        <v>131</v>
      </c>
      <c r="D11" s="393" t="s">
        <v>111</v>
      </c>
      <c r="E11" s="304"/>
      <c r="F11" s="400" t="s">
        <v>132</v>
      </c>
      <c r="G11" s="401"/>
      <c r="H11" s="402"/>
      <c r="I11" s="402"/>
      <c r="J11" s="402"/>
      <c r="K11" s="402"/>
      <c r="L11" s="402"/>
      <c r="M11" s="403"/>
      <c r="N11" s="4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</row>
    <row r="12" spans="1:30">
      <c r="A12" s="391" t="s">
        <v>68</v>
      </c>
      <c r="B12" s="392">
        <v>750</v>
      </c>
      <c r="C12" s="252" t="s">
        <v>110</v>
      </c>
      <c r="D12" s="393" t="s">
        <v>111</v>
      </c>
      <c r="E12" s="304"/>
      <c r="F12" s="391" t="s">
        <v>133</v>
      </c>
      <c r="G12" s="99">
        <v>1</v>
      </c>
      <c r="H12" s="394">
        <v>1</v>
      </c>
      <c r="I12" s="394">
        <v>1</v>
      </c>
      <c r="J12" s="394">
        <v>1</v>
      </c>
      <c r="K12" s="394">
        <v>1</v>
      </c>
      <c r="L12" s="394">
        <v>1</v>
      </c>
      <c r="M12" s="252" t="s">
        <v>134</v>
      </c>
      <c r="N12" s="393" t="s">
        <v>124</v>
      </c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</row>
    <row r="13" spans="1:30" ht="15" thickBot="1">
      <c r="A13" s="405" t="s">
        <v>135</v>
      </c>
      <c r="B13" s="406">
        <v>3000000</v>
      </c>
      <c r="C13" s="253" t="s">
        <v>136</v>
      </c>
      <c r="D13" s="384" t="s">
        <v>111</v>
      </c>
      <c r="E13" s="304"/>
      <c r="F13" s="391" t="s">
        <v>137</v>
      </c>
      <c r="G13" s="392">
        <v>1</v>
      </c>
      <c r="H13" s="394">
        <v>1</v>
      </c>
      <c r="I13" s="394">
        <v>2</v>
      </c>
      <c r="J13" s="394">
        <v>2</v>
      </c>
      <c r="K13" s="394">
        <v>3</v>
      </c>
      <c r="L13" s="394">
        <v>5</v>
      </c>
      <c r="M13" s="252" t="s">
        <v>134</v>
      </c>
      <c r="N13" s="393" t="s">
        <v>124</v>
      </c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</row>
    <row r="14" spans="1:30" ht="15" thickBot="1">
      <c r="A14" s="304"/>
      <c r="B14" s="304"/>
      <c r="C14" s="304"/>
      <c r="D14" s="304"/>
      <c r="E14" s="304"/>
      <c r="F14" s="391" t="s">
        <v>138</v>
      </c>
      <c r="G14" s="392">
        <v>1</v>
      </c>
      <c r="H14" s="394">
        <v>1</v>
      </c>
      <c r="I14" s="394">
        <v>1</v>
      </c>
      <c r="J14" s="394">
        <v>1</v>
      </c>
      <c r="K14" s="394">
        <v>3</v>
      </c>
      <c r="L14" s="394">
        <v>1</v>
      </c>
      <c r="M14" s="252" t="s">
        <v>134</v>
      </c>
      <c r="N14" s="393" t="s">
        <v>124</v>
      </c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</row>
    <row r="15" spans="1:30" ht="18.95" thickBot="1">
      <c r="A15" s="272" t="s">
        <v>139</v>
      </c>
      <c r="B15" s="273"/>
      <c r="C15" s="273"/>
      <c r="D15" s="274"/>
      <c r="E15" s="304"/>
      <c r="F15" s="407" t="s">
        <v>140</v>
      </c>
      <c r="G15" s="100">
        <f t="shared" ref="G15:L15" si="0">SUM(G12:G14)</f>
        <v>3</v>
      </c>
      <c r="H15" s="101">
        <f t="shared" si="0"/>
        <v>3</v>
      </c>
      <c r="I15" s="101">
        <f t="shared" si="0"/>
        <v>4</v>
      </c>
      <c r="J15" s="101">
        <f t="shared" si="0"/>
        <v>4</v>
      </c>
      <c r="K15" s="101">
        <f t="shared" si="0"/>
        <v>7</v>
      </c>
      <c r="L15" s="101">
        <f t="shared" si="0"/>
        <v>7</v>
      </c>
      <c r="M15" s="408" t="s">
        <v>141</v>
      </c>
      <c r="N15" s="409" t="s">
        <v>142</v>
      </c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</row>
    <row r="16" spans="1:30" ht="15" thickBot="1">
      <c r="A16" s="74" t="s">
        <v>106</v>
      </c>
      <c r="B16" s="75" t="s">
        <v>143</v>
      </c>
      <c r="C16" s="75" t="s">
        <v>107</v>
      </c>
      <c r="D16" s="76" t="s">
        <v>108</v>
      </c>
      <c r="E16" s="304"/>
      <c r="F16" s="410" t="s">
        <v>144</v>
      </c>
      <c r="G16" s="411"/>
      <c r="H16" s="412"/>
      <c r="I16" s="412"/>
      <c r="J16" s="412"/>
      <c r="K16" s="412"/>
      <c r="L16" s="412"/>
      <c r="M16" s="413"/>
      <c r="N16" s="4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</row>
    <row r="17" spans="1:30">
      <c r="A17" s="400" t="s">
        <v>145</v>
      </c>
      <c r="B17" s="414">
        <v>2</v>
      </c>
      <c r="C17" s="382" t="s">
        <v>146</v>
      </c>
      <c r="D17" s="383" t="s">
        <v>111</v>
      </c>
      <c r="E17" s="304"/>
      <c r="F17" s="391" t="s">
        <v>133</v>
      </c>
      <c r="G17" s="415">
        <v>1250</v>
      </c>
      <c r="H17" s="374">
        <v>1750</v>
      </c>
      <c r="I17" s="374">
        <v>1000</v>
      </c>
      <c r="J17" s="374">
        <v>2000</v>
      </c>
      <c r="K17" s="374">
        <v>2000</v>
      </c>
      <c r="L17" s="374">
        <v>1500</v>
      </c>
      <c r="M17" s="252" t="s">
        <v>147</v>
      </c>
      <c r="N17" s="393" t="s">
        <v>114</v>
      </c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</row>
    <row r="18" spans="1:30">
      <c r="A18" s="391" t="s">
        <v>62</v>
      </c>
      <c r="B18" s="416">
        <v>2E-3</v>
      </c>
      <c r="C18" s="252" t="s">
        <v>148</v>
      </c>
      <c r="D18" s="393" t="s">
        <v>111</v>
      </c>
      <c r="E18" s="304"/>
      <c r="F18" s="391" t="s">
        <v>137</v>
      </c>
      <c r="G18" s="415">
        <v>1000</v>
      </c>
      <c r="H18" s="374">
        <v>250</v>
      </c>
      <c r="I18" s="374">
        <v>750</v>
      </c>
      <c r="J18" s="374">
        <v>1000</v>
      </c>
      <c r="K18" s="374">
        <v>1250</v>
      </c>
      <c r="L18" s="374">
        <v>500</v>
      </c>
      <c r="M18" s="252" t="s">
        <v>147</v>
      </c>
      <c r="N18" s="393" t="s">
        <v>111</v>
      </c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</row>
    <row r="19" spans="1:30">
      <c r="A19" s="391" t="s">
        <v>64</v>
      </c>
      <c r="B19" s="417">
        <v>175</v>
      </c>
      <c r="C19" s="252" t="s">
        <v>149</v>
      </c>
      <c r="D19" s="393" t="s">
        <v>111</v>
      </c>
      <c r="E19" s="304"/>
      <c r="F19" s="391" t="s">
        <v>138</v>
      </c>
      <c r="G19" s="415">
        <v>1125</v>
      </c>
      <c r="H19" s="374">
        <v>750</v>
      </c>
      <c r="I19" s="374">
        <v>875</v>
      </c>
      <c r="J19" s="374">
        <v>1250</v>
      </c>
      <c r="K19" s="374">
        <v>625</v>
      </c>
      <c r="L19" s="374">
        <v>1000</v>
      </c>
      <c r="M19" s="252" t="s">
        <v>147</v>
      </c>
      <c r="N19" s="393" t="s">
        <v>111</v>
      </c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</row>
    <row r="20" spans="1:30" ht="15" thickBot="1">
      <c r="A20" s="391" t="s">
        <v>66</v>
      </c>
      <c r="B20" s="417">
        <v>2</v>
      </c>
      <c r="C20" s="252" t="s">
        <v>146</v>
      </c>
      <c r="D20" s="393" t="s">
        <v>111</v>
      </c>
      <c r="E20" s="304"/>
      <c r="F20" s="418" t="s">
        <v>150</v>
      </c>
      <c r="G20" s="100">
        <f t="shared" ref="G20:L20" si="1">SUM(G17:G19)</f>
        <v>3375</v>
      </c>
      <c r="H20" s="101">
        <f t="shared" si="1"/>
        <v>2750</v>
      </c>
      <c r="I20" s="101">
        <f t="shared" si="1"/>
        <v>2625</v>
      </c>
      <c r="J20" s="101">
        <f t="shared" si="1"/>
        <v>4250</v>
      </c>
      <c r="K20" s="101">
        <f t="shared" si="1"/>
        <v>3875</v>
      </c>
      <c r="L20" s="101">
        <f t="shared" si="1"/>
        <v>3000</v>
      </c>
      <c r="M20" s="408" t="s">
        <v>151</v>
      </c>
      <c r="N20" s="409" t="s">
        <v>142</v>
      </c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</row>
    <row r="21" spans="1:30">
      <c r="A21" s="391" t="s">
        <v>68</v>
      </c>
      <c r="B21" s="417">
        <v>0.2</v>
      </c>
      <c r="C21" s="252" t="s">
        <v>148</v>
      </c>
      <c r="D21" s="393" t="s">
        <v>111</v>
      </c>
      <c r="E21" s="304"/>
      <c r="F21" s="410" t="s">
        <v>152</v>
      </c>
      <c r="G21" s="411"/>
      <c r="H21" s="412"/>
      <c r="I21" s="412"/>
      <c r="J21" s="412"/>
      <c r="K21" s="412"/>
      <c r="L21" s="412"/>
      <c r="M21" s="403"/>
      <c r="N21" s="4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</row>
    <row r="22" spans="1:30" ht="15" thickBot="1">
      <c r="A22" s="405" t="s">
        <v>70</v>
      </c>
      <c r="B22" s="419">
        <v>2600</v>
      </c>
      <c r="C22" s="253" t="s">
        <v>153</v>
      </c>
      <c r="D22" s="384" t="s">
        <v>111</v>
      </c>
      <c r="E22" s="304"/>
      <c r="F22" s="391" t="s">
        <v>133</v>
      </c>
      <c r="G22" s="415">
        <v>15</v>
      </c>
      <c r="H22" s="374">
        <v>12</v>
      </c>
      <c r="I22" s="374">
        <v>20</v>
      </c>
      <c r="J22" s="374">
        <v>15</v>
      </c>
      <c r="K22" s="374">
        <v>10</v>
      </c>
      <c r="L22" s="374">
        <v>8</v>
      </c>
      <c r="M22" s="252" t="s">
        <v>154</v>
      </c>
      <c r="N22" s="393" t="s">
        <v>111</v>
      </c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</row>
    <row r="23" spans="1:30" ht="15" thickBot="1">
      <c r="A23" s="304"/>
      <c r="B23" s="304"/>
      <c r="C23" s="304"/>
      <c r="D23" s="304"/>
      <c r="E23" s="304"/>
      <c r="F23" s="391" t="s">
        <v>137</v>
      </c>
      <c r="G23" s="415">
        <v>10</v>
      </c>
      <c r="H23" s="374">
        <v>8</v>
      </c>
      <c r="I23" s="374">
        <v>15</v>
      </c>
      <c r="J23" s="374">
        <v>10</v>
      </c>
      <c r="K23" s="374">
        <v>12</v>
      </c>
      <c r="L23" s="374">
        <v>5</v>
      </c>
      <c r="M23" s="252" t="s">
        <v>154</v>
      </c>
      <c r="N23" s="393" t="s">
        <v>111</v>
      </c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</row>
    <row r="24" spans="1:30" ht="18.600000000000001">
      <c r="A24" s="272" t="s">
        <v>155</v>
      </c>
      <c r="B24" s="273"/>
      <c r="C24" s="273"/>
      <c r="D24" s="274"/>
      <c r="E24" s="304"/>
      <c r="F24" s="391" t="s">
        <v>138</v>
      </c>
      <c r="G24" s="415">
        <v>5</v>
      </c>
      <c r="H24" s="374">
        <v>5</v>
      </c>
      <c r="I24" s="374">
        <v>8</v>
      </c>
      <c r="J24" s="374">
        <v>5</v>
      </c>
      <c r="K24" s="374">
        <v>6</v>
      </c>
      <c r="L24" s="374">
        <v>3</v>
      </c>
      <c r="M24" s="252" t="s">
        <v>154</v>
      </c>
      <c r="N24" s="393" t="s">
        <v>111</v>
      </c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</row>
    <row r="25" spans="1:30" ht="15" thickBot="1">
      <c r="A25" s="74" t="s">
        <v>106</v>
      </c>
      <c r="B25" s="75" t="s">
        <v>143</v>
      </c>
      <c r="C25" s="75" t="s">
        <v>107</v>
      </c>
      <c r="D25" s="76" t="s">
        <v>108</v>
      </c>
      <c r="E25" s="304"/>
      <c r="F25" s="420" t="s">
        <v>156</v>
      </c>
      <c r="G25" s="102">
        <f t="shared" ref="G25:L25" si="2">SUM(G22:G24)</f>
        <v>30</v>
      </c>
      <c r="H25" s="103">
        <f t="shared" si="2"/>
        <v>25</v>
      </c>
      <c r="I25" s="103">
        <f t="shared" si="2"/>
        <v>43</v>
      </c>
      <c r="J25" s="103">
        <f t="shared" si="2"/>
        <v>30</v>
      </c>
      <c r="K25" s="103">
        <f t="shared" si="2"/>
        <v>28</v>
      </c>
      <c r="L25" s="103">
        <f t="shared" si="2"/>
        <v>16</v>
      </c>
      <c r="M25" s="253" t="s">
        <v>123</v>
      </c>
      <c r="N25" s="384" t="s">
        <v>142</v>
      </c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</row>
    <row r="26" spans="1:30" ht="15" thickBot="1">
      <c r="A26" s="388" t="s">
        <v>94</v>
      </c>
      <c r="B26" s="414">
        <v>2</v>
      </c>
      <c r="C26" s="382" t="s">
        <v>157</v>
      </c>
      <c r="D26" s="383" t="s">
        <v>111</v>
      </c>
      <c r="E26" s="304"/>
      <c r="F26" s="421" t="s">
        <v>158</v>
      </c>
      <c r="G26" s="66">
        <v>0.8</v>
      </c>
      <c r="H26" s="65">
        <v>0.3</v>
      </c>
      <c r="I26" s="65">
        <v>0.3</v>
      </c>
      <c r="J26" s="65">
        <v>0.5</v>
      </c>
      <c r="K26" s="65">
        <v>0.3</v>
      </c>
      <c r="L26" s="422">
        <v>0.5</v>
      </c>
      <c r="M26" s="253" t="s">
        <v>159</v>
      </c>
      <c r="N26" s="384" t="s">
        <v>111</v>
      </c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</row>
    <row r="27" spans="1:30" ht="15" thickBot="1">
      <c r="A27" s="391" t="s">
        <v>97</v>
      </c>
      <c r="B27" s="417">
        <v>20</v>
      </c>
      <c r="C27" s="252" t="s">
        <v>160</v>
      </c>
      <c r="D27" s="393" t="s">
        <v>111</v>
      </c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</row>
    <row r="28" spans="1:30" ht="18.600000000000001">
      <c r="A28" s="391" t="s">
        <v>96</v>
      </c>
      <c r="B28" s="417">
        <v>1</v>
      </c>
      <c r="C28" s="252" t="s">
        <v>161</v>
      </c>
      <c r="D28" s="393" t="s">
        <v>111</v>
      </c>
      <c r="E28" s="304"/>
      <c r="F28" s="269" t="s">
        <v>162</v>
      </c>
      <c r="G28" s="270"/>
      <c r="H28" s="270"/>
      <c r="I28" s="270"/>
      <c r="J28" s="270"/>
      <c r="K28" s="270"/>
      <c r="L28" s="270"/>
      <c r="M28" s="270"/>
      <c r="N28" s="271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</row>
    <row r="29" spans="1:30" ht="15" thickBot="1">
      <c r="A29" s="405" t="s">
        <v>93</v>
      </c>
      <c r="B29" s="423">
        <v>2E-3</v>
      </c>
      <c r="C29" s="253" t="s">
        <v>163</v>
      </c>
      <c r="D29" s="384" t="s">
        <v>111</v>
      </c>
      <c r="E29" s="304"/>
      <c r="F29" s="61" t="s">
        <v>106</v>
      </c>
      <c r="G29" s="62" t="s">
        <v>84</v>
      </c>
      <c r="H29" s="62" t="s">
        <v>85</v>
      </c>
      <c r="I29" s="62" t="s">
        <v>86</v>
      </c>
      <c r="J29" s="62" t="s">
        <v>87</v>
      </c>
      <c r="K29" s="62" t="s">
        <v>88</v>
      </c>
      <c r="L29" s="62" t="s">
        <v>89</v>
      </c>
      <c r="M29" s="62" t="s">
        <v>118</v>
      </c>
      <c r="N29" s="63" t="s">
        <v>119</v>
      </c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</row>
    <row r="30" spans="1:30">
      <c r="A30" s="304"/>
      <c r="B30" s="304"/>
      <c r="C30" s="304"/>
      <c r="D30" s="304"/>
      <c r="E30" s="304"/>
      <c r="F30" s="400" t="s">
        <v>164</v>
      </c>
      <c r="G30" s="424"/>
      <c r="H30" s="413"/>
      <c r="I30" s="413"/>
      <c r="J30" s="413"/>
      <c r="K30" s="413"/>
      <c r="L30" s="413"/>
      <c r="M30" s="413"/>
      <c r="N30" s="4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</row>
    <row r="31" spans="1:30">
      <c r="A31" s="304"/>
      <c r="B31" s="304"/>
      <c r="C31" s="304"/>
      <c r="D31" s="304"/>
      <c r="E31" s="304"/>
      <c r="F31" s="391" t="s">
        <v>165</v>
      </c>
      <c r="G31" s="425">
        <v>45000</v>
      </c>
      <c r="H31" s="426">
        <v>42187.5</v>
      </c>
      <c r="I31" s="426">
        <v>10000</v>
      </c>
      <c r="J31" s="426">
        <v>67500</v>
      </c>
      <c r="K31" s="426">
        <v>36562.5</v>
      </c>
      <c r="L31" s="426">
        <v>84375</v>
      </c>
      <c r="M31" s="252" t="s">
        <v>166</v>
      </c>
      <c r="N31" s="393" t="s">
        <v>111</v>
      </c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</row>
    <row r="32" spans="1:30">
      <c r="A32" s="304"/>
      <c r="B32" s="304"/>
      <c r="C32" s="304"/>
      <c r="D32" s="304"/>
      <c r="E32" s="304"/>
      <c r="F32" s="391" t="s">
        <v>167</v>
      </c>
      <c r="G32" s="425">
        <v>14062.5</v>
      </c>
      <c r="H32" s="426">
        <v>16875</v>
      </c>
      <c r="I32" s="426">
        <v>25000</v>
      </c>
      <c r="J32" s="426">
        <v>28125</v>
      </c>
      <c r="K32" s="426">
        <v>7031.25</v>
      </c>
      <c r="L32" s="426">
        <v>8437.5</v>
      </c>
      <c r="M32" s="252" t="s">
        <v>166</v>
      </c>
      <c r="N32" s="393" t="s">
        <v>111</v>
      </c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</row>
    <row r="33" spans="1:14">
      <c r="A33" s="304"/>
      <c r="B33" s="304"/>
      <c r="C33" s="304"/>
      <c r="D33" s="304"/>
      <c r="E33" s="304"/>
      <c r="F33" s="391" t="s">
        <v>168</v>
      </c>
      <c r="G33" s="425">
        <v>21093.75</v>
      </c>
      <c r="H33" s="426">
        <v>22500</v>
      </c>
      <c r="I33" s="426">
        <v>15000</v>
      </c>
      <c r="J33" s="426">
        <v>35156.25</v>
      </c>
      <c r="K33" s="426">
        <v>14062.5</v>
      </c>
      <c r="L33" s="426">
        <v>10125</v>
      </c>
      <c r="M33" s="252" t="s">
        <v>166</v>
      </c>
      <c r="N33" s="393" t="s">
        <v>111</v>
      </c>
    </row>
    <row r="34" spans="1:14" ht="15" thickBot="1">
      <c r="A34" s="304"/>
      <c r="B34" s="304"/>
      <c r="C34" s="304"/>
      <c r="D34" s="304"/>
      <c r="E34" s="304"/>
      <c r="F34" s="407" t="s">
        <v>169</v>
      </c>
      <c r="G34" s="59">
        <f t="shared" ref="G34:L34" si="3">SUM(G31:G33)</f>
        <v>80156.25</v>
      </c>
      <c r="H34" s="58">
        <f t="shared" si="3"/>
        <v>81562.5</v>
      </c>
      <c r="I34" s="58">
        <f t="shared" si="3"/>
        <v>50000</v>
      </c>
      <c r="J34" s="58">
        <f t="shared" si="3"/>
        <v>130781.25</v>
      </c>
      <c r="K34" s="58">
        <f t="shared" si="3"/>
        <v>57656.25</v>
      </c>
      <c r="L34" s="58">
        <f t="shared" si="3"/>
        <v>102937.5</v>
      </c>
      <c r="M34" s="408" t="s">
        <v>170</v>
      </c>
      <c r="N34" s="409" t="s">
        <v>124</v>
      </c>
    </row>
    <row r="35" spans="1:14">
      <c r="A35" s="304"/>
      <c r="B35" s="304"/>
      <c r="C35" s="304"/>
      <c r="D35" s="304"/>
      <c r="E35" s="304"/>
      <c r="F35" s="400" t="s">
        <v>171</v>
      </c>
      <c r="G35" s="424"/>
      <c r="H35" s="413"/>
      <c r="I35" s="413"/>
      <c r="J35" s="413"/>
      <c r="K35" s="413"/>
      <c r="L35" s="413"/>
      <c r="M35" s="413"/>
      <c r="N35" s="404"/>
    </row>
    <row r="36" spans="1:14">
      <c r="A36" s="304"/>
      <c r="B36" s="304"/>
      <c r="C36" s="304"/>
      <c r="D36" s="304"/>
      <c r="E36" s="304"/>
      <c r="F36" s="391" t="s">
        <v>165</v>
      </c>
      <c r="G36" s="417">
        <v>2.5</v>
      </c>
      <c r="H36" s="427">
        <v>1.25</v>
      </c>
      <c r="I36" s="427">
        <v>1</v>
      </c>
      <c r="J36" s="427">
        <v>0.5</v>
      </c>
      <c r="K36" s="427">
        <v>1.5</v>
      </c>
      <c r="L36" s="427">
        <v>2.25</v>
      </c>
      <c r="M36" s="252" t="s">
        <v>172</v>
      </c>
      <c r="N36" s="393" t="s">
        <v>111</v>
      </c>
    </row>
    <row r="37" spans="1:14">
      <c r="A37" s="304"/>
      <c r="B37" s="304"/>
      <c r="C37" s="304"/>
      <c r="D37" s="304"/>
      <c r="E37" s="304"/>
      <c r="F37" s="391" t="s">
        <v>167</v>
      </c>
      <c r="G37" s="417">
        <v>6.5</v>
      </c>
      <c r="H37" s="427">
        <v>2.75</v>
      </c>
      <c r="I37" s="427">
        <v>3.25</v>
      </c>
      <c r="J37" s="427">
        <v>1.25</v>
      </c>
      <c r="K37" s="427">
        <v>8</v>
      </c>
      <c r="L37" s="427">
        <v>8</v>
      </c>
      <c r="M37" s="252" t="s">
        <v>172</v>
      </c>
      <c r="N37" s="393" t="s">
        <v>111</v>
      </c>
    </row>
    <row r="38" spans="1:14">
      <c r="A38" s="304"/>
      <c r="B38" s="304"/>
      <c r="C38" s="304"/>
      <c r="D38" s="304"/>
      <c r="E38" s="304"/>
      <c r="F38" s="391" t="s">
        <v>168</v>
      </c>
      <c r="G38" s="417">
        <v>3.5</v>
      </c>
      <c r="H38" s="427">
        <v>1.5</v>
      </c>
      <c r="I38" s="427">
        <v>1.5</v>
      </c>
      <c r="J38" s="427">
        <v>0.75</v>
      </c>
      <c r="K38" s="427">
        <v>3</v>
      </c>
      <c r="L38" s="427">
        <v>3.75</v>
      </c>
      <c r="M38" s="252" t="s">
        <v>172</v>
      </c>
      <c r="N38" s="393" t="s">
        <v>111</v>
      </c>
    </row>
    <row r="39" spans="1:14" ht="15" thickBot="1">
      <c r="A39" s="304"/>
      <c r="B39" s="304"/>
      <c r="C39" s="304"/>
      <c r="D39" s="304"/>
      <c r="E39" s="304"/>
      <c r="F39" s="405" t="s">
        <v>173</v>
      </c>
      <c r="G39" s="64">
        <f>($G36*$G31/$G34)+($G37*$G32/$G34)+($G38*$G33/$G34)</f>
        <v>3.4649122807017543</v>
      </c>
      <c r="H39" s="56">
        <f>($H36*$H31/$H34)+($H37*$H32/$H34)+($H38*$H33/$H34)</f>
        <v>1.6293103448275863</v>
      </c>
      <c r="I39" s="56">
        <f>($I36*$I31/$I34)+($I37*$I32/$I34)+($I38*$I33/$I34)</f>
        <v>2.2749999999999999</v>
      </c>
      <c r="J39" s="56">
        <f>($J36*$J31/$J34)+($J37*$J32/$J34)+($J38*$J33/$J34)</f>
        <v>0.728494623655914</v>
      </c>
      <c r="K39" s="56">
        <f>($K36*$K31/$K34)+($K37*$K32/$K34)+($K38*$K33/$K34)</f>
        <v>2.6585365853658534</v>
      </c>
      <c r="L39" s="56">
        <f>($L36*$L31/$L34)+($L37*$L32/$L34)+($L38*$L33/$L34)</f>
        <v>2.8688524590163933</v>
      </c>
      <c r="M39" s="253" t="s">
        <v>157</v>
      </c>
      <c r="N39" s="384" t="s">
        <v>124</v>
      </c>
    </row>
    <row r="40" spans="1:14" ht="15" thickBot="1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</row>
    <row r="41" spans="1:14" ht="18.600000000000001">
      <c r="A41" s="304"/>
      <c r="B41" s="304"/>
      <c r="C41" s="304"/>
      <c r="D41" s="304"/>
      <c r="E41" s="304"/>
      <c r="F41" s="269" t="s">
        <v>174</v>
      </c>
      <c r="G41" s="270"/>
      <c r="H41" s="270"/>
      <c r="I41" s="270"/>
      <c r="J41" s="270"/>
      <c r="K41" s="270"/>
      <c r="L41" s="270"/>
      <c r="M41" s="270"/>
      <c r="N41" s="271"/>
    </row>
    <row r="42" spans="1:14" ht="15" thickBot="1">
      <c r="A42" s="304"/>
      <c r="B42" s="304"/>
      <c r="C42" s="304"/>
      <c r="D42" s="304"/>
      <c r="E42" s="304"/>
      <c r="F42" s="61" t="s">
        <v>106</v>
      </c>
      <c r="G42" s="62" t="s">
        <v>84</v>
      </c>
      <c r="H42" s="62" t="s">
        <v>85</v>
      </c>
      <c r="I42" s="62" t="s">
        <v>86</v>
      </c>
      <c r="J42" s="62" t="s">
        <v>87</v>
      </c>
      <c r="K42" s="62" t="s">
        <v>88</v>
      </c>
      <c r="L42" s="62" t="s">
        <v>89</v>
      </c>
      <c r="M42" s="62" t="s">
        <v>118</v>
      </c>
      <c r="N42" s="63" t="s">
        <v>119</v>
      </c>
    </row>
    <row r="43" spans="1:14" ht="15" thickBot="1">
      <c r="A43" s="304"/>
      <c r="B43" s="304"/>
      <c r="C43" s="304"/>
      <c r="D43" s="304"/>
      <c r="E43" s="304"/>
      <c r="F43" s="73" t="s">
        <v>175</v>
      </c>
      <c r="G43" s="428">
        <v>20</v>
      </c>
      <c r="H43" s="429">
        <v>45</v>
      </c>
      <c r="I43" s="429">
        <v>5</v>
      </c>
      <c r="J43" s="429">
        <v>60</v>
      </c>
      <c r="K43" s="429">
        <v>120</v>
      </c>
      <c r="L43" s="429">
        <v>5</v>
      </c>
      <c r="M43" s="69" t="s">
        <v>157</v>
      </c>
      <c r="N43" s="430" t="s">
        <v>111</v>
      </c>
    </row>
    <row r="44" spans="1:14">
      <c r="A44" s="304"/>
      <c r="B44" s="304"/>
      <c r="C44" s="304"/>
      <c r="D44" s="304"/>
      <c r="E44" s="304"/>
      <c r="F44" s="410" t="s">
        <v>176</v>
      </c>
      <c r="G44" s="431"/>
      <c r="H44" s="403"/>
      <c r="I44" s="403"/>
      <c r="J44" s="403"/>
      <c r="K44" s="403"/>
      <c r="L44" s="403"/>
      <c r="M44" s="403"/>
      <c r="N44" s="404"/>
    </row>
    <row r="45" spans="1:14">
      <c r="A45" s="304"/>
      <c r="B45" s="304"/>
      <c r="C45" s="304"/>
      <c r="D45" s="304"/>
      <c r="E45" s="304"/>
      <c r="F45" s="391" t="s">
        <v>133</v>
      </c>
      <c r="G45" s="415">
        <v>15</v>
      </c>
      <c r="H45" s="374">
        <v>15</v>
      </c>
      <c r="I45" s="374">
        <v>10</v>
      </c>
      <c r="J45" s="374">
        <v>10</v>
      </c>
      <c r="K45" s="374">
        <v>20</v>
      </c>
      <c r="L45" s="374">
        <v>20</v>
      </c>
      <c r="M45" s="432" t="s">
        <v>177</v>
      </c>
      <c r="N45" s="393" t="s">
        <v>111</v>
      </c>
    </row>
    <row r="46" spans="1:14">
      <c r="A46" s="304"/>
      <c r="B46"/>
      <c r="C46"/>
      <c r="D46"/>
      <c r="E46" s="304"/>
      <c r="F46" s="391" t="s">
        <v>137</v>
      </c>
      <c r="G46" s="415">
        <v>12</v>
      </c>
      <c r="H46" s="374">
        <v>12</v>
      </c>
      <c r="I46" s="374">
        <v>6</v>
      </c>
      <c r="J46" s="374">
        <v>6</v>
      </c>
      <c r="K46" s="374">
        <v>15</v>
      </c>
      <c r="L46" s="374">
        <v>8</v>
      </c>
      <c r="M46" s="432" t="s">
        <v>177</v>
      </c>
      <c r="N46" s="393" t="s">
        <v>111</v>
      </c>
    </row>
    <row r="47" spans="1:14">
      <c r="A47" s="304"/>
      <c r="B47"/>
      <c r="C47"/>
      <c r="D47"/>
      <c r="E47" s="304"/>
      <c r="F47" s="391" t="s">
        <v>138</v>
      </c>
      <c r="G47" s="415">
        <v>100</v>
      </c>
      <c r="H47" s="374">
        <v>130</v>
      </c>
      <c r="I47" s="374">
        <v>200</v>
      </c>
      <c r="J47" s="374">
        <v>80</v>
      </c>
      <c r="K47" s="374">
        <v>80</v>
      </c>
      <c r="L47" s="374">
        <v>75</v>
      </c>
      <c r="M47" s="432" t="s">
        <v>177</v>
      </c>
      <c r="N47" s="393" t="s">
        <v>111</v>
      </c>
    </row>
    <row r="48" spans="1:14" ht="15" thickBot="1">
      <c r="A48" s="304"/>
      <c r="B48"/>
      <c r="C48"/>
      <c r="D48"/>
      <c r="E48" s="304"/>
      <c r="F48" s="418" t="s">
        <v>178</v>
      </c>
      <c r="G48" s="70">
        <f t="shared" ref="G48:L48" si="4">SUM(G45:G47)</f>
        <v>127</v>
      </c>
      <c r="H48" s="68">
        <f t="shared" si="4"/>
        <v>157</v>
      </c>
      <c r="I48" s="68">
        <f t="shared" si="4"/>
        <v>216</v>
      </c>
      <c r="J48" s="68">
        <f t="shared" si="4"/>
        <v>96</v>
      </c>
      <c r="K48" s="68">
        <f t="shared" si="4"/>
        <v>115</v>
      </c>
      <c r="L48" s="68">
        <f t="shared" si="4"/>
        <v>103</v>
      </c>
      <c r="M48" s="433" t="s">
        <v>179</v>
      </c>
      <c r="N48" s="409" t="s">
        <v>124</v>
      </c>
    </row>
    <row r="49" spans="1:14">
      <c r="A49" s="304"/>
      <c r="B49"/>
      <c r="C49"/>
      <c r="D49"/>
      <c r="E49" s="304"/>
      <c r="F49" s="410" t="s">
        <v>180</v>
      </c>
      <c r="G49" s="431"/>
      <c r="H49" s="403"/>
      <c r="I49" s="403"/>
      <c r="J49" s="403"/>
      <c r="K49" s="403"/>
      <c r="L49" s="403"/>
      <c r="M49" s="403"/>
      <c r="N49" s="404"/>
    </row>
    <row r="50" spans="1:14">
      <c r="A50" s="304"/>
      <c r="B50"/>
      <c r="C50"/>
      <c r="D50"/>
      <c r="E50" s="304"/>
      <c r="F50" s="391" t="s">
        <v>133</v>
      </c>
      <c r="G50" s="434">
        <v>8</v>
      </c>
      <c r="H50" s="435">
        <v>8</v>
      </c>
      <c r="I50" s="435">
        <v>10</v>
      </c>
      <c r="J50" s="435">
        <v>8</v>
      </c>
      <c r="K50" s="435">
        <v>7</v>
      </c>
      <c r="L50" s="435">
        <v>10</v>
      </c>
      <c r="M50" s="432" t="s">
        <v>147</v>
      </c>
      <c r="N50" s="393" t="s">
        <v>111</v>
      </c>
    </row>
    <row r="51" spans="1:14">
      <c r="A51" s="304"/>
      <c r="B51"/>
      <c r="C51"/>
      <c r="D51"/>
      <c r="E51" s="304"/>
      <c r="F51" s="391" t="s">
        <v>137</v>
      </c>
      <c r="G51" s="434">
        <v>3</v>
      </c>
      <c r="H51" s="435">
        <v>2</v>
      </c>
      <c r="I51" s="435">
        <v>4</v>
      </c>
      <c r="J51" s="435">
        <v>3</v>
      </c>
      <c r="K51" s="435">
        <v>3</v>
      </c>
      <c r="L51" s="435">
        <v>2</v>
      </c>
      <c r="M51" s="432" t="s">
        <v>147</v>
      </c>
      <c r="N51" s="393" t="s">
        <v>111</v>
      </c>
    </row>
    <row r="52" spans="1:14">
      <c r="A52"/>
      <c r="B52"/>
      <c r="C52"/>
      <c r="D52"/>
      <c r="E52"/>
      <c r="F52" s="391" t="s">
        <v>138</v>
      </c>
      <c r="G52" s="434">
        <v>6</v>
      </c>
      <c r="H52" s="435">
        <v>5</v>
      </c>
      <c r="I52" s="435">
        <v>8</v>
      </c>
      <c r="J52" s="435">
        <v>5</v>
      </c>
      <c r="K52" s="435">
        <v>4</v>
      </c>
      <c r="L52" s="435">
        <v>5</v>
      </c>
      <c r="M52" s="432" t="s">
        <v>147</v>
      </c>
      <c r="N52" s="393" t="s">
        <v>111</v>
      </c>
    </row>
    <row r="53" spans="1:14" ht="15" thickBot="1">
      <c r="A53"/>
      <c r="B53"/>
      <c r="C53"/>
      <c r="D53"/>
      <c r="E53"/>
      <c r="F53" s="418" t="s">
        <v>181</v>
      </c>
      <c r="G53" s="71">
        <f>SUM(G50:G52)</f>
        <v>17</v>
      </c>
      <c r="H53" s="67">
        <f t="shared" ref="H53:L53" si="5">SUM(H50:H52)</f>
        <v>15</v>
      </c>
      <c r="I53" s="67">
        <f t="shared" si="5"/>
        <v>22</v>
      </c>
      <c r="J53" s="67">
        <f t="shared" si="5"/>
        <v>16</v>
      </c>
      <c r="K53" s="67">
        <f t="shared" si="5"/>
        <v>14</v>
      </c>
      <c r="L53" s="67">
        <f t="shared" si="5"/>
        <v>17</v>
      </c>
      <c r="M53" s="433" t="s">
        <v>151</v>
      </c>
      <c r="N53" s="409" t="s">
        <v>124</v>
      </c>
    </row>
    <row r="54" spans="1:14">
      <c r="A54"/>
      <c r="B54"/>
      <c r="C54"/>
      <c r="D54"/>
      <c r="E54"/>
      <c r="F54" s="410" t="s">
        <v>182</v>
      </c>
      <c r="G54" s="431"/>
      <c r="H54" s="403"/>
      <c r="I54" s="403"/>
      <c r="J54" s="403"/>
      <c r="K54" s="403"/>
      <c r="L54" s="403"/>
      <c r="M54" s="403"/>
      <c r="N54" s="404"/>
    </row>
    <row r="55" spans="1:14">
      <c r="A55"/>
      <c r="B55"/>
      <c r="C55"/>
      <c r="D55"/>
      <c r="E55"/>
      <c r="F55" s="391" t="s">
        <v>165</v>
      </c>
      <c r="G55" s="436">
        <v>0.04</v>
      </c>
      <c r="H55" s="437">
        <v>2.5000000000000001E-2</v>
      </c>
      <c r="I55" s="437">
        <v>0.02</v>
      </c>
      <c r="J55" s="437">
        <v>0.03</v>
      </c>
      <c r="K55" s="437">
        <v>0.04</v>
      </c>
      <c r="L55" s="437">
        <v>0.03</v>
      </c>
      <c r="M55" s="432" t="s">
        <v>172</v>
      </c>
      <c r="N55" s="393" t="s">
        <v>111</v>
      </c>
    </row>
    <row r="56" spans="1:14">
      <c r="A56" s="304"/>
      <c r="B56"/>
      <c r="C56"/>
      <c r="D56"/>
      <c r="E56" s="304"/>
      <c r="F56" s="391" t="s">
        <v>167</v>
      </c>
      <c r="G56" s="436">
        <v>0.125</v>
      </c>
      <c r="H56" s="437">
        <v>7.4999999999999997E-2</v>
      </c>
      <c r="I56" s="437">
        <v>0.06</v>
      </c>
      <c r="J56" s="437">
        <v>0.1</v>
      </c>
      <c r="K56" s="437">
        <v>0.125</v>
      </c>
      <c r="L56" s="437">
        <v>0.1</v>
      </c>
      <c r="M56" s="432" t="s">
        <v>172</v>
      </c>
      <c r="N56" s="393" t="s">
        <v>111</v>
      </c>
    </row>
    <row r="57" spans="1:14">
      <c r="A57" s="304"/>
      <c r="B57"/>
      <c r="C57"/>
      <c r="D57"/>
      <c r="E57" s="304"/>
      <c r="F57" s="391" t="s">
        <v>168</v>
      </c>
      <c r="G57" s="436">
        <v>7.4999999999999997E-2</v>
      </c>
      <c r="H57" s="437">
        <v>0.05</v>
      </c>
      <c r="I57" s="437">
        <v>0.04</v>
      </c>
      <c r="J57" s="437">
        <v>0.06</v>
      </c>
      <c r="K57" s="437">
        <v>7.4999999999999997E-2</v>
      </c>
      <c r="L57" s="437">
        <v>0.06</v>
      </c>
      <c r="M57" s="432" t="s">
        <v>172</v>
      </c>
      <c r="N57" s="393" t="s">
        <v>111</v>
      </c>
    </row>
    <row r="58" spans="1:14" ht="15" thickBot="1">
      <c r="A58" s="304"/>
      <c r="B58"/>
      <c r="C58"/>
      <c r="D58"/>
      <c r="E58" s="304"/>
      <c r="F58" s="420" t="s">
        <v>183</v>
      </c>
      <c r="G58" s="72">
        <f>($G55*$G31/$G34)+($G56*$G32/$G34)+($G57*$G33/$G34)</f>
        <v>6.4122807017543859E-2</v>
      </c>
      <c r="H58" s="57">
        <f>($H55*$H31/$H34)+($H56*$H32/$H34)+($H57*$H33/$H34)</f>
        <v>4.2241379310344829E-2</v>
      </c>
      <c r="I58" s="57">
        <f>($I55*$I31/$I34)+($I56*$I32/$I34)+($I57*$I33/$I34)</f>
        <v>4.5999999999999999E-2</v>
      </c>
      <c r="J58" s="57">
        <f>($J55*$J31/$J34)+($J56*$J32/$J34)+($J57*$J33/$J34)</f>
        <v>5.3118279569892471E-2</v>
      </c>
      <c r="K58" s="57">
        <f>($K55*$K31/$K34)+($K56*$K32/$K34)+($K57*$K33/$K34)</f>
        <v>5.8902439024390241E-2</v>
      </c>
      <c r="L58" s="57">
        <f>($L55*$L31/$L34)+($L56*$L32/$L34)+($L57*$L33/$L34)</f>
        <v>3.8688524590163934E-2</v>
      </c>
      <c r="M58" s="438" t="s">
        <v>157</v>
      </c>
      <c r="N58" s="384" t="s">
        <v>124</v>
      </c>
    </row>
    <row r="59" spans="1:14">
      <c r="A59" s="304"/>
      <c r="B59"/>
      <c r="C59"/>
      <c r="D59"/>
      <c r="E59" s="304"/>
      <c r="F59" s="304"/>
      <c r="G59" s="304"/>
      <c r="H59" s="304"/>
      <c r="I59" s="304"/>
      <c r="J59" s="304"/>
      <c r="K59" s="304"/>
      <c r="L59" s="304"/>
      <c r="M59" s="304"/>
      <c r="N59" s="304"/>
    </row>
  </sheetData>
  <mergeCells count="7">
    <mergeCell ref="A1:O1"/>
    <mergeCell ref="A6:D6"/>
    <mergeCell ref="A15:D15"/>
    <mergeCell ref="A24:D24"/>
    <mergeCell ref="F41:N41"/>
    <mergeCell ref="F28:N28"/>
    <mergeCell ref="F6:N6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CCC2-24D5-44F8-A58C-0C0F5B0804EE}">
  <dimension ref="A1:AE65"/>
  <sheetViews>
    <sheetView topLeftCell="G27" workbookViewId="0">
      <selection activeCell="G27" sqref="G27"/>
    </sheetView>
  </sheetViews>
  <sheetFormatPr defaultColWidth="8.875" defaultRowHeight="14.1"/>
  <cols>
    <col min="1" max="1" width="17.125" customWidth="1"/>
    <col min="18" max="18" width="7" customWidth="1"/>
    <col min="19" max="19" width="16.875" customWidth="1"/>
    <col min="20" max="22" width="19.125" customWidth="1"/>
    <col min="23" max="24" width="17.125" customWidth="1"/>
    <col min="25" max="25" width="17" customWidth="1"/>
  </cols>
  <sheetData>
    <row r="1" spans="1:31" ht="18.600000000000001" customHeight="1">
      <c r="A1" s="275" t="s">
        <v>184</v>
      </c>
      <c r="B1" s="119" t="s">
        <v>185</v>
      </c>
      <c r="C1" s="120" t="s">
        <v>186</v>
      </c>
      <c r="D1" s="120" t="s">
        <v>187</v>
      </c>
      <c r="E1" s="120" t="s">
        <v>188</v>
      </c>
      <c r="F1" s="120" t="s">
        <v>189</v>
      </c>
      <c r="G1" s="120" t="s">
        <v>190</v>
      </c>
      <c r="H1" s="120" t="s">
        <v>191</v>
      </c>
      <c r="I1" s="120" t="s">
        <v>192</v>
      </c>
      <c r="J1" s="120" t="s">
        <v>193</v>
      </c>
      <c r="K1" s="120" t="s">
        <v>194</v>
      </c>
      <c r="L1" s="120" t="s">
        <v>195</v>
      </c>
      <c r="M1" s="121" t="s">
        <v>196</v>
      </c>
      <c r="N1" s="122" t="s">
        <v>197</v>
      </c>
      <c r="O1" s="284" t="s">
        <v>198</v>
      </c>
      <c r="P1" s="285"/>
      <c r="Q1" s="285"/>
      <c r="R1" s="124"/>
      <c r="S1" s="233"/>
      <c r="T1" s="280" t="s">
        <v>199</v>
      </c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</row>
    <row r="2" spans="1:31" ht="18.95" customHeight="1" thickBot="1">
      <c r="A2" s="288"/>
      <c r="B2" s="234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6"/>
      <c r="N2" s="123" t="s">
        <v>200</v>
      </c>
      <c r="O2" s="286"/>
      <c r="P2" s="287"/>
      <c r="Q2" s="287"/>
      <c r="R2" s="124"/>
      <c r="S2" s="233"/>
      <c r="T2" s="282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</row>
    <row r="3" spans="1:31" ht="14.45">
      <c r="A3" s="126" t="s">
        <v>201</v>
      </c>
      <c r="B3" s="127"/>
      <c r="C3" s="128">
        <v>0.15</v>
      </c>
      <c r="D3" s="129">
        <v>0.15</v>
      </c>
      <c r="E3" s="130">
        <v>0.15</v>
      </c>
      <c r="F3" s="129"/>
      <c r="G3" s="129"/>
      <c r="H3" s="129"/>
      <c r="I3" s="129"/>
      <c r="J3" s="129"/>
      <c r="K3" s="129"/>
      <c r="L3" s="129"/>
      <c r="M3" s="131"/>
      <c r="N3" s="132">
        <v>1</v>
      </c>
      <c r="O3" s="133">
        <v>0.15</v>
      </c>
      <c r="P3" s="134" t="s">
        <v>202</v>
      </c>
      <c r="Q3" s="135">
        <v>0.16</v>
      </c>
      <c r="R3" s="237"/>
      <c r="S3" s="233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</row>
    <row r="4" spans="1:31" ht="14.45">
      <c r="A4" s="136" t="s">
        <v>203</v>
      </c>
      <c r="B4" s="137"/>
      <c r="C4" s="138"/>
      <c r="D4" s="139">
        <v>0.15</v>
      </c>
      <c r="E4" s="138">
        <v>0.15</v>
      </c>
      <c r="F4" s="140">
        <v>0.15</v>
      </c>
      <c r="G4" s="138"/>
      <c r="H4" s="138"/>
      <c r="I4" s="138"/>
      <c r="J4" s="138"/>
      <c r="K4" s="138"/>
      <c r="L4" s="138"/>
      <c r="M4" s="141"/>
      <c r="N4" s="142">
        <v>1</v>
      </c>
      <c r="O4" s="143">
        <v>0.15</v>
      </c>
      <c r="P4" s="144" t="s">
        <v>202</v>
      </c>
      <c r="Q4" s="145">
        <v>0.16</v>
      </c>
      <c r="R4" s="237"/>
      <c r="S4" s="233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</row>
    <row r="5" spans="1:31" ht="14.45">
      <c r="A5" s="136" t="s">
        <v>204</v>
      </c>
      <c r="B5" s="137"/>
      <c r="C5" s="138"/>
      <c r="D5" s="138"/>
      <c r="E5" s="139">
        <v>0.15</v>
      </c>
      <c r="F5" s="138">
        <v>0.15</v>
      </c>
      <c r="G5" s="140">
        <v>0.15</v>
      </c>
      <c r="H5" s="138"/>
      <c r="I5" s="138"/>
      <c r="J5" s="138"/>
      <c r="K5" s="138"/>
      <c r="L5" s="138"/>
      <c r="M5" s="141"/>
      <c r="N5" s="142">
        <v>1</v>
      </c>
      <c r="O5" s="143">
        <v>0.15</v>
      </c>
      <c r="P5" s="144" t="s">
        <v>202</v>
      </c>
      <c r="Q5" s="145">
        <v>0.16</v>
      </c>
      <c r="R5" s="124"/>
      <c r="S5" s="125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</row>
    <row r="6" spans="1:31" ht="14.45">
      <c r="A6" s="136" t="s">
        <v>205</v>
      </c>
      <c r="B6" s="137"/>
      <c r="C6" s="138"/>
      <c r="D6" s="138"/>
      <c r="E6" s="138"/>
      <c r="F6" s="138"/>
      <c r="G6" s="138"/>
      <c r="H6" s="138"/>
      <c r="I6" s="139">
        <v>0.15</v>
      </c>
      <c r="J6" s="138">
        <v>0.15</v>
      </c>
      <c r="K6" s="140">
        <v>0.15</v>
      </c>
      <c r="L6" s="138"/>
      <c r="M6" s="141"/>
      <c r="N6" s="142">
        <v>1</v>
      </c>
      <c r="O6" s="143">
        <v>0.15</v>
      </c>
      <c r="P6" s="144" t="s">
        <v>202</v>
      </c>
      <c r="Q6" s="145">
        <v>0.16</v>
      </c>
      <c r="R6" s="124"/>
      <c r="S6" s="125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</row>
    <row r="7" spans="1:31" ht="15" thickBot="1">
      <c r="A7" s="146" t="s">
        <v>206</v>
      </c>
      <c r="B7" s="147"/>
      <c r="C7" s="148"/>
      <c r="D7" s="148"/>
      <c r="E7" s="148"/>
      <c r="F7" s="148"/>
      <c r="G7" s="148"/>
      <c r="H7" s="148"/>
      <c r="I7" s="148"/>
      <c r="J7" s="149">
        <v>0.15</v>
      </c>
      <c r="K7" s="148">
        <v>0.15</v>
      </c>
      <c r="L7" s="150">
        <v>0.15</v>
      </c>
      <c r="M7" s="151"/>
      <c r="N7" s="152">
        <v>1</v>
      </c>
      <c r="O7" s="153">
        <v>0.15</v>
      </c>
      <c r="P7" s="154" t="s">
        <v>202</v>
      </c>
      <c r="Q7" s="155">
        <v>0.16</v>
      </c>
      <c r="R7" s="124"/>
      <c r="S7" s="125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</row>
    <row r="8" spans="1:31" ht="14.45">
      <c r="A8" s="156" t="s">
        <v>207</v>
      </c>
      <c r="B8" s="157"/>
      <c r="C8" s="129"/>
      <c r="D8" s="129"/>
      <c r="E8" s="129"/>
      <c r="F8" s="128">
        <v>0.12</v>
      </c>
      <c r="G8" s="129">
        <v>0.12</v>
      </c>
      <c r="H8" s="130">
        <v>0.12</v>
      </c>
      <c r="I8" s="129"/>
      <c r="J8" s="129"/>
      <c r="K8" s="129"/>
      <c r="L8" s="129"/>
      <c r="M8" s="131"/>
      <c r="N8" s="132">
        <v>1</v>
      </c>
      <c r="O8" s="133">
        <v>0.12</v>
      </c>
      <c r="P8" s="134" t="s">
        <v>202</v>
      </c>
      <c r="Q8" s="135">
        <v>0.17</v>
      </c>
      <c r="R8" s="124"/>
      <c r="S8" s="125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</row>
    <row r="9" spans="1:31" ht="15" thickBot="1">
      <c r="A9" s="8" t="s">
        <v>208</v>
      </c>
      <c r="B9" s="158"/>
      <c r="C9" s="138"/>
      <c r="D9" s="138"/>
      <c r="E9" s="138"/>
      <c r="F9" s="138"/>
      <c r="G9" s="139">
        <v>0.12</v>
      </c>
      <c r="H9" s="138">
        <v>0.12</v>
      </c>
      <c r="I9" s="140">
        <v>0.12</v>
      </c>
      <c r="J9" s="138"/>
      <c r="K9" s="138"/>
      <c r="L9" s="138"/>
      <c r="M9" s="141"/>
      <c r="N9" s="142">
        <v>1</v>
      </c>
      <c r="O9" s="143">
        <v>0.12</v>
      </c>
      <c r="P9" s="144" t="s">
        <v>202</v>
      </c>
      <c r="Q9" s="145">
        <v>0.17</v>
      </c>
      <c r="R9" s="124"/>
      <c r="S9" s="125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</row>
    <row r="10" spans="1:31" ht="18.95" thickBot="1">
      <c r="A10" s="3" t="s">
        <v>209</v>
      </c>
      <c r="B10" s="159"/>
      <c r="C10" s="148"/>
      <c r="D10" s="148"/>
      <c r="E10" s="148"/>
      <c r="F10" s="148"/>
      <c r="G10" s="148"/>
      <c r="H10" s="149">
        <v>0.12</v>
      </c>
      <c r="I10" s="148">
        <v>0.12</v>
      </c>
      <c r="J10" s="150">
        <v>0.12</v>
      </c>
      <c r="K10" s="148"/>
      <c r="L10" s="148"/>
      <c r="M10" s="151"/>
      <c r="N10" s="152">
        <v>1</v>
      </c>
      <c r="O10" s="153">
        <v>0.12</v>
      </c>
      <c r="P10" s="154" t="s">
        <v>202</v>
      </c>
      <c r="Q10" s="155">
        <v>0.17</v>
      </c>
      <c r="R10" s="124"/>
      <c r="S10" s="125"/>
      <c r="T10" s="160" t="s">
        <v>185</v>
      </c>
      <c r="U10" s="161" t="s">
        <v>186</v>
      </c>
      <c r="V10" s="161" t="s">
        <v>187</v>
      </c>
      <c r="W10" s="161" t="s">
        <v>188</v>
      </c>
      <c r="X10" s="161" t="s">
        <v>189</v>
      </c>
      <c r="Y10" s="161" t="s">
        <v>190</v>
      </c>
      <c r="Z10" s="161" t="s">
        <v>191</v>
      </c>
      <c r="AA10" s="161" t="s">
        <v>192</v>
      </c>
      <c r="AB10" s="161" t="s">
        <v>193</v>
      </c>
      <c r="AC10" s="161" t="s">
        <v>194</v>
      </c>
      <c r="AD10" s="161" t="s">
        <v>195</v>
      </c>
      <c r="AE10" s="191" t="s">
        <v>196</v>
      </c>
    </row>
    <row r="11" spans="1:31" ht="14.45">
      <c r="A11" s="7" t="s">
        <v>58</v>
      </c>
      <c r="B11" s="157"/>
      <c r="C11" s="129"/>
      <c r="D11" s="129"/>
      <c r="E11" s="129"/>
      <c r="F11" s="128"/>
      <c r="G11" s="129" t="s">
        <v>210</v>
      </c>
      <c r="H11" s="129" t="s">
        <v>211</v>
      </c>
      <c r="I11" s="130" t="s">
        <v>211</v>
      </c>
      <c r="J11" s="129"/>
      <c r="K11" s="129"/>
      <c r="L11" s="129"/>
      <c r="M11" s="131"/>
      <c r="N11" s="132" t="s">
        <v>211</v>
      </c>
      <c r="O11" s="133" t="s">
        <v>211</v>
      </c>
      <c r="P11" s="134" t="s">
        <v>202</v>
      </c>
      <c r="Q11" s="135" t="s">
        <v>210</v>
      </c>
      <c r="R11" s="124"/>
      <c r="S11" s="162" t="s">
        <v>84</v>
      </c>
      <c r="T11" s="157" t="s">
        <v>210</v>
      </c>
      <c r="U11" s="129">
        <v>329</v>
      </c>
      <c r="V11" s="129">
        <v>592</v>
      </c>
      <c r="W11" s="163">
        <v>2784</v>
      </c>
      <c r="X11" s="163">
        <v>2455</v>
      </c>
      <c r="Y11" s="163">
        <v>2192</v>
      </c>
      <c r="Z11" s="129" t="s">
        <v>211</v>
      </c>
      <c r="AA11" s="129">
        <v>329</v>
      </c>
      <c r="AB11" s="129">
        <v>592</v>
      </c>
      <c r="AC11" s="163">
        <v>2455</v>
      </c>
      <c r="AD11" s="163">
        <v>2192</v>
      </c>
      <c r="AE11" s="192" t="s">
        <v>211</v>
      </c>
    </row>
    <row r="12" spans="1:31" ht="15" thickBot="1">
      <c r="A12" s="3" t="s">
        <v>59</v>
      </c>
      <c r="B12" s="159"/>
      <c r="C12" s="148"/>
      <c r="D12" s="148"/>
      <c r="E12" s="148"/>
      <c r="F12" s="148"/>
      <c r="G12" s="149"/>
      <c r="H12" s="148" t="s">
        <v>210</v>
      </c>
      <c r="I12" s="148" t="s">
        <v>211</v>
      </c>
      <c r="J12" s="150" t="s">
        <v>211</v>
      </c>
      <c r="K12" s="148"/>
      <c r="L12" s="148"/>
      <c r="M12" s="151"/>
      <c r="N12" s="152" t="s">
        <v>211</v>
      </c>
      <c r="O12" s="153" t="s">
        <v>211</v>
      </c>
      <c r="P12" s="154" t="s">
        <v>202</v>
      </c>
      <c r="Q12" s="155" t="s">
        <v>210</v>
      </c>
      <c r="R12" s="124"/>
      <c r="S12" s="164" t="s">
        <v>85</v>
      </c>
      <c r="T12" s="158" t="s">
        <v>210</v>
      </c>
      <c r="U12" s="138" t="s">
        <v>211</v>
      </c>
      <c r="V12" s="138" t="s">
        <v>211</v>
      </c>
      <c r="W12" s="138" t="s">
        <v>211</v>
      </c>
      <c r="X12" s="138">
        <v>272</v>
      </c>
      <c r="Y12" s="138">
        <v>489</v>
      </c>
      <c r="Z12" s="240">
        <v>2846</v>
      </c>
      <c r="AA12" s="240">
        <v>2574</v>
      </c>
      <c r="AB12" s="240">
        <v>2356</v>
      </c>
      <c r="AC12" s="138" t="s">
        <v>211</v>
      </c>
      <c r="AD12" s="138" t="s">
        <v>211</v>
      </c>
      <c r="AE12" s="193" t="s">
        <v>211</v>
      </c>
    </row>
    <row r="13" spans="1:31" ht="14.45">
      <c r="A13" s="7" t="s">
        <v>212</v>
      </c>
      <c r="B13" s="157"/>
      <c r="C13" s="129"/>
      <c r="D13" s="128"/>
      <c r="E13" s="129" t="s">
        <v>210</v>
      </c>
      <c r="F13" s="129" t="s">
        <v>211</v>
      </c>
      <c r="G13" s="130" t="s">
        <v>211</v>
      </c>
      <c r="H13" s="129"/>
      <c r="I13" s="129"/>
      <c r="J13" s="129"/>
      <c r="K13" s="129"/>
      <c r="L13" s="129"/>
      <c r="M13" s="131"/>
      <c r="N13" s="132" t="s">
        <v>211</v>
      </c>
      <c r="O13" s="133" t="s">
        <v>211</v>
      </c>
      <c r="P13" s="134" t="s">
        <v>202</v>
      </c>
      <c r="Q13" s="135" t="s">
        <v>210</v>
      </c>
      <c r="R13" s="124"/>
      <c r="S13" s="164" t="s">
        <v>86</v>
      </c>
      <c r="T13" s="158" t="s">
        <v>210</v>
      </c>
      <c r="U13" s="138" t="s">
        <v>211</v>
      </c>
      <c r="V13" s="138" t="s">
        <v>211</v>
      </c>
      <c r="W13" s="138" t="s">
        <v>211</v>
      </c>
      <c r="X13" s="138" t="s">
        <v>211</v>
      </c>
      <c r="Y13" s="138" t="s">
        <v>211</v>
      </c>
      <c r="Z13" s="138" t="s">
        <v>211</v>
      </c>
      <c r="AA13" s="138" t="s">
        <v>211</v>
      </c>
      <c r="AB13" s="138" t="s">
        <v>211</v>
      </c>
      <c r="AC13" s="138" t="s">
        <v>211</v>
      </c>
      <c r="AD13" s="138" t="s">
        <v>211</v>
      </c>
      <c r="AE13" s="193" t="s">
        <v>211</v>
      </c>
    </row>
    <row r="14" spans="1:31" ht="15" thickBot="1">
      <c r="A14" s="3" t="s">
        <v>213</v>
      </c>
      <c r="B14" s="159"/>
      <c r="C14" s="148"/>
      <c r="D14" s="148"/>
      <c r="E14" s="148"/>
      <c r="F14" s="148"/>
      <c r="G14" s="148"/>
      <c r="H14" s="148"/>
      <c r="I14" s="149"/>
      <c r="J14" s="148" t="s">
        <v>210</v>
      </c>
      <c r="K14" s="148" t="s">
        <v>211</v>
      </c>
      <c r="L14" s="150" t="s">
        <v>211</v>
      </c>
      <c r="M14" s="151"/>
      <c r="N14" s="152" t="s">
        <v>211</v>
      </c>
      <c r="O14" s="153" t="s">
        <v>211</v>
      </c>
      <c r="P14" s="154" t="s">
        <v>202</v>
      </c>
      <c r="Q14" s="155" t="s">
        <v>210</v>
      </c>
      <c r="R14" s="124"/>
      <c r="S14" s="164" t="s">
        <v>87</v>
      </c>
      <c r="T14" s="158" t="s">
        <v>210</v>
      </c>
      <c r="U14" s="138" t="s">
        <v>211</v>
      </c>
      <c r="V14" s="138" t="s">
        <v>211</v>
      </c>
      <c r="W14" s="138" t="s">
        <v>211</v>
      </c>
      <c r="X14" s="138" t="s">
        <v>211</v>
      </c>
      <c r="Y14" s="138" t="s">
        <v>211</v>
      </c>
      <c r="Z14" s="138" t="s">
        <v>211</v>
      </c>
      <c r="AA14" s="138" t="s">
        <v>211</v>
      </c>
      <c r="AB14" s="138" t="s">
        <v>211</v>
      </c>
      <c r="AC14" s="138" t="s">
        <v>211</v>
      </c>
      <c r="AD14" s="138" t="s">
        <v>211</v>
      </c>
      <c r="AE14" s="193" t="s">
        <v>211</v>
      </c>
    </row>
    <row r="15" spans="1:31" ht="15" thickBot="1">
      <c r="A15" s="2" t="s">
        <v>214</v>
      </c>
      <c r="B15" s="165"/>
      <c r="C15" s="166"/>
      <c r="D15" s="166"/>
      <c r="E15" s="167"/>
      <c r="F15" s="166" t="s">
        <v>210</v>
      </c>
      <c r="G15" s="166" t="s">
        <v>211</v>
      </c>
      <c r="H15" s="168" t="s">
        <v>211</v>
      </c>
      <c r="I15" s="169" t="s">
        <v>211</v>
      </c>
      <c r="J15" s="169" t="s">
        <v>211</v>
      </c>
      <c r="K15" s="169" t="s">
        <v>211</v>
      </c>
      <c r="L15" s="166"/>
      <c r="M15" s="170"/>
      <c r="N15" s="171" t="s">
        <v>211</v>
      </c>
      <c r="O15" s="172" t="s">
        <v>211</v>
      </c>
      <c r="P15" s="173" t="s">
        <v>202</v>
      </c>
      <c r="Q15" s="174" t="s">
        <v>210</v>
      </c>
      <c r="R15" s="124"/>
      <c r="S15" s="164" t="s">
        <v>88</v>
      </c>
      <c r="T15" s="158" t="s">
        <v>210</v>
      </c>
      <c r="U15" s="138" t="s">
        <v>211</v>
      </c>
      <c r="V15" s="138" t="s">
        <v>211</v>
      </c>
      <c r="W15" s="138" t="s">
        <v>211</v>
      </c>
      <c r="X15" s="138" t="s">
        <v>211</v>
      </c>
      <c r="Y15" s="138" t="s">
        <v>211</v>
      </c>
      <c r="Z15" s="138" t="s">
        <v>211</v>
      </c>
      <c r="AA15" s="138" t="s">
        <v>211</v>
      </c>
      <c r="AB15" s="138" t="s">
        <v>211</v>
      </c>
      <c r="AC15" s="138" t="s">
        <v>211</v>
      </c>
      <c r="AD15" s="138" t="s">
        <v>211</v>
      </c>
      <c r="AE15" s="193" t="s">
        <v>211</v>
      </c>
    </row>
    <row r="16" spans="1:31" ht="15" thickBot="1">
      <c r="A16" s="3" t="s">
        <v>215</v>
      </c>
      <c r="B16" s="175"/>
      <c r="C16" s="176" t="s">
        <v>210</v>
      </c>
      <c r="D16" s="176" t="s">
        <v>211</v>
      </c>
      <c r="E16" s="176" t="s">
        <v>211</v>
      </c>
      <c r="F16" s="176" t="s">
        <v>211</v>
      </c>
      <c r="G16" s="176" t="s">
        <v>211</v>
      </c>
      <c r="H16" s="177" t="s">
        <v>211</v>
      </c>
      <c r="I16" s="176"/>
      <c r="J16" s="176"/>
      <c r="K16" s="176"/>
      <c r="L16" s="176"/>
      <c r="M16" s="178"/>
      <c r="N16" s="152" t="s">
        <v>211</v>
      </c>
      <c r="O16" s="153" t="s">
        <v>211</v>
      </c>
      <c r="P16" s="154" t="s">
        <v>202</v>
      </c>
      <c r="Q16" s="155" t="s">
        <v>210</v>
      </c>
      <c r="R16" s="124"/>
      <c r="S16" s="179" t="s">
        <v>89</v>
      </c>
      <c r="T16" s="147" t="s">
        <v>210</v>
      </c>
      <c r="U16" s="148" t="s">
        <v>211</v>
      </c>
      <c r="V16" s="148" t="s">
        <v>211</v>
      </c>
      <c r="W16" s="148" t="s">
        <v>211</v>
      </c>
      <c r="X16" s="148" t="s">
        <v>211</v>
      </c>
      <c r="Y16" s="148" t="s">
        <v>211</v>
      </c>
      <c r="Z16" s="148" t="s">
        <v>211</v>
      </c>
      <c r="AA16" s="148" t="s">
        <v>211</v>
      </c>
      <c r="AB16" s="148" t="s">
        <v>211</v>
      </c>
      <c r="AC16" s="148" t="s">
        <v>211</v>
      </c>
      <c r="AD16" s="148" t="s">
        <v>211</v>
      </c>
      <c r="AE16" s="194" t="s">
        <v>211</v>
      </c>
    </row>
    <row r="17" spans="1:31" ht="26.1" customHeight="1">
      <c r="A17" s="125"/>
      <c r="B17" s="180" t="s">
        <v>211</v>
      </c>
      <c r="C17" s="181">
        <v>0.15</v>
      </c>
      <c r="D17" s="181">
        <v>0.28999999999999998</v>
      </c>
      <c r="E17" s="181">
        <v>0.44</v>
      </c>
      <c r="F17" s="181">
        <v>0.41</v>
      </c>
      <c r="G17" s="181">
        <v>0.39</v>
      </c>
      <c r="H17" s="181">
        <v>0.36</v>
      </c>
      <c r="I17" s="181">
        <v>0.39</v>
      </c>
      <c r="J17" s="181">
        <v>0.41</v>
      </c>
      <c r="K17" s="181">
        <v>0.28999999999999998</v>
      </c>
      <c r="L17" s="181">
        <v>0.15</v>
      </c>
      <c r="M17" s="182" t="s">
        <v>211</v>
      </c>
      <c r="N17" s="183" t="s">
        <v>216</v>
      </c>
      <c r="O17" s="124"/>
      <c r="P17" s="124"/>
      <c r="Q17" s="124"/>
      <c r="R17" s="124"/>
      <c r="S17" s="275" t="s">
        <v>217</v>
      </c>
      <c r="T17" s="180" t="s">
        <v>210</v>
      </c>
      <c r="U17" s="181">
        <v>329</v>
      </c>
      <c r="V17" s="181">
        <v>592</v>
      </c>
      <c r="W17" s="184">
        <v>2784</v>
      </c>
      <c r="X17" s="184">
        <v>2727</v>
      </c>
      <c r="Y17" s="184">
        <v>2682</v>
      </c>
      <c r="Z17" s="184">
        <v>2846</v>
      </c>
      <c r="AA17" s="184">
        <v>2903</v>
      </c>
      <c r="AB17" s="184">
        <v>2948</v>
      </c>
      <c r="AC17" s="184">
        <v>2455</v>
      </c>
      <c r="AD17" s="184">
        <v>2192</v>
      </c>
      <c r="AE17" s="182" t="s">
        <v>211</v>
      </c>
    </row>
    <row r="18" spans="1:31" ht="14.45" customHeight="1">
      <c r="A18" s="125"/>
      <c r="B18" s="185" t="s">
        <v>202</v>
      </c>
      <c r="C18" s="186" t="s">
        <v>202</v>
      </c>
      <c r="D18" s="186" t="s">
        <v>202</v>
      </c>
      <c r="E18" s="186" t="s">
        <v>202</v>
      </c>
      <c r="F18" s="186" t="s">
        <v>202</v>
      </c>
      <c r="G18" s="186" t="s">
        <v>202</v>
      </c>
      <c r="H18" s="186" t="s">
        <v>202</v>
      </c>
      <c r="I18" s="186" t="s">
        <v>202</v>
      </c>
      <c r="J18" s="186" t="s">
        <v>202</v>
      </c>
      <c r="K18" s="186" t="s">
        <v>202</v>
      </c>
      <c r="L18" s="186" t="s">
        <v>202</v>
      </c>
      <c r="M18" s="187" t="s">
        <v>202</v>
      </c>
      <c r="N18" s="244"/>
      <c r="O18" s="124"/>
      <c r="P18" s="124"/>
      <c r="Q18" s="188"/>
      <c r="R18" s="188"/>
      <c r="S18" s="276"/>
      <c r="T18" s="185" t="s">
        <v>202</v>
      </c>
      <c r="U18" s="186" t="s">
        <v>202</v>
      </c>
      <c r="V18" s="186" t="s">
        <v>202</v>
      </c>
      <c r="W18" s="186" t="s">
        <v>202</v>
      </c>
      <c r="X18" s="186" t="s">
        <v>202</v>
      </c>
      <c r="Y18" s="186" t="s">
        <v>202</v>
      </c>
      <c r="Z18" s="186" t="s">
        <v>202</v>
      </c>
      <c r="AA18" s="186" t="s">
        <v>202</v>
      </c>
      <c r="AB18" s="186" t="s">
        <v>202</v>
      </c>
      <c r="AC18" s="186" t="s">
        <v>202</v>
      </c>
      <c r="AD18" s="186" t="s">
        <v>202</v>
      </c>
      <c r="AE18" s="187" t="s">
        <v>202</v>
      </c>
    </row>
    <row r="19" spans="1:31" ht="15" customHeight="1" thickBot="1">
      <c r="A19" s="125"/>
      <c r="B19" s="153">
        <v>1</v>
      </c>
      <c r="C19" s="154">
        <v>1</v>
      </c>
      <c r="D19" s="154">
        <v>1</v>
      </c>
      <c r="E19" s="154">
        <v>1</v>
      </c>
      <c r="F19" s="154">
        <v>1</v>
      </c>
      <c r="G19" s="154">
        <v>1</v>
      </c>
      <c r="H19" s="154">
        <v>1</v>
      </c>
      <c r="I19" s="154">
        <v>1</v>
      </c>
      <c r="J19" s="154">
        <v>1</v>
      </c>
      <c r="K19" s="154">
        <v>1</v>
      </c>
      <c r="L19" s="154">
        <v>1</v>
      </c>
      <c r="M19" s="155">
        <v>1</v>
      </c>
      <c r="N19" s="244"/>
      <c r="O19" s="124"/>
      <c r="P19" s="124"/>
      <c r="Q19" s="124"/>
      <c r="R19" s="124"/>
      <c r="S19" s="276"/>
      <c r="T19" s="189">
        <v>1280</v>
      </c>
      <c r="U19" s="189">
        <v>1280</v>
      </c>
      <c r="V19" s="189">
        <v>1280</v>
      </c>
      <c r="W19" s="189">
        <v>3840</v>
      </c>
      <c r="X19" s="189">
        <v>3840</v>
      </c>
      <c r="Y19" s="189">
        <v>3840</v>
      </c>
      <c r="Z19" s="189">
        <v>7680</v>
      </c>
      <c r="AA19" s="189">
        <v>7680</v>
      </c>
      <c r="AB19" s="189">
        <v>7680</v>
      </c>
      <c r="AC19" s="189">
        <v>7680</v>
      </c>
      <c r="AD19" s="189">
        <v>3840</v>
      </c>
      <c r="AE19" s="189">
        <v>1280</v>
      </c>
    </row>
    <row r="20" spans="1:31" ht="14.45" thickBot="1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243"/>
      <c r="Q20" s="243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</row>
    <row r="21" spans="1:31" ht="18.600000000000001" customHeight="1" thickBot="1">
      <c r="A21" s="190" t="s">
        <v>218</v>
      </c>
      <c r="B21" s="160" t="s">
        <v>185</v>
      </c>
      <c r="C21" s="161" t="s">
        <v>186</v>
      </c>
      <c r="D21" s="161" t="s">
        <v>187</v>
      </c>
      <c r="E21" s="161" t="s">
        <v>188</v>
      </c>
      <c r="F21" s="161" t="s">
        <v>189</v>
      </c>
      <c r="G21" s="161" t="s">
        <v>190</v>
      </c>
      <c r="H21" s="161" t="s">
        <v>191</v>
      </c>
      <c r="I21" s="161" t="s">
        <v>192</v>
      </c>
      <c r="J21" s="161" t="s">
        <v>193</v>
      </c>
      <c r="K21" s="161" t="s">
        <v>194</v>
      </c>
      <c r="L21" s="161" t="s">
        <v>195</v>
      </c>
      <c r="M21" s="191" t="s">
        <v>196</v>
      </c>
      <c r="N21" s="297" t="s">
        <v>219</v>
      </c>
      <c r="O21" s="298"/>
      <c r="P21" s="298"/>
      <c r="Q21" s="298"/>
      <c r="R21" s="299"/>
      <c r="S21" s="295" t="s">
        <v>220</v>
      </c>
      <c r="T21" s="160" t="s">
        <v>185</v>
      </c>
      <c r="U21" s="161" t="s">
        <v>186</v>
      </c>
      <c r="V21" s="161" t="s">
        <v>187</v>
      </c>
      <c r="W21" s="161" t="s">
        <v>188</v>
      </c>
      <c r="X21" s="161" t="s">
        <v>189</v>
      </c>
      <c r="Y21" s="161" t="s">
        <v>190</v>
      </c>
      <c r="Z21" s="161" t="s">
        <v>191</v>
      </c>
      <c r="AA21" s="161" t="s">
        <v>192</v>
      </c>
      <c r="AB21" s="161" t="s">
        <v>193</v>
      </c>
      <c r="AC21" s="161" t="s">
        <v>194</v>
      </c>
      <c r="AD21" s="161" t="s">
        <v>195</v>
      </c>
      <c r="AE21" s="191" t="s">
        <v>196</v>
      </c>
    </row>
    <row r="22" spans="1:31" ht="18.95" customHeight="1">
      <c r="A22" s="162" t="s">
        <v>84</v>
      </c>
      <c r="B22" s="157" t="s">
        <v>210</v>
      </c>
      <c r="C22" s="129">
        <v>110</v>
      </c>
      <c r="D22" s="129">
        <v>197</v>
      </c>
      <c r="E22" s="129">
        <v>395</v>
      </c>
      <c r="F22" s="129">
        <v>285</v>
      </c>
      <c r="G22" s="129">
        <v>197</v>
      </c>
      <c r="H22" s="129" t="s">
        <v>211</v>
      </c>
      <c r="I22" s="129">
        <v>110</v>
      </c>
      <c r="J22" s="129">
        <v>197</v>
      </c>
      <c r="K22" s="129">
        <v>285</v>
      </c>
      <c r="L22" s="129">
        <v>197</v>
      </c>
      <c r="M22" s="192" t="s">
        <v>211</v>
      </c>
      <c r="N22" s="297"/>
      <c r="O22" s="298"/>
      <c r="P22" s="298"/>
      <c r="Q22" s="298"/>
      <c r="R22" s="299"/>
      <c r="S22" s="296"/>
      <c r="T22" s="157" t="s">
        <v>211</v>
      </c>
      <c r="U22" s="129" t="s">
        <v>211</v>
      </c>
      <c r="V22" s="129" t="s">
        <v>211</v>
      </c>
      <c r="W22" s="163">
        <v>21375</v>
      </c>
      <c r="X22" s="163">
        <v>21375</v>
      </c>
      <c r="Y22" s="163">
        <v>21375</v>
      </c>
      <c r="Z22" s="129" t="s">
        <v>211</v>
      </c>
      <c r="AA22" s="129" t="s">
        <v>211</v>
      </c>
      <c r="AB22" s="129" t="s">
        <v>211</v>
      </c>
      <c r="AC22" s="163">
        <v>21375</v>
      </c>
      <c r="AD22" s="163">
        <v>21375</v>
      </c>
      <c r="AE22" s="192" t="s">
        <v>211</v>
      </c>
    </row>
    <row r="23" spans="1:31" ht="14.45">
      <c r="A23" s="164" t="s">
        <v>85</v>
      </c>
      <c r="B23" s="158" t="s">
        <v>210</v>
      </c>
      <c r="C23" s="138" t="s">
        <v>211</v>
      </c>
      <c r="D23" s="138" t="s">
        <v>211</v>
      </c>
      <c r="E23" s="138" t="s">
        <v>211</v>
      </c>
      <c r="F23" s="138">
        <v>127</v>
      </c>
      <c r="G23" s="138">
        <v>145</v>
      </c>
      <c r="H23" s="138">
        <v>254</v>
      </c>
      <c r="I23" s="138">
        <v>127</v>
      </c>
      <c r="J23" s="138">
        <v>109</v>
      </c>
      <c r="K23" s="138" t="s">
        <v>211</v>
      </c>
      <c r="L23" s="138" t="s">
        <v>211</v>
      </c>
      <c r="M23" s="193" t="s">
        <v>211</v>
      </c>
      <c r="N23" s="297"/>
      <c r="O23" s="298"/>
      <c r="P23" s="298"/>
      <c r="Q23" s="298"/>
      <c r="R23" s="299"/>
      <c r="S23" s="296"/>
      <c r="T23" s="158" t="s">
        <v>211</v>
      </c>
      <c r="U23" s="138" t="s">
        <v>211</v>
      </c>
      <c r="V23" s="138" t="s">
        <v>211</v>
      </c>
      <c r="W23" s="138" t="s">
        <v>211</v>
      </c>
      <c r="X23" s="138" t="s">
        <v>211</v>
      </c>
      <c r="Y23" s="138" t="s">
        <v>211</v>
      </c>
      <c r="Z23" s="240">
        <v>4350</v>
      </c>
      <c r="AA23" s="240">
        <v>4350</v>
      </c>
      <c r="AB23" s="240">
        <v>4350</v>
      </c>
      <c r="AC23" s="138" t="s">
        <v>211</v>
      </c>
      <c r="AD23" s="138" t="s">
        <v>211</v>
      </c>
      <c r="AE23" s="193" t="s">
        <v>211</v>
      </c>
    </row>
    <row r="24" spans="1:31" ht="14.45">
      <c r="A24" s="164" t="s">
        <v>86</v>
      </c>
      <c r="B24" s="158" t="s">
        <v>210</v>
      </c>
      <c r="C24" s="138" t="s">
        <v>211</v>
      </c>
      <c r="D24" s="138" t="s">
        <v>211</v>
      </c>
      <c r="E24" s="138" t="s">
        <v>211</v>
      </c>
      <c r="F24" s="138" t="s">
        <v>211</v>
      </c>
      <c r="G24" s="138" t="s">
        <v>211</v>
      </c>
      <c r="H24" s="138" t="s">
        <v>211</v>
      </c>
      <c r="I24" s="138" t="s">
        <v>211</v>
      </c>
      <c r="J24" s="138" t="s">
        <v>211</v>
      </c>
      <c r="K24" s="138" t="s">
        <v>211</v>
      </c>
      <c r="L24" s="138" t="s">
        <v>211</v>
      </c>
      <c r="M24" s="193" t="s">
        <v>211</v>
      </c>
      <c r="N24" s="297"/>
      <c r="O24" s="298"/>
      <c r="P24" s="298"/>
      <c r="Q24" s="298"/>
      <c r="R24" s="299"/>
      <c r="S24" s="296"/>
      <c r="T24" s="158" t="s">
        <v>211</v>
      </c>
      <c r="U24" s="138" t="s">
        <v>211</v>
      </c>
      <c r="V24" s="138" t="s">
        <v>211</v>
      </c>
      <c r="W24" s="138" t="s">
        <v>211</v>
      </c>
      <c r="X24" s="138" t="s">
        <v>211</v>
      </c>
      <c r="Y24" s="138" t="s">
        <v>211</v>
      </c>
      <c r="Z24" s="138" t="s">
        <v>211</v>
      </c>
      <c r="AA24" s="138" t="s">
        <v>211</v>
      </c>
      <c r="AB24" s="138" t="s">
        <v>211</v>
      </c>
      <c r="AC24" s="138" t="s">
        <v>211</v>
      </c>
      <c r="AD24" s="138" t="s">
        <v>211</v>
      </c>
      <c r="AE24" s="193" t="s">
        <v>211</v>
      </c>
    </row>
    <row r="25" spans="1:31" ht="14.45">
      <c r="A25" s="164" t="s">
        <v>87</v>
      </c>
      <c r="B25" s="158" t="s">
        <v>210</v>
      </c>
      <c r="C25" s="138" t="s">
        <v>211</v>
      </c>
      <c r="D25" s="138" t="s">
        <v>211</v>
      </c>
      <c r="E25" s="138" t="s">
        <v>211</v>
      </c>
      <c r="F25" s="138" t="s">
        <v>211</v>
      </c>
      <c r="G25" s="138" t="s">
        <v>211</v>
      </c>
      <c r="H25" s="138" t="s">
        <v>211</v>
      </c>
      <c r="I25" s="138" t="s">
        <v>211</v>
      </c>
      <c r="J25" s="138" t="s">
        <v>211</v>
      </c>
      <c r="K25" s="138" t="s">
        <v>211</v>
      </c>
      <c r="L25" s="138" t="s">
        <v>211</v>
      </c>
      <c r="M25" s="193" t="s">
        <v>211</v>
      </c>
      <c r="N25" s="297"/>
      <c r="O25" s="298"/>
      <c r="P25" s="298"/>
      <c r="Q25" s="298"/>
      <c r="R25" s="299"/>
      <c r="S25" s="296"/>
      <c r="T25" s="158" t="s">
        <v>211</v>
      </c>
      <c r="U25" s="138" t="s">
        <v>211</v>
      </c>
      <c r="V25" s="138" t="s">
        <v>211</v>
      </c>
      <c r="W25" s="138" t="s">
        <v>211</v>
      </c>
      <c r="X25" s="138" t="s">
        <v>211</v>
      </c>
      <c r="Y25" s="138" t="s">
        <v>211</v>
      </c>
      <c r="Z25" s="138" t="s">
        <v>211</v>
      </c>
      <c r="AA25" s="138" t="s">
        <v>211</v>
      </c>
      <c r="AB25" s="138" t="s">
        <v>211</v>
      </c>
      <c r="AC25" s="138" t="s">
        <v>211</v>
      </c>
      <c r="AD25" s="138" t="s">
        <v>211</v>
      </c>
      <c r="AE25" s="193" t="s">
        <v>211</v>
      </c>
    </row>
    <row r="26" spans="1:31" ht="14.45">
      <c r="A26" s="164" t="s">
        <v>88</v>
      </c>
      <c r="B26" s="158" t="s">
        <v>210</v>
      </c>
      <c r="C26" s="138" t="s">
        <v>211</v>
      </c>
      <c r="D26" s="138" t="s">
        <v>211</v>
      </c>
      <c r="E26" s="138" t="s">
        <v>211</v>
      </c>
      <c r="F26" s="138" t="s">
        <v>211</v>
      </c>
      <c r="G26" s="138" t="s">
        <v>211</v>
      </c>
      <c r="H26" s="138" t="s">
        <v>211</v>
      </c>
      <c r="I26" s="138" t="s">
        <v>211</v>
      </c>
      <c r="J26" s="138" t="s">
        <v>211</v>
      </c>
      <c r="K26" s="138" t="s">
        <v>211</v>
      </c>
      <c r="L26" s="138" t="s">
        <v>211</v>
      </c>
      <c r="M26" s="193" t="s">
        <v>211</v>
      </c>
      <c r="N26" s="297"/>
      <c r="O26" s="298"/>
      <c r="P26" s="298"/>
      <c r="Q26" s="298"/>
      <c r="R26" s="299"/>
      <c r="S26" s="296"/>
      <c r="T26" s="158" t="s">
        <v>211</v>
      </c>
      <c r="U26" s="138" t="s">
        <v>211</v>
      </c>
      <c r="V26" s="138" t="s">
        <v>211</v>
      </c>
      <c r="W26" s="138" t="s">
        <v>211</v>
      </c>
      <c r="X26" s="138" t="s">
        <v>211</v>
      </c>
      <c r="Y26" s="138" t="s">
        <v>211</v>
      </c>
      <c r="Z26" s="138" t="s">
        <v>211</v>
      </c>
      <c r="AA26" s="138" t="s">
        <v>211</v>
      </c>
      <c r="AB26" s="138" t="s">
        <v>211</v>
      </c>
      <c r="AC26" s="138" t="s">
        <v>211</v>
      </c>
      <c r="AD26" s="138" t="s">
        <v>211</v>
      </c>
      <c r="AE26" s="193" t="s">
        <v>211</v>
      </c>
    </row>
    <row r="27" spans="1:31" ht="15" thickBot="1">
      <c r="A27" s="179" t="s">
        <v>89</v>
      </c>
      <c r="B27" s="147" t="s">
        <v>210</v>
      </c>
      <c r="C27" s="148" t="s">
        <v>211</v>
      </c>
      <c r="D27" s="148" t="s">
        <v>211</v>
      </c>
      <c r="E27" s="148" t="s">
        <v>211</v>
      </c>
      <c r="F27" s="148" t="s">
        <v>211</v>
      </c>
      <c r="G27" s="148" t="s">
        <v>211</v>
      </c>
      <c r="H27" s="148" t="s">
        <v>211</v>
      </c>
      <c r="I27" s="148" t="s">
        <v>211</v>
      </c>
      <c r="J27" s="148" t="s">
        <v>211</v>
      </c>
      <c r="K27" s="148" t="s">
        <v>211</v>
      </c>
      <c r="L27" s="148" t="s">
        <v>211</v>
      </c>
      <c r="M27" s="194" t="s">
        <v>211</v>
      </c>
      <c r="N27" s="297"/>
      <c r="O27" s="298"/>
      <c r="P27" s="298"/>
      <c r="Q27" s="298"/>
      <c r="R27" s="299"/>
      <c r="S27" s="296"/>
      <c r="T27" s="147" t="s">
        <v>211</v>
      </c>
      <c r="U27" s="148" t="s">
        <v>211</v>
      </c>
      <c r="V27" s="148" t="s">
        <v>211</v>
      </c>
      <c r="W27" s="148" t="s">
        <v>211</v>
      </c>
      <c r="X27" s="148" t="s">
        <v>211</v>
      </c>
      <c r="Y27" s="148" t="s">
        <v>211</v>
      </c>
      <c r="Z27" s="148" t="s">
        <v>211</v>
      </c>
      <c r="AA27" s="148" t="s">
        <v>211</v>
      </c>
      <c r="AB27" s="148" t="s">
        <v>211</v>
      </c>
      <c r="AC27" s="148" t="s">
        <v>211</v>
      </c>
      <c r="AD27" s="148" t="s">
        <v>211</v>
      </c>
      <c r="AE27" s="194" t="s">
        <v>211</v>
      </c>
    </row>
    <row r="28" spans="1:31" ht="14.45">
      <c r="A28" s="188"/>
      <c r="B28" s="180" t="s">
        <v>211</v>
      </c>
      <c r="C28" s="181">
        <v>110</v>
      </c>
      <c r="D28" s="181">
        <v>197</v>
      </c>
      <c r="E28" s="181">
        <v>395</v>
      </c>
      <c r="F28" s="181">
        <v>412</v>
      </c>
      <c r="G28" s="181">
        <v>342</v>
      </c>
      <c r="H28" s="181">
        <v>254</v>
      </c>
      <c r="I28" s="181">
        <v>236</v>
      </c>
      <c r="J28" s="181">
        <v>306</v>
      </c>
      <c r="K28" s="181">
        <v>285</v>
      </c>
      <c r="L28" s="181">
        <v>197</v>
      </c>
      <c r="M28" s="182" t="s">
        <v>211</v>
      </c>
      <c r="N28" s="297"/>
      <c r="O28" s="298"/>
      <c r="P28" s="298"/>
      <c r="Q28" s="298"/>
      <c r="R28" s="299"/>
      <c r="S28" s="296"/>
      <c r="T28" s="180" t="s">
        <v>211</v>
      </c>
      <c r="U28" s="181" t="s">
        <v>211</v>
      </c>
      <c r="V28" s="181" t="s">
        <v>211</v>
      </c>
      <c r="W28" s="184">
        <v>21375</v>
      </c>
      <c r="X28" s="184">
        <v>21375</v>
      </c>
      <c r="Y28" s="184">
        <v>21375</v>
      </c>
      <c r="Z28" s="184">
        <v>4350</v>
      </c>
      <c r="AA28" s="184">
        <v>4350</v>
      </c>
      <c r="AB28" s="184">
        <v>4350</v>
      </c>
      <c r="AC28" s="184">
        <v>21375</v>
      </c>
      <c r="AD28" s="184">
        <v>21375</v>
      </c>
      <c r="AE28" s="182" t="s">
        <v>211</v>
      </c>
    </row>
    <row r="29" spans="1:31" ht="14.45">
      <c r="A29" s="188"/>
      <c r="B29" s="185" t="s">
        <v>202</v>
      </c>
      <c r="C29" s="186" t="s">
        <v>202</v>
      </c>
      <c r="D29" s="186" t="s">
        <v>202</v>
      </c>
      <c r="E29" s="186" t="s">
        <v>202</v>
      </c>
      <c r="F29" s="186" t="s">
        <v>202</v>
      </c>
      <c r="G29" s="186" t="s">
        <v>202</v>
      </c>
      <c r="H29" s="186" t="s">
        <v>202</v>
      </c>
      <c r="I29" s="186" t="s">
        <v>202</v>
      </c>
      <c r="J29" s="186" t="s">
        <v>202</v>
      </c>
      <c r="K29" s="186" t="s">
        <v>202</v>
      </c>
      <c r="L29" s="186" t="s">
        <v>202</v>
      </c>
      <c r="M29" s="187" t="s">
        <v>202</v>
      </c>
      <c r="N29" s="297"/>
      <c r="O29" s="298"/>
      <c r="P29" s="298"/>
      <c r="Q29" s="298"/>
      <c r="R29" s="299"/>
      <c r="S29" s="296"/>
      <c r="T29" s="185" t="s">
        <v>202</v>
      </c>
      <c r="U29" s="186" t="s">
        <v>202</v>
      </c>
      <c r="V29" s="186" t="s">
        <v>202</v>
      </c>
      <c r="W29" s="186" t="s">
        <v>202</v>
      </c>
      <c r="X29" s="186" t="s">
        <v>202</v>
      </c>
      <c r="Y29" s="186" t="s">
        <v>202</v>
      </c>
      <c r="Z29" s="186" t="s">
        <v>202</v>
      </c>
      <c r="AA29" s="186" t="s">
        <v>202</v>
      </c>
      <c r="AB29" s="186" t="s">
        <v>202</v>
      </c>
      <c r="AC29" s="186" t="s">
        <v>202</v>
      </c>
      <c r="AD29" s="186" t="s">
        <v>202</v>
      </c>
      <c r="AE29" s="187" t="s">
        <v>202</v>
      </c>
    </row>
    <row r="30" spans="1:31" ht="15" thickBot="1">
      <c r="A30" s="188"/>
      <c r="B30" s="153">
        <v>750</v>
      </c>
      <c r="C30" s="153">
        <v>750</v>
      </c>
      <c r="D30" s="153">
        <v>750</v>
      </c>
      <c r="E30" s="153">
        <v>750</v>
      </c>
      <c r="F30" s="153">
        <v>750</v>
      </c>
      <c r="G30" s="153">
        <v>750</v>
      </c>
      <c r="H30" s="153">
        <v>750</v>
      </c>
      <c r="I30" s="153">
        <v>750</v>
      </c>
      <c r="J30" s="153">
        <v>750</v>
      </c>
      <c r="K30" s="153">
        <v>750</v>
      </c>
      <c r="L30" s="153">
        <v>750</v>
      </c>
      <c r="M30" s="153">
        <v>750</v>
      </c>
      <c r="N30" s="297"/>
      <c r="O30" s="298"/>
      <c r="P30" s="298"/>
      <c r="Q30" s="298"/>
      <c r="R30" s="299"/>
      <c r="S30" s="296"/>
      <c r="T30" s="189">
        <v>24000</v>
      </c>
      <c r="U30" s="195">
        <v>24000</v>
      </c>
      <c r="V30" s="195">
        <v>24000</v>
      </c>
      <c r="W30" s="195">
        <v>24000</v>
      </c>
      <c r="X30" s="195">
        <v>24000</v>
      </c>
      <c r="Y30" s="195">
        <v>24000</v>
      </c>
      <c r="Z30" s="195">
        <v>24000</v>
      </c>
      <c r="AA30" s="195">
        <v>24000</v>
      </c>
      <c r="AB30" s="195">
        <v>24000</v>
      </c>
      <c r="AC30" s="195">
        <v>24000</v>
      </c>
      <c r="AD30" s="195">
        <v>24000</v>
      </c>
      <c r="AE30" s="241">
        <v>24000</v>
      </c>
    </row>
    <row r="31" spans="1:31" ht="15" thickBot="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</row>
    <row r="32" spans="1:31" ht="92.1" customHeight="1">
      <c r="A32" s="122" t="s">
        <v>221</v>
      </c>
      <c r="B32" s="119" t="s">
        <v>185</v>
      </c>
      <c r="C32" s="120" t="s">
        <v>186</v>
      </c>
      <c r="D32" s="120" t="s">
        <v>187</v>
      </c>
      <c r="E32" s="120" t="s">
        <v>188</v>
      </c>
      <c r="F32" s="120" t="s">
        <v>189</v>
      </c>
      <c r="G32" s="120" t="s">
        <v>190</v>
      </c>
      <c r="H32" s="120" t="s">
        <v>191</v>
      </c>
      <c r="I32" s="120" t="s">
        <v>192</v>
      </c>
      <c r="J32" s="120" t="s">
        <v>193</v>
      </c>
      <c r="K32" s="120" t="s">
        <v>194</v>
      </c>
      <c r="L32" s="120" t="s">
        <v>195</v>
      </c>
      <c r="M32" s="121" t="s">
        <v>196</v>
      </c>
      <c r="N32" s="291" t="s">
        <v>222</v>
      </c>
      <c r="O32" s="292"/>
      <c r="P32" s="125"/>
      <c r="Q32" s="125"/>
      <c r="R32" s="233"/>
      <c r="S32" s="232" t="s">
        <v>223</v>
      </c>
      <c r="T32" s="293" t="s">
        <v>224</v>
      </c>
      <c r="U32" s="289" t="s">
        <v>225</v>
      </c>
      <c r="V32" s="289" t="s">
        <v>226</v>
      </c>
      <c r="W32" s="289" t="s">
        <v>227</v>
      </c>
      <c r="X32" s="289" t="s">
        <v>228</v>
      </c>
      <c r="Y32" s="289" t="s">
        <v>229</v>
      </c>
      <c r="Z32" s="242"/>
      <c r="AA32" s="125"/>
      <c r="AB32" s="125"/>
      <c r="AC32" s="125"/>
      <c r="AD32" s="125">
        <v>0</v>
      </c>
      <c r="AE32" s="125"/>
    </row>
    <row r="33" spans="1:31" ht="18.95" customHeight="1" thickBot="1">
      <c r="A33" s="232"/>
      <c r="B33" s="234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6"/>
      <c r="N33" s="291" t="s">
        <v>230</v>
      </c>
      <c r="O33" s="292"/>
      <c r="P33" s="125"/>
      <c r="Q33" s="125"/>
      <c r="R33" s="233"/>
      <c r="S33" s="232"/>
      <c r="T33" s="294"/>
      <c r="U33" s="290"/>
      <c r="V33" s="290"/>
      <c r="W33" s="290"/>
      <c r="X33" s="290"/>
      <c r="Y33" s="290"/>
      <c r="Z33" s="242"/>
      <c r="AA33" s="125"/>
      <c r="AB33" s="125"/>
      <c r="AC33" s="125"/>
      <c r="AD33" s="125"/>
      <c r="AE33" s="125"/>
    </row>
    <row r="34" spans="1:31" ht="18.600000000000001">
      <c r="A34" s="196" t="s">
        <v>231</v>
      </c>
      <c r="B34" s="186">
        <v>0</v>
      </c>
      <c r="C34" s="186">
        <v>0</v>
      </c>
      <c r="D34" s="186">
        <v>0</v>
      </c>
      <c r="E34" s="197">
        <v>285000</v>
      </c>
      <c r="F34" s="197">
        <v>285000</v>
      </c>
      <c r="G34" s="197">
        <v>285000</v>
      </c>
      <c r="H34" s="186">
        <v>0</v>
      </c>
      <c r="I34" s="186">
        <v>0</v>
      </c>
      <c r="J34" s="186">
        <v>0</v>
      </c>
      <c r="K34" s="197">
        <v>285000</v>
      </c>
      <c r="L34" s="197">
        <v>285000</v>
      </c>
      <c r="M34" s="186">
        <v>0</v>
      </c>
      <c r="N34" s="125" t="s">
        <v>232</v>
      </c>
      <c r="O34" s="198">
        <v>1425000</v>
      </c>
      <c r="P34" s="125"/>
      <c r="Q34" s="125"/>
      <c r="R34" s="125"/>
      <c r="S34" s="125"/>
      <c r="T34" s="125"/>
      <c r="U34" s="125"/>
      <c r="V34" s="125"/>
      <c r="W34" s="199">
        <v>3411697.7</v>
      </c>
      <c r="X34" s="199">
        <v>664980</v>
      </c>
      <c r="Y34" s="199">
        <v>4076677.7</v>
      </c>
      <c r="Z34" s="125"/>
      <c r="AA34" s="125"/>
      <c r="AB34" s="125"/>
      <c r="AC34" s="125"/>
      <c r="AD34" s="125"/>
      <c r="AE34" s="125"/>
    </row>
    <row r="35" spans="1:31" ht="18.600000000000001">
      <c r="A35" s="200" t="s">
        <v>202</v>
      </c>
      <c r="B35" s="186">
        <v>0</v>
      </c>
      <c r="C35" s="186">
        <v>0</v>
      </c>
      <c r="D35" s="186">
        <v>0</v>
      </c>
      <c r="E35" s="197">
        <v>285000</v>
      </c>
      <c r="F35" s="197">
        <v>285000</v>
      </c>
      <c r="G35" s="197">
        <v>285000</v>
      </c>
      <c r="H35" s="186">
        <v>0</v>
      </c>
      <c r="I35" s="186">
        <v>0</v>
      </c>
      <c r="J35" s="186">
        <v>0</v>
      </c>
      <c r="K35" s="197">
        <v>285000</v>
      </c>
      <c r="L35" s="197">
        <v>285000</v>
      </c>
      <c r="M35" s="186">
        <v>0</v>
      </c>
      <c r="N35" s="125"/>
      <c r="O35" s="125"/>
      <c r="P35" s="125"/>
      <c r="Q35" s="125"/>
      <c r="R35" s="125"/>
      <c r="S35" s="125"/>
      <c r="T35" s="125"/>
      <c r="U35" s="125"/>
      <c r="V35" s="125"/>
      <c r="W35" s="201"/>
      <c r="X35" s="201"/>
      <c r="Y35" s="201"/>
      <c r="Z35" s="125"/>
      <c r="AA35" s="125"/>
      <c r="AB35" s="125"/>
      <c r="AC35" s="125"/>
      <c r="AD35" s="125"/>
      <c r="AE35" s="125"/>
    </row>
    <row r="36" spans="1:31" ht="18.95" thickBot="1">
      <c r="A36" s="202" t="s">
        <v>233</v>
      </c>
      <c r="B36" s="203">
        <v>0</v>
      </c>
      <c r="C36" s="203">
        <v>0</v>
      </c>
      <c r="D36" s="203">
        <v>0</v>
      </c>
      <c r="E36" s="204">
        <v>160000</v>
      </c>
      <c r="F36" s="204">
        <v>160000</v>
      </c>
      <c r="G36" s="204">
        <v>160000</v>
      </c>
      <c r="H36" s="203">
        <v>0</v>
      </c>
      <c r="I36" s="203">
        <v>0</v>
      </c>
      <c r="J36" s="203">
        <v>0</v>
      </c>
      <c r="K36" s="204">
        <v>160000</v>
      </c>
      <c r="L36" s="204">
        <v>160000</v>
      </c>
      <c r="M36" s="203">
        <v>0</v>
      </c>
      <c r="N36" s="205" t="s">
        <v>202</v>
      </c>
      <c r="O36" s="206">
        <v>160000</v>
      </c>
      <c r="P36" s="237"/>
      <c r="Q36" s="125"/>
      <c r="R36" s="125"/>
      <c r="S36" s="198">
        <v>800000</v>
      </c>
      <c r="T36" s="207">
        <v>1.02</v>
      </c>
      <c r="U36" s="207">
        <v>813452.31</v>
      </c>
      <c r="V36" s="208">
        <v>24000</v>
      </c>
      <c r="W36" s="201"/>
      <c r="X36" s="201"/>
      <c r="Y36" s="186" t="s">
        <v>202</v>
      </c>
      <c r="Z36" s="125"/>
      <c r="AA36" s="125"/>
      <c r="AB36" s="125"/>
      <c r="AC36" s="125"/>
      <c r="AD36" s="125"/>
      <c r="AE36" s="125"/>
    </row>
    <row r="37" spans="1:31" ht="14.45" customHeight="1" thickBot="1">
      <c r="A37" s="209" t="s">
        <v>234</v>
      </c>
      <c r="B37" s="210">
        <v>0</v>
      </c>
      <c r="C37" s="210">
        <v>0</v>
      </c>
      <c r="D37" s="210">
        <v>0</v>
      </c>
      <c r="E37" s="211">
        <v>50000</v>
      </c>
      <c r="F37" s="211">
        <v>50000</v>
      </c>
      <c r="G37" s="211">
        <v>50000</v>
      </c>
      <c r="H37" s="210">
        <v>0</v>
      </c>
      <c r="I37" s="210">
        <v>0</v>
      </c>
      <c r="J37" s="210">
        <v>0</v>
      </c>
      <c r="K37" s="211">
        <v>50000</v>
      </c>
      <c r="L37" s="211">
        <v>50000</v>
      </c>
      <c r="M37" s="210">
        <v>0</v>
      </c>
      <c r="N37" s="212" t="s">
        <v>202</v>
      </c>
      <c r="O37" s="213">
        <v>50000</v>
      </c>
      <c r="P37" s="237"/>
      <c r="Q37" s="125"/>
      <c r="R37" s="125"/>
      <c r="S37" s="198">
        <v>250000</v>
      </c>
      <c r="T37" s="215">
        <v>6.52</v>
      </c>
      <c r="U37" s="215">
        <v>1629203.85</v>
      </c>
      <c r="V37" s="238"/>
      <c r="W37" s="201"/>
      <c r="X37" s="201"/>
      <c r="Y37" s="195">
        <v>1500000</v>
      </c>
      <c r="Z37" s="125"/>
      <c r="AA37" s="125"/>
      <c r="AB37" s="125"/>
      <c r="AC37" s="125"/>
      <c r="AD37" s="125"/>
      <c r="AE37" s="125"/>
    </row>
    <row r="38" spans="1:31" ht="15" thickBot="1">
      <c r="A38" s="216" t="s">
        <v>235</v>
      </c>
      <c r="B38" s="217">
        <v>0</v>
      </c>
      <c r="C38" s="217">
        <v>0</v>
      </c>
      <c r="D38" s="217">
        <v>0</v>
      </c>
      <c r="E38" s="218">
        <v>75000</v>
      </c>
      <c r="F38" s="218">
        <v>75000</v>
      </c>
      <c r="G38" s="218">
        <v>75000</v>
      </c>
      <c r="H38" s="217">
        <v>0</v>
      </c>
      <c r="I38" s="217">
        <v>0</v>
      </c>
      <c r="J38" s="217">
        <v>0</v>
      </c>
      <c r="K38" s="218">
        <v>75000</v>
      </c>
      <c r="L38" s="218">
        <v>75000</v>
      </c>
      <c r="M38" s="217">
        <v>0</v>
      </c>
      <c r="N38" s="219" t="s">
        <v>202</v>
      </c>
      <c r="O38" s="220">
        <v>75000</v>
      </c>
      <c r="P38" s="237"/>
      <c r="Q38" s="125"/>
      <c r="R38" s="125"/>
      <c r="S38" s="198">
        <v>375000</v>
      </c>
      <c r="T38" s="215">
        <v>2.02</v>
      </c>
      <c r="U38" s="215">
        <v>756305.77</v>
      </c>
      <c r="V38" s="239"/>
      <c r="W38" s="125"/>
      <c r="X38" s="125"/>
      <c r="Y38" s="125"/>
      <c r="Z38" s="125"/>
      <c r="AA38" s="125"/>
      <c r="AB38" s="125"/>
      <c r="AC38" s="125"/>
      <c r="AD38" s="125"/>
      <c r="AE38" s="125"/>
    </row>
    <row r="39" spans="1:31" ht="15" thickBot="1">
      <c r="A39" s="221" t="s">
        <v>236</v>
      </c>
      <c r="B39" s="181">
        <v>0</v>
      </c>
      <c r="C39" s="181">
        <v>0</v>
      </c>
      <c r="D39" s="181">
        <v>0</v>
      </c>
      <c r="E39" s="181">
        <v>0</v>
      </c>
      <c r="F39" s="181">
        <v>0</v>
      </c>
      <c r="G39" s="181">
        <v>0</v>
      </c>
      <c r="H39" s="184">
        <v>290000</v>
      </c>
      <c r="I39" s="184">
        <v>290000</v>
      </c>
      <c r="J39" s="184">
        <v>290000</v>
      </c>
      <c r="K39" s="181">
        <v>0</v>
      </c>
      <c r="L39" s="181">
        <v>0</v>
      </c>
      <c r="M39" s="181">
        <v>0</v>
      </c>
      <c r="N39" s="125" t="s">
        <v>232</v>
      </c>
      <c r="O39" s="198">
        <v>870000</v>
      </c>
      <c r="P39" s="125"/>
      <c r="Q39" s="125"/>
      <c r="R39" s="125"/>
      <c r="S39" s="125"/>
      <c r="T39" s="222"/>
      <c r="U39" s="222"/>
      <c r="V39" s="222"/>
      <c r="W39" s="125"/>
      <c r="X39" s="125"/>
      <c r="Y39" s="125"/>
      <c r="Z39" s="125"/>
      <c r="AA39" s="125"/>
      <c r="AB39" s="125"/>
      <c r="AC39" s="125"/>
      <c r="AD39" s="125"/>
      <c r="AE39" s="125"/>
    </row>
    <row r="40" spans="1:31" ht="15" thickBot="1">
      <c r="A40" s="223"/>
      <c r="B40" s="186">
        <v>0</v>
      </c>
      <c r="C40" s="186">
        <v>0</v>
      </c>
      <c r="D40" s="186">
        <v>0</v>
      </c>
      <c r="E40" s="186">
        <v>0</v>
      </c>
      <c r="F40" s="186">
        <v>0</v>
      </c>
      <c r="G40" s="186">
        <v>0</v>
      </c>
      <c r="H40" s="197">
        <v>290000</v>
      </c>
      <c r="I40" s="197">
        <v>290000</v>
      </c>
      <c r="J40" s="197">
        <v>290000</v>
      </c>
      <c r="K40" s="186">
        <v>0</v>
      </c>
      <c r="L40" s="186">
        <v>0</v>
      </c>
      <c r="M40" s="186">
        <v>0</v>
      </c>
      <c r="N40" s="125"/>
      <c r="O40" s="125"/>
      <c r="P40" s="125"/>
      <c r="Q40" s="125"/>
      <c r="R40" s="125"/>
      <c r="S40" s="125"/>
      <c r="T40" s="222"/>
      <c r="U40" s="222"/>
      <c r="V40" s="222"/>
      <c r="W40" s="125"/>
      <c r="X40" s="125"/>
      <c r="Y40" s="125"/>
      <c r="Z40" s="125"/>
      <c r="AA40" s="125"/>
      <c r="AB40" s="125"/>
      <c r="AC40" s="125"/>
      <c r="AD40" s="125"/>
      <c r="AE40" s="125"/>
    </row>
    <row r="41" spans="1:31" ht="15" thickBot="1">
      <c r="A41" s="202" t="s">
        <v>233</v>
      </c>
      <c r="B41" s="203">
        <v>0</v>
      </c>
      <c r="C41" s="203">
        <v>0</v>
      </c>
      <c r="D41" s="203">
        <v>0</v>
      </c>
      <c r="E41" s="203">
        <v>0</v>
      </c>
      <c r="F41" s="203">
        <v>0</v>
      </c>
      <c r="G41" s="203">
        <v>0</v>
      </c>
      <c r="H41" s="204">
        <v>150000</v>
      </c>
      <c r="I41" s="204">
        <v>150000</v>
      </c>
      <c r="J41" s="204">
        <v>150000</v>
      </c>
      <c r="K41" s="203">
        <v>0</v>
      </c>
      <c r="L41" s="203">
        <v>0</v>
      </c>
      <c r="M41" s="203">
        <v>0</v>
      </c>
      <c r="N41" s="205" t="s">
        <v>202</v>
      </c>
      <c r="O41" s="206">
        <v>150000</v>
      </c>
      <c r="P41" s="237"/>
      <c r="Q41" s="125"/>
      <c r="R41" s="125"/>
      <c r="S41" s="214">
        <v>450000</v>
      </c>
      <c r="T41" s="215">
        <v>0.01</v>
      </c>
      <c r="U41" s="215">
        <v>3538.13</v>
      </c>
      <c r="V41" s="224">
        <v>9900</v>
      </c>
      <c r="W41" s="125"/>
      <c r="X41" s="125"/>
      <c r="Y41" s="125"/>
      <c r="Z41" s="125"/>
      <c r="AA41" s="125"/>
      <c r="AB41" s="125"/>
      <c r="AC41" s="125"/>
      <c r="AD41" s="125"/>
      <c r="AE41" s="125"/>
    </row>
    <row r="42" spans="1:31" ht="15" thickBot="1">
      <c r="A42" s="209" t="s">
        <v>234</v>
      </c>
      <c r="B42" s="210">
        <v>0</v>
      </c>
      <c r="C42" s="210">
        <v>0</v>
      </c>
      <c r="D42" s="210">
        <v>0</v>
      </c>
      <c r="E42" s="210">
        <v>0</v>
      </c>
      <c r="F42" s="210">
        <v>0</v>
      </c>
      <c r="G42" s="210">
        <v>0</v>
      </c>
      <c r="H42" s="211">
        <v>60000</v>
      </c>
      <c r="I42" s="211">
        <v>60000</v>
      </c>
      <c r="J42" s="211">
        <v>60000</v>
      </c>
      <c r="K42" s="210">
        <v>0</v>
      </c>
      <c r="L42" s="210">
        <v>0</v>
      </c>
      <c r="M42" s="210">
        <v>0</v>
      </c>
      <c r="N42" s="212" t="s">
        <v>202</v>
      </c>
      <c r="O42" s="213">
        <v>60000</v>
      </c>
      <c r="P42" s="237"/>
      <c r="Q42" s="125"/>
      <c r="R42" s="125"/>
      <c r="S42" s="214">
        <v>180000</v>
      </c>
      <c r="T42" s="215">
        <v>2.5099999999999998</v>
      </c>
      <c r="U42" s="215">
        <v>451415.25</v>
      </c>
      <c r="V42" s="238"/>
      <c r="W42" s="125"/>
      <c r="X42" s="125"/>
      <c r="Y42" s="125"/>
      <c r="Z42" s="125"/>
      <c r="AA42" s="125"/>
      <c r="AB42" s="125"/>
      <c r="AC42" s="125"/>
      <c r="AD42" s="125"/>
      <c r="AE42" s="125"/>
    </row>
    <row r="43" spans="1:31" ht="15" thickBot="1">
      <c r="A43" s="216" t="s">
        <v>235</v>
      </c>
      <c r="B43" s="217">
        <v>0</v>
      </c>
      <c r="C43" s="217">
        <v>0</v>
      </c>
      <c r="D43" s="217">
        <v>0</v>
      </c>
      <c r="E43" s="217">
        <v>0</v>
      </c>
      <c r="F43" s="217">
        <v>0</v>
      </c>
      <c r="G43" s="217">
        <v>0</v>
      </c>
      <c r="H43" s="218">
        <v>80000</v>
      </c>
      <c r="I43" s="218">
        <v>80000</v>
      </c>
      <c r="J43" s="218">
        <v>80000</v>
      </c>
      <c r="K43" s="217">
        <v>0</v>
      </c>
      <c r="L43" s="217">
        <v>0</v>
      </c>
      <c r="M43" s="217">
        <v>0</v>
      </c>
      <c r="N43" s="219" t="s">
        <v>202</v>
      </c>
      <c r="O43" s="220">
        <v>80000</v>
      </c>
      <c r="P43" s="237"/>
      <c r="Q43" s="125"/>
      <c r="R43" s="125"/>
      <c r="S43" s="214">
        <v>240000</v>
      </c>
      <c r="T43" s="215">
        <v>0.51</v>
      </c>
      <c r="U43" s="215">
        <v>121887</v>
      </c>
      <c r="V43" s="239"/>
      <c r="W43" s="125"/>
      <c r="X43" s="125"/>
      <c r="Y43" s="125"/>
      <c r="Z43" s="125"/>
      <c r="AA43" s="125"/>
      <c r="AB43" s="125"/>
      <c r="AC43" s="125"/>
      <c r="AD43" s="125"/>
      <c r="AE43" s="125"/>
    </row>
    <row r="44" spans="1:31" ht="15" thickBot="1">
      <c r="A44" s="221" t="s">
        <v>237</v>
      </c>
      <c r="B44" s="181">
        <v>0</v>
      </c>
      <c r="C44" s="181">
        <v>0</v>
      </c>
      <c r="D44" s="181">
        <v>0</v>
      </c>
      <c r="E44" s="181">
        <v>0</v>
      </c>
      <c r="F44" s="181">
        <v>0</v>
      </c>
      <c r="G44" s="181">
        <v>0</v>
      </c>
      <c r="H44" s="181">
        <v>0</v>
      </c>
      <c r="I44" s="181">
        <v>0</v>
      </c>
      <c r="J44" s="181">
        <v>0</v>
      </c>
      <c r="K44" s="181">
        <v>0</v>
      </c>
      <c r="L44" s="181">
        <v>0</v>
      </c>
      <c r="M44" s="181">
        <v>0</v>
      </c>
      <c r="N44" s="125" t="s">
        <v>232</v>
      </c>
      <c r="O44" s="125">
        <v>0</v>
      </c>
      <c r="P44" s="125"/>
      <c r="Q44" s="125"/>
      <c r="R44" s="125"/>
      <c r="S44" s="125"/>
      <c r="T44" s="222"/>
      <c r="U44" s="222"/>
      <c r="V44" s="222"/>
      <c r="W44" s="125"/>
      <c r="X44" s="125"/>
      <c r="Y44" s="125"/>
      <c r="Z44" s="125"/>
      <c r="AA44" s="125"/>
      <c r="AB44" s="125"/>
      <c r="AC44" s="125"/>
      <c r="AD44" s="125"/>
      <c r="AE44" s="125"/>
    </row>
    <row r="45" spans="1:31" ht="15" thickBot="1">
      <c r="A45" s="223"/>
      <c r="B45" s="186">
        <v>0</v>
      </c>
      <c r="C45" s="186">
        <v>0</v>
      </c>
      <c r="D45" s="186">
        <v>0</v>
      </c>
      <c r="E45" s="186">
        <v>0</v>
      </c>
      <c r="F45" s="186">
        <v>0</v>
      </c>
      <c r="G45" s="186">
        <v>0</v>
      </c>
      <c r="H45" s="186">
        <v>0</v>
      </c>
      <c r="I45" s="186">
        <v>0</v>
      </c>
      <c r="J45" s="186">
        <v>0</v>
      </c>
      <c r="K45" s="186">
        <v>0</v>
      </c>
      <c r="L45" s="186">
        <v>0</v>
      </c>
      <c r="M45" s="186">
        <v>0</v>
      </c>
      <c r="N45" s="125"/>
      <c r="O45" s="125"/>
      <c r="P45" s="125"/>
      <c r="Q45" s="125"/>
      <c r="R45" s="125"/>
      <c r="S45" s="125"/>
      <c r="T45" s="222"/>
      <c r="U45" s="222"/>
      <c r="V45" s="222"/>
      <c r="W45" s="125"/>
      <c r="X45" s="125"/>
      <c r="Y45" s="125"/>
      <c r="Z45" s="125"/>
      <c r="AA45" s="125"/>
      <c r="AB45" s="125"/>
      <c r="AC45" s="125"/>
      <c r="AD45" s="125"/>
      <c r="AE45" s="125"/>
    </row>
    <row r="46" spans="1:31" ht="15" thickBot="1">
      <c r="A46" s="202" t="s">
        <v>233</v>
      </c>
      <c r="B46" s="203">
        <v>0</v>
      </c>
      <c r="C46" s="203">
        <v>0</v>
      </c>
      <c r="D46" s="203">
        <v>0</v>
      </c>
      <c r="E46" s="203">
        <v>0</v>
      </c>
      <c r="F46" s="203"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5" t="s">
        <v>202</v>
      </c>
      <c r="O46" s="206">
        <v>100000</v>
      </c>
      <c r="P46" s="237"/>
      <c r="Q46" s="125"/>
      <c r="R46" s="125"/>
      <c r="S46" s="222">
        <v>0</v>
      </c>
      <c r="T46" s="215">
        <v>-3.75</v>
      </c>
      <c r="U46" s="215">
        <v>0</v>
      </c>
      <c r="V46" s="224">
        <v>0</v>
      </c>
      <c r="W46" s="125"/>
      <c r="X46" s="125"/>
      <c r="Y46" s="125"/>
      <c r="Z46" s="125"/>
      <c r="AA46" s="125"/>
      <c r="AB46" s="125"/>
      <c r="AC46" s="125"/>
      <c r="AD46" s="125"/>
      <c r="AE46" s="125"/>
    </row>
    <row r="47" spans="1:31" ht="15" thickBot="1">
      <c r="A47" s="209" t="s">
        <v>234</v>
      </c>
      <c r="B47" s="210">
        <v>0</v>
      </c>
      <c r="C47" s="210">
        <v>0</v>
      </c>
      <c r="D47" s="210">
        <v>0</v>
      </c>
      <c r="E47" s="210">
        <v>0</v>
      </c>
      <c r="F47" s="210">
        <v>0</v>
      </c>
      <c r="G47" s="210">
        <v>0</v>
      </c>
      <c r="H47" s="210">
        <v>0</v>
      </c>
      <c r="I47" s="210">
        <v>0</v>
      </c>
      <c r="J47" s="210">
        <v>0</v>
      </c>
      <c r="K47" s="210">
        <v>0</v>
      </c>
      <c r="L47" s="210">
        <v>0</v>
      </c>
      <c r="M47" s="210">
        <v>0</v>
      </c>
      <c r="N47" s="212" t="s">
        <v>202</v>
      </c>
      <c r="O47" s="213">
        <v>100000</v>
      </c>
      <c r="P47" s="237"/>
      <c r="Q47" s="125"/>
      <c r="R47" s="125"/>
      <c r="S47" s="222">
        <v>0</v>
      </c>
      <c r="T47" s="215">
        <v>-2.75</v>
      </c>
      <c r="U47" s="215">
        <v>0</v>
      </c>
      <c r="V47" s="238"/>
      <c r="W47" s="125"/>
      <c r="X47" s="125"/>
      <c r="Y47" s="125"/>
      <c r="Z47" s="125"/>
      <c r="AA47" s="125"/>
      <c r="AB47" s="125"/>
      <c r="AC47" s="125"/>
      <c r="AD47" s="125"/>
      <c r="AE47" s="125"/>
    </row>
    <row r="48" spans="1:31" ht="15" thickBot="1">
      <c r="A48" s="216" t="s">
        <v>235</v>
      </c>
      <c r="B48" s="217">
        <v>0</v>
      </c>
      <c r="C48" s="217">
        <v>0</v>
      </c>
      <c r="D48" s="217">
        <v>0</v>
      </c>
      <c r="E48" s="217">
        <v>0</v>
      </c>
      <c r="F48" s="217">
        <v>0</v>
      </c>
      <c r="G48" s="217">
        <v>0</v>
      </c>
      <c r="H48" s="217">
        <v>0</v>
      </c>
      <c r="I48" s="217">
        <v>0</v>
      </c>
      <c r="J48" s="217">
        <v>0</v>
      </c>
      <c r="K48" s="217">
        <v>0</v>
      </c>
      <c r="L48" s="217">
        <v>0</v>
      </c>
      <c r="M48" s="217">
        <v>0</v>
      </c>
      <c r="N48" s="219" t="s">
        <v>202</v>
      </c>
      <c r="O48" s="220">
        <v>70000</v>
      </c>
      <c r="P48" s="237"/>
      <c r="Q48" s="125"/>
      <c r="R48" s="125"/>
      <c r="S48" s="222">
        <v>0</v>
      </c>
      <c r="T48" s="215">
        <v>-3.25</v>
      </c>
      <c r="U48" s="215">
        <v>0</v>
      </c>
      <c r="V48" s="239"/>
      <c r="W48" s="125"/>
      <c r="X48" s="125"/>
      <c r="Y48" s="125"/>
      <c r="Z48" s="125"/>
      <c r="AA48" s="125"/>
      <c r="AB48" s="125"/>
      <c r="AC48" s="125"/>
      <c r="AD48" s="125"/>
      <c r="AE48" s="125"/>
    </row>
    <row r="49" spans="1:31" ht="15" thickBot="1">
      <c r="A49" s="221" t="s">
        <v>238</v>
      </c>
      <c r="B49" s="181">
        <v>0</v>
      </c>
      <c r="C49" s="181">
        <v>0</v>
      </c>
      <c r="D49" s="181">
        <v>0</v>
      </c>
      <c r="E49" s="181">
        <v>0</v>
      </c>
      <c r="F49" s="181">
        <v>0</v>
      </c>
      <c r="G49" s="181">
        <v>0</v>
      </c>
      <c r="H49" s="181">
        <v>0</v>
      </c>
      <c r="I49" s="181">
        <v>0</v>
      </c>
      <c r="J49" s="181">
        <v>0</v>
      </c>
      <c r="K49" s="181">
        <v>0</v>
      </c>
      <c r="L49" s="181">
        <v>0</v>
      </c>
      <c r="M49" s="181">
        <v>0</v>
      </c>
      <c r="N49" s="125" t="s">
        <v>232</v>
      </c>
      <c r="O49" s="125">
        <v>0</v>
      </c>
      <c r="P49" s="125"/>
      <c r="Q49" s="125"/>
      <c r="R49" s="125"/>
      <c r="S49" s="125"/>
      <c r="T49" s="222"/>
      <c r="U49" s="222"/>
      <c r="V49" s="222"/>
      <c r="W49" s="125"/>
      <c r="X49" s="125"/>
      <c r="Y49" s="125"/>
      <c r="Z49" s="125"/>
      <c r="AA49" s="125"/>
      <c r="AB49" s="125"/>
      <c r="AC49" s="125"/>
      <c r="AD49" s="125"/>
      <c r="AE49" s="125"/>
    </row>
    <row r="50" spans="1:31" ht="15" thickBot="1">
      <c r="A50" s="223"/>
      <c r="B50" s="186">
        <v>0</v>
      </c>
      <c r="C50" s="186">
        <v>0</v>
      </c>
      <c r="D50" s="186">
        <v>0</v>
      </c>
      <c r="E50" s="186">
        <v>0</v>
      </c>
      <c r="F50" s="186">
        <v>0</v>
      </c>
      <c r="G50" s="186">
        <v>0</v>
      </c>
      <c r="H50" s="186">
        <v>0</v>
      </c>
      <c r="I50" s="186">
        <v>0</v>
      </c>
      <c r="J50" s="186">
        <v>0</v>
      </c>
      <c r="K50" s="186">
        <v>0</v>
      </c>
      <c r="L50" s="186">
        <v>0</v>
      </c>
      <c r="M50" s="186">
        <v>0</v>
      </c>
      <c r="N50" s="125"/>
      <c r="O50" s="125"/>
      <c r="P50" s="125"/>
      <c r="Q50" s="125"/>
      <c r="R50" s="125"/>
      <c r="S50" s="125"/>
      <c r="T50" s="222"/>
      <c r="U50" s="222"/>
      <c r="V50" s="222"/>
      <c r="W50" s="125"/>
      <c r="X50" s="125"/>
      <c r="Y50" s="125"/>
      <c r="Z50" s="125"/>
      <c r="AA50" s="125"/>
      <c r="AB50" s="125"/>
      <c r="AC50" s="125"/>
      <c r="AD50" s="125"/>
      <c r="AE50" s="125"/>
    </row>
    <row r="51" spans="1:31" ht="15" thickBot="1">
      <c r="A51" s="202" t="s">
        <v>233</v>
      </c>
      <c r="B51" s="203">
        <v>0</v>
      </c>
      <c r="C51" s="203">
        <v>0</v>
      </c>
      <c r="D51" s="203">
        <v>0</v>
      </c>
      <c r="E51" s="203">
        <v>0</v>
      </c>
      <c r="F51" s="203">
        <v>0</v>
      </c>
      <c r="G51" s="203"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5" t="s">
        <v>202</v>
      </c>
      <c r="O51" s="206">
        <v>240000</v>
      </c>
      <c r="P51" s="237"/>
      <c r="Q51" s="125"/>
      <c r="R51" s="125"/>
      <c r="S51" s="222">
        <v>0</v>
      </c>
      <c r="T51" s="215">
        <v>0.15</v>
      </c>
      <c r="U51" s="215">
        <v>0</v>
      </c>
      <c r="V51" s="224">
        <v>0</v>
      </c>
      <c r="W51" s="125"/>
      <c r="X51" s="125"/>
      <c r="Y51" s="125"/>
      <c r="Z51" s="125"/>
      <c r="AA51" s="125"/>
      <c r="AB51" s="125"/>
      <c r="AC51" s="125"/>
      <c r="AD51" s="125"/>
      <c r="AE51" s="125"/>
    </row>
    <row r="52" spans="1:31" ht="18.600000000000001" customHeight="1" thickBot="1">
      <c r="A52" s="209" t="s">
        <v>234</v>
      </c>
      <c r="B52" s="210">
        <v>0</v>
      </c>
      <c r="C52" s="210">
        <v>0</v>
      </c>
      <c r="D52" s="210">
        <v>0</v>
      </c>
      <c r="E52" s="210">
        <v>0</v>
      </c>
      <c r="F52" s="210">
        <v>0</v>
      </c>
      <c r="G52" s="210">
        <v>0</v>
      </c>
      <c r="H52" s="210">
        <v>0</v>
      </c>
      <c r="I52" s="210">
        <v>0</v>
      </c>
      <c r="J52" s="210">
        <v>0</v>
      </c>
      <c r="K52" s="210">
        <v>0</v>
      </c>
      <c r="L52" s="210">
        <v>0</v>
      </c>
      <c r="M52" s="210">
        <v>0</v>
      </c>
      <c r="N52" s="212" t="s">
        <v>202</v>
      </c>
      <c r="O52" s="213">
        <v>100000</v>
      </c>
      <c r="P52" s="237"/>
      <c r="Q52" s="125"/>
      <c r="R52" s="125"/>
      <c r="S52" s="222">
        <v>0</v>
      </c>
      <c r="T52" s="215">
        <v>1.1499999999999999</v>
      </c>
      <c r="U52" s="215">
        <v>0</v>
      </c>
      <c r="V52" s="238"/>
      <c r="W52" s="125"/>
      <c r="X52" s="125"/>
      <c r="Y52" s="125"/>
      <c r="Z52" s="125"/>
      <c r="AA52" s="125"/>
      <c r="AB52" s="125"/>
      <c r="AC52" s="125"/>
      <c r="AD52" s="125"/>
      <c r="AE52" s="125"/>
    </row>
    <row r="53" spans="1:31" ht="18.95" customHeight="1" thickBot="1">
      <c r="A53" s="216" t="s">
        <v>235</v>
      </c>
      <c r="B53" s="217">
        <v>0</v>
      </c>
      <c r="C53" s="217">
        <v>0</v>
      </c>
      <c r="D53" s="217">
        <v>0</v>
      </c>
      <c r="E53" s="217">
        <v>0</v>
      </c>
      <c r="F53" s="217">
        <v>0</v>
      </c>
      <c r="G53" s="217">
        <v>0</v>
      </c>
      <c r="H53" s="217">
        <v>0</v>
      </c>
      <c r="I53" s="217">
        <v>0</v>
      </c>
      <c r="J53" s="217">
        <v>0</v>
      </c>
      <c r="K53" s="217">
        <v>0</v>
      </c>
      <c r="L53" s="217">
        <v>0</v>
      </c>
      <c r="M53" s="217">
        <v>0</v>
      </c>
      <c r="N53" s="219" t="s">
        <v>202</v>
      </c>
      <c r="O53" s="220">
        <v>125000</v>
      </c>
      <c r="P53" s="237"/>
      <c r="Q53" s="125"/>
      <c r="R53" s="125"/>
      <c r="S53" s="222">
        <v>0</v>
      </c>
      <c r="T53" s="215">
        <v>0.65</v>
      </c>
      <c r="U53" s="215">
        <v>0</v>
      </c>
      <c r="V53" s="239"/>
      <c r="W53" s="125"/>
      <c r="X53" s="125"/>
      <c r="Y53" s="125"/>
      <c r="Z53" s="125"/>
      <c r="AA53" s="125"/>
      <c r="AB53" s="125"/>
      <c r="AC53" s="125"/>
      <c r="AD53" s="125"/>
      <c r="AE53" s="125"/>
    </row>
    <row r="54" spans="1:31" ht="15" thickBot="1">
      <c r="A54" s="221" t="s">
        <v>239</v>
      </c>
      <c r="B54" s="181">
        <v>0</v>
      </c>
      <c r="C54" s="181">
        <v>0</v>
      </c>
      <c r="D54" s="181">
        <v>0</v>
      </c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>
        <v>0</v>
      </c>
      <c r="N54" s="125" t="s">
        <v>232</v>
      </c>
      <c r="O54" s="125">
        <v>0</v>
      </c>
      <c r="P54" s="125"/>
      <c r="Q54" s="125"/>
      <c r="R54" s="125"/>
      <c r="S54" s="125"/>
      <c r="T54" s="222"/>
      <c r="U54" s="222"/>
      <c r="V54" s="222"/>
      <c r="W54" s="125"/>
      <c r="X54" s="125"/>
      <c r="Y54" s="125"/>
      <c r="Z54" s="125"/>
      <c r="AA54" s="125"/>
      <c r="AB54" s="125"/>
      <c r="AC54" s="125"/>
      <c r="AD54" s="125"/>
      <c r="AE54" s="125"/>
    </row>
    <row r="55" spans="1:31" ht="15" thickBot="1">
      <c r="A55" s="223"/>
      <c r="B55" s="186">
        <v>0</v>
      </c>
      <c r="C55" s="186">
        <v>0</v>
      </c>
      <c r="D55" s="186">
        <v>0</v>
      </c>
      <c r="E55" s="186">
        <v>0</v>
      </c>
      <c r="F55" s="186">
        <v>0</v>
      </c>
      <c r="G55" s="186">
        <v>0</v>
      </c>
      <c r="H55" s="186">
        <v>0</v>
      </c>
      <c r="I55" s="186">
        <v>0</v>
      </c>
      <c r="J55" s="186">
        <v>0</v>
      </c>
      <c r="K55" s="186">
        <v>0</v>
      </c>
      <c r="L55" s="186">
        <v>0</v>
      </c>
      <c r="M55" s="186">
        <v>0</v>
      </c>
      <c r="N55" s="125"/>
      <c r="O55" s="125"/>
      <c r="P55" s="125"/>
      <c r="Q55" s="125"/>
      <c r="R55" s="125"/>
      <c r="S55" s="125"/>
      <c r="T55" s="222"/>
      <c r="U55" s="222"/>
      <c r="V55" s="222"/>
      <c r="W55" s="125"/>
      <c r="X55" s="125"/>
      <c r="Y55" s="125"/>
      <c r="Z55" s="125"/>
      <c r="AA55" s="125"/>
      <c r="AB55" s="125"/>
      <c r="AC55" s="125"/>
      <c r="AD55" s="125"/>
      <c r="AE55" s="125"/>
    </row>
    <row r="56" spans="1:31" ht="15" thickBot="1">
      <c r="A56" s="202" t="s">
        <v>233</v>
      </c>
      <c r="B56" s="203">
        <v>0</v>
      </c>
      <c r="C56" s="203">
        <v>0</v>
      </c>
      <c r="D56" s="203">
        <v>0</v>
      </c>
      <c r="E56" s="203">
        <v>0</v>
      </c>
      <c r="F56" s="203">
        <v>0</v>
      </c>
      <c r="G56" s="203"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5" t="s">
        <v>202</v>
      </c>
      <c r="O56" s="206">
        <v>130000</v>
      </c>
      <c r="P56" s="237"/>
      <c r="Q56" s="125"/>
      <c r="R56" s="125"/>
      <c r="S56" s="222">
        <v>0</v>
      </c>
      <c r="T56" s="215">
        <v>0.15</v>
      </c>
      <c r="U56" s="215">
        <v>0</v>
      </c>
      <c r="V56" s="224">
        <v>0</v>
      </c>
      <c r="W56" s="125"/>
      <c r="X56" s="125"/>
      <c r="Y56" s="125"/>
      <c r="Z56" s="125"/>
      <c r="AA56" s="125"/>
      <c r="AB56" s="125"/>
      <c r="AC56" s="125"/>
      <c r="AD56" s="125"/>
      <c r="AE56" s="125"/>
    </row>
    <row r="57" spans="1:31" ht="15" thickBot="1">
      <c r="A57" s="209" t="s">
        <v>234</v>
      </c>
      <c r="B57" s="210">
        <v>0</v>
      </c>
      <c r="C57" s="210">
        <v>0</v>
      </c>
      <c r="D57" s="210">
        <v>0</v>
      </c>
      <c r="E57" s="210">
        <v>0</v>
      </c>
      <c r="F57" s="210">
        <v>0</v>
      </c>
      <c r="G57" s="210">
        <v>0</v>
      </c>
      <c r="H57" s="210">
        <v>0</v>
      </c>
      <c r="I57" s="210">
        <v>0</v>
      </c>
      <c r="J57" s="210">
        <v>0</v>
      </c>
      <c r="K57" s="210">
        <v>0</v>
      </c>
      <c r="L57" s="210">
        <v>0</v>
      </c>
      <c r="M57" s="210">
        <v>0</v>
      </c>
      <c r="N57" s="212" t="s">
        <v>202</v>
      </c>
      <c r="O57" s="213">
        <v>25000</v>
      </c>
      <c r="P57" s="237"/>
      <c r="Q57" s="125"/>
      <c r="R57" s="125"/>
      <c r="S57" s="222">
        <v>0</v>
      </c>
      <c r="T57" s="215">
        <v>5.4</v>
      </c>
      <c r="U57" s="215">
        <v>0</v>
      </c>
      <c r="V57" s="238"/>
      <c r="W57" s="125"/>
      <c r="X57" s="125"/>
      <c r="Y57" s="125"/>
      <c r="Z57" s="125"/>
      <c r="AA57" s="125"/>
      <c r="AB57" s="125"/>
      <c r="AC57" s="125"/>
      <c r="AD57" s="125"/>
      <c r="AE57" s="125"/>
    </row>
    <row r="58" spans="1:31" ht="15" thickBot="1">
      <c r="A58" s="216" t="s">
        <v>235</v>
      </c>
      <c r="B58" s="217">
        <v>0</v>
      </c>
      <c r="C58" s="217">
        <v>0</v>
      </c>
      <c r="D58" s="217">
        <v>0</v>
      </c>
      <c r="E58" s="217">
        <v>0</v>
      </c>
      <c r="F58" s="217">
        <v>0</v>
      </c>
      <c r="G58" s="217">
        <v>0</v>
      </c>
      <c r="H58" s="217">
        <v>0</v>
      </c>
      <c r="I58" s="217">
        <v>0</v>
      </c>
      <c r="J58" s="217">
        <v>0</v>
      </c>
      <c r="K58" s="217">
        <v>0</v>
      </c>
      <c r="L58" s="217">
        <v>0</v>
      </c>
      <c r="M58" s="217">
        <v>0</v>
      </c>
      <c r="N58" s="219" t="s">
        <v>202</v>
      </c>
      <c r="O58" s="220">
        <v>50000</v>
      </c>
      <c r="P58" s="237"/>
      <c r="Q58" s="125"/>
      <c r="R58" s="125"/>
      <c r="S58" s="222">
        <v>0</v>
      </c>
      <c r="T58" s="215">
        <v>3.9</v>
      </c>
      <c r="U58" s="215">
        <v>0</v>
      </c>
      <c r="V58" s="239"/>
      <c r="W58" s="125"/>
      <c r="X58" s="125"/>
      <c r="Y58" s="125"/>
      <c r="Z58" s="125"/>
      <c r="AA58" s="125"/>
      <c r="AB58" s="125"/>
      <c r="AC58" s="125"/>
      <c r="AD58" s="125"/>
      <c r="AE58" s="125"/>
    </row>
    <row r="59" spans="1:31" ht="15" thickBot="1">
      <c r="A59" s="221" t="s">
        <v>240</v>
      </c>
      <c r="B59" s="181">
        <v>0</v>
      </c>
      <c r="C59" s="181">
        <v>0</v>
      </c>
      <c r="D59" s="181">
        <v>0</v>
      </c>
      <c r="E59" s="181">
        <v>0</v>
      </c>
      <c r="F59" s="181">
        <v>0</v>
      </c>
      <c r="G59" s="181">
        <v>0</v>
      </c>
      <c r="H59" s="181">
        <v>0</v>
      </c>
      <c r="I59" s="181">
        <v>0</v>
      </c>
      <c r="J59" s="181">
        <v>0</v>
      </c>
      <c r="K59" s="181">
        <v>0</v>
      </c>
      <c r="L59" s="181">
        <v>0</v>
      </c>
      <c r="M59" s="181">
        <v>0</v>
      </c>
      <c r="N59" s="125" t="s">
        <v>232</v>
      </c>
      <c r="O59" s="125">
        <v>0</v>
      </c>
      <c r="P59" s="125"/>
      <c r="Q59" s="125"/>
      <c r="R59" s="125"/>
      <c r="S59" s="125"/>
      <c r="T59" s="222"/>
      <c r="U59" s="222"/>
      <c r="V59" s="222" t="s">
        <v>241</v>
      </c>
      <c r="W59" s="125"/>
      <c r="X59" s="125"/>
      <c r="Y59" s="125"/>
      <c r="Z59" s="125"/>
      <c r="AA59" s="125"/>
      <c r="AB59" s="125"/>
      <c r="AC59" s="125"/>
      <c r="AD59" s="125"/>
      <c r="AE59" s="125"/>
    </row>
    <row r="60" spans="1:31" ht="15" thickBot="1">
      <c r="A60" s="223"/>
      <c r="B60" s="186">
        <v>0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86">
        <v>0</v>
      </c>
      <c r="J60" s="186">
        <v>0</v>
      </c>
      <c r="K60" s="186">
        <v>0</v>
      </c>
      <c r="L60" s="186">
        <v>0</v>
      </c>
      <c r="M60" s="186">
        <v>0</v>
      </c>
      <c r="N60" s="125"/>
      <c r="O60" s="125"/>
      <c r="P60" s="125"/>
      <c r="Q60" s="125"/>
      <c r="R60" s="125"/>
      <c r="S60" s="125"/>
      <c r="T60" s="222"/>
      <c r="U60" s="222"/>
      <c r="V60" s="222"/>
      <c r="W60" s="125"/>
      <c r="X60" s="125"/>
      <c r="Y60" s="125"/>
      <c r="Z60" s="125"/>
      <c r="AA60" s="125"/>
      <c r="AB60" s="125"/>
      <c r="AC60" s="125"/>
      <c r="AD60" s="125"/>
      <c r="AE60" s="125"/>
    </row>
    <row r="61" spans="1:31" ht="15" thickBot="1">
      <c r="A61" s="202" t="s">
        <v>233</v>
      </c>
      <c r="B61" s="203">
        <v>0</v>
      </c>
      <c r="C61" s="203">
        <v>0</v>
      </c>
      <c r="D61" s="203">
        <v>0</v>
      </c>
      <c r="E61" s="203">
        <v>0</v>
      </c>
      <c r="F61" s="203"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0</v>
      </c>
      <c r="N61" s="205" t="s">
        <v>202</v>
      </c>
      <c r="O61" s="206">
        <v>300000</v>
      </c>
      <c r="P61" s="237"/>
      <c r="Q61" s="125"/>
      <c r="R61" s="125"/>
      <c r="S61" s="222">
        <v>0</v>
      </c>
      <c r="T61" s="215">
        <v>0.08</v>
      </c>
      <c r="U61" s="215">
        <v>0</v>
      </c>
      <c r="V61" s="224">
        <v>0</v>
      </c>
      <c r="W61" s="125"/>
      <c r="X61" s="125"/>
      <c r="Y61" s="125"/>
      <c r="Z61" s="125"/>
      <c r="AA61" s="125"/>
      <c r="AB61" s="125"/>
      <c r="AC61" s="125"/>
      <c r="AD61" s="125"/>
      <c r="AE61" s="125"/>
    </row>
    <row r="62" spans="1:31" ht="15" thickBot="1">
      <c r="A62" s="209" t="s">
        <v>234</v>
      </c>
      <c r="B62" s="210">
        <v>0</v>
      </c>
      <c r="C62" s="210">
        <v>0</v>
      </c>
      <c r="D62" s="210">
        <v>0</v>
      </c>
      <c r="E62" s="210">
        <v>0</v>
      </c>
      <c r="F62" s="210">
        <v>0</v>
      </c>
      <c r="G62" s="210">
        <v>0</v>
      </c>
      <c r="H62" s="210">
        <v>0</v>
      </c>
      <c r="I62" s="210">
        <v>0</v>
      </c>
      <c r="J62" s="210">
        <v>0</v>
      </c>
      <c r="K62" s="210">
        <v>0</v>
      </c>
      <c r="L62" s="210">
        <v>0</v>
      </c>
      <c r="M62" s="210">
        <v>0</v>
      </c>
      <c r="N62" s="212" t="s">
        <v>202</v>
      </c>
      <c r="O62" s="213">
        <v>30000</v>
      </c>
      <c r="P62" s="237"/>
      <c r="Q62" s="125"/>
      <c r="R62" s="125"/>
      <c r="S62" s="222">
        <v>0</v>
      </c>
      <c r="T62" s="215">
        <v>3.08</v>
      </c>
      <c r="U62" s="215">
        <v>0</v>
      </c>
      <c r="V62" s="238"/>
      <c r="W62" s="125"/>
      <c r="X62" s="125"/>
      <c r="Y62" s="125"/>
      <c r="Z62" s="125"/>
      <c r="AA62" s="125"/>
      <c r="AB62" s="125"/>
      <c r="AC62" s="125"/>
      <c r="AD62" s="125"/>
      <c r="AE62" s="125"/>
    </row>
    <row r="63" spans="1:31" ht="15" thickBot="1">
      <c r="A63" s="216" t="s">
        <v>235</v>
      </c>
      <c r="B63" s="225">
        <v>0</v>
      </c>
      <c r="C63" s="225">
        <v>0</v>
      </c>
      <c r="D63" s="225">
        <v>0</v>
      </c>
      <c r="E63" s="225">
        <v>0</v>
      </c>
      <c r="F63" s="225">
        <v>0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  <c r="N63" s="226" t="s">
        <v>202</v>
      </c>
      <c r="O63" s="227">
        <v>36000</v>
      </c>
      <c r="P63" s="237"/>
      <c r="Q63" s="125"/>
      <c r="R63" s="125"/>
      <c r="S63" s="222">
        <v>0</v>
      </c>
      <c r="T63" s="215">
        <v>1.08</v>
      </c>
      <c r="U63" s="215">
        <v>0</v>
      </c>
      <c r="V63" s="239"/>
      <c r="W63" s="125"/>
      <c r="X63" s="125"/>
      <c r="Y63" s="125"/>
      <c r="Z63" s="125"/>
      <c r="AA63" s="125"/>
      <c r="AB63" s="125"/>
      <c r="AC63" s="125"/>
      <c r="AD63" s="125"/>
      <c r="AE63" s="125"/>
    </row>
    <row r="64" spans="1:31" ht="18.95" thickBot="1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25"/>
      <c r="U64" s="228">
        <v>3775802.3</v>
      </c>
      <c r="V64" s="228">
        <v>33900</v>
      </c>
      <c r="W64" s="228">
        <v>3741902.3</v>
      </c>
      <c r="X64" s="228">
        <v>631080</v>
      </c>
      <c r="Y64" s="229">
        <v>3110822.3</v>
      </c>
      <c r="Z64" s="125"/>
      <c r="AA64" s="125"/>
      <c r="AB64" s="125"/>
      <c r="AC64" s="125"/>
      <c r="AD64" s="125"/>
      <c r="AE64" s="125"/>
    </row>
    <row r="65" spans="1:31" ht="37.5" thickBot="1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25"/>
      <c r="U65" s="230" t="s">
        <v>242</v>
      </c>
      <c r="V65" s="230" t="s">
        <v>243</v>
      </c>
      <c r="W65" s="230" t="s">
        <v>244</v>
      </c>
      <c r="X65" s="230" t="s">
        <v>245</v>
      </c>
      <c r="Y65" s="231" t="s">
        <v>246</v>
      </c>
      <c r="Z65" s="125"/>
      <c r="AA65" s="125"/>
      <c r="AB65" s="125"/>
      <c r="AC65" s="125"/>
      <c r="AD65" s="125"/>
      <c r="AE65" s="125"/>
    </row>
  </sheetData>
  <mergeCells count="15">
    <mergeCell ref="S21:S30"/>
    <mergeCell ref="N21:R30"/>
    <mergeCell ref="U32:U33"/>
    <mergeCell ref="V32:V33"/>
    <mergeCell ref="W32:W33"/>
    <mergeCell ref="X32:X33"/>
    <mergeCell ref="Y32:Y33"/>
    <mergeCell ref="N32:O32"/>
    <mergeCell ref="N33:O33"/>
    <mergeCell ref="T32:T33"/>
    <mergeCell ref="S17:S19"/>
    <mergeCell ref="T3:AE9"/>
    <mergeCell ref="T1:AE2"/>
    <mergeCell ref="O1:Q2"/>
    <mergeCell ref="A1: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3AFA-0EB3-4381-B80D-06F2E3BD97B9}">
  <dimension ref="A1:N37"/>
  <sheetViews>
    <sheetView zoomScale="125" zoomScaleNormal="70" workbookViewId="0">
      <selection activeCell="G33" sqref="G33"/>
    </sheetView>
  </sheetViews>
  <sheetFormatPr defaultColWidth="8.875" defaultRowHeight="14.1"/>
  <cols>
    <col min="1" max="1" width="15" bestFit="1" customWidth="1"/>
    <col min="2" max="2" width="30.875" bestFit="1" customWidth="1"/>
    <col min="3" max="3" width="9.875" bestFit="1" customWidth="1"/>
    <col min="4" max="4" width="13.5" bestFit="1" customWidth="1"/>
    <col min="5" max="5" width="9.625" bestFit="1" customWidth="1"/>
    <col min="6" max="6" width="6.125" customWidth="1"/>
    <col min="7" max="7" width="32.625" bestFit="1" customWidth="1"/>
    <col min="8" max="8" width="14.125" bestFit="1" customWidth="1"/>
    <col min="9" max="9" width="16.375" bestFit="1" customWidth="1"/>
    <col min="10" max="10" width="13.125" bestFit="1" customWidth="1"/>
    <col min="11" max="11" width="6.125" customWidth="1"/>
    <col min="12" max="12" width="20.5" bestFit="1" customWidth="1"/>
    <col min="13" max="13" width="29.125" bestFit="1" customWidth="1"/>
    <col min="14" max="14" width="32.375" bestFit="1" customWidth="1"/>
  </cols>
  <sheetData>
    <row r="1" spans="1:14" ht="14.45" thickBot="1">
      <c r="A1" s="48" t="s">
        <v>247</v>
      </c>
      <c r="B1" s="48" t="s">
        <v>248</v>
      </c>
      <c r="C1" s="48" t="s">
        <v>249</v>
      </c>
      <c r="D1" s="48" t="s">
        <v>164</v>
      </c>
      <c r="E1" s="48" t="s">
        <v>171</v>
      </c>
      <c r="F1" s="48"/>
      <c r="G1" s="48" t="s">
        <v>250</v>
      </c>
      <c r="H1" s="48" t="s">
        <v>251</v>
      </c>
      <c r="I1" s="48" t="s">
        <v>252</v>
      </c>
      <c r="J1" s="48" t="s">
        <v>253</v>
      </c>
      <c r="K1" s="48"/>
      <c r="L1" s="48" t="s">
        <v>254</v>
      </c>
      <c r="M1" s="48" t="s">
        <v>255</v>
      </c>
      <c r="N1" s="48" t="s">
        <v>256</v>
      </c>
    </row>
    <row r="2" spans="1:14" ht="14.45">
      <c r="A2" s="304" t="s">
        <v>84</v>
      </c>
      <c r="B2" s="304" t="s">
        <v>257</v>
      </c>
      <c r="C2" s="304" t="s">
        <v>258</v>
      </c>
      <c r="D2" s="439">
        <v>100000</v>
      </c>
      <c r="E2" s="351">
        <v>1</v>
      </c>
      <c r="F2" s="351"/>
      <c r="G2" s="439" t="str" cm="1">
        <f t="array" ref="G2:J7">_xlfn._xlws.SORT(B2:E7,4,-1,FALSE)</f>
        <v>B2B (Restaurants, etc.)</v>
      </c>
      <c r="H2" s="351" t="str">
        <v>Premium</v>
      </c>
      <c r="I2" s="49">
        <v>5000</v>
      </c>
      <c r="J2" s="351">
        <v>3.5999999999999996</v>
      </c>
      <c r="K2" s="351"/>
      <c r="L2" s="439">
        <v>110000</v>
      </c>
      <c r="M2" s="439">
        <f>IF($L2&gt;=$I2,$I2,L2)</f>
        <v>5000</v>
      </c>
      <c r="N2" s="351">
        <f>J2*M2</f>
        <v>18000</v>
      </c>
    </row>
    <row r="3" spans="1:14" ht="14.45">
      <c r="A3" s="304" t="s">
        <v>84</v>
      </c>
      <c r="B3" s="304" t="s">
        <v>259</v>
      </c>
      <c r="C3" s="304" t="s">
        <v>258</v>
      </c>
      <c r="D3" s="439">
        <v>17500</v>
      </c>
      <c r="E3" s="351">
        <v>2</v>
      </c>
      <c r="F3" s="351"/>
      <c r="G3" s="351" t="str">
        <v>B2B (Restaurants, etc.)</v>
      </c>
      <c r="H3" s="351" t="str">
        <v>Normal</v>
      </c>
      <c r="I3" s="439">
        <v>25000</v>
      </c>
      <c r="J3" s="351">
        <v>3</v>
      </c>
      <c r="K3" s="351"/>
      <c r="L3" s="439"/>
      <c r="M3" s="439">
        <f>IF(L2-M2&gt;=I3,I3,L2-M2)</f>
        <v>25000</v>
      </c>
      <c r="N3" s="351">
        <f t="shared" ref="N3:N37" si="0">J3*M3</f>
        <v>75000</v>
      </c>
    </row>
    <row r="4" spans="1:14" ht="14.45">
      <c r="A4" s="304" t="s">
        <v>84</v>
      </c>
      <c r="B4" s="304" t="s">
        <v>260</v>
      </c>
      <c r="C4" s="304" t="s">
        <v>258</v>
      </c>
      <c r="D4" s="439">
        <v>25000</v>
      </c>
      <c r="E4" s="351">
        <v>3</v>
      </c>
      <c r="F4" s="351"/>
      <c r="G4" s="351" t="str">
        <v>D2C (Digital / Farmer's Market)</v>
      </c>
      <c r="H4" s="351" t="str">
        <v>Premium</v>
      </c>
      <c r="I4" s="439">
        <v>3500</v>
      </c>
      <c r="J4" s="351">
        <v>2.4</v>
      </c>
      <c r="K4" s="351"/>
      <c r="L4" s="439"/>
      <c r="M4" s="439">
        <f>IF(L2-M2-M3&gt;=I4,I4,L2-M2-M3)</f>
        <v>3500</v>
      </c>
      <c r="N4" s="351">
        <f t="shared" si="0"/>
        <v>8400</v>
      </c>
    </row>
    <row r="5" spans="1:14" ht="14.45">
      <c r="A5" s="304" t="s">
        <v>84</v>
      </c>
      <c r="B5" s="304" t="s">
        <v>257</v>
      </c>
      <c r="C5" s="304" t="s">
        <v>261</v>
      </c>
      <c r="D5" s="439">
        <f>0.2*D2</f>
        <v>20000</v>
      </c>
      <c r="E5" s="351">
        <f>1.2*E2</f>
        <v>1.2</v>
      </c>
      <c r="F5" s="351"/>
      <c r="G5" s="351" t="str">
        <v>D2C (Digital / Farmer's Market)</v>
      </c>
      <c r="H5" s="351" t="str">
        <v>Normal</v>
      </c>
      <c r="I5" s="439">
        <v>17500</v>
      </c>
      <c r="J5" s="351">
        <v>2</v>
      </c>
      <c r="K5" s="351"/>
      <c r="L5" s="439"/>
      <c r="M5" s="439">
        <f>IF(L2-M2-M3-M4&gt;=I5,I5,L2-M2-M3-M4)</f>
        <v>17500</v>
      </c>
      <c r="N5" s="351">
        <f t="shared" si="0"/>
        <v>35000</v>
      </c>
    </row>
    <row r="6" spans="1:14" ht="14.45">
      <c r="A6" s="304" t="s">
        <v>84</v>
      </c>
      <c r="B6" s="304" t="s">
        <v>259</v>
      </c>
      <c r="C6" s="304" t="s">
        <v>261</v>
      </c>
      <c r="D6" s="439">
        <f t="shared" ref="D6:D7" si="1">0.2*D3</f>
        <v>3500</v>
      </c>
      <c r="E6" s="351">
        <f t="shared" ref="E6:E7" si="2">1.2*E3</f>
        <v>2.4</v>
      </c>
      <c r="F6" s="351"/>
      <c r="G6" s="351" t="str">
        <v>Wholesale Distributer</v>
      </c>
      <c r="H6" s="351" t="str">
        <v>Premium</v>
      </c>
      <c r="I6" s="439">
        <v>20000</v>
      </c>
      <c r="J6" s="351">
        <v>1.2</v>
      </c>
      <c r="K6" s="351"/>
      <c r="L6" s="439"/>
      <c r="M6" s="439">
        <f>IF(L2-M2-M3-M4-M5&gt;=I6,I6,L2-M2-M3-M4-M5)</f>
        <v>20000</v>
      </c>
      <c r="N6" s="351">
        <f t="shared" si="0"/>
        <v>24000</v>
      </c>
    </row>
    <row r="7" spans="1:14" ht="14.45">
      <c r="A7" s="304" t="s">
        <v>84</v>
      </c>
      <c r="B7" s="304" t="s">
        <v>260</v>
      </c>
      <c r="C7" s="304" t="s">
        <v>261</v>
      </c>
      <c r="D7" s="439">
        <f t="shared" si="1"/>
        <v>5000</v>
      </c>
      <c r="E7" s="351">
        <f t="shared" si="2"/>
        <v>3.5999999999999996</v>
      </c>
      <c r="F7" s="351"/>
      <c r="G7" s="351" t="str">
        <v>Wholesale Distributer</v>
      </c>
      <c r="H7" s="351" t="str">
        <v>Normal</v>
      </c>
      <c r="I7" s="439">
        <v>100000</v>
      </c>
      <c r="J7" s="351">
        <v>1</v>
      </c>
      <c r="K7" s="351"/>
      <c r="L7" s="439"/>
      <c r="M7" s="439">
        <f>IF(L2-M2-M3-M4-M5-M6&gt;=I7,I7,L2-M2-M3-M4-M5-M6)</f>
        <v>39000</v>
      </c>
      <c r="N7" s="351">
        <f t="shared" si="0"/>
        <v>39000</v>
      </c>
    </row>
    <row r="8" spans="1:14" ht="14.45">
      <c r="A8" s="304" t="s">
        <v>85</v>
      </c>
      <c r="B8" s="304" t="s">
        <v>257</v>
      </c>
      <c r="C8" s="304" t="s">
        <v>258</v>
      </c>
      <c r="D8" s="439">
        <v>150000</v>
      </c>
      <c r="E8" s="351">
        <v>1</v>
      </c>
      <c r="F8" s="351"/>
      <c r="G8" s="439" t="str" cm="1">
        <f t="array" ref="G8:J13">_xlfn._xlws.SORT(B8:E13,4,-1,FALSE)</f>
        <v>B2B (Restaurants, etc.)</v>
      </c>
      <c r="H8" s="351" t="str">
        <v>Premium</v>
      </c>
      <c r="I8" s="439">
        <v>5600</v>
      </c>
      <c r="J8" s="351">
        <v>3.5999999999999996</v>
      </c>
      <c r="K8" s="351"/>
      <c r="L8" s="439">
        <v>120000</v>
      </c>
      <c r="M8" s="439">
        <f>IF(L8&gt;=I8,I8,L8)</f>
        <v>5600</v>
      </c>
      <c r="N8" s="351">
        <f t="shared" si="0"/>
        <v>20159.999999999996</v>
      </c>
    </row>
    <row r="9" spans="1:14" ht="14.45">
      <c r="A9" s="304" t="s">
        <v>85</v>
      </c>
      <c r="B9" s="304" t="s">
        <v>259</v>
      </c>
      <c r="C9" s="304" t="s">
        <v>258</v>
      </c>
      <c r="D9" s="439">
        <v>20000</v>
      </c>
      <c r="E9" s="351">
        <v>2</v>
      </c>
      <c r="F9" s="351"/>
      <c r="G9" s="351" t="str">
        <v>B2B (Restaurants, etc.)</v>
      </c>
      <c r="H9" s="351" t="str">
        <v>Normal</v>
      </c>
      <c r="I9" s="439">
        <v>28000</v>
      </c>
      <c r="J9" s="351">
        <v>3</v>
      </c>
      <c r="K9" s="351"/>
      <c r="L9" s="439"/>
      <c r="M9" s="439">
        <f>IF(L8-M8&gt;=I9,I9,L8-M8)</f>
        <v>28000</v>
      </c>
      <c r="N9" s="351">
        <f t="shared" si="0"/>
        <v>84000</v>
      </c>
    </row>
    <row r="10" spans="1:14" ht="14.45">
      <c r="A10" s="304" t="s">
        <v>85</v>
      </c>
      <c r="B10" s="304" t="s">
        <v>260</v>
      </c>
      <c r="C10" s="304" t="s">
        <v>258</v>
      </c>
      <c r="D10" s="439">
        <v>28000</v>
      </c>
      <c r="E10" s="351">
        <v>3</v>
      </c>
      <c r="F10" s="351"/>
      <c r="G10" s="351" t="str">
        <v>D2C (Digital / Farmer's Market)</v>
      </c>
      <c r="H10" s="351" t="str">
        <v>Premium</v>
      </c>
      <c r="I10" s="439">
        <v>4000</v>
      </c>
      <c r="J10" s="351">
        <v>2.4</v>
      </c>
      <c r="K10" s="351"/>
      <c r="L10" s="439"/>
      <c r="M10" s="439">
        <f>IF(L8-M8-M9&gt;=I10,I10,L8-M8-M9)</f>
        <v>4000</v>
      </c>
      <c r="N10" s="351">
        <f t="shared" si="0"/>
        <v>9600</v>
      </c>
    </row>
    <row r="11" spans="1:14" ht="14.45">
      <c r="A11" s="304" t="s">
        <v>85</v>
      </c>
      <c r="B11" s="304" t="s">
        <v>257</v>
      </c>
      <c r="C11" s="304" t="s">
        <v>261</v>
      </c>
      <c r="D11" s="439">
        <f>0.2*D8</f>
        <v>30000</v>
      </c>
      <c r="E11" s="351">
        <f>1.2*E8</f>
        <v>1.2</v>
      </c>
      <c r="F11" s="351"/>
      <c r="G11" s="351" t="str">
        <v>D2C (Digital / Farmer's Market)</v>
      </c>
      <c r="H11" s="351" t="str">
        <v>Normal</v>
      </c>
      <c r="I11" s="439">
        <v>20000</v>
      </c>
      <c r="J11" s="351">
        <v>2</v>
      </c>
      <c r="K11" s="351"/>
      <c r="L11" s="439"/>
      <c r="M11" s="439">
        <f>IF(L8-M8-M9-M10&gt;=I11,I11,L8-M8-M9-M10)</f>
        <v>20000</v>
      </c>
      <c r="N11" s="351">
        <f t="shared" si="0"/>
        <v>40000</v>
      </c>
    </row>
    <row r="12" spans="1:14" ht="14.45">
      <c r="A12" s="304" t="s">
        <v>85</v>
      </c>
      <c r="B12" s="304" t="s">
        <v>259</v>
      </c>
      <c r="C12" s="304" t="s">
        <v>261</v>
      </c>
      <c r="D12" s="439">
        <f t="shared" ref="D12:D13" si="3">0.2*D9</f>
        <v>4000</v>
      </c>
      <c r="E12" s="351">
        <f t="shared" ref="E12:E13" si="4">1.2*E9</f>
        <v>2.4</v>
      </c>
      <c r="F12" s="351"/>
      <c r="G12" s="351" t="str">
        <v>Wholesale Distributer</v>
      </c>
      <c r="H12" s="351" t="str">
        <v>Premium</v>
      </c>
      <c r="I12" s="439">
        <v>30000</v>
      </c>
      <c r="J12" s="351">
        <v>1.2</v>
      </c>
      <c r="K12" s="351"/>
      <c r="L12" s="439"/>
      <c r="M12" s="439">
        <f>IF(L8-M8-M9-M10-M11&gt;=I12,I12,L8-M8-M9-M10-M11)</f>
        <v>30000</v>
      </c>
      <c r="N12" s="351">
        <f t="shared" si="0"/>
        <v>36000</v>
      </c>
    </row>
    <row r="13" spans="1:14" ht="14.45">
      <c r="A13" s="304" t="s">
        <v>85</v>
      </c>
      <c r="B13" s="304" t="s">
        <v>260</v>
      </c>
      <c r="C13" s="304" t="s">
        <v>261</v>
      </c>
      <c r="D13" s="439">
        <f t="shared" si="3"/>
        <v>5600</v>
      </c>
      <c r="E13" s="351">
        <f t="shared" si="4"/>
        <v>3.5999999999999996</v>
      </c>
      <c r="F13" s="351"/>
      <c r="G13" s="351" t="str">
        <v>Wholesale Distributer</v>
      </c>
      <c r="H13" s="351" t="str">
        <v>Normal</v>
      </c>
      <c r="I13" s="439">
        <v>150000</v>
      </c>
      <c r="J13" s="351">
        <v>1</v>
      </c>
      <c r="K13" s="351"/>
      <c r="L13" s="439"/>
      <c r="M13" s="439">
        <f>IF(L8-M8-M9-M10-M11-M12&gt;=I13,I13,L8-M8-M9-M10-M11-M12)</f>
        <v>32400</v>
      </c>
      <c r="N13" s="351">
        <f t="shared" si="0"/>
        <v>32400</v>
      </c>
    </row>
    <row r="14" spans="1:14" ht="14.45">
      <c r="A14" s="304" t="s">
        <v>86</v>
      </c>
      <c r="B14" s="304" t="s">
        <v>257</v>
      </c>
      <c r="C14" s="304" t="s">
        <v>258</v>
      </c>
      <c r="D14" s="439">
        <v>175000</v>
      </c>
      <c r="E14" s="351">
        <v>4</v>
      </c>
      <c r="F14" s="351"/>
      <c r="G14" s="439" t="str" cm="1">
        <f t="array" ref="G14:J19">_xlfn._xlws.SORT(B14:E19,4,-1,FALSE)</f>
        <v>B2B (Restaurants, etc.)</v>
      </c>
      <c r="H14" s="351" t="str">
        <v>Premium</v>
      </c>
      <c r="I14" s="439">
        <v>10000</v>
      </c>
      <c r="J14" s="351">
        <v>7.1999999999999993</v>
      </c>
      <c r="K14" s="351"/>
      <c r="L14" s="439">
        <v>130000</v>
      </c>
      <c r="M14" s="439">
        <f>IF(L14&gt;=I14,I14,L14)</f>
        <v>10000</v>
      </c>
      <c r="N14" s="351">
        <f t="shared" si="0"/>
        <v>72000</v>
      </c>
    </row>
    <row r="15" spans="1:14" ht="14.45">
      <c r="A15" s="304" t="s">
        <v>86</v>
      </c>
      <c r="B15" s="304" t="s">
        <v>259</v>
      </c>
      <c r="C15" s="304" t="s">
        <v>258</v>
      </c>
      <c r="D15" s="439">
        <v>22500</v>
      </c>
      <c r="E15" s="351">
        <v>5</v>
      </c>
      <c r="F15" s="351"/>
      <c r="G15" s="351" t="str">
        <v>B2B (Restaurants, etc.)</v>
      </c>
      <c r="H15" s="351" t="str">
        <v>Normal</v>
      </c>
      <c r="I15" s="439">
        <v>50000</v>
      </c>
      <c r="J15" s="351">
        <v>6</v>
      </c>
      <c r="K15" s="351"/>
      <c r="L15" s="439"/>
      <c r="M15" s="439">
        <f>IF(L14-M14&gt;=I15,I15,L14-M14)</f>
        <v>50000</v>
      </c>
      <c r="N15" s="351">
        <f t="shared" si="0"/>
        <v>300000</v>
      </c>
    </row>
    <row r="16" spans="1:14" ht="14.45">
      <c r="A16" s="304" t="s">
        <v>86</v>
      </c>
      <c r="B16" s="304" t="s">
        <v>260</v>
      </c>
      <c r="C16" s="304" t="s">
        <v>258</v>
      </c>
      <c r="D16" s="439">
        <v>50000</v>
      </c>
      <c r="E16" s="351">
        <v>6</v>
      </c>
      <c r="F16" s="351"/>
      <c r="G16" s="351" t="str">
        <v>D2C (Digital / Farmer's Market)</v>
      </c>
      <c r="H16" s="351" t="str">
        <v>Premium</v>
      </c>
      <c r="I16" s="439">
        <v>4500</v>
      </c>
      <c r="J16" s="351">
        <v>6</v>
      </c>
      <c r="K16" s="351"/>
      <c r="L16" s="439"/>
      <c r="M16" s="439">
        <f>IF(L14-M14-M15&gt;=I16,I16,L14-M14-M15)</f>
        <v>4500</v>
      </c>
      <c r="N16" s="351">
        <f t="shared" si="0"/>
        <v>27000</v>
      </c>
    </row>
    <row r="17" spans="1:14" ht="14.45">
      <c r="A17" s="304" t="s">
        <v>86</v>
      </c>
      <c r="B17" s="304" t="s">
        <v>257</v>
      </c>
      <c r="C17" s="304" t="s">
        <v>261</v>
      </c>
      <c r="D17" s="439">
        <f>0.2*D14</f>
        <v>35000</v>
      </c>
      <c r="E17" s="351">
        <f>1.2*E14</f>
        <v>4.8</v>
      </c>
      <c r="F17" s="351"/>
      <c r="G17" s="351" t="str">
        <v>D2C (Digital / Farmer's Market)</v>
      </c>
      <c r="H17" s="351" t="str">
        <v>Normal</v>
      </c>
      <c r="I17" s="439">
        <v>22500</v>
      </c>
      <c r="J17" s="351">
        <v>5</v>
      </c>
      <c r="K17" s="351"/>
      <c r="L17" s="439"/>
      <c r="M17" s="439">
        <f>IF(L14-M14-M15-M16&gt;=I17,I17,L14-M14-M15-M16)</f>
        <v>22500</v>
      </c>
      <c r="N17" s="351">
        <f t="shared" si="0"/>
        <v>112500</v>
      </c>
    </row>
    <row r="18" spans="1:14" ht="14.45">
      <c r="A18" s="304" t="s">
        <v>86</v>
      </c>
      <c r="B18" s="304" t="s">
        <v>259</v>
      </c>
      <c r="C18" s="304" t="s">
        <v>261</v>
      </c>
      <c r="D18" s="439">
        <f t="shared" ref="D18:D19" si="5">0.2*D15</f>
        <v>4500</v>
      </c>
      <c r="E18" s="351">
        <f t="shared" ref="E18:E19" si="6">1.2*E15</f>
        <v>6</v>
      </c>
      <c r="F18" s="351"/>
      <c r="G18" s="351" t="str">
        <v>Wholesale Distributer</v>
      </c>
      <c r="H18" s="351" t="str">
        <v>Premium</v>
      </c>
      <c r="I18" s="439">
        <v>35000</v>
      </c>
      <c r="J18" s="351">
        <v>4.8</v>
      </c>
      <c r="K18" s="351"/>
      <c r="L18" s="439"/>
      <c r="M18" s="439">
        <f>IF(L14-M14-M15-M16-M17&gt;=I18,I18,L14-M14-M15-M16-M17)</f>
        <v>35000</v>
      </c>
      <c r="N18" s="351">
        <f t="shared" si="0"/>
        <v>168000</v>
      </c>
    </row>
    <row r="19" spans="1:14" ht="14.45">
      <c r="A19" s="304" t="s">
        <v>86</v>
      </c>
      <c r="B19" s="304" t="s">
        <v>260</v>
      </c>
      <c r="C19" s="304" t="s">
        <v>261</v>
      </c>
      <c r="D19" s="439">
        <f t="shared" si="5"/>
        <v>10000</v>
      </c>
      <c r="E19" s="351">
        <f t="shared" si="6"/>
        <v>7.1999999999999993</v>
      </c>
      <c r="F19" s="351"/>
      <c r="G19" s="351" t="str">
        <v>Wholesale Distributer</v>
      </c>
      <c r="H19" s="351" t="str">
        <v>Normal</v>
      </c>
      <c r="I19" s="439">
        <v>175000</v>
      </c>
      <c r="J19" s="351">
        <v>4</v>
      </c>
      <c r="K19" s="351"/>
      <c r="L19" s="439"/>
      <c r="M19" s="439">
        <f>IF(L14-M14-M15-M16-M17-M18&gt;=I19,I19,L14-M14-M15-M16-M17-M18)</f>
        <v>8000</v>
      </c>
      <c r="N19" s="351">
        <f t="shared" si="0"/>
        <v>32000</v>
      </c>
    </row>
    <row r="20" spans="1:14" ht="14.45">
      <c r="A20" s="304" t="s">
        <v>87</v>
      </c>
      <c r="B20" s="304" t="s">
        <v>257</v>
      </c>
      <c r="C20" s="304" t="s">
        <v>258</v>
      </c>
      <c r="D20" s="439">
        <v>225000</v>
      </c>
      <c r="E20" s="351">
        <v>4</v>
      </c>
      <c r="F20" s="351"/>
      <c r="G20" s="439" t="str" cm="1">
        <f t="array" ref="G20:J25">_xlfn._xlws.SORT(B20:E25,4,-1,FALSE)</f>
        <v>B2B (Restaurants, etc.)</v>
      </c>
      <c r="H20" s="351" t="str">
        <v>Premium</v>
      </c>
      <c r="I20" s="439">
        <v>12000</v>
      </c>
      <c r="J20" s="351">
        <v>7.1999999999999993</v>
      </c>
      <c r="K20" s="351"/>
      <c r="L20" s="439">
        <v>140000</v>
      </c>
      <c r="M20" s="439">
        <f>IF(L20&gt;=I20,I20,L20)</f>
        <v>12000</v>
      </c>
      <c r="N20" s="351">
        <f t="shared" si="0"/>
        <v>86399.999999999985</v>
      </c>
    </row>
    <row r="21" spans="1:14" ht="14.45">
      <c r="A21" s="304" t="s">
        <v>87</v>
      </c>
      <c r="B21" s="304" t="s">
        <v>259</v>
      </c>
      <c r="C21" s="304" t="s">
        <v>258</v>
      </c>
      <c r="D21" s="439">
        <v>15000</v>
      </c>
      <c r="E21" s="351">
        <v>5</v>
      </c>
      <c r="F21" s="351"/>
      <c r="G21" s="351" t="str">
        <v>B2B (Restaurants, etc.)</v>
      </c>
      <c r="H21" s="351" t="str">
        <v>Normal</v>
      </c>
      <c r="I21" s="439">
        <v>60000</v>
      </c>
      <c r="J21" s="351">
        <v>6</v>
      </c>
      <c r="K21" s="351"/>
      <c r="L21" s="439"/>
      <c r="M21" s="439">
        <f>IF(L20-M20&gt;=I21,I21,L20-M20)</f>
        <v>60000</v>
      </c>
      <c r="N21" s="351">
        <f t="shared" si="0"/>
        <v>360000</v>
      </c>
    </row>
    <row r="22" spans="1:14" ht="14.45">
      <c r="A22" s="304" t="s">
        <v>87</v>
      </c>
      <c r="B22" s="304" t="s">
        <v>260</v>
      </c>
      <c r="C22" s="304" t="s">
        <v>258</v>
      </c>
      <c r="D22" s="439">
        <v>60000</v>
      </c>
      <c r="E22" s="351">
        <v>6</v>
      </c>
      <c r="F22" s="351"/>
      <c r="G22" s="351" t="str">
        <v>D2C (Digital / Farmer's Market)</v>
      </c>
      <c r="H22" s="351" t="str">
        <v>Premium</v>
      </c>
      <c r="I22" s="439">
        <v>3000</v>
      </c>
      <c r="J22" s="351">
        <v>6</v>
      </c>
      <c r="K22" s="351"/>
      <c r="L22" s="439"/>
      <c r="M22" s="439">
        <f>IF(L20-M20-M21&gt;=I22,I22,L20-M20-M21)</f>
        <v>3000</v>
      </c>
      <c r="N22" s="351">
        <f t="shared" si="0"/>
        <v>18000</v>
      </c>
    </row>
    <row r="23" spans="1:14" ht="14.45">
      <c r="A23" s="304" t="s">
        <v>87</v>
      </c>
      <c r="B23" s="304" t="s">
        <v>257</v>
      </c>
      <c r="C23" s="304" t="s">
        <v>261</v>
      </c>
      <c r="D23" s="439">
        <f>0.2*D20</f>
        <v>45000</v>
      </c>
      <c r="E23" s="351">
        <f>1.2*E20</f>
        <v>4.8</v>
      </c>
      <c r="F23" s="351"/>
      <c r="G23" s="351" t="str">
        <v>D2C (Digital / Farmer's Market)</v>
      </c>
      <c r="H23" s="351" t="str">
        <v>Normal</v>
      </c>
      <c r="I23" s="439">
        <v>15000</v>
      </c>
      <c r="J23" s="351">
        <v>5</v>
      </c>
      <c r="K23" s="351"/>
      <c r="L23" s="439"/>
      <c r="M23" s="439">
        <f>IF(L20-M20-M21-M22&gt;=I23,I23,L20-M20-M21-M22)</f>
        <v>15000</v>
      </c>
      <c r="N23" s="351">
        <f t="shared" si="0"/>
        <v>75000</v>
      </c>
    </row>
    <row r="24" spans="1:14" ht="14.45">
      <c r="A24" s="304" t="s">
        <v>87</v>
      </c>
      <c r="B24" s="304" t="s">
        <v>259</v>
      </c>
      <c r="C24" s="304" t="s">
        <v>261</v>
      </c>
      <c r="D24" s="439">
        <f t="shared" ref="D24:D25" si="7">0.2*D21</f>
        <v>3000</v>
      </c>
      <c r="E24" s="351">
        <f t="shared" ref="E24:E25" si="8">1.2*E21</f>
        <v>6</v>
      </c>
      <c r="F24" s="351"/>
      <c r="G24" s="351" t="str">
        <v>Wholesale Distributer</v>
      </c>
      <c r="H24" s="351" t="str">
        <v>Premium</v>
      </c>
      <c r="I24" s="439">
        <v>45000</v>
      </c>
      <c r="J24" s="351">
        <v>4.8</v>
      </c>
      <c r="K24" s="351"/>
      <c r="L24" s="439"/>
      <c r="M24" s="439">
        <f>IF(L20-M20-M21-M22-M23&gt;=I24,I24,L20-M20-M21-M22-M23)</f>
        <v>45000</v>
      </c>
      <c r="N24" s="351">
        <f t="shared" si="0"/>
        <v>216000</v>
      </c>
    </row>
    <row r="25" spans="1:14" ht="14.45">
      <c r="A25" s="304" t="s">
        <v>87</v>
      </c>
      <c r="B25" s="304" t="s">
        <v>260</v>
      </c>
      <c r="C25" s="304" t="s">
        <v>261</v>
      </c>
      <c r="D25" s="439">
        <f t="shared" si="7"/>
        <v>12000</v>
      </c>
      <c r="E25" s="351">
        <f t="shared" si="8"/>
        <v>7.1999999999999993</v>
      </c>
      <c r="F25" s="351"/>
      <c r="G25" s="351" t="str">
        <v>Wholesale Distributer</v>
      </c>
      <c r="H25" s="351" t="str">
        <v>Normal</v>
      </c>
      <c r="I25" s="439">
        <v>225000</v>
      </c>
      <c r="J25" s="351">
        <v>4</v>
      </c>
      <c r="K25" s="351"/>
      <c r="L25" s="439"/>
      <c r="M25" s="439">
        <f>IF(L20-M20-M21-M22-M23-M24&gt;=I25,I25,L20-M20-M21-M22-M23-M24)</f>
        <v>5000</v>
      </c>
      <c r="N25" s="351">
        <f t="shared" si="0"/>
        <v>20000</v>
      </c>
    </row>
    <row r="26" spans="1:14" ht="14.45">
      <c r="A26" s="304" t="s">
        <v>88</v>
      </c>
      <c r="B26" s="304" t="s">
        <v>257</v>
      </c>
      <c r="C26" s="304" t="s">
        <v>258</v>
      </c>
      <c r="D26" s="439">
        <v>100000</v>
      </c>
      <c r="E26" s="351">
        <v>7</v>
      </c>
      <c r="F26" s="351"/>
      <c r="G26" s="439" t="str" cm="1">
        <f t="array" ref="G26:J31">_xlfn._xlws.SORT(B26:E31,4,-1,FALSE)</f>
        <v>B2B (Restaurants, etc.)</v>
      </c>
      <c r="H26" s="351" t="str">
        <v>Premium</v>
      </c>
      <c r="I26" s="439">
        <v>3600</v>
      </c>
      <c r="J26" s="351">
        <v>10.799999999999999</v>
      </c>
      <c r="K26" s="351"/>
      <c r="L26" s="439">
        <v>150000</v>
      </c>
      <c r="M26" s="439">
        <f>IF(L26&gt;=I26,I26,L26)</f>
        <v>3600</v>
      </c>
      <c r="N26" s="351">
        <f t="shared" si="0"/>
        <v>38879.999999999993</v>
      </c>
    </row>
    <row r="27" spans="1:14" ht="14.45">
      <c r="A27" s="304" t="s">
        <v>88</v>
      </c>
      <c r="B27" s="304" t="s">
        <v>259</v>
      </c>
      <c r="C27" s="304" t="s">
        <v>258</v>
      </c>
      <c r="D27" s="439">
        <v>7000</v>
      </c>
      <c r="E27" s="351">
        <v>8</v>
      </c>
      <c r="F27" s="351"/>
      <c r="G27" s="351" t="str">
        <v>D2C (Digital / Farmer's Market)</v>
      </c>
      <c r="H27" s="351" t="str">
        <v>Premium</v>
      </c>
      <c r="I27" s="439">
        <v>1400</v>
      </c>
      <c r="J27" s="351">
        <v>9.6</v>
      </c>
      <c r="K27" s="351"/>
      <c r="L27" s="439"/>
      <c r="M27" s="439">
        <f>IF(L26-M26&gt;=I27,I27,L26-M26)</f>
        <v>1400</v>
      </c>
      <c r="N27" s="351">
        <f t="shared" si="0"/>
        <v>13440</v>
      </c>
    </row>
    <row r="28" spans="1:14" ht="14.45">
      <c r="A28" s="304" t="s">
        <v>88</v>
      </c>
      <c r="B28" s="304" t="s">
        <v>260</v>
      </c>
      <c r="C28" s="304" t="s">
        <v>258</v>
      </c>
      <c r="D28" s="439">
        <v>18000</v>
      </c>
      <c r="E28" s="351">
        <v>9</v>
      </c>
      <c r="F28" s="351"/>
      <c r="G28" s="351" t="str">
        <v>B2B (Restaurants, etc.)</v>
      </c>
      <c r="H28" s="351" t="str">
        <v>Normal</v>
      </c>
      <c r="I28" s="439">
        <v>18000</v>
      </c>
      <c r="J28" s="351">
        <v>9</v>
      </c>
      <c r="K28" s="351"/>
      <c r="L28" s="439"/>
      <c r="M28" s="439">
        <f>IF(L26-M26-M27&gt;=I28,I28,L26-M26-M27)</f>
        <v>18000</v>
      </c>
      <c r="N28" s="351">
        <f t="shared" si="0"/>
        <v>162000</v>
      </c>
    </row>
    <row r="29" spans="1:14" ht="14.45">
      <c r="A29" s="304" t="s">
        <v>88</v>
      </c>
      <c r="B29" s="304" t="s">
        <v>257</v>
      </c>
      <c r="C29" s="304" t="s">
        <v>261</v>
      </c>
      <c r="D29" s="439">
        <f>0.2*D26</f>
        <v>20000</v>
      </c>
      <c r="E29" s="351">
        <f>1.2*E26</f>
        <v>8.4</v>
      </c>
      <c r="F29" s="351"/>
      <c r="G29" s="351" t="str">
        <v>Wholesale Distributer</v>
      </c>
      <c r="H29" s="351" t="str">
        <v>Premium</v>
      </c>
      <c r="I29" s="439">
        <v>20000</v>
      </c>
      <c r="J29" s="351">
        <v>8.4</v>
      </c>
      <c r="K29" s="351"/>
      <c r="L29" s="439"/>
      <c r="M29" s="439">
        <f>IF(L26-M26-M27-M28&gt;=I29,I29,L26-M26-M27-M28)</f>
        <v>20000</v>
      </c>
      <c r="N29" s="351">
        <f t="shared" si="0"/>
        <v>168000</v>
      </c>
    </row>
    <row r="30" spans="1:14" ht="14.45">
      <c r="A30" s="304" t="s">
        <v>88</v>
      </c>
      <c r="B30" s="304" t="s">
        <v>259</v>
      </c>
      <c r="C30" s="304" t="s">
        <v>261</v>
      </c>
      <c r="D30" s="439">
        <f t="shared" ref="D30:D31" si="9">0.2*D27</f>
        <v>1400</v>
      </c>
      <c r="E30" s="351">
        <f t="shared" ref="E30:E31" si="10">1.2*E27</f>
        <v>9.6</v>
      </c>
      <c r="F30" s="351"/>
      <c r="G30" s="351" t="str">
        <v>D2C (Digital / Farmer's Market)</v>
      </c>
      <c r="H30" s="351" t="str">
        <v>Normal</v>
      </c>
      <c r="I30" s="439">
        <v>7000</v>
      </c>
      <c r="J30" s="351">
        <v>8</v>
      </c>
      <c r="K30" s="351"/>
      <c r="L30" s="439"/>
      <c r="M30" s="439">
        <f>IF(L26-M26-M27-M28-M29&gt;=I30,I30,L26-M26-M27-M28-M29)</f>
        <v>7000</v>
      </c>
      <c r="N30" s="351">
        <f t="shared" si="0"/>
        <v>56000</v>
      </c>
    </row>
    <row r="31" spans="1:14" ht="14.45">
      <c r="A31" s="304" t="s">
        <v>88</v>
      </c>
      <c r="B31" s="304" t="s">
        <v>260</v>
      </c>
      <c r="C31" s="304" t="s">
        <v>261</v>
      </c>
      <c r="D31" s="439">
        <f t="shared" si="9"/>
        <v>3600</v>
      </c>
      <c r="E31" s="351">
        <f t="shared" si="10"/>
        <v>10.799999999999999</v>
      </c>
      <c r="F31" s="351"/>
      <c r="G31" s="351" t="str">
        <v>Wholesale Distributer</v>
      </c>
      <c r="H31" s="351" t="str">
        <v>Normal</v>
      </c>
      <c r="I31" s="439">
        <v>100000</v>
      </c>
      <c r="J31" s="351">
        <v>7</v>
      </c>
      <c r="K31" s="351"/>
      <c r="L31" s="439"/>
      <c r="M31" s="439">
        <f>IF(L26-M26-M27-M28-M29-M30&gt;=I31,I31,L26-M26-M27-M28-M29-M30)</f>
        <v>100000</v>
      </c>
      <c r="N31" s="351">
        <f t="shared" si="0"/>
        <v>700000</v>
      </c>
    </row>
    <row r="32" spans="1:14" ht="14.45">
      <c r="A32" s="304" t="s">
        <v>89</v>
      </c>
      <c r="B32" s="304" t="s">
        <v>257</v>
      </c>
      <c r="C32" s="304" t="s">
        <v>258</v>
      </c>
      <c r="D32" s="439">
        <v>225000</v>
      </c>
      <c r="E32" s="351">
        <v>7</v>
      </c>
      <c r="F32" s="351"/>
      <c r="G32" s="439" t="str" cm="1">
        <f t="array" ref="G32:J37">_xlfn._xlws.SORT(B32:E37,4,-1,FALSE)</f>
        <v>B2B (Restaurants, etc.)</v>
      </c>
      <c r="H32" s="351" t="str">
        <v>Premium</v>
      </c>
      <c r="I32" s="439">
        <v>3600</v>
      </c>
      <c r="J32" s="351">
        <v>10.799999999999999</v>
      </c>
      <c r="K32" s="351"/>
      <c r="L32" s="439">
        <v>280000</v>
      </c>
      <c r="M32" s="439">
        <f>IF(L32&gt;=I32,I32,L32)</f>
        <v>3600</v>
      </c>
      <c r="N32" s="351">
        <f t="shared" si="0"/>
        <v>38879.999999999993</v>
      </c>
    </row>
    <row r="33" spans="1:14" ht="14.45">
      <c r="A33" s="304" t="s">
        <v>89</v>
      </c>
      <c r="B33" s="304" t="s">
        <v>259</v>
      </c>
      <c r="C33" s="304" t="s">
        <v>258</v>
      </c>
      <c r="D33" s="439">
        <v>15000</v>
      </c>
      <c r="E33" s="351">
        <v>8</v>
      </c>
      <c r="F33" s="351"/>
      <c r="G33" s="351" t="str">
        <v>D2C (Digital / Farmer's Market)</v>
      </c>
      <c r="H33" s="351" t="str">
        <v>Premium</v>
      </c>
      <c r="I33" s="439">
        <v>3000</v>
      </c>
      <c r="J33" s="351">
        <v>9.6</v>
      </c>
      <c r="K33" s="351"/>
      <c r="L33" s="439"/>
      <c r="M33" s="439">
        <f>IF(L32-M32&gt;=I33,I33,L32-M32)</f>
        <v>3000</v>
      </c>
      <c r="N33" s="351">
        <f t="shared" si="0"/>
        <v>28800</v>
      </c>
    </row>
    <row r="34" spans="1:14" ht="14.45">
      <c r="A34" t="s">
        <v>89</v>
      </c>
      <c r="B34" t="s">
        <v>260</v>
      </c>
      <c r="C34" s="304" t="s">
        <v>258</v>
      </c>
      <c r="D34" s="51">
        <v>18000</v>
      </c>
      <c r="E34" s="50">
        <v>9</v>
      </c>
      <c r="F34" s="50"/>
      <c r="G34" s="50" t="str">
        <v>B2B (Restaurants, etc.)</v>
      </c>
      <c r="H34" s="50" t="str">
        <v>Normal</v>
      </c>
      <c r="I34" s="51">
        <v>18000</v>
      </c>
      <c r="J34" s="50">
        <v>9</v>
      </c>
      <c r="K34" s="50"/>
      <c r="L34" s="51"/>
      <c r="M34" s="51">
        <f>IF(L32-M32-M33&gt;=I34,I34,L32-M32-M33)</f>
        <v>18000</v>
      </c>
      <c r="N34" s="351">
        <f t="shared" si="0"/>
        <v>162000</v>
      </c>
    </row>
    <row r="35" spans="1:14" ht="14.45">
      <c r="A35" s="304" t="s">
        <v>89</v>
      </c>
      <c r="B35" s="304" t="s">
        <v>257</v>
      </c>
      <c r="C35" s="304" t="s">
        <v>261</v>
      </c>
      <c r="D35" s="439">
        <f>0.2*D32</f>
        <v>45000</v>
      </c>
      <c r="E35" s="351">
        <f>1.2*E32</f>
        <v>8.4</v>
      </c>
      <c r="F35" s="351"/>
      <c r="G35" s="351" t="str">
        <v>Wholesale Distributer</v>
      </c>
      <c r="H35" s="351" t="str">
        <v>Premium</v>
      </c>
      <c r="I35" s="439">
        <v>45000</v>
      </c>
      <c r="J35" s="351">
        <v>8.4</v>
      </c>
      <c r="K35" s="351"/>
      <c r="L35" s="439"/>
      <c r="M35" s="51">
        <f>IF(L32-M32-M33-M34&gt;=I35,I35,L32-M32-M33-M34)</f>
        <v>45000</v>
      </c>
      <c r="N35" s="351">
        <f t="shared" si="0"/>
        <v>378000</v>
      </c>
    </row>
    <row r="36" spans="1:14" ht="14.45">
      <c r="A36" s="304" t="s">
        <v>89</v>
      </c>
      <c r="B36" s="304" t="s">
        <v>259</v>
      </c>
      <c r="C36" s="304" t="s">
        <v>261</v>
      </c>
      <c r="D36" s="439">
        <f t="shared" ref="D36:D37" si="11">0.2*D33</f>
        <v>3000</v>
      </c>
      <c r="E36" s="351">
        <f t="shared" ref="E36:E37" si="12">1.2*E33</f>
        <v>9.6</v>
      </c>
      <c r="F36" s="351"/>
      <c r="G36" s="351" t="str">
        <v>D2C (Digital / Farmer's Market)</v>
      </c>
      <c r="H36" s="351" t="str">
        <v>Normal</v>
      </c>
      <c r="I36" s="439">
        <v>15000</v>
      </c>
      <c r="J36" s="351">
        <v>8</v>
      </c>
      <c r="K36" s="351"/>
      <c r="L36" s="439"/>
      <c r="M36" s="51">
        <f>IF(L32-M32-M33-M34-M35&gt;=I36,I36,L32-M32-M33-M34-M35)</f>
        <v>15000</v>
      </c>
      <c r="N36" s="351">
        <f t="shared" si="0"/>
        <v>120000</v>
      </c>
    </row>
    <row r="37" spans="1:14" ht="15" thickBot="1">
      <c r="A37" s="54" t="s">
        <v>89</v>
      </c>
      <c r="B37" s="54" t="s">
        <v>260</v>
      </c>
      <c r="C37" s="54" t="s">
        <v>261</v>
      </c>
      <c r="D37" s="440">
        <f t="shared" si="11"/>
        <v>3600</v>
      </c>
      <c r="E37" s="441">
        <f t="shared" si="12"/>
        <v>10.799999999999999</v>
      </c>
      <c r="F37" s="441"/>
      <c r="G37" s="441" t="str">
        <v>Wholesale Distributer</v>
      </c>
      <c r="H37" s="441" t="str">
        <v>Normal</v>
      </c>
      <c r="I37" s="52">
        <v>225000</v>
      </c>
      <c r="J37" s="53">
        <v>7</v>
      </c>
      <c r="K37" s="53"/>
      <c r="L37" s="55"/>
      <c r="M37" s="52">
        <f>IF(L32-M32-M33-M34-M35-M36&gt;=I37,I37,L32-M32-M33-M34-M35-M36)</f>
        <v>195400</v>
      </c>
      <c r="N37" s="441">
        <f t="shared" si="0"/>
        <v>1367800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현우 이</dc:creator>
  <cp:keywords/>
  <dc:description/>
  <cp:lastModifiedBy>Mukund Agarwal</cp:lastModifiedBy>
  <cp:revision/>
  <dcterms:created xsi:type="dcterms:W3CDTF">2026-02-03T12:12:01Z</dcterms:created>
  <dcterms:modified xsi:type="dcterms:W3CDTF">2026-02-25T11:45:00Z</dcterms:modified>
  <cp:category/>
  <cp:contentStatus/>
</cp:coreProperties>
</file>