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reg\OneDrive - Queen's University\Work\Plan Checking tools\ElectronCutout\"/>
    </mc:Choice>
  </mc:AlternateContent>
  <xr:revisionPtr revIDLastSave="0" documentId="13_ncr:1_{B386609F-09D6-4979-8D1C-8CE56A4AC960}" xr6:coauthVersionLast="46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utOut Image" sheetId="5" r:id="rId1"/>
    <sheet name="CutOut Parameters" sheetId="6" r:id="rId2"/>
    <sheet name="CutOut Coordinates" sheetId="2" r:id="rId3"/>
    <sheet name="Applicators &amp; Inserts" sheetId="8" r:id="rId4"/>
  </sheets>
  <definedNames>
    <definedName name="AccessoryCode">'CutOut Parameters'!$B$10</definedName>
    <definedName name="ApplicatorID">'CutOut Parameters'!$B$9</definedName>
    <definedName name="BlockTrayID">'CutOut Parameters'!$B$11</definedName>
    <definedName name="bottom_of_electron_insert">'CutOut Coordinates'!$J$11:$J$11</definedName>
    <definedName name="Cutout_Area">'CutOut Parameters'!$B$20</definedName>
    <definedName name="Cutout_Eq._Sq.">'CutOut Parameters'!$B$22</definedName>
    <definedName name="Cutout_Extent">'CutOut Parameters'!$B$23</definedName>
    <definedName name="Cutout_Perimeter">'CutOut Parameters'!$B$21</definedName>
    <definedName name="Field">'CutOut Parameters'!$B$2</definedName>
    <definedName name="Insert_Size">'CutOut Coordinates'!$J$7</definedName>
    <definedName name="InsertCode">'CutOut Parameters'!$B$12</definedName>
    <definedName name="Plan">'CutOut Parameters'!$B$1</definedName>
    <definedName name="Source_to_bottom_of_electron_insert">'CutOut Coordinates'!$J$3</definedName>
    <definedName name="Source_to_top_of_electron_insert">'CutOut Coordinates'!$J$2</definedName>
    <definedName name="SSD">'CutOut Coordinates'!$J$6:$J$6</definedName>
    <definedName name="top_of_electron_insert">'CutOut Coordinates'!$J$12</definedName>
    <definedName name="x_range">'CutOut Coordinates'!$F$5</definedName>
    <definedName name="y_range">'CutOut Coordinates'!$G$5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5" l="1"/>
  <c r="P6" i="5"/>
  <c r="Q5" i="5"/>
  <c r="P5" i="5"/>
  <c r="P2" i="5"/>
  <c r="P1" i="5"/>
  <c r="P9" i="5"/>
  <c r="P8" i="5"/>
  <c r="F23" i="6"/>
  <c r="F22" i="6"/>
  <c r="F17" i="6"/>
  <c r="F15" i="6"/>
  <c r="F14" i="6"/>
  <c r="F13" i="6"/>
  <c r="F12" i="6"/>
  <c r="F11" i="6"/>
  <c r="F10" i="6"/>
  <c r="F9" i="6"/>
  <c r="F6" i="6"/>
  <c r="F5" i="6"/>
  <c r="F4" i="6"/>
  <c r="F3" i="6"/>
  <c r="E3" i="6"/>
  <c r="E4" i="6"/>
  <c r="E5" i="6"/>
  <c r="E6" i="6"/>
  <c r="E9" i="6"/>
  <c r="E13" i="6"/>
  <c r="E14" i="6"/>
  <c r="E15" i="6"/>
  <c r="E17" i="6"/>
  <c r="E23" i="6"/>
  <c r="E22" i="6"/>
  <c r="E12" i="6"/>
  <c r="E11" i="6"/>
  <c r="E10" i="6"/>
  <c r="J12" i="2" l="1"/>
  <c r="J11" i="2"/>
  <c r="D1" i="2" l="1"/>
  <c r="G4" i="2"/>
  <c r="F4" i="2"/>
  <c r="G3" i="2"/>
  <c r="G5" i="2" s="1"/>
  <c r="F3" i="2"/>
  <c r="P19" i="5" l="1"/>
  <c r="P14" i="5"/>
  <c r="C7" i="2"/>
  <c r="D7" i="2"/>
  <c r="F5" i="2"/>
  <c r="D3" i="2"/>
  <c r="C4" i="2"/>
  <c r="C5" i="2"/>
  <c r="C6" i="2"/>
  <c r="D4" i="2"/>
  <c r="D5" i="2"/>
  <c r="C3" i="2"/>
  <c r="D6" i="2"/>
  <c r="O19" i="5" l="1"/>
  <c r="O14" i="5"/>
</calcChain>
</file>

<file path=xl/sharedStrings.xml><?xml version="1.0" encoding="utf-8"?>
<sst xmlns="http://schemas.openxmlformats.org/spreadsheetml/2006/main" count="93" uniqueCount="65">
  <si>
    <t>Plan</t>
  </si>
  <si>
    <t>Field</t>
  </si>
  <si>
    <t>ID</t>
  </si>
  <si>
    <t>Code</t>
  </si>
  <si>
    <t>Applicator</t>
  </si>
  <si>
    <t>Block Tray</t>
  </si>
  <si>
    <t>Cutout Eq. Sq.</t>
  </si>
  <si>
    <t>Cutout Extent</t>
  </si>
  <si>
    <t>Expected Dimensions to Bottom of Insert</t>
  </si>
  <si>
    <t>X</t>
  </si>
  <si>
    <t>Y</t>
  </si>
  <si>
    <t>Expected Dimensions to Top of Insert</t>
  </si>
  <si>
    <t>Expected</t>
  </si>
  <si>
    <t>RadiationType</t>
  </si>
  <si>
    <t>SetupTechnique</t>
  </si>
  <si>
    <t>ToleranceTable</t>
  </si>
  <si>
    <t>Linac</t>
  </si>
  <si>
    <t>Energy</t>
  </si>
  <si>
    <t>GantryAngle</t>
  </si>
  <si>
    <t>ApplicatorID</t>
  </si>
  <si>
    <t>AccessoryCode</t>
  </si>
  <si>
    <t>BlockTrayID</t>
  </si>
  <si>
    <t>InsertCode</t>
  </si>
  <si>
    <t>BlockType</t>
  </si>
  <si>
    <t>MaterialID</t>
  </si>
  <si>
    <t>BlockDivergence</t>
  </si>
  <si>
    <t>BlockName</t>
  </si>
  <si>
    <t>SourceToBlockTrayDistance</t>
  </si>
  <si>
    <t>Cutout Area</t>
  </si>
  <si>
    <t>Cutout Perimeter</t>
  </si>
  <si>
    <t>Block Points</t>
  </si>
  <si>
    <t>Scale Factor</t>
  </si>
  <si>
    <t>Distances</t>
  </si>
  <si>
    <t>X Scaled</t>
  </si>
  <si>
    <t>Y Scaled</t>
  </si>
  <si>
    <t>X Range</t>
  </si>
  <si>
    <t>Y Range</t>
  </si>
  <si>
    <t>Source to top of electron insert</t>
  </si>
  <si>
    <t>cm</t>
  </si>
  <si>
    <t>Source to bottom of electron insert</t>
  </si>
  <si>
    <t>Source to bottom of electron applicator</t>
  </si>
  <si>
    <t>SSD</t>
  </si>
  <si>
    <t>Insert Size</t>
  </si>
  <si>
    <t>Scale Factors</t>
  </si>
  <si>
    <t>bottom of electron insert</t>
  </si>
  <si>
    <t>top of electron insert</t>
  </si>
  <si>
    <t>Name</t>
  </si>
  <si>
    <t>Applicator Code</t>
  </si>
  <si>
    <t>Field Size X [cm]</t>
  </si>
  <si>
    <t>Field Size Y [cm]</t>
  </si>
  <si>
    <t>Distance from the source [cm]</t>
  </si>
  <si>
    <t>Tray Id</t>
  </si>
  <si>
    <t>Insert Code</t>
  </si>
  <si>
    <t>Add-On Material</t>
  </si>
  <si>
    <t>Block ID</t>
  </si>
  <si>
    <t>Thickness [cm]</t>
  </si>
  <si>
    <t>A25</t>
  </si>
  <si>
    <t>FFDA(A10+)</t>
  </si>
  <si>
    <t>Electron Insert</t>
  </si>
  <si>
    <t>Cut-out</t>
  </si>
  <si>
    <t>A20</t>
  </si>
  <si>
    <t>A15</t>
  </si>
  <si>
    <t>A10</t>
  </si>
  <si>
    <t>A06</t>
  </si>
  <si>
    <t>FFDA(A06)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</si>
</sst>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28DA1"/>
        <bgColor indexed="64"/>
      </patternFill>
    </fill>
    <fill>
      <patternFill patternType="solid">
        <fgColor rgb="FFD6DEE7"/>
        <bgColor indexed="64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12" applyNumberFormat="0" applyFill="0" applyAlignment="0" applyProtection="0"/>
    <xf numFmtId="0" fontId="8" fillId="5" borderId="15" applyNumberFormat="0" applyAlignment="0" applyProtection="0"/>
  </cellStyleXfs>
  <cellXfs count="65">
    <xf numFmtId="0" fontId="0" fillId="0" borderId="0" xfId="0"/>
    <xf numFmtId="164" fontId="0" fillId="0" borderId="0" xfId="0" applyNumberFormat="1"/>
    <xf numFmtId="0" fontId="4" fillId="0" borderId="0" xfId="2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7" xfId="0" applyNumberFormat="1" applyBorder="1"/>
    <xf numFmtId="164" fontId="0" fillId="0" borderId="9" xfId="0" applyNumberFormat="1" applyBorder="1"/>
    <xf numFmtId="0" fontId="3" fillId="0" borderId="10" xfId="0" applyFont="1" applyFill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4" fillId="0" borderId="11" xfId="2" applyNumberFormat="1" applyFont="1" applyFill="1" applyBorder="1" applyAlignment="1">
      <alignment horizontal="right"/>
    </xf>
    <xf numFmtId="1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4" borderId="13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4" fillId="5" borderId="18" xfId="4" applyFont="1" applyBorder="1" applyAlignment="1">
      <alignment horizontal="right"/>
    </xf>
    <xf numFmtId="0" fontId="9" fillId="5" borderId="19" xfId="4" applyFont="1" applyBorder="1" applyAlignment="1">
      <alignment horizontal="right"/>
    </xf>
    <xf numFmtId="0" fontId="4" fillId="5" borderId="20" xfId="4" applyFont="1" applyBorder="1" applyAlignment="1">
      <alignment horizontal="right"/>
    </xf>
    <xf numFmtId="0" fontId="9" fillId="5" borderId="21" xfId="4" applyFont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164" fontId="0" fillId="0" borderId="30" xfId="0" applyNumberFormat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4" fontId="0" fillId="0" borderId="38" xfId="0" applyNumberFormat="1" applyBorder="1"/>
    <xf numFmtId="164" fontId="0" fillId="0" borderId="39" xfId="0" applyNumberFormat="1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5" fillId="0" borderId="12" xfId="3" applyAlignment="1">
      <alignment horizontal="center"/>
    </xf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5" fillId="0" borderId="12" xfId="3" applyAlignment="1">
      <alignment horizontal="center" vertical="center"/>
    </xf>
  </cellXfs>
  <cellStyles count="5">
    <cellStyle name="Calculation" xfId="4" builtinId="22"/>
    <cellStyle name="Good" xfId="2" builtinId="26"/>
    <cellStyle name="Heading 1" xfId="3" builtinId="16"/>
    <cellStyle name="Heading 2" xfId="1" builtinId="17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828DA1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828DA1"/>
        </patternFill>
      </fill>
      <alignment horizontal="center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'CutOut Coordinates'!$A$1:$B$1</c:f>
              <c:strCache>
                <c:ptCount val="1"/>
                <c:pt idx="0">
                  <c:v>Block Points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'CutOut Coordinates'!$C$3:$C$7</c:f>
              <c:numCache>
                <c:formatCode>0.0</c:formatCode>
                <c:ptCount val="5"/>
                <c:pt idx="0">
                  <c:v>9.4499999999999993</c:v>
                </c:pt>
                <c:pt idx="1">
                  <c:v>0</c:v>
                </c:pt>
                <c:pt idx="2">
                  <c:v>-9.4499999999999993</c:v>
                </c:pt>
                <c:pt idx="3">
                  <c:v>0</c:v>
                </c:pt>
                <c:pt idx="4">
                  <c:v>9.4499999999999993</c:v>
                </c:pt>
              </c:numCache>
            </c:numRef>
          </c:xVal>
          <c:yVal>
            <c:numRef>
              <c:f>'CutOut Coordinates'!$D$3:$D$7</c:f>
              <c:numCache>
                <c:formatCode>0.0</c:formatCode>
                <c:ptCount val="5"/>
                <c:pt idx="0">
                  <c:v>0</c:v>
                </c:pt>
                <c:pt idx="1">
                  <c:v>9.4499999999999993</c:v>
                </c:pt>
                <c:pt idx="2">
                  <c:v>0</c:v>
                </c:pt>
                <c:pt idx="3">
                  <c:v>-9.4499999999999993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BE2-8F60-4FE7F9F1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12"/>
        <c:axId val="512872264"/>
      </c:scatterChart>
      <c:valAx>
        <c:axId val="512869912"/>
        <c:scaling>
          <c:orientation val="maxMin"/>
          <c:max val="20"/>
          <c:min val="-20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2264"/>
        <c:crosses val="autoZero"/>
        <c:crossBetween val="midCat"/>
      </c:valAx>
      <c:valAx>
        <c:axId val="512872264"/>
        <c:scaling>
          <c:orientation val="minMax"/>
          <c:max val="20"/>
          <c:min val="-20"/>
        </c:scaling>
        <c:delete val="0"/>
        <c:axPos val="r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470648</xdr:colOff>
      <xdr:row>22</xdr:row>
      <xdr:rowOff>146411</xdr:rowOff>
    </xdr:from>
    <xdr:to>
      <xdr:col>15</xdr:col>
      <xdr:colOff>489698</xdr:colOff>
      <xdr:row>27</xdr:row>
      <xdr:rowOff>108311</xdr:rowOff>
    </xdr:to>
    <xdr:cxnSp macro="">
      <xdr:nvCxnSpPr>
        <xdr:cNvPr id="3" name="UpArr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9005048" y="4451711"/>
          <a:ext cx="91440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443727</xdr:colOff>
      <xdr:row>19</xdr:row>
      <xdr:rowOff>133350</xdr:rowOff>
    </xdr:from>
    <xdr:to>
      <xdr:col>15</xdr:col>
      <xdr:colOff>462777</xdr:colOff>
      <xdr:row>24</xdr:row>
      <xdr:rowOff>95250</xdr:rowOff>
    </xdr:to>
    <xdr:cxnSp macro="">
      <xdr:nvCxnSpPr>
        <xdr:cNvPr id="4" name="HorzArrow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978127" y="3867150"/>
          <a:ext cx="91440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336909</xdr:colOff>
      <xdr:row>28</xdr:row>
      <xdr:rowOff>108477</xdr:rowOff>
    </xdr:from>
    <xdr:to>
      <xdr:col>15</xdr:col>
      <xdr:colOff>355959</xdr:colOff>
      <xdr:row>33</xdr:row>
      <xdr:rowOff>70377</xdr:rowOff>
    </xdr:to>
    <xdr:graphicFrame macro="">
      <xdr:nvGraphicFramePr>
        <xdr:cNvPr id="5" name="Out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toutCoord" displayName="CutoutCoord" ref="A2:D7" totalsRowShown="0">
  <tableColumns count="4">
    <tableColumn id="1" xr3:uid="{00000000-0010-0000-0000-000001000000}" name="X" dataDxfId="18"/>
    <tableColumn id="2" xr3:uid="{00000000-0010-0000-0000-000002000000}" name="Y" dataDxfId="17"/>
    <tableColumn id="3" xr3:uid="{00000000-0010-0000-0000-000003000000}" name="X Scaled" dataDxfId="16">
      <calculatedColumnFormula>CutoutCoord[[#This Row],[X]]*$D$1/100</calculatedColumnFormula>
    </tableColumn>
    <tableColumn id="4" xr3:uid="{00000000-0010-0000-0000-000004000000}" name="Y Scaled" dataDxfId="15">
      <calculatedColumnFormula>CutoutCoord[[#This Row],[Y]]*$D$1/100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pplicatorLookup" displayName="ApplicatorLookup" ref="A2:K7" totalsRowShown="0" headerRowDxfId="14" dataDxfId="12" headerRowBorderDxfId="13" tableBorderDxfId="11">
  <tableColumns count="11">
    <tableColumn id="1" xr3:uid="{00000000-0010-0000-0100-000001000000}" name="ID" dataDxfId="10"/>
    <tableColumn id="2" xr3:uid="{00000000-0010-0000-0100-000002000000}" name="Name" dataDxfId="9"/>
    <tableColumn id="3" xr3:uid="{00000000-0010-0000-0100-000003000000}" name="Applicator Code" dataDxfId="8"/>
    <tableColumn id="4" xr3:uid="{00000000-0010-0000-0100-000004000000}" name="Field Size X [cm]" dataDxfId="7"/>
    <tableColumn id="5" xr3:uid="{00000000-0010-0000-0100-000005000000}" name="Field Size Y [cm]" dataDxfId="6"/>
    <tableColumn id="6" xr3:uid="{00000000-0010-0000-0100-000006000000}" name="Distance from the source [cm]" dataDxfId="5"/>
    <tableColumn id="7" xr3:uid="{00000000-0010-0000-0100-000007000000}" name="Tray Id" dataDxfId="4"/>
    <tableColumn id="8" xr3:uid="{00000000-0010-0000-0100-000008000000}" name="Insert Code" dataDxfId="3"/>
    <tableColumn id="9" xr3:uid="{00000000-0010-0000-0100-000009000000}" name="Add-On Material" dataDxfId="2"/>
    <tableColumn id="10" xr3:uid="{00000000-0010-0000-0100-00000A000000}" name="Block ID" dataDxfId="1"/>
    <tableColumn id="11" xr3:uid="{00000000-0010-0000-0100-00000B000000}" name="Thickness [cm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Q28"/>
  <sheetViews>
    <sheetView showGridLines="0" showRowColHeaders="0" tabSelected="1" zoomScaleNormal="100" workbookViewId="0">
      <selection activeCell="X19" sqref="X19"/>
    </sheetView>
  </sheetViews>
  <sheetFormatPr defaultRowHeight="15" x14ac:dyDescent="0.25"/>
  <cols>
    <col min="15" max="15" width="13.42578125" bestFit="1" customWidth="1"/>
    <col min="16" max="16" width="10.28515625" style="16" bestFit="1" customWidth="1"/>
    <col min="17" max="17" width="5.5703125" style="16" bestFit="1" customWidth="1"/>
  </cols>
  <sheetData>
    <row r="1" spans="15:17" ht="15" customHeight="1" x14ac:dyDescent="0.25">
      <c r="O1" s="31" t="s">
        <v>0</v>
      </c>
      <c r="P1" s="32">
        <f>Plan</f>
        <v>0</v>
      </c>
    </row>
    <row r="2" spans="15:17" ht="15.75" thickBot="1" x14ac:dyDescent="0.3">
      <c r="O2" s="33" t="s">
        <v>1</v>
      </c>
      <c r="P2" s="34">
        <f>Field</f>
        <v>0</v>
      </c>
    </row>
    <row r="3" spans="15:17" ht="15.75" thickBot="1" x14ac:dyDescent="0.3"/>
    <row r="4" spans="15:17" ht="15.75" thickBot="1" x14ac:dyDescent="0.3">
      <c r="O4" s="6"/>
      <c r="P4" s="35" t="s">
        <v>2</v>
      </c>
      <c r="Q4" s="36" t="s">
        <v>3</v>
      </c>
    </row>
    <row r="5" spans="15:17" ht="15" customHeight="1" x14ac:dyDescent="0.25">
      <c r="O5" s="37" t="s">
        <v>4</v>
      </c>
      <c r="P5" s="38">
        <f>ApplicatorID</f>
        <v>0</v>
      </c>
      <c r="Q5" s="39">
        <f>AccessoryCode</f>
        <v>0</v>
      </c>
    </row>
    <row r="6" spans="15:17" ht="15.75" thickBot="1" x14ac:dyDescent="0.3">
      <c r="O6" s="40" t="s">
        <v>5</v>
      </c>
      <c r="P6" s="41">
        <f>BlockTrayID</f>
        <v>0</v>
      </c>
      <c r="Q6" s="42">
        <f>InsertCode</f>
        <v>0</v>
      </c>
    </row>
    <row r="7" spans="15:17" ht="15.75" thickBot="1" x14ac:dyDescent="0.3"/>
    <row r="8" spans="15:17" x14ac:dyDescent="0.25">
      <c r="O8" s="37" t="s">
        <v>6</v>
      </c>
      <c r="P8" s="43">
        <f>Cutout_Eq._Sq.</f>
        <v>0</v>
      </c>
    </row>
    <row r="9" spans="15:17" ht="15.75" thickBot="1" x14ac:dyDescent="0.3">
      <c r="O9" s="40" t="s">
        <v>7</v>
      </c>
      <c r="P9" s="44">
        <f>Cutout_Extent</f>
        <v>0</v>
      </c>
    </row>
    <row r="10" spans="15:17" ht="15" customHeight="1" thickBot="1" x14ac:dyDescent="0.3">
      <c r="O10" s="16"/>
    </row>
    <row r="11" spans="15:17" x14ac:dyDescent="0.25">
      <c r="O11" s="51" t="s">
        <v>8</v>
      </c>
      <c r="P11" s="52"/>
    </row>
    <row r="12" spans="15:17" ht="15.75" thickBot="1" x14ac:dyDescent="0.3">
      <c r="O12" s="53"/>
      <c r="P12" s="54"/>
    </row>
    <row r="13" spans="15:17" ht="15.75" thickBot="1" x14ac:dyDescent="0.3">
      <c r="O13" s="45" t="s">
        <v>9</v>
      </c>
      <c r="P13" s="46" t="s">
        <v>10</v>
      </c>
    </row>
    <row r="14" spans="15:17" ht="15.75" thickBot="1" x14ac:dyDescent="0.3">
      <c r="O14" s="7">
        <f>x_range*bottom_of_electron_insert/SSD</f>
        <v>18.805970149253731</v>
      </c>
      <c r="P14" s="8">
        <f>y_range*bottom_of_electron_insert/SSD</f>
        <v>18.805970149253731</v>
      </c>
    </row>
    <row r="15" spans="15:17" ht="15.75" thickBot="1" x14ac:dyDescent="0.3">
      <c r="P15"/>
    </row>
    <row r="16" spans="15:17" x14ac:dyDescent="0.25">
      <c r="O16" s="55" t="s">
        <v>11</v>
      </c>
      <c r="P16" s="56"/>
    </row>
    <row r="17" spans="15:16" ht="15" customHeight="1" thickBot="1" x14ac:dyDescent="0.3">
      <c r="O17" s="57"/>
      <c r="P17" s="58"/>
    </row>
    <row r="18" spans="15:16" ht="15.75" thickBot="1" x14ac:dyDescent="0.3">
      <c r="O18" s="47" t="s">
        <v>9</v>
      </c>
      <c r="P18" s="48" t="s">
        <v>10</v>
      </c>
    </row>
    <row r="19" spans="15:16" ht="15.75" thickBot="1" x14ac:dyDescent="0.3">
      <c r="O19" s="49">
        <f>x_range*top_of_electron_insert/100</f>
        <v>18.5</v>
      </c>
      <c r="P19" s="50">
        <f>y_range*top_of_electron_insert/100</f>
        <v>18.5</v>
      </c>
    </row>
    <row r="21" spans="15:16" x14ac:dyDescent="0.25">
      <c r="O21" s="16"/>
    </row>
    <row r="22" spans="15:16" x14ac:dyDescent="0.25">
      <c r="O22" s="16"/>
    </row>
    <row r="23" spans="15:16" x14ac:dyDescent="0.25">
      <c r="O23" s="16"/>
    </row>
    <row r="24" spans="15:16" x14ac:dyDescent="0.25">
      <c r="O24" s="16"/>
    </row>
    <row r="27" spans="15:16" x14ac:dyDescent="0.25">
      <c r="P27" s="30"/>
    </row>
    <row r="28" spans="15:16" x14ac:dyDescent="0.25">
      <c r="P28" s="30"/>
    </row>
  </sheetData>
  <mergeCells count="2">
    <mergeCell ref="O11:P12"/>
    <mergeCell ref="O16:P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12" sqref="A12"/>
    </sheetView>
  </sheetViews>
  <sheetFormatPr defaultRowHeight="15" x14ac:dyDescent="0.25"/>
  <cols>
    <col min="1" max="1" width="25.7109375" bestFit="1" customWidth="1"/>
    <col min="2" max="3" width="20.7109375" style="16" customWidth="1"/>
    <col min="5" max="6" width="21.7109375" customWidth="1"/>
  </cols>
  <sheetData>
    <row r="1" spans="1:6" ht="20.25" thickBot="1" x14ac:dyDescent="0.35">
      <c r="A1" t="s">
        <v>0</v>
      </c>
      <c r="E1" s="59" t="s">
        <v>12</v>
      </c>
      <c r="F1" s="59"/>
    </row>
    <row r="2" spans="1:6" ht="15.75" thickTop="1" x14ac:dyDescent="0.25">
      <c r="A2" t="s">
        <v>1</v>
      </c>
    </row>
    <row r="3" spans="1:6" x14ac:dyDescent="0.25">
      <c r="A3" t="s">
        <v>13</v>
      </c>
      <c r="E3" s="29" t="str">
        <f>IF(ISBLANK(B9),"","ELECTRON")</f>
        <v/>
      </c>
      <c r="F3" s="29" t="str">
        <f>IF(ISBLANK(C9),"","ELECTRON")</f>
        <v/>
      </c>
    </row>
    <row r="4" spans="1:6" x14ac:dyDescent="0.25">
      <c r="A4" t="s">
        <v>14</v>
      </c>
      <c r="E4" s="29" t="str">
        <f>IF(ISBLANK(B9),"","FIXED_SSD")</f>
        <v/>
      </c>
      <c r="F4" s="29" t="str">
        <f>IF(ISBLANK(C9),"","FIXED_SSD")</f>
        <v/>
      </c>
    </row>
    <row r="5" spans="1:6" x14ac:dyDescent="0.25">
      <c r="A5" t="s">
        <v>15</v>
      </c>
      <c r="E5" s="29" t="str">
        <f>IF(ISBLANK(B9),"","ELECTRON PLANNED")</f>
        <v/>
      </c>
      <c r="F5" s="29" t="str">
        <f>IF(ISBLANK(C9),"","ELECTRON PLANNED")</f>
        <v/>
      </c>
    </row>
    <row r="6" spans="1:6" x14ac:dyDescent="0.25">
      <c r="A6" t="s">
        <v>16</v>
      </c>
      <c r="E6" s="29" t="str">
        <f>IF(ISBLANK(B9),"","TR2, TR3")</f>
        <v/>
      </c>
      <c r="F6" s="29" t="str">
        <f>IF(ISBLANK(C9),"","TR2, TR3")</f>
        <v/>
      </c>
    </row>
    <row r="7" spans="1:6" x14ac:dyDescent="0.25">
      <c r="A7" t="s">
        <v>17</v>
      </c>
    </row>
    <row r="8" spans="1:6" x14ac:dyDescent="0.25">
      <c r="A8" t="s">
        <v>18</v>
      </c>
    </row>
    <row r="9" spans="1:6" x14ac:dyDescent="0.25">
      <c r="A9" t="s">
        <v>19</v>
      </c>
      <c r="E9" s="29" t="str">
        <f>IF(ISBLANK(B9),"","A06, A10, A15, A20, A25")</f>
        <v/>
      </c>
      <c r="F9" s="29" t="str">
        <f>IF(ISBLANK(C9),"","A06, A10, A15, A20, A25")</f>
        <v/>
      </c>
    </row>
    <row r="10" spans="1:6" x14ac:dyDescent="0.25">
      <c r="A10" t="s">
        <v>20</v>
      </c>
      <c r="E10" s="29" t="str">
        <f>IF(ISBLANK(B9),"",VLOOKUP(B9,ApplicatorLookup[],3,FALSE))</f>
        <v/>
      </c>
      <c r="F10" s="29" t="str">
        <f>IF(ISBLANK(C9),"",VLOOKUP(C9,ApplicatorLookup[],3,FALSE))</f>
        <v/>
      </c>
    </row>
    <row r="11" spans="1:6" x14ac:dyDescent="0.25">
      <c r="A11" t="s">
        <v>21</v>
      </c>
      <c r="E11" s="29" t="str">
        <f>IF(ISBLANK(B9),"",VLOOKUP(B9,ApplicatorLookup[],7,FALSE))</f>
        <v/>
      </c>
      <c r="F11" s="29" t="str">
        <f>IF(ISBLANK(C9),"",VLOOKUP(C9,ApplicatorLookup[],7,FALSE))</f>
        <v/>
      </c>
    </row>
    <row r="12" spans="1:6" x14ac:dyDescent="0.25">
      <c r="A12" t="s">
        <v>22</v>
      </c>
      <c r="E12" s="29" t="str">
        <f>IF(ISBLANK(B9),"",VLOOKUP(B9,ApplicatorLookup[],8,FALSE))</f>
        <v/>
      </c>
      <c r="F12" s="29" t="str">
        <f>IF(ISBLANK(C9),"",VLOOKUP(C9,ApplicatorLookup[],8,FALSE))</f>
        <v/>
      </c>
    </row>
    <row r="13" spans="1:6" x14ac:dyDescent="0.25">
      <c r="A13" t="s">
        <v>23</v>
      </c>
      <c r="E13" s="29" t="str">
        <f>IF(ISBLANK(B9),"","APERTURE")</f>
        <v/>
      </c>
      <c r="F13" s="29" t="str">
        <f>IF(ISBLANK(C9),"","APERTURE")</f>
        <v/>
      </c>
    </row>
    <row r="14" spans="1:6" x14ac:dyDescent="0.25">
      <c r="A14" t="s">
        <v>24</v>
      </c>
      <c r="E14" s="29" t="str">
        <f>IF(ISBLANK(B9),"","Cut-out")</f>
        <v/>
      </c>
      <c r="F14" s="29" t="str">
        <f>IF(ISBLANK(C9),"","Cut-out")</f>
        <v/>
      </c>
    </row>
    <row r="15" spans="1:6" x14ac:dyDescent="0.25">
      <c r="A15" t="s">
        <v>25</v>
      </c>
      <c r="E15" s="29" t="str">
        <f>IF(ISBLANK(B9),"","PRESENT")</f>
        <v/>
      </c>
      <c r="F15" s="29" t="str">
        <f>IF(ISBLANK(C9),"","PRESENT")</f>
        <v/>
      </c>
    </row>
    <row r="16" spans="1:6" x14ac:dyDescent="0.25">
      <c r="A16" t="s">
        <v>26</v>
      </c>
    </row>
    <row r="17" spans="1:6" x14ac:dyDescent="0.25">
      <c r="A17" t="s">
        <v>27</v>
      </c>
      <c r="E17" s="29" t="str">
        <f>IF(ISBLANK(B9),"",95)</f>
        <v/>
      </c>
      <c r="F17" s="29" t="str">
        <f>IF(ISBLANK(C9),"",95)</f>
        <v/>
      </c>
    </row>
    <row r="20" spans="1:6" x14ac:dyDescent="0.25">
      <c r="A20" t="s">
        <v>28</v>
      </c>
      <c r="B20" s="30"/>
      <c r="C20" s="30"/>
    </row>
    <row r="21" spans="1:6" x14ac:dyDescent="0.25">
      <c r="A21" t="s">
        <v>29</v>
      </c>
      <c r="B21" s="30"/>
      <c r="C21" s="30"/>
    </row>
    <row r="22" spans="1:6" x14ac:dyDescent="0.25">
      <c r="A22" t="s">
        <v>6</v>
      </c>
      <c r="B22" s="30"/>
      <c r="C22" s="30"/>
      <c r="E22" s="29" t="str">
        <f>IF(ISBLANK(B9),"",VLOOKUP(B9,ApplicatorLookup[],4,FALSE))</f>
        <v/>
      </c>
      <c r="F22" s="29" t="str">
        <f>IF(ISBLANK(C9),"",VLOOKUP(C9,ApplicatorLookup[],4,FALSE))</f>
        <v/>
      </c>
    </row>
    <row r="23" spans="1:6" x14ac:dyDescent="0.25">
      <c r="A23" t="s">
        <v>7</v>
      </c>
      <c r="B23" s="30"/>
      <c r="C23" s="30"/>
      <c r="E23" s="29" t="str">
        <f>IF(ISBLANK(B9),"",VLOOKUP(B9,ApplicatorLookup[],4,FALSE)/2)</f>
        <v/>
      </c>
      <c r="F23" s="29" t="str">
        <f>IF(ISBLANK(C9),"",VLOOKUP(C9,ApplicatorLookup[],4,FALSE)/2)</f>
        <v/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1"/>
  <sheetViews>
    <sheetView zoomScaleNormal="100" workbookViewId="0">
      <selection activeCell="I12" sqref="I12:J12"/>
    </sheetView>
  </sheetViews>
  <sheetFormatPr defaultRowHeight="15" x14ac:dyDescent="0.25"/>
  <cols>
    <col min="3" max="3" width="11.85546875" customWidth="1"/>
    <col min="6" max="7" width="10.85546875" customWidth="1"/>
    <col min="9" max="9" width="36.5703125" bestFit="1" customWidth="1"/>
    <col min="10" max="10" width="6.5703125" bestFit="1" customWidth="1"/>
    <col min="11" max="11" width="3.5703125" bestFit="1" customWidth="1"/>
  </cols>
  <sheetData>
    <row r="1" spans="1:11" ht="18" thickBot="1" x14ac:dyDescent="0.35">
      <c r="A1" s="60" t="s">
        <v>30</v>
      </c>
      <c r="B1" s="60"/>
      <c r="C1" t="s">
        <v>31</v>
      </c>
      <c r="D1" s="1">
        <f>bottom_of_electron_insert</f>
        <v>94.5</v>
      </c>
      <c r="I1" s="61" t="s">
        <v>32</v>
      </c>
      <c r="J1" s="62"/>
      <c r="K1" s="63"/>
    </row>
    <row r="2" spans="1:11" ht="15.75" thickTop="1" x14ac:dyDescent="0.25">
      <c r="A2" t="s">
        <v>9</v>
      </c>
      <c r="B2" t="s">
        <v>10</v>
      </c>
      <c r="C2" t="s">
        <v>33</v>
      </c>
      <c r="D2" t="s">
        <v>34</v>
      </c>
      <c r="F2" t="s">
        <v>35</v>
      </c>
      <c r="G2" t="s">
        <v>36</v>
      </c>
      <c r="I2" s="3" t="s">
        <v>37</v>
      </c>
      <c r="J2" s="11">
        <v>93</v>
      </c>
      <c r="K2" s="4" t="s">
        <v>38</v>
      </c>
    </row>
    <row r="3" spans="1:11" x14ac:dyDescent="0.25">
      <c r="A3" s="1">
        <v>10</v>
      </c>
      <c r="B3" s="1">
        <v>0</v>
      </c>
      <c r="C3" s="1">
        <f>CutoutCoord[[#This Row],[X]]*$D$1/100</f>
        <v>9.4499999999999993</v>
      </c>
      <c r="D3" s="1">
        <f>CutoutCoord[[#This Row],[Y]]*$D$1/100</f>
        <v>0</v>
      </c>
      <c r="F3" s="1">
        <f>MAX(CutoutCoord[X])</f>
        <v>10</v>
      </c>
      <c r="G3" s="1">
        <f>MAX(CutoutCoord[Y])</f>
        <v>10</v>
      </c>
      <c r="I3" s="3" t="s">
        <v>39</v>
      </c>
      <c r="J3" s="11">
        <v>95</v>
      </c>
      <c r="K3" s="4" t="s">
        <v>38</v>
      </c>
    </row>
    <row r="4" spans="1:11" ht="15.75" thickBot="1" x14ac:dyDescent="0.3">
      <c r="A4" s="1">
        <v>0</v>
      </c>
      <c r="B4" s="1">
        <v>10</v>
      </c>
      <c r="C4" s="1">
        <f>CutoutCoord[[#This Row],[X]]*$D$1/100</f>
        <v>0</v>
      </c>
      <c r="D4" s="1">
        <f>CutoutCoord[[#This Row],[Y]]*$D$1/100</f>
        <v>9.4499999999999993</v>
      </c>
      <c r="F4" s="1">
        <f>MIN(CutoutCoord[X])</f>
        <v>-10</v>
      </c>
      <c r="G4" s="1">
        <f>MIN(CutoutCoord[Y])</f>
        <v>-10</v>
      </c>
      <c r="I4" s="5" t="s">
        <v>40</v>
      </c>
      <c r="J4" s="12">
        <v>96.8</v>
      </c>
      <c r="K4" s="6" t="s">
        <v>38</v>
      </c>
    </row>
    <row r="5" spans="1:11" ht="15.75" thickBot="1" x14ac:dyDescent="0.3">
      <c r="A5" s="1">
        <v>-10</v>
      </c>
      <c r="B5" s="1">
        <v>0</v>
      </c>
      <c r="C5" s="1">
        <f>CutoutCoord[[#This Row],[X]]*$D$1/100</f>
        <v>-9.4499999999999993</v>
      </c>
      <c r="D5" s="1">
        <f>CutoutCoord[[#This Row],[Y]]*$D$1/100</f>
        <v>0</v>
      </c>
      <c r="F5" s="1">
        <f>F3-F4</f>
        <v>20</v>
      </c>
      <c r="G5" s="1">
        <f>G3-G4</f>
        <v>20</v>
      </c>
    </row>
    <row r="6" spans="1:11" x14ac:dyDescent="0.25">
      <c r="A6" s="1">
        <v>0</v>
      </c>
      <c r="B6" s="1">
        <v>-10</v>
      </c>
      <c r="C6" s="1">
        <f>CutoutCoord[[#This Row],[X]]*$D$1/100</f>
        <v>0</v>
      </c>
      <c r="D6" s="1">
        <f>CutoutCoord[[#This Row],[Y]]*$D$1/100</f>
        <v>-9.4499999999999993</v>
      </c>
      <c r="F6" s="1"/>
      <c r="G6" s="1"/>
      <c r="I6" s="9" t="s">
        <v>41</v>
      </c>
      <c r="J6" s="13">
        <v>100.5</v>
      </c>
    </row>
    <row r="7" spans="1:11" ht="15" customHeight="1" thickBot="1" x14ac:dyDescent="0.3">
      <c r="A7" s="1">
        <v>10</v>
      </c>
      <c r="B7" s="1">
        <v>0</v>
      </c>
      <c r="C7" s="1">
        <f>CutoutCoord[[#This Row],[X]]*$D$1/100</f>
        <v>9.4499999999999993</v>
      </c>
      <c r="D7" s="1">
        <f>CutoutCoord[[#This Row],[Y]]*$D$1/100</f>
        <v>0</v>
      </c>
      <c r="I7" s="10" t="s">
        <v>42</v>
      </c>
      <c r="J7" s="14">
        <v>6</v>
      </c>
    </row>
    <row r="8" spans="1:11" x14ac:dyDescent="0.25">
      <c r="A8" s="1"/>
      <c r="B8" s="1"/>
      <c r="C8" s="1"/>
      <c r="D8" s="1"/>
    </row>
    <row r="9" spans="1:11" ht="15.75" thickBot="1" x14ac:dyDescent="0.3">
      <c r="A9" s="1"/>
      <c r="B9" s="1"/>
      <c r="C9" s="1"/>
      <c r="D9" s="1"/>
    </row>
    <row r="10" spans="1:11" ht="18" thickBot="1" x14ac:dyDescent="0.35">
      <c r="A10" s="1"/>
      <c r="B10" s="1"/>
      <c r="C10" s="1"/>
      <c r="D10" s="1"/>
      <c r="I10" s="61" t="s">
        <v>43</v>
      </c>
      <c r="J10" s="63"/>
    </row>
    <row r="11" spans="1:11" ht="15.75" thickTop="1" x14ac:dyDescent="0.25">
      <c r="A11" s="1"/>
      <c r="B11" s="1"/>
      <c r="C11" s="1"/>
      <c r="D11" s="1"/>
      <c r="I11" s="3" t="s">
        <v>44</v>
      </c>
      <c r="J11" s="15">
        <f>Source_to_bottom_of_electron_insert-(SSD-100)</f>
        <v>94.5</v>
      </c>
    </row>
    <row r="12" spans="1:11" ht="15.75" thickBot="1" x14ac:dyDescent="0.3">
      <c r="A12" s="1"/>
      <c r="B12" s="1"/>
      <c r="C12" s="1"/>
      <c r="D12" s="1"/>
      <c r="H12" s="2"/>
      <c r="I12" s="5" t="s">
        <v>45</v>
      </c>
      <c r="J12" s="8">
        <f>Source_to_top_of_electron_insert-(SSD-100)</f>
        <v>92.5</v>
      </c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  <c r="D15" s="1"/>
    </row>
    <row r="16" spans="1:11" x14ac:dyDescent="0.25">
      <c r="A16" s="1"/>
      <c r="B16" s="1"/>
      <c r="C16" s="1"/>
      <c r="D16" s="1"/>
    </row>
    <row r="17" spans="1:4" ht="15" customHeight="1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</sheetData>
  <mergeCells count="3">
    <mergeCell ref="A1:B1"/>
    <mergeCell ref="I1:K1"/>
    <mergeCell ref="I10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M20" sqref="M20"/>
    </sheetView>
  </sheetViews>
  <sheetFormatPr defaultRowHeight="15" x14ac:dyDescent="0.25"/>
  <cols>
    <col min="1" max="1" width="4.28515625" bestFit="1" customWidth="1"/>
    <col min="2" max="2" width="6.28515625" bestFit="1" customWidth="1"/>
    <col min="3" max="3" width="10.28515625" customWidth="1"/>
    <col min="4" max="4" width="10" customWidth="1"/>
    <col min="5" max="5" width="9.42578125" customWidth="1"/>
    <col min="6" max="6" width="14.5703125" customWidth="1"/>
    <col min="7" max="7" width="11.85546875" customWidth="1"/>
    <col min="8" max="8" width="8" customWidth="1"/>
    <col min="9" max="9" width="14.85546875" customWidth="1"/>
    <col min="10" max="10" width="8" bestFit="1" customWidth="1"/>
    <col min="11" max="11" width="9.42578125" customWidth="1"/>
    <col min="12" max="12" width="14" customWidth="1"/>
    <col min="13" max="13" width="16" customWidth="1"/>
    <col min="15" max="15" width="7.7109375" style="17" bestFit="1" customWidth="1"/>
    <col min="16" max="16" width="26.7109375" style="17" bestFit="1" customWidth="1"/>
    <col min="17" max="17" width="6.5703125" style="17" customWidth="1"/>
    <col min="18" max="18" width="9.7109375" style="17" customWidth="1"/>
    <col min="19" max="19" width="15.5703125" style="17" customWidth="1"/>
  </cols>
  <sheetData>
    <row r="1" spans="1:11" ht="20.25" thickBot="1" x14ac:dyDescent="0.3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30" customHeight="1" thickTop="1" thickBot="1" x14ac:dyDescent="0.3">
      <c r="A2" s="19" t="s">
        <v>2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50</v>
      </c>
      <c r="G2" s="20" t="s">
        <v>51</v>
      </c>
      <c r="H2" s="20" t="s">
        <v>52</v>
      </c>
      <c r="I2" s="20" t="s">
        <v>53</v>
      </c>
      <c r="J2" s="20" t="s">
        <v>54</v>
      </c>
      <c r="K2" s="21" t="s">
        <v>55</v>
      </c>
    </row>
    <row r="3" spans="1:11" ht="15.75" customHeight="1" thickBot="1" x14ac:dyDescent="0.3">
      <c r="A3" s="22" t="s">
        <v>56</v>
      </c>
      <c r="B3" s="18" t="s">
        <v>56</v>
      </c>
      <c r="C3" s="18">
        <v>4004</v>
      </c>
      <c r="D3" s="23">
        <v>25</v>
      </c>
      <c r="E3" s="23">
        <v>25</v>
      </c>
      <c r="F3" s="23">
        <v>95</v>
      </c>
      <c r="G3" s="18" t="s">
        <v>57</v>
      </c>
      <c r="H3" s="18">
        <v>4094</v>
      </c>
      <c r="I3" s="18" t="s">
        <v>58</v>
      </c>
      <c r="J3" s="18" t="s">
        <v>59</v>
      </c>
      <c r="K3" s="24">
        <v>2.5</v>
      </c>
    </row>
    <row r="4" spans="1:11" ht="15.75" thickBot="1" x14ac:dyDescent="0.3">
      <c r="A4" s="22" t="s">
        <v>60</v>
      </c>
      <c r="B4" s="18" t="s">
        <v>60</v>
      </c>
      <c r="C4" s="18">
        <v>4003</v>
      </c>
      <c r="D4" s="23">
        <v>20</v>
      </c>
      <c r="E4" s="23">
        <v>20</v>
      </c>
      <c r="F4" s="23">
        <v>95</v>
      </c>
      <c r="G4" s="18" t="s">
        <v>57</v>
      </c>
      <c r="H4" s="18">
        <v>4094</v>
      </c>
      <c r="I4" s="18" t="s">
        <v>58</v>
      </c>
      <c r="J4" s="18" t="s">
        <v>59</v>
      </c>
      <c r="K4" s="24">
        <v>2.5</v>
      </c>
    </row>
    <row r="5" spans="1:11" ht="15.75" thickBot="1" x14ac:dyDescent="0.3">
      <c r="A5" s="22" t="s">
        <v>61</v>
      </c>
      <c r="B5" s="18" t="s">
        <v>61</v>
      </c>
      <c r="C5" s="18">
        <v>4002</v>
      </c>
      <c r="D5" s="23">
        <v>15</v>
      </c>
      <c r="E5" s="23">
        <v>15</v>
      </c>
      <c r="F5" s="23">
        <v>95</v>
      </c>
      <c r="G5" s="18" t="s">
        <v>57</v>
      </c>
      <c r="H5" s="18">
        <v>4094</v>
      </c>
      <c r="I5" s="18" t="s">
        <v>58</v>
      </c>
      <c r="J5" s="18" t="s">
        <v>59</v>
      </c>
      <c r="K5" s="24">
        <v>2.5</v>
      </c>
    </row>
    <row r="6" spans="1:11" ht="15.75" thickBot="1" x14ac:dyDescent="0.3">
      <c r="A6" s="22" t="s">
        <v>62</v>
      </c>
      <c r="B6" s="18" t="s">
        <v>62</v>
      </c>
      <c r="C6" s="18">
        <v>4001</v>
      </c>
      <c r="D6" s="23">
        <v>10</v>
      </c>
      <c r="E6" s="23">
        <v>10</v>
      </c>
      <c r="F6" s="23">
        <v>95</v>
      </c>
      <c r="G6" s="18" t="s">
        <v>57</v>
      </c>
      <c r="H6" s="18">
        <v>4094</v>
      </c>
      <c r="I6" s="18" t="s">
        <v>58</v>
      </c>
      <c r="J6" s="18" t="s">
        <v>59</v>
      </c>
      <c r="K6" s="24">
        <v>2.5</v>
      </c>
    </row>
    <row r="7" spans="1:11" x14ac:dyDescent="0.25">
      <c r="A7" s="25" t="s">
        <v>63</v>
      </c>
      <c r="B7" s="26" t="s">
        <v>63</v>
      </c>
      <c r="C7" s="26">
        <v>4000</v>
      </c>
      <c r="D7" s="27">
        <v>6</v>
      </c>
      <c r="E7" s="27">
        <v>6</v>
      </c>
      <c r="F7" s="27">
        <v>95</v>
      </c>
      <c r="G7" s="26" t="s">
        <v>64</v>
      </c>
      <c r="H7" s="26">
        <v>126</v>
      </c>
      <c r="I7" s="26" t="s">
        <v>58</v>
      </c>
      <c r="J7" s="26" t="s">
        <v>59</v>
      </c>
      <c r="K7" s="28">
        <v>2.5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CutOut Image</vt:lpstr>
      <vt:lpstr>CutOut Parameters</vt:lpstr>
      <vt:lpstr>CutOut Coordinates</vt:lpstr>
      <vt:lpstr>Applicators &amp; Inserts</vt:lpstr>
      <vt:lpstr>AccessoryCode</vt:lpstr>
      <vt:lpstr>ApplicatorID</vt:lpstr>
      <vt:lpstr>BlockTrayID</vt:lpstr>
      <vt:lpstr>bottom_of_electron_insert</vt:lpstr>
      <vt:lpstr>Cutout_Area</vt:lpstr>
      <vt:lpstr>Cutout_Eq._Sq.</vt:lpstr>
      <vt:lpstr>Cutout_Extent</vt:lpstr>
      <vt:lpstr>Cutout_Perimeter</vt:lpstr>
      <vt:lpstr>Field</vt:lpstr>
      <vt:lpstr>Insert_Size</vt:lpstr>
      <vt:lpstr>InsertCode</vt:lpstr>
      <vt:lpstr>Plan</vt:lpstr>
      <vt:lpstr>Source_to_bottom_of_electron_insert</vt:lpstr>
      <vt:lpstr>Source_to_top_of_electron_insert</vt:lpstr>
      <vt:lpstr>SSD</vt:lpstr>
      <vt:lpstr>top_of_electron_insert</vt:lpstr>
      <vt:lpstr>x_range</vt:lpstr>
      <vt:lpstr>y_range</vt:lpstr>
    </vt:vector>
  </TitlesOfParts>
  <Manager/>
  <Company>Kingston Health Sciences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"gsalomon"</dc:creator>
  <cp:keywords/>
  <dc:description/>
  <cp:lastModifiedBy>Greg Salomons</cp:lastModifiedBy>
  <cp:revision/>
  <dcterms:created xsi:type="dcterms:W3CDTF">2021-04-15T13:01:52Z</dcterms:created>
  <dcterms:modified xsi:type="dcterms:W3CDTF">2021-04-24T12:05:19Z</dcterms:modified>
  <cp:category/>
  <cp:contentStatus/>
</cp:coreProperties>
</file>